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109"/>
  <workbookPr/>
  <mc:AlternateContent xmlns:mc="http://schemas.openxmlformats.org/markup-compatibility/2006">
    <mc:Choice Requires="x15">
      <x15ac:absPath xmlns:x15ac="http://schemas.microsoft.com/office/spreadsheetml/2010/11/ac" url="/Users/kianmohseni/Documents/MAE 162E/"/>
    </mc:Choice>
  </mc:AlternateContent>
  <bookViews>
    <workbookView xWindow="0" yWindow="500" windowWidth="25780" windowHeight="13860" activeTab="1"/>
  </bookViews>
  <sheets>
    <sheet name="Sheet1" sheetId="1" r:id="rId1"/>
    <sheet name="Parts 1 and 2" sheetId="3" r:id="rId2"/>
    <sheet name="Part 3" sheetId="4" r:id="rId3"/>
  </sheets>
  <definedNames>
    <definedName name="betaf">'Part 3'!$D$23</definedName>
    <definedName name="betar">'Part 3'!$D$24</definedName>
    <definedName name="Diam_fw">'Part 3'!$D$9</definedName>
    <definedName name="Diam_rw">'Part 3'!$D$10</definedName>
    <definedName name="eta">'Part 3'!$D$16</definedName>
    <definedName name="F_Tawd">'Part 3'!$D$6</definedName>
    <definedName name="F_Tf">'Part 3'!$D$4</definedName>
    <definedName name="F_Tr">'Part 3'!$D$5</definedName>
    <definedName name="Fmg">'Parts 1 and 2'!$D$7</definedName>
    <definedName name="hc">'Parts 1 and 2'!$D$6</definedName>
    <definedName name="hmax">'Parts 1 and 2'!$D$13</definedName>
    <definedName name="L">'Parts 1 and 2'!$D$4</definedName>
    <definedName name="Lc">'Parts 1 and 2'!$D$5</definedName>
    <definedName name="Lc_eq">'Parts 1 and 2'!$D$20</definedName>
    <definedName name="mass">'Parts 1 and 2'!$D$3</definedName>
    <definedName name="mu_awd">'Parts 1 and 2'!$D$19</definedName>
    <definedName name="mu_f">'Parts 1 and 2'!$D$17</definedName>
    <definedName name="mu_r">'Parts 1 and 2'!$D$18</definedName>
    <definedName name="mu_rol">'Part 3'!$D$3</definedName>
    <definedName name="mu_W">'Part 3'!$D$2</definedName>
    <definedName name="Nf">'Parts 1 and 2'!$D$11</definedName>
    <definedName name="Nr">'Parts 1 and 2'!$D$12</definedName>
    <definedName name="P_AWD">'Part 3'!$D$20</definedName>
    <definedName name="P_b_AWD">'Part 3'!$D$27</definedName>
    <definedName name="P_b_FWD">'Part 3'!$D$25</definedName>
    <definedName name="P_b_RWD">'Part 3'!$D$26</definedName>
    <definedName name="P_FWD">'Part 3'!$D$18</definedName>
    <definedName name="P_RWD">'Part 3'!$D$19</definedName>
    <definedName name="T_Aw">'Part 3'!$D$13</definedName>
    <definedName name="T_Fw">'Part 3'!$D$11</definedName>
    <definedName name="T_Rw">'Part 3'!$D$12</definedName>
    <definedName name="theta">'Parts 1 and 2'!$D$10</definedName>
    <definedName name="theta_tip">'Parts 1 and 2'!$D$14</definedName>
    <definedName name="v_rms">'Part 3'!$D$17</definedName>
  </definedNames>
  <calcPr calcId="19102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5" i="1" l="1"/>
  <c r="AJ5" i="1"/>
  <c r="AK5" i="1"/>
  <c r="AL5" i="1"/>
  <c r="AM5" i="1"/>
  <c r="AN5" i="1"/>
  <c r="AK27" i="1"/>
  <c r="BA8" i="1"/>
  <c r="AZ18" i="1"/>
  <c r="D2" i="4"/>
  <c r="D6" i="3"/>
  <c r="K47" i="3"/>
  <c r="H47" i="3"/>
  <c r="J47" i="3"/>
  <c r="D3" i="3"/>
  <c r="D7" i="3"/>
  <c r="D12" i="3"/>
  <c r="D5" i="4"/>
  <c r="D30" i="4"/>
  <c r="I47" i="3"/>
  <c r="H10" i="1"/>
  <c r="AY16" i="1"/>
  <c r="AL2" i="1"/>
  <c r="AJ2" i="1"/>
  <c r="AK2" i="1"/>
  <c r="AM2" i="1"/>
  <c r="AN2" i="1"/>
  <c r="AY14" i="1"/>
  <c r="AG2" i="1"/>
  <c r="AS18" i="1"/>
  <c r="AS17" i="1"/>
  <c r="AS16" i="1"/>
  <c r="J36" i="3"/>
  <c r="AS15" i="1"/>
  <c r="AS14" i="1"/>
  <c r="AJ3" i="1"/>
  <c r="AK3" i="1"/>
  <c r="AL3" i="1"/>
  <c r="AM3" i="1"/>
  <c r="AN3" i="1"/>
  <c r="AK25" i="1"/>
  <c r="BA6" i="1"/>
  <c r="AJ4" i="1"/>
  <c r="AK4" i="1"/>
  <c r="AL4" i="1"/>
  <c r="AM4" i="1"/>
  <c r="AN4" i="1"/>
  <c r="AK26" i="1"/>
  <c r="BA7" i="1"/>
  <c r="AJ6" i="1"/>
  <c r="AK6" i="1"/>
  <c r="AL6" i="1"/>
  <c r="AM6" i="1"/>
  <c r="AN6" i="1"/>
  <c r="AK28" i="1"/>
  <c r="BA9" i="1"/>
  <c r="AK24" i="1"/>
  <c r="BA5" i="1"/>
  <c r="AJ15" i="1"/>
  <c r="AZ6" i="1"/>
  <c r="AJ16" i="1"/>
  <c r="AZ7" i="1"/>
  <c r="AJ17" i="1"/>
  <c r="AZ8" i="1"/>
  <c r="AJ18" i="1"/>
  <c r="AZ9" i="1"/>
  <c r="AJ14" i="1"/>
  <c r="AZ5" i="1"/>
  <c r="AV5" i="1"/>
  <c r="AW5" i="1"/>
  <c r="AX5" i="1"/>
  <c r="AY5" i="1"/>
  <c r="AV6" i="1"/>
  <c r="AW6" i="1"/>
  <c r="AX6" i="1"/>
  <c r="AY6" i="1"/>
  <c r="AV7" i="1"/>
  <c r="AW7" i="1"/>
  <c r="AX7" i="1"/>
  <c r="AY7" i="1"/>
  <c r="AV8" i="1"/>
  <c r="AW8" i="1"/>
  <c r="AX8" i="1"/>
  <c r="AY8" i="1"/>
  <c r="AV9" i="1"/>
  <c r="AW9" i="1"/>
  <c r="AX9" i="1"/>
  <c r="AY9" i="1"/>
  <c r="AU6" i="1"/>
  <c r="AU7" i="1"/>
  <c r="AU8" i="1"/>
  <c r="AU9" i="1"/>
  <c r="AU5" i="1"/>
  <c r="AT6" i="1"/>
  <c r="AT7" i="1"/>
  <c r="AT8" i="1"/>
  <c r="AT9" i="1"/>
  <c r="AT5" i="1"/>
  <c r="AS6" i="1"/>
  <c r="AS7" i="1"/>
  <c r="AS8" i="1"/>
  <c r="AS9" i="1"/>
  <c r="AS5" i="1"/>
  <c r="D2" i="1"/>
  <c r="D3" i="1"/>
  <c r="D4" i="1"/>
  <c r="D5" i="1"/>
  <c r="D6" i="1"/>
  <c r="D7" i="1"/>
  <c r="D8" i="1"/>
  <c r="D9" i="1"/>
  <c r="D10" i="1"/>
  <c r="D11" i="1"/>
  <c r="D12" i="1"/>
  <c r="D13" i="1"/>
  <c r="D14" i="1"/>
  <c r="AD6" i="1"/>
  <c r="N6" i="1"/>
  <c r="AE6" i="1"/>
  <c r="AG6" i="1"/>
  <c r="AF6" i="1"/>
  <c r="AF5" i="1"/>
  <c r="N5" i="1"/>
  <c r="AE5" i="1"/>
  <c r="AG5" i="1"/>
  <c r="AF4" i="1"/>
  <c r="N4" i="1"/>
  <c r="AE4" i="1"/>
  <c r="AG4" i="1"/>
  <c r="AD3" i="1"/>
  <c r="N3" i="1"/>
  <c r="AE3" i="1"/>
  <c r="AG3" i="1"/>
  <c r="AF3" i="1"/>
  <c r="AD2" i="1"/>
  <c r="N2" i="1"/>
  <c r="AE2" i="1"/>
  <c r="AF2" i="1"/>
  <c r="H9" i="1"/>
  <c r="V2" i="1"/>
  <c r="S2" i="1"/>
  <c r="U2" i="1"/>
  <c r="D11" i="3"/>
  <c r="D4" i="4"/>
  <c r="D6" i="4"/>
  <c r="D11" i="4"/>
  <c r="D12" i="4"/>
  <c r="D13" i="4"/>
  <c r="D18" i="4"/>
  <c r="D19" i="4"/>
  <c r="D20" i="4"/>
  <c r="D23" i="4"/>
  <c r="D24" i="4"/>
  <c r="D25" i="4"/>
  <c r="D26" i="4"/>
  <c r="D27" i="4"/>
  <c r="D13" i="3"/>
  <c r="D14" i="3"/>
  <c r="D17" i="3"/>
  <c r="D18" i="3"/>
  <c r="D19" i="3"/>
  <c r="D20" i="3"/>
  <c r="C22" i="3"/>
  <c r="H28" i="3"/>
  <c r="I28" i="3"/>
  <c r="J28" i="3"/>
  <c r="K28" i="3"/>
  <c r="I35" i="3"/>
  <c r="J35" i="3"/>
  <c r="K35" i="3"/>
  <c r="I36" i="3"/>
  <c r="K36" i="3"/>
  <c r="I37" i="3"/>
  <c r="J37" i="3"/>
  <c r="K37" i="3"/>
  <c r="I38" i="3"/>
  <c r="J38" i="3"/>
  <c r="K38" i="3"/>
  <c r="I39" i="3"/>
  <c r="J39" i="3"/>
  <c r="K39" i="3"/>
  <c r="I40" i="3"/>
  <c r="J40" i="3"/>
  <c r="K40" i="3"/>
  <c r="I41" i="3"/>
  <c r="J41" i="3"/>
  <c r="K41" i="3"/>
  <c r="I42" i="3"/>
  <c r="J42" i="3"/>
  <c r="K42" i="3"/>
  <c r="I43" i="3"/>
  <c r="J43" i="3"/>
  <c r="K43" i="3"/>
  <c r="I44" i="3"/>
  <c r="J44" i="3"/>
  <c r="K44" i="3"/>
  <c r="I45" i="3"/>
  <c r="J45" i="3"/>
  <c r="K45" i="3"/>
  <c r="I46" i="3"/>
  <c r="J46" i="3"/>
  <c r="K46" i="3"/>
  <c r="I48" i="3"/>
  <c r="J48" i="3"/>
  <c r="K48" i="3"/>
  <c r="V3" i="1"/>
  <c r="V4" i="1"/>
  <c r="V5" i="1"/>
  <c r="Y12" i="1"/>
  <c r="Y13" i="1"/>
  <c r="Y9" i="1"/>
  <c r="S5" i="1"/>
  <c r="Y10" i="1"/>
  <c r="S4" i="1"/>
  <c r="Y7" i="1"/>
  <c r="T4" i="1"/>
  <c r="Y8" i="1"/>
  <c r="Z7" i="1"/>
  <c r="Z5" i="1"/>
  <c r="Z6" i="1"/>
  <c r="S3" i="1"/>
  <c r="Y5" i="1"/>
  <c r="Z3" i="1"/>
  <c r="V6" i="1"/>
  <c r="S6" i="1"/>
  <c r="U4" i="1"/>
  <c r="T6" i="1"/>
  <c r="T3" i="1"/>
  <c r="T2" i="1"/>
  <c r="H8" i="1"/>
  <c r="H4" i="1"/>
  <c r="AD4" i="1"/>
  <c r="Z11" i="1"/>
  <c r="AD5" i="1"/>
  <c r="U6" i="1"/>
  <c r="Y6" i="1"/>
  <c r="Y3" i="1"/>
  <c r="U3" i="1"/>
  <c r="Y11" i="1"/>
  <c r="T5" i="1"/>
  <c r="U5" i="1"/>
  <c r="Y14" i="1"/>
  <c r="AJ25" i="1"/>
  <c r="AJ26" i="1"/>
  <c r="AJ27" i="1"/>
  <c r="AJ24" i="1"/>
  <c r="AJ28" i="1"/>
</calcChain>
</file>

<file path=xl/sharedStrings.xml><?xml version="1.0" encoding="utf-8"?>
<sst xmlns="http://schemas.openxmlformats.org/spreadsheetml/2006/main" count="297" uniqueCount="232">
  <si>
    <t>Component</t>
  </si>
  <si>
    <t>Mass (g)</t>
  </si>
  <si>
    <t>Multiplier</t>
  </si>
  <si>
    <t>Total (g)</t>
  </si>
  <si>
    <t>Batteries</t>
  </si>
  <si>
    <t>Chassis</t>
  </si>
  <si>
    <t>Wheel Motors</t>
  </si>
  <si>
    <t>Scooper</t>
  </si>
  <si>
    <t>Battery Holder</t>
  </si>
  <si>
    <t>Wheels</t>
  </si>
  <si>
    <t>Stepper Motor</t>
  </si>
  <si>
    <t>Ultrasonic Sensor</t>
  </si>
  <si>
    <t>Line Tracking Sensor</t>
  </si>
  <si>
    <t>Chassis Rods</t>
  </si>
  <si>
    <t>Arduino</t>
  </si>
  <si>
    <t>Device Parameters</t>
  </si>
  <si>
    <t>Length</t>
  </si>
  <si>
    <t>Width</t>
  </si>
  <si>
    <t>Height</t>
  </si>
  <si>
    <t>CoM Distance from Rear Wheel</t>
  </si>
  <si>
    <t>CoM Height from Ground</t>
  </si>
  <si>
    <t>Wheelbase</t>
  </si>
  <si>
    <t>Track</t>
  </si>
  <si>
    <t>Wheel Friction Coefficient</t>
  </si>
  <si>
    <t>Rolling Friction Coefficient</t>
  </si>
  <si>
    <t>Units</t>
  </si>
  <si>
    <t>m</t>
  </si>
  <si>
    <t>Additional Hardware</t>
  </si>
  <si>
    <t>Mass of Transporter (g)</t>
  </si>
  <si>
    <t>--</t>
  </si>
  <si>
    <t>Path Segment</t>
  </si>
  <si>
    <r>
      <t xml:space="preserve">Segment Length </t>
    </r>
    <r>
      <rPr>
        <sz val="11"/>
        <color theme="1"/>
        <rFont val="Calibri"/>
        <family val="2"/>
        <scheme val="minor"/>
      </rPr>
      <t>L</t>
    </r>
    <r>
      <rPr>
        <vertAlign val="subscript"/>
        <sz val="11"/>
        <color theme="1"/>
        <rFont val="Calibri"/>
        <family val="2"/>
        <scheme val="minor"/>
      </rPr>
      <t>seg</t>
    </r>
    <r>
      <rPr>
        <sz val="11"/>
        <color theme="1"/>
        <rFont val="Calibri"/>
        <family val="2"/>
        <scheme val="minor"/>
      </rPr>
      <t xml:space="preserve"> (cm)</t>
    </r>
  </si>
  <si>
    <r>
      <t xml:space="preserve">Time along Segment </t>
    </r>
    <r>
      <rPr>
        <sz val="11"/>
        <color theme="1"/>
        <rFont val="Calibri"/>
        <family val="2"/>
        <scheme val="minor"/>
      </rPr>
      <t>t</t>
    </r>
    <r>
      <rPr>
        <vertAlign val="subscript"/>
        <sz val="11"/>
        <color theme="1"/>
        <rFont val="Calibri"/>
        <family val="2"/>
        <scheme val="minor"/>
      </rPr>
      <t>tot</t>
    </r>
    <r>
      <rPr>
        <sz val="11"/>
        <color theme="1"/>
        <rFont val="Calibri"/>
        <family val="2"/>
        <scheme val="minor"/>
      </rPr>
      <t xml:space="preserve"> (s)</t>
    </r>
  </si>
  <si>
    <t>avg velocity:</t>
  </si>
  <si>
    <t>cm/s</t>
  </si>
  <si>
    <t>Move Profile Type</t>
  </si>
  <si>
    <r>
      <t xml:space="preserve">Accel. Time </t>
    </r>
    <r>
      <rPr>
        <sz val="11"/>
        <color theme="1"/>
        <rFont val="Calibri"/>
        <family val="2"/>
        <scheme val="minor"/>
      </rPr>
      <t>t</t>
    </r>
    <r>
      <rPr>
        <vertAlign val="subscript"/>
        <sz val="11"/>
        <color theme="1"/>
        <rFont val="Calibri"/>
        <family val="2"/>
        <scheme val="minor"/>
      </rPr>
      <t>acc</t>
    </r>
    <r>
      <rPr>
        <sz val="11"/>
        <color theme="1"/>
        <rFont val="Calibri"/>
        <family val="2"/>
        <scheme val="minor"/>
      </rPr>
      <t xml:space="preserve"> (s)</t>
    </r>
  </si>
  <si>
    <r>
      <t xml:space="preserve">Const. Vel. Time </t>
    </r>
    <r>
      <rPr>
        <sz val="11"/>
        <color theme="1"/>
        <rFont val="Calibri"/>
        <family val="2"/>
        <scheme val="minor"/>
      </rPr>
      <t>t</t>
    </r>
    <r>
      <rPr>
        <vertAlign val="subscript"/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 xml:space="preserve"> (s)</t>
    </r>
  </si>
  <si>
    <r>
      <t xml:space="preserve">Decel. Time </t>
    </r>
    <r>
      <rPr>
        <sz val="11"/>
        <color theme="1"/>
        <rFont val="Calibri"/>
        <family val="2"/>
        <scheme val="minor"/>
      </rPr>
      <t>t</t>
    </r>
    <r>
      <rPr>
        <vertAlign val="subscript"/>
        <sz val="11"/>
        <color theme="1"/>
        <rFont val="Calibri"/>
        <family val="2"/>
        <scheme val="minor"/>
      </rPr>
      <t xml:space="preserve">dec </t>
    </r>
    <r>
      <rPr>
        <sz val="11"/>
        <color theme="1"/>
        <rFont val="Calibri"/>
        <family val="2"/>
        <scheme val="minor"/>
      </rPr>
      <t>(s)</t>
    </r>
  </si>
  <si>
    <r>
      <t xml:space="preserve">Total Time </t>
    </r>
    <r>
      <rPr>
        <sz val="11"/>
        <color theme="1"/>
        <rFont val="Calibri"/>
        <family val="2"/>
        <scheme val="minor"/>
      </rPr>
      <t>t</t>
    </r>
    <r>
      <rPr>
        <vertAlign val="subscript"/>
        <sz val="11"/>
        <color theme="1"/>
        <rFont val="Calibri"/>
        <family val="2"/>
        <scheme val="minor"/>
      </rPr>
      <t xml:space="preserve">tot </t>
    </r>
    <r>
      <rPr>
        <sz val="11"/>
        <color theme="1"/>
        <rFont val="Calibri"/>
        <family val="2"/>
        <scheme val="minor"/>
      </rPr>
      <t>(s)</t>
    </r>
  </si>
  <si>
    <t>Trapezoidal</t>
  </si>
  <si>
    <t>Triangular</t>
  </si>
  <si>
    <t>Time (s)</t>
  </si>
  <si>
    <t>Velocity (cm/s)</t>
  </si>
  <si>
    <t>Segment 1</t>
  </si>
  <si>
    <t>Segment 2</t>
  </si>
  <si>
    <t>Segment 3</t>
  </si>
  <si>
    <t>Segment 4</t>
  </si>
  <si>
    <t>Segment 5</t>
  </si>
  <si>
    <r>
      <t>d</t>
    </r>
    <r>
      <rPr>
        <b/>
        <vertAlign val="subscript"/>
        <sz val="11"/>
        <color theme="1"/>
        <rFont val="Calibri"/>
        <family val="2"/>
        <scheme val="minor"/>
      </rPr>
      <t>tot</t>
    </r>
    <r>
      <rPr>
        <b/>
        <sz val="11"/>
        <color theme="1"/>
        <rFont val="Calibri"/>
        <family val="2"/>
        <scheme val="minor"/>
      </rPr>
      <t xml:space="preserve"> (m)</t>
    </r>
  </si>
  <si>
    <r>
      <t>t</t>
    </r>
    <r>
      <rPr>
        <b/>
        <vertAlign val="subscript"/>
        <sz val="11"/>
        <color theme="1"/>
        <rFont val="Calibri"/>
        <family val="2"/>
        <scheme val="minor"/>
      </rPr>
      <t>tot</t>
    </r>
    <r>
      <rPr>
        <b/>
        <sz val="11"/>
        <color theme="1"/>
        <rFont val="Calibri"/>
        <family val="2"/>
        <scheme val="minor"/>
      </rPr>
      <t xml:space="preserve"> (s)</t>
    </r>
  </si>
  <si>
    <r>
      <t>V</t>
    </r>
    <r>
      <rPr>
        <b/>
        <vertAlign val="subscript"/>
        <sz val="11"/>
        <color theme="1"/>
        <rFont val="Calibri"/>
        <family val="2"/>
        <scheme val="minor"/>
      </rPr>
      <t>max</t>
    </r>
    <r>
      <rPr>
        <b/>
        <sz val="11"/>
        <color theme="1"/>
        <rFont val="Calibri"/>
        <family val="2"/>
        <scheme val="minor"/>
      </rPr>
      <t xml:space="preserve"> (m/s)</t>
    </r>
  </si>
  <si>
    <r>
      <t>a</t>
    </r>
    <r>
      <rPr>
        <b/>
        <vertAlign val="subscript"/>
        <sz val="11"/>
        <color theme="1"/>
        <rFont val="Calibri"/>
        <family val="2"/>
        <scheme val="minor"/>
      </rPr>
      <t xml:space="preserve">max </t>
    </r>
    <r>
      <rPr>
        <b/>
        <sz val="11"/>
        <color theme="1"/>
        <rFont val="Calibri"/>
        <family val="2"/>
        <scheme val="minor"/>
      </rPr>
      <t>(m/s</t>
    </r>
    <r>
      <rPr>
        <b/>
        <vertAlign val="super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)</t>
    </r>
  </si>
  <si>
    <r>
      <t>F</t>
    </r>
    <r>
      <rPr>
        <b/>
        <vertAlign val="subscript"/>
        <sz val="11"/>
        <color theme="1"/>
        <rFont val="Calibri"/>
        <family val="2"/>
        <scheme val="minor"/>
      </rPr>
      <t>i</t>
    </r>
    <r>
      <rPr>
        <b/>
        <sz val="11"/>
        <color theme="1"/>
        <rFont val="Calibri"/>
        <family val="2"/>
        <scheme val="minor"/>
      </rPr>
      <t xml:space="preserve"> (N)</t>
    </r>
  </si>
  <si>
    <r>
      <t>F</t>
    </r>
    <r>
      <rPr>
        <b/>
        <vertAlign val="subscript"/>
        <sz val="11"/>
        <color theme="1"/>
        <rFont val="Calibri"/>
        <family val="2"/>
        <scheme val="minor"/>
      </rPr>
      <t>w</t>
    </r>
    <r>
      <rPr>
        <b/>
        <sz val="11"/>
        <color theme="1"/>
        <rFont val="Calibri"/>
        <family val="2"/>
        <scheme val="minor"/>
      </rPr>
      <t xml:space="preserve"> (N)</t>
    </r>
  </si>
  <si>
    <r>
      <t>F</t>
    </r>
    <r>
      <rPr>
        <b/>
        <vertAlign val="subscript"/>
        <sz val="11"/>
        <color theme="1"/>
        <rFont val="Calibri"/>
        <family val="2"/>
        <scheme val="minor"/>
      </rPr>
      <t>f</t>
    </r>
    <r>
      <rPr>
        <b/>
        <sz val="11"/>
        <color theme="1"/>
        <rFont val="Calibri"/>
        <family val="2"/>
        <scheme val="minor"/>
      </rPr>
      <t xml:space="preserve"> (N)</t>
    </r>
  </si>
  <si>
    <r>
      <t>F</t>
    </r>
    <r>
      <rPr>
        <b/>
        <vertAlign val="subscript"/>
        <sz val="11"/>
        <color theme="1"/>
        <rFont val="Calibri"/>
        <family val="2"/>
        <scheme val="minor"/>
      </rPr>
      <t>rol</t>
    </r>
    <r>
      <rPr>
        <b/>
        <sz val="11"/>
        <color theme="1"/>
        <rFont val="Calibri"/>
        <family val="2"/>
        <scheme val="minor"/>
      </rPr>
      <t xml:space="preserve"> (N)</t>
    </r>
  </si>
  <si>
    <r>
      <t>F</t>
    </r>
    <r>
      <rPr>
        <b/>
        <vertAlign val="subscript"/>
        <sz val="11"/>
        <color theme="1"/>
        <rFont val="Calibri"/>
        <family val="2"/>
        <scheme val="minor"/>
      </rPr>
      <t>prop</t>
    </r>
    <r>
      <rPr>
        <b/>
        <sz val="11"/>
        <color theme="1"/>
        <rFont val="Calibri"/>
        <family val="2"/>
        <scheme val="minor"/>
      </rPr>
      <t xml:space="preserve"> (N)</t>
    </r>
  </si>
  <si>
    <r>
      <t>P</t>
    </r>
    <r>
      <rPr>
        <b/>
        <vertAlign val="subscript"/>
        <sz val="11"/>
        <color theme="1"/>
        <rFont val="Calibri"/>
        <family val="2"/>
        <scheme val="minor"/>
      </rPr>
      <t>prop</t>
    </r>
    <r>
      <rPr>
        <b/>
        <sz val="11"/>
        <color theme="1"/>
        <rFont val="Calibri"/>
        <family val="2"/>
        <scheme val="minor"/>
      </rPr>
      <t xml:space="preserve"> (W)</t>
    </r>
  </si>
  <si>
    <r>
      <t>T</t>
    </r>
    <r>
      <rPr>
        <b/>
        <vertAlign val="subscript"/>
        <sz val="11"/>
        <color theme="1"/>
        <rFont val="Calibri"/>
        <family val="2"/>
        <scheme val="minor"/>
      </rPr>
      <t>prop</t>
    </r>
    <r>
      <rPr>
        <b/>
        <sz val="11"/>
        <color theme="1"/>
        <rFont val="Calibri"/>
        <family val="2"/>
        <scheme val="minor"/>
      </rPr>
      <t xml:space="preserve"> (N-m)</t>
    </r>
  </si>
  <si>
    <t>Wheel Diameter</t>
  </si>
  <si>
    <t xml:space="preserve">Value </t>
  </si>
  <si>
    <t xml:space="preserve">Drive System Efficiency </t>
  </si>
  <si>
    <t>Lc_eq:</t>
  </si>
  <si>
    <t>mu_awd</t>
  </si>
  <si>
    <t>mu_rwd</t>
  </si>
  <si>
    <t>mu_fwd</t>
  </si>
  <si>
    <t>Lc_var</t>
  </si>
  <si>
    <r>
      <t xml:space="preserve">Check which has the lowest required friction coefficient (FWD or RWD): </t>
    </r>
    <r>
      <rPr>
        <sz val="11"/>
        <color theme="1"/>
        <rFont val="Calibri"/>
        <family val="2"/>
      </rPr>
      <t>μ</t>
    </r>
    <r>
      <rPr>
        <vertAlign val="subscript"/>
        <sz val="11"/>
        <color theme="1"/>
        <rFont val="Calibri"/>
        <family val="2"/>
      </rPr>
      <t>f</t>
    </r>
    <r>
      <rPr>
        <sz val="11"/>
        <color theme="1"/>
        <rFont val="Calibri"/>
        <family val="2"/>
      </rPr>
      <t xml:space="preserve"> or </t>
    </r>
    <r>
      <rPr>
        <sz val="11"/>
        <color theme="1"/>
        <rFont val="Calibri"/>
        <family val="2"/>
        <scheme val="minor"/>
      </rPr>
      <t>μ</t>
    </r>
    <r>
      <rPr>
        <vertAlign val="subscript"/>
        <sz val="11"/>
        <color theme="1"/>
        <rFont val="Calibri"/>
        <family val="2"/>
        <scheme val="minor"/>
      </rPr>
      <t>r</t>
    </r>
  </si>
  <si>
    <t>Optimum Drive System - FWD or RWD:</t>
  </si>
  <si>
    <t>Lc_eq</t>
  </si>
  <si>
    <t>Lc-equal</t>
  </si>
  <si>
    <r>
      <t xml:space="preserve">   CoM distance for </t>
    </r>
    <r>
      <rPr>
        <sz val="11"/>
        <color theme="1"/>
        <rFont val="Calibri"/>
        <family val="2"/>
      </rPr>
      <t>μ</t>
    </r>
    <r>
      <rPr>
        <vertAlign val="subscript"/>
        <sz val="11"/>
        <color theme="1"/>
        <rFont val="Calibri"/>
        <family val="2"/>
      </rPr>
      <t xml:space="preserve">f </t>
    </r>
    <r>
      <rPr>
        <sz val="11"/>
        <color theme="1"/>
        <rFont val="Calibri"/>
        <family val="2"/>
      </rPr>
      <t>= μ</t>
    </r>
    <r>
      <rPr>
        <vertAlign val="subscript"/>
        <sz val="11"/>
        <color theme="1"/>
        <rFont val="Calibri"/>
        <family val="2"/>
      </rPr>
      <t>r</t>
    </r>
  </si>
  <si>
    <t>-</t>
  </si>
  <si>
    <r>
      <t>μ</t>
    </r>
    <r>
      <rPr>
        <b/>
        <vertAlign val="subscript"/>
        <sz val="11"/>
        <color theme="1"/>
        <rFont val="Calibri"/>
        <family val="2"/>
        <scheme val="minor"/>
      </rPr>
      <t>awd</t>
    </r>
  </si>
  <si>
    <t xml:space="preserve">   Minimum Friction Coefficient for AWD</t>
  </si>
  <si>
    <t>mu_r</t>
  </si>
  <si>
    <r>
      <t>μ</t>
    </r>
    <r>
      <rPr>
        <b/>
        <vertAlign val="subscript"/>
        <sz val="11"/>
        <color theme="1"/>
        <rFont val="Calibri"/>
        <family val="2"/>
        <scheme val="minor"/>
      </rPr>
      <t>r</t>
    </r>
  </si>
  <si>
    <t xml:space="preserve">   Minimum Friction Coefficient for RWD</t>
  </si>
  <si>
    <t>mu_f</t>
  </si>
  <si>
    <r>
      <t>μ</t>
    </r>
    <r>
      <rPr>
        <b/>
        <vertAlign val="subscript"/>
        <sz val="11"/>
        <color theme="1"/>
        <rFont val="Calibri"/>
        <family val="2"/>
      </rPr>
      <t>f</t>
    </r>
  </si>
  <si>
    <t xml:space="preserve">   Minimum Friction Coefficient for FWD</t>
  </si>
  <si>
    <t>Minimum Required Friction Coefficients:</t>
  </si>
  <si>
    <t>deg</t>
  </si>
  <si>
    <t>theta_tip</t>
  </si>
  <si>
    <r>
      <t>θ</t>
    </r>
    <r>
      <rPr>
        <b/>
        <vertAlign val="subscript"/>
        <sz val="11"/>
        <color theme="1"/>
        <rFont val="Calibri"/>
        <family val="2"/>
        <scheme val="minor"/>
      </rPr>
      <t>max</t>
    </r>
  </si>
  <si>
    <t xml:space="preserve">   Tipping angle</t>
  </si>
  <si>
    <t>hmax</t>
  </si>
  <si>
    <r>
      <t>h</t>
    </r>
    <r>
      <rPr>
        <b/>
        <vertAlign val="subscript"/>
        <sz val="11"/>
        <color theme="1"/>
        <rFont val="Calibri"/>
        <family val="2"/>
        <scheme val="minor"/>
      </rPr>
      <t>max</t>
    </r>
  </si>
  <si>
    <t xml:space="preserve">   CoM Tipping Height</t>
  </si>
  <si>
    <t>N</t>
  </si>
  <si>
    <t>Nr</t>
  </si>
  <si>
    <r>
      <t>N</t>
    </r>
    <r>
      <rPr>
        <b/>
        <vertAlign val="subscript"/>
        <sz val="11"/>
        <color theme="1"/>
        <rFont val="Calibri"/>
        <family val="2"/>
        <scheme val="minor"/>
      </rPr>
      <t>r</t>
    </r>
  </si>
  <si>
    <t xml:space="preserve">   Normal Force on both Rear Wheels</t>
  </si>
  <si>
    <t>Nf</t>
  </si>
  <si>
    <r>
      <t>N</t>
    </r>
    <r>
      <rPr>
        <b/>
        <vertAlign val="subscript"/>
        <sz val="11"/>
        <color theme="1"/>
        <rFont val="Calibri"/>
        <family val="2"/>
        <scheme val="minor"/>
      </rPr>
      <t>f</t>
    </r>
  </si>
  <si>
    <t xml:space="preserve">   Normal Force on both Front Wheels</t>
  </si>
  <si>
    <t>theta</t>
  </si>
  <si>
    <t>θ</t>
  </si>
  <si>
    <t xml:space="preserve">   Incline angle (Hill)</t>
  </si>
  <si>
    <t>Normal Wheel Forces and Tipping Angle:</t>
  </si>
  <si>
    <t>Fmg</t>
  </si>
  <si>
    <r>
      <t>F</t>
    </r>
    <r>
      <rPr>
        <b/>
        <vertAlign val="subscript"/>
        <sz val="11"/>
        <color theme="1"/>
        <rFont val="Calibri"/>
        <family val="2"/>
        <scheme val="minor"/>
      </rPr>
      <t>mg</t>
    </r>
  </si>
  <si>
    <t>Force (Weight)</t>
  </si>
  <si>
    <t>hc</t>
  </si>
  <si>
    <r>
      <t>h</t>
    </r>
    <r>
      <rPr>
        <b/>
        <vertAlign val="subscript"/>
        <sz val="11"/>
        <color theme="1"/>
        <rFont val="Calibri"/>
        <family val="2"/>
        <scheme val="minor"/>
      </rPr>
      <t>c</t>
    </r>
  </si>
  <si>
    <t xml:space="preserve">   CoM distance from ground</t>
  </si>
  <si>
    <t>Lc</t>
  </si>
  <si>
    <r>
      <t>L</t>
    </r>
    <r>
      <rPr>
        <b/>
        <vertAlign val="subscript"/>
        <sz val="11"/>
        <color theme="1"/>
        <rFont val="Calibri"/>
        <family val="2"/>
        <scheme val="minor"/>
      </rPr>
      <t>c</t>
    </r>
  </si>
  <si>
    <t xml:space="preserve">   CoM distance from Rear Wheel</t>
  </si>
  <si>
    <t>L</t>
  </si>
  <si>
    <t xml:space="preserve">   Wheelbase</t>
  </si>
  <si>
    <t>kg</t>
  </si>
  <si>
    <t>mass</t>
  </si>
  <si>
    <t xml:space="preserve">   Mass</t>
  </si>
  <si>
    <t>Vehicle/Hill Parameters:</t>
  </si>
  <si>
    <t>Friction Coefficients plot for part 2</t>
  </si>
  <si>
    <t>UNITS</t>
  </si>
  <si>
    <t>VALUE</t>
  </si>
  <si>
    <t>VARIABLE NAME</t>
  </si>
  <si>
    <t>SYMBOL</t>
  </si>
  <si>
    <t>DESCRIPTION</t>
  </si>
  <si>
    <t>wrong</t>
  </si>
  <si>
    <t>W</t>
  </si>
  <si>
    <t>P_b-AWD</t>
  </si>
  <si>
    <r>
      <t>P</t>
    </r>
    <r>
      <rPr>
        <b/>
        <vertAlign val="subscript"/>
        <sz val="11"/>
        <color theme="1"/>
        <rFont val="Calibri (Body)"/>
      </rPr>
      <t>𝛽-AWD</t>
    </r>
  </si>
  <si>
    <t xml:space="preserve">   AWD Propulsion Power based on Weight Distrib. (𝛽):</t>
  </si>
  <si>
    <t>P_b-RWD</t>
  </si>
  <si>
    <r>
      <t>P</t>
    </r>
    <r>
      <rPr>
        <b/>
        <vertAlign val="subscript"/>
        <sz val="11"/>
        <color theme="1"/>
        <rFont val="Calibri (Body)"/>
      </rPr>
      <t>𝛽-RWD</t>
    </r>
  </si>
  <si>
    <t xml:space="preserve">   RWD Propulsion Power based on Weight Distrib. (𝛽):</t>
  </si>
  <si>
    <t>P_b-FWD</t>
  </si>
  <si>
    <r>
      <t>P</t>
    </r>
    <r>
      <rPr>
        <b/>
        <vertAlign val="subscript"/>
        <sz val="11"/>
        <color theme="1"/>
        <rFont val="Calibri (Body)"/>
      </rPr>
      <t>𝛽-FWD</t>
    </r>
  </si>
  <si>
    <t xml:space="preserve">   FWD Propulsion Power based on Weight Distrib. (𝛽):</t>
  </si>
  <si>
    <t>betar</t>
  </si>
  <si>
    <r>
      <rPr>
        <b/>
        <sz val="11"/>
        <color theme="1"/>
        <rFont val="Calibri"/>
        <family val="2"/>
      </rPr>
      <t>β</t>
    </r>
    <r>
      <rPr>
        <b/>
        <vertAlign val="subscript"/>
        <sz val="11"/>
        <color theme="1"/>
        <rFont val="Calibri"/>
        <family val="2"/>
      </rPr>
      <t>r</t>
    </r>
  </si>
  <si>
    <t xml:space="preserve">   Fraction of weight on Rear wheel</t>
  </si>
  <si>
    <t>betaf</t>
  </si>
  <si>
    <r>
      <rPr>
        <b/>
        <sz val="11"/>
        <color theme="1"/>
        <rFont val="Calibri"/>
        <family val="2"/>
      </rPr>
      <t>β</t>
    </r>
    <r>
      <rPr>
        <b/>
        <vertAlign val="subscript"/>
        <sz val="11"/>
        <color theme="1"/>
        <rFont val="Calibri (Body)"/>
      </rPr>
      <t>f</t>
    </r>
  </si>
  <si>
    <t xml:space="preserve">   Fraction of weight on Front wheel</t>
  </si>
  <si>
    <t>Checking Propulsion Power using Weight Distribution on Wheels (𝛽):</t>
  </si>
  <si>
    <t>P_AWD</t>
  </si>
  <si>
    <r>
      <t>P</t>
    </r>
    <r>
      <rPr>
        <b/>
        <vertAlign val="subscript"/>
        <sz val="11"/>
        <color theme="1"/>
        <rFont val="Calibri (Body)"/>
      </rPr>
      <t>AWD</t>
    </r>
  </si>
  <si>
    <t xml:space="preserve">   AWD Power</t>
  </si>
  <si>
    <t>P_RWD</t>
  </si>
  <si>
    <r>
      <t>P</t>
    </r>
    <r>
      <rPr>
        <b/>
        <vertAlign val="subscript"/>
        <sz val="11"/>
        <color theme="1"/>
        <rFont val="Calibri (Body)"/>
      </rPr>
      <t>RWD</t>
    </r>
  </si>
  <si>
    <t xml:space="preserve">   RWD Power</t>
  </si>
  <si>
    <t>P_FWD</t>
  </si>
  <si>
    <r>
      <t>P</t>
    </r>
    <r>
      <rPr>
        <b/>
        <vertAlign val="subscript"/>
        <sz val="11"/>
        <color theme="1"/>
        <rFont val="Calibri (Body)"/>
      </rPr>
      <t>FWD</t>
    </r>
  </si>
  <si>
    <t xml:space="preserve">   FWD Power</t>
  </si>
  <si>
    <t>m/s</t>
  </si>
  <si>
    <t>v_rms</t>
  </si>
  <si>
    <r>
      <t>V</t>
    </r>
    <r>
      <rPr>
        <b/>
        <vertAlign val="subscript"/>
        <sz val="11"/>
        <color theme="1"/>
        <rFont val="Calibri (Body)"/>
      </rPr>
      <t>rms</t>
    </r>
  </si>
  <si>
    <t xml:space="preserve">   RMS Velocity up the ramp</t>
  </si>
  <si>
    <t>eta</t>
  </si>
  <si>
    <t>𝜂</t>
  </si>
  <si>
    <t xml:space="preserve">   Drive System Efficiency</t>
  </si>
  <si>
    <t>Propulsion Power based on Tractive Force:</t>
  </si>
  <si>
    <t>N-m</t>
  </si>
  <si>
    <t>T_Aw</t>
  </si>
  <si>
    <r>
      <t>T</t>
    </r>
    <r>
      <rPr>
        <b/>
        <vertAlign val="subscript"/>
        <sz val="11"/>
        <color theme="1"/>
        <rFont val="Calibri (Body)"/>
      </rPr>
      <t>Aw</t>
    </r>
  </si>
  <si>
    <t xml:space="preserve">   All Wheel Torque</t>
  </si>
  <si>
    <t>T_Rw</t>
  </si>
  <si>
    <r>
      <t>T</t>
    </r>
    <r>
      <rPr>
        <b/>
        <vertAlign val="subscript"/>
        <sz val="11"/>
        <color theme="1"/>
        <rFont val="Calibri (Body)"/>
      </rPr>
      <t>Rw</t>
    </r>
  </si>
  <si>
    <t xml:space="preserve">   Rear Wheel Torque</t>
  </si>
  <si>
    <t>T_Fw</t>
  </si>
  <si>
    <r>
      <t>T</t>
    </r>
    <r>
      <rPr>
        <b/>
        <vertAlign val="subscript"/>
        <sz val="11"/>
        <color theme="1"/>
        <rFont val="Calibri"/>
        <family val="2"/>
        <scheme val="minor"/>
      </rPr>
      <t>F</t>
    </r>
    <r>
      <rPr>
        <b/>
        <vertAlign val="subscript"/>
        <sz val="11"/>
        <color theme="1"/>
        <rFont val="Calibri (Body)"/>
      </rPr>
      <t>w</t>
    </r>
  </si>
  <si>
    <t xml:space="preserve">   Front Wheel Torque</t>
  </si>
  <si>
    <t>Diam_rw</t>
  </si>
  <si>
    <r>
      <t>D</t>
    </r>
    <r>
      <rPr>
        <b/>
        <vertAlign val="subscript"/>
        <sz val="11"/>
        <color theme="1"/>
        <rFont val="Calibri (Body)"/>
      </rPr>
      <t>rw</t>
    </r>
  </si>
  <si>
    <t xml:space="preserve">   Rear Wheel Diameter</t>
  </si>
  <si>
    <t>Diam_fw</t>
  </si>
  <si>
    <r>
      <t>D</t>
    </r>
    <r>
      <rPr>
        <b/>
        <vertAlign val="subscript"/>
        <sz val="11"/>
        <color theme="1"/>
        <rFont val="Calibri (Body)"/>
      </rPr>
      <t>fw</t>
    </r>
  </si>
  <si>
    <t xml:space="preserve">   Front Wheel Diameter</t>
  </si>
  <si>
    <t>Minimum required Wheel Torque based on Tractive Force:</t>
  </si>
  <si>
    <t>F_Tawd</t>
  </si>
  <si>
    <r>
      <t>F</t>
    </r>
    <r>
      <rPr>
        <b/>
        <vertAlign val="subscript"/>
        <sz val="11"/>
        <color theme="1"/>
        <rFont val="Calibri (Body)"/>
      </rPr>
      <t>Tawd</t>
    </r>
  </si>
  <si>
    <t xml:space="preserve">   All Wheel Drive Tractive Force (Traction)</t>
  </si>
  <si>
    <t>F_Tr</t>
  </si>
  <si>
    <r>
      <t>F</t>
    </r>
    <r>
      <rPr>
        <b/>
        <vertAlign val="subscript"/>
        <sz val="11"/>
        <color theme="1"/>
        <rFont val="Calibri (Body)"/>
      </rPr>
      <t>Tr</t>
    </r>
  </si>
  <si>
    <t xml:space="preserve">   Rear Wheel Drive Tractive Force (Traction)</t>
  </si>
  <si>
    <t>F_Tf</t>
  </si>
  <si>
    <r>
      <t>F</t>
    </r>
    <r>
      <rPr>
        <b/>
        <vertAlign val="subscript"/>
        <sz val="11"/>
        <color theme="1"/>
        <rFont val="Calibri (Body)"/>
      </rPr>
      <t>Tf</t>
    </r>
  </si>
  <si>
    <t xml:space="preserve">   Front Wheel Drive Tractive Force (Traction)</t>
  </si>
  <si>
    <t>mu_rol</t>
  </si>
  <si>
    <r>
      <t>μ</t>
    </r>
    <r>
      <rPr>
        <b/>
        <vertAlign val="subscript"/>
        <sz val="11"/>
        <color theme="1"/>
        <rFont val="Calibri"/>
        <family val="2"/>
      </rPr>
      <t>ROL</t>
    </r>
  </si>
  <si>
    <t xml:space="preserve">   Rolling friction coefficient</t>
  </si>
  <si>
    <t>mu_W</t>
  </si>
  <si>
    <r>
      <t>μ</t>
    </r>
    <r>
      <rPr>
        <b/>
        <vertAlign val="subscript"/>
        <sz val="11"/>
        <color theme="1"/>
        <rFont val="Calibri"/>
        <family val="2"/>
      </rPr>
      <t>W</t>
    </r>
  </si>
  <si>
    <t xml:space="preserve">   Friction coefficient for RWD at Lc = 0.03 m</t>
  </si>
  <si>
    <t>Minimum required Tractive Force for estimated 𝜇:</t>
  </si>
  <si>
    <t>updates automatically from sheet 1</t>
  </si>
  <si>
    <t>UPDATE</t>
  </si>
  <si>
    <t>UPDATE TABLE</t>
  </si>
  <si>
    <t>Update?</t>
  </si>
  <si>
    <t>update manually based on new Lc and drive type</t>
  </si>
  <si>
    <t>linked to sheet 3</t>
  </si>
  <si>
    <t>Tuna Can</t>
  </si>
  <si>
    <t>UPDATED</t>
  </si>
  <si>
    <t>no dependencies -- ignore these values</t>
  </si>
  <si>
    <t>Segm.</t>
  </si>
  <si>
    <t>From Move Profile</t>
  </si>
  <si>
    <t>#</t>
  </si>
  <si>
    <t>Velocity (max)</t>
  </si>
  <si>
    <t>Accel. (max)</t>
  </si>
  <si>
    <t>m/s^2</t>
  </si>
  <si>
    <t>ma</t>
  </si>
  <si>
    <t>mg*sin(th)</t>
  </si>
  <si>
    <t>mg*cos(th)*mu</t>
  </si>
  <si>
    <t>mg*cos(th)*mu_rol</t>
  </si>
  <si>
    <t>F_req=Sum</t>
  </si>
  <si>
    <t>F*v_max/eff</t>
  </si>
  <si>
    <t>P (W)</t>
  </si>
  <si>
    <t>Propulsion Power</t>
  </si>
  <si>
    <t>T (N-m)</t>
  </si>
  <si>
    <t>F*rad/eff</t>
  </si>
  <si>
    <t>Torque (Total)</t>
  </si>
  <si>
    <r>
      <t>F</t>
    </r>
    <r>
      <rPr>
        <vertAlign val="subscript"/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(N)</t>
    </r>
  </si>
  <si>
    <r>
      <t>F</t>
    </r>
    <r>
      <rPr>
        <vertAlign val="subscript"/>
        <sz val="11"/>
        <color theme="1"/>
        <rFont val="Calibri"/>
        <family val="2"/>
        <scheme val="minor"/>
      </rPr>
      <t>w</t>
    </r>
    <r>
      <rPr>
        <sz val="11"/>
        <color theme="1"/>
        <rFont val="Calibri"/>
        <family val="2"/>
        <scheme val="minor"/>
      </rPr>
      <t xml:space="preserve"> (N)</t>
    </r>
  </si>
  <si>
    <r>
      <t>F</t>
    </r>
    <r>
      <rPr>
        <vertAlign val="subscript"/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 xml:space="preserve"> (N)</t>
    </r>
  </si>
  <si>
    <r>
      <t>F</t>
    </r>
    <r>
      <rPr>
        <vertAlign val="subscript"/>
        <sz val="11"/>
        <color theme="1"/>
        <rFont val="Calibri"/>
        <family val="2"/>
        <scheme val="minor"/>
      </rPr>
      <t>rol</t>
    </r>
    <r>
      <rPr>
        <sz val="11"/>
        <color theme="1"/>
        <rFont val="Calibri"/>
        <family val="2"/>
        <scheme val="minor"/>
      </rPr>
      <t xml:space="preserve"> (N)</t>
    </r>
  </si>
  <si>
    <r>
      <t>F</t>
    </r>
    <r>
      <rPr>
        <vertAlign val="subscript"/>
        <sz val="11"/>
        <color theme="1"/>
        <rFont val="Calibri"/>
        <family val="2"/>
        <scheme val="minor"/>
      </rPr>
      <t>prop</t>
    </r>
    <r>
      <rPr>
        <sz val="11"/>
        <color theme="1"/>
        <rFont val="Calibri"/>
        <family val="2"/>
        <scheme val="minor"/>
      </rPr>
      <t xml:space="preserve"> (N)</t>
    </r>
  </si>
  <si>
    <t>Parameters</t>
  </si>
  <si>
    <t>Mass</t>
  </si>
  <si>
    <t>mu_2WD</t>
  </si>
  <si>
    <t>Rad_wheel</t>
  </si>
  <si>
    <t>efficiency</t>
  </si>
  <si>
    <t>Theta</t>
  </si>
  <si>
    <t>Tables on right for submission</t>
  </si>
  <si>
    <t>based on current CAD</t>
  </si>
  <si>
    <t>updated manually from CAD</t>
  </si>
  <si>
    <t>Actual Lc</t>
  </si>
  <si>
    <t>Traction needed (force of gravity along slope)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</si>
</sst>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0.000"/>
    <numFmt numFmtId="165" formatCode="0.0"/>
    <numFmt numFmtId="166" formatCode="0.00000"/>
    <numFmt numFmtId="167" formatCode="0.0000000"/>
    <numFmt numFmtId="168" formatCode="0.00000000"/>
  </numFmts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vertAlign val="subscript"/>
      <sz val="11"/>
      <color theme="1"/>
      <name val="Calibri"/>
      <family val="2"/>
    </font>
    <font>
      <b/>
      <sz val="11"/>
      <color rgb="FF00B05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</font>
    <font>
      <b/>
      <vertAlign val="subscript"/>
      <sz val="11"/>
      <color theme="1"/>
      <name val="Calibri"/>
      <family val="2"/>
    </font>
    <font>
      <sz val="12"/>
      <color theme="1"/>
      <name val="Calibri"/>
      <family val="2"/>
      <scheme val="minor"/>
    </font>
    <font>
      <b/>
      <vertAlign val="subscript"/>
      <sz val="11"/>
      <color theme="1"/>
      <name val="Calibri (Body)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499984740745262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/>
    <xf numFmtId="0" fontId="14" fillId="0" borderId="0"/>
  </cellStyleXfs>
  <cellXfs count="99">
    <xf numFmtId="0" fontId="0" fillId="0" borderId="0" xfId="0"/>
    <xf numFmtId="0" fontId="1" fillId="0" borderId="1" xfId="0" applyFont="1" applyBorder="1" applyAlignment="1">
      <alignment horizontal="left" vertical="center"/>
    </xf>
    <xf numFmtId="0" fontId="0" fillId="0" borderId="1" xfId="0" applyBorder="1"/>
    <xf numFmtId="0" fontId="0" fillId="0" borderId="1" xfId="0" applyBorder="1" applyAlignment="1"/>
    <xf numFmtId="0" fontId="0" fillId="0" borderId="1" xfId="0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 wrapText="1"/>
    </xf>
    <xf numFmtId="165" fontId="0" fillId="0" borderId="0" xfId="0" applyNumberFormat="1"/>
    <xf numFmtId="0" fontId="1" fillId="0" borderId="1" xfId="0" applyFont="1" applyBorder="1" applyAlignment="1">
      <alignment horizontal="center" wrapText="1"/>
    </xf>
    <xf numFmtId="165" fontId="0" fillId="0" borderId="1" xfId="0" applyNumberFormat="1" applyBorder="1" applyAlignment="1">
      <alignment horizontal="center"/>
    </xf>
    <xf numFmtId="0" fontId="1" fillId="0" borderId="2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1" xfId="0" applyNumberFormat="1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2" borderId="0" xfId="0" applyFill="1"/>
    <xf numFmtId="0" fontId="0" fillId="0" borderId="0" xfId="0" applyFill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0" fillId="0" borderId="1" xfId="0" applyNumberFormat="1" applyBorder="1" applyAlignment="1">
      <alignment horizontal="center"/>
    </xf>
    <xf numFmtId="164" fontId="0" fillId="0" borderId="0" xfId="0" applyNumberFormat="1"/>
    <xf numFmtId="2" fontId="0" fillId="0" borderId="0" xfId="0" applyNumberFormat="1" applyAlignment="1">
      <alignment horizontal="center"/>
    </xf>
    <xf numFmtId="0" fontId="9" fillId="0" borderId="1" xfId="0" applyFont="1" applyBorder="1" applyAlignment="1">
      <alignment horizontal="center"/>
    </xf>
    <xf numFmtId="0" fontId="10" fillId="0" borderId="1" xfId="0" applyFont="1" applyBorder="1"/>
    <xf numFmtId="0" fontId="1" fillId="3" borderId="1" xfId="0" applyFont="1" applyFill="1" applyBorder="1"/>
    <xf numFmtId="2" fontId="11" fillId="0" borderId="1" xfId="0" applyNumberFormat="1" applyFont="1" applyBorder="1" applyAlignment="1">
      <alignment horizontal="center" vertical="center"/>
    </xf>
    <xf numFmtId="2" fontId="1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10" fillId="3" borderId="1" xfId="0" applyFont="1" applyFill="1" applyBorder="1"/>
    <xf numFmtId="2" fontId="10" fillId="3" borderId="1" xfId="0" applyNumberFormat="1" applyFont="1" applyFill="1" applyBorder="1"/>
    <xf numFmtId="2" fontId="0" fillId="0" borderId="0" xfId="0" applyNumberFormat="1"/>
    <xf numFmtId="2" fontId="1" fillId="0" borderId="2" xfId="0" applyNumberFormat="1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2" fontId="1" fillId="0" borderId="1" xfId="0" applyNumberFormat="1" applyFont="1" applyBorder="1" applyAlignment="1">
      <alignment horizontal="center"/>
    </xf>
    <xf numFmtId="0" fontId="1" fillId="0" borderId="0" xfId="0" applyFont="1"/>
    <xf numFmtId="0" fontId="1" fillId="0" borderId="1" xfId="0" applyFont="1" applyBorder="1"/>
    <xf numFmtId="2" fontId="1" fillId="0" borderId="1" xfId="0" applyNumberFormat="1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0" fillId="0" borderId="0" xfId="0" applyFont="1"/>
    <xf numFmtId="0" fontId="10" fillId="3" borderId="1" xfId="0" applyFont="1" applyFill="1" applyBorder="1" applyAlignment="1">
      <alignment horizontal="center"/>
    </xf>
    <xf numFmtId="0" fontId="6" fillId="0" borderId="0" xfId="0" applyFont="1"/>
    <xf numFmtId="0" fontId="6" fillId="0" borderId="1" xfId="1" applyFont="1" applyBorder="1" applyAlignment="1">
      <alignment horizontal="center"/>
    </xf>
    <xf numFmtId="166" fontId="11" fillId="0" borderId="1" xfId="1" applyNumberFormat="1" applyFont="1" applyBorder="1" applyAlignment="1">
      <alignment horizontal="center"/>
    </xf>
    <xf numFmtId="0" fontId="1" fillId="0" borderId="1" xfId="1" applyFont="1" applyBorder="1" applyAlignment="1">
      <alignment horizontal="center"/>
    </xf>
    <xf numFmtId="0" fontId="6" fillId="0" borderId="1" xfId="1" applyFont="1" applyBorder="1"/>
    <xf numFmtId="164" fontId="11" fillId="0" borderId="1" xfId="1" applyNumberFormat="1" applyFont="1" applyBorder="1" applyAlignment="1">
      <alignment horizontal="center"/>
    </xf>
    <xf numFmtId="0" fontId="13" fillId="0" borderId="1" xfId="1" applyFont="1" applyBorder="1" applyAlignment="1">
      <alignment horizontal="center"/>
    </xf>
    <xf numFmtId="0" fontId="6" fillId="3" borderId="1" xfId="1" applyFont="1" applyFill="1" applyBorder="1"/>
    <xf numFmtId="0" fontId="6" fillId="0" borderId="0" xfId="1" applyFont="1"/>
    <xf numFmtId="2" fontId="1" fillId="0" borderId="1" xfId="1" applyNumberFormat="1" applyFont="1" applyBorder="1" applyAlignment="1">
      <alignment horizontal="center"/>
    </xf>
    <xf numFmtId="0" fontId="1" fillId="3" borderId="1" xfId="1" applyFont="1" applyFill="1" applyBorder="1"/>
    <xf numFmtId="164" fontId="1" fillId="0" borderId="1" xfId="1" applyNumberFormat="1" applyFont="1" applyBorder="1" applyAlignment="1">
      <alignment horizontal="center"/>
    </xf>
    <xf numFmtId="2" fontId="6" fillId="0" borderId="0" xfId="0" applyNumberFormat="1" applyFont="1"/>
    <xf numFmtId="164" fontId="6" fillId="0" borderId="0" xfId="0" applyNumberFormat="1" applyFont="1"/>
    <xf numFmtId="2" fontId="11" fillId="0" borderId="1" xfId="1" applyNumberFormat="1" applyFont="1" applyBorder="1" applyAlignment="1">
      <alignment horizontal="center"/>
    </xf>
    <xf numFmtId="0" fontId="12" fillId="0" borderId="1" xfId="1" applyFont="1" applyBorder="1" applyAlignment="1">
      <alignment horizontal="center"/>
    </xf>
    <xf numFmtId="0" fontId="0" fillId="4" borderId="0" xfId="0" applyFill="1"/>
    <xf numFmtId="0" fontId="1" fillId="5" borderId="4" xfId="1" applyFont="1" applyFill="1" applyBorder="1" applyAlignment="1">
      <alignment horizontal="center"/>
    </xf>
    <xf numFmtId="0" fontId="1" fillId="5" borderId="4" xfId="0" applyFont="1" applyFill="1" applyBorder="1" applyAlignment="1">
      <alignment horizontal="left" vertical="center"/>
    </xf>
    <xf numFmtId="0" fontId="6" fillId="5" borderId="1" xfId="1" applyFont="1" applyFill="1" applyBorder="1"/>
    <xf numFmtId="164" fontId="0" fillId="0" borderId="1" xfId="0" applyNumberFormat="1" applyBorder="1" applyAlignment="1">
      <alignment horizontal="center"/>
    </xf>
    <xf numFmtId="0" fontId="0" fillId="0" borderId="4" xfId="0" applyFill="1" applyBorder="1"/>
    <xf numFmtId="0" fontId="0" fillId="4" borderId="1" xfId="0" applyFill="1" applyBorder="1"/>
    <xf numFmtId="0" fontId="0" fillId="2" borderId="1" xfId="0" applyFill="1" applyBorder="1"/>
    <xf numFmtId="0" fontId="0" fillId="5" borderId="1" xfId="0" applyFill="1" applyBorder="1"/>
    <xf numFmtId="0" fontId="1" fillId="0" borderId="3" xfId="0" applyFont="1" applyBorder="1" applyAlignment="1">
      <alignment horizontal="center" vertical="center"/>
    </xf>
    <xf numFmtId="164" fontId="0" fillId="0" borderId="5" xfId="0" applyNumberForma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10" xfId="0" applyFont="1" applyFill="1" applyBorder="1" applyAlignment="1">
      <alignment horizontal="center" vertical="center"/>
    </xf>
    <xf numFmtId="0" fontId="0" fillId="0" borderId="11" xfId="0" applyFont="1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6" borderId="1" xfId="0" applyFill="1" applyBorder="1" applyAlignment="1">
      <alignment horizontal="center"/>
    </xf>
    <xf numFmtId="0" fontId="0" fillId="0" borderId="0" xfId="0" applyFont="1" applyFill="1" applyBorder="1"/>
    <xf numFmtId="167" fontId="11" fillId="0" borderId="1" xfId="1" applyNumberFormat="1" applyFont="1" applyBorder="1" applyAlignment="1">
      <alignment horizontal="center"/>
    </xf>
    <xf numFmtId="168" fontId="11" fillId="0" borderId="1" xfId="1" applyNumberFormat="1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0" fontId="0" fillId="0" borderId="8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6" xfId="0" applyBorder="1" applyAlignment="1">
      <alignment horizontal="left"/>
    </xf>
    <xf numFmtId="0" fontId="1" fillId="3" borderId="8" xfId="1" applyFont="1" applyFill="1" applyBorder="1" applyAlignment="1">
      <alignment horizontal="left"/>
    </xf>
    <xf numFmtId="0" fontId="1" fillId="3" borderId="6" xfId="1" applyFont="1" applyFill="1" applyBorder="1" applyAlignment="1">
      <alignment horizontal="left"/>
    </xf>
    <xf numFmtId="0" fontId="1" fillId="3" borderId="7" xfId="1" applyFont="1" applyFill="1" applyBorder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_rels/chart3.xml.rels><?xml version="1.0" encoding="UTF-8" standalone="yes"?>
<Relationships xmlns="http://schemas.openxmlformats.org/package/2006/relationships"><Relationship Id="rId1" Type="http://schemas.microsoft.com/office/2011/relationships/chartStyle" Target="style3.xml"/><Relationship Id="rId2" Type="http://schemas.microsoft.com/office/2011/relationships/chartColorStyle" Target="colors3.xml"/><Relationship Id="rId3" Type="http://schemas.openxmlformats.org/officeDocument/2006/relationships/chartUserShapes" Target="../drawings/drawing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Move Profile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Sheet1!$Z$1</c:f>
              <c:strCache>
                <c:ptCount val="1"/>
                <c:pt idx="0">
                  <c:v>Velocity (cm/s)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Sheet1!$Y$2:$Y$21</c:f>
              <c:numCache>
                <c:formatCode>General</c:formatCode>
                <c:ptCount val="20"/>
                <c:pt idx="0">
                  <c:v>0.0</c:v>
                </c:pt>
                <c:pt idx="1">
                  <c:v>4.5</c:v>
                </c:pt>
                <c:pt idx="2">
                  <c:v>9.0</c:v>
                </c:pt>
                <c:pt idx="3" formatCode="0.0">
                  <c:v>11.25</c:v>
                </c:pt>
                <c:pt idx="4" formatCode="0.0">
                  <c:v>13.5</c:v>
                </c:pt>
                <c:pt idx="5" formatCode="0.0">
                  <c:v>17.06666666666667</c:v>
                </c:pt>
                <c:pt idx="6" formatCode="0.0">
                  <c:v>20.63333333333333</c:v>
                </c:pt>
                <c:pt idx="7" formatCode="0.0">
                  <c:v>24.2</c:v>
                </c:pt>
                <c:pt idx="8" formatCode="0.0">
                  <c:v>27.9</c:v>
                </c:pt>
                <c:pt idx="9" formatCode="0.0">
                  <c:v>31.6</c:v>
                </c:pt>
                <c:pt idx="10" formatCode="0.0">
                  <c:v>35.3</c:v>
                </c:pt>
                <c:pt idx="11" formatCode="0.0">
                  <c:v>36.8</c:v>
                </c:pt>
                <c:pt idx="12" formatCode="0.0">
                  <c:v>38.3</c:v>
                </c:pt>
              </c:numCache>
            </c:numRef>
          </c:cat>
          <c:val>
            <c:numRef>
              <c:f>Sheet1!$Z$2:$Z$21</c:f>
              <c:numCache>
                <c:formatCode>General</c:formatCode>
                <c:ptCount val="20"/>
                <c:pt idx="0">
                  <c:v>0.0</c:v>
                </c:pt>
                <c:pt idx="1">
                  <c:v>20.0</c:v>
                </c:pt>
                <c:pt idx="2">
                  <c:v>0.0</c:v>
                </c:pt>
                <c:pt idx="3">
                  <c:v>20.0</c:v>
                </c:pt>
                <c:pt idx="4">
                  <c:v>0.0</c:v>
                </c:pt>
                <c:pt idx="5">
                  <c:v>15.0</c:v>
                </c:pt>
                <c:pt idx="6">
                  <c:v>15.0</c:v>
                </c:pt>
                <c:pt idx="7">
                  <c:v>0.0</c:v>
                </c:pt>
                <c:pt idx="8">
                  <c:v>15.0</c:v>
                </c:pt>
                <c:pt idx="9">
                  <c:v>15.0</c:v>
                </c:pt>
                <c:pt idx="10">
                  <c:v>0.0</c:v>
                </c:pt>
                <c:pt idx="11">
                  <c:v>20.0</c:v>
                </c:pt>
                <c:pt idx="12">
                  <c:v>0.0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46C6-447C-9FE8-F9EF0035CE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23129984"/>
        <c:axId val="1511043376"/>
      </c:lineChart>
      <c:catAx>
        <c:axId val="15231299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1043376"/>
        <c:crosses val="autoZero"/>
        <c:auto val="1"/>
        <c:lblAlgn val="ctr"/>
        <c:lblOffset val="100"/>
        <c:noMultiLvlLbl val="0"/>
      </c:catAx>
      <c:valAx>
        <c:axId val="1511043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Velocity (cm/s)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31299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Move Profile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Sheet1!$Z$1</c:f>
              <c:strCache>
                <c:ptCount val="1"/>
                <c:pt idx="0">
                  <c:v>Velocity (cm/s)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Sheet1!$Y$2:$Y$14</c:f>
              <c:numCache>
                <c:formatCode>General</c:formatCode>
                <c:ptCount val="13"/>
                <c:pt idx="0">
                  <c:v>0.0</c:v>
                </c:pt>
                <c:pt idx="1">
                  <c:v>4.5</c:v>
                </c:pt>
                <c:pt idx="2">
                  <c:v>9.0</c:v>
                </c:pt>
                <c:pt idx="3" formatCode="0.0">
                  <c:v>11.25</c:v>
                </c:pt>
                <c:pt idx="4" formatCode="0.0">
                  <c:v>13.5</c:v>
                </c:pt>
                <c:pt idx="5" formatCode="0.0">
                  <c:v>17.06666666666667</c:v>
                </c:pt>
                <c:pt idx="6" formatCode="0.0">
                  <c:v>20.63333333333333</c:v>
                </c:pt>
                <c:pt idx="7" formatCode="0.0">
                  <c:v>24.2</c:v>
                </c:pt>
                <c:pt idx="8" formatCode="0.0">
                  <c:v>27.9</c:v>
                </c:pt>
                <c:pt idx="9" formatCode="0.0">
                  <c:v>31.6</c:v>
                </c:pt>
                <c:pt idx="10" formatCode="0.0">
                  <c:v>35.3</c:v>
                </c:pt>
                <c:pt idx="11" formatCode="0.0">
                  <c:v>36.8</c:v>
                </c:pt>
                <c:pt idx="12" formatCode="0.0">
                  <c:v>38.3</c:v>
                </c:pt>
              </c:numCache>
            </c:numRef>
          </c:cat>
          <c:val>
            <c:numRef>
              <c:f>Sheet1!$Z$2:$Z$14</c:f>
              <c:numCache>
                <c:formatCode>General</c:formatCode>
                <c:ptCount val="13"/>
                <c:pt idx="0">
                  <c:v>0.0</c:v>
                </c:pt>
                <c:pt idx="1">
                  <c:v>20.0</c:v>
                </c:pt>
                <c:pt idx="2">
                  <c:v>0.0</c:v>
                </c:pt>
                <c:pt idx="3">
                  <c:v>20.0</c:v>
                </c:pt>
                <c:pt idx="4">
                  <c:v>0.0</c:v>
                </c:pt>
                <c:pt idx="5">
                  <c:v>15.0</c:v>
                </c:pt>
                <c:pt idx="6">
                  <c:v>15.0</c:v>
                </c:pt>
                <c:pt idx="7">
                  <c:v>0.0</c:v>
                </c:pt>
                <c:pt idx="8">
                  <c:v>15.0</c:v>
                </c:pt>
                <c:pt idx="9">
                  <c:v>15.0</c:v>
                </c:pt>
                <c:pt idx="10">
                  <c:v>0.0</c:v>
                </c:pt>
                <c:pt idx="11">
                  <c:v>20.0</c:v>
                </c:pt>
                <c:pt idx="12">
                  <c:v>0.0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958D-4CD0-BFAF-E68F8A4A2E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22630384"/>
        <c:axId val="1522615376"/>
        <c:extLst xmlns:c16r2="http://schemas.microsoft.com/office/drawing/2015/06/chart"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 xmlns:c16r2="http://schemas.microsoft.com/office/drawing/2015/06/chart">
                      <c:ext uri="{02D57815-91ED-43cb-92C2-25804820EDAC}">
                        <c15:formulaRef>
                          <c15:sqref>Sheet1!$Y$1</c15:sqref>
                        </c15:formulaRef>
                      </c:ext>
                    </c:extLst>
                    <c:strCache>
                      <c:ptCount val="1"/>
                      <c:pt idx="0">
                        <c:v>Time (s)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6r2="http://schemas.microsoft.com/office/drawing/2015/06/chart">
                      <c:ext uri="{02D57815-91ED-43cb-92C2-25804820EDAC}">
                        <c15:formulaRef>
                          <c15:sqref>Sheet1!$Y$2:$Y$14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0.0</c:v>
                      </c:pt>
                      <c:pt idx="1">
                        <c:v>4.5</c:v>
                      </c:pt>
                      <c:pt idx="2">
                        <c:v>9.0</c:v>
                      </c:pt>
                      <c:pt idx="3" formatCode="0.0">
                        <c:v>11.25</c:v>
                      </c:pt>
                      <c:pt idx="4" formatCode="0.0">
                        <c:v>13.5</c:v>
                      </c:pt>
                      <c:pt idx="5" formatCode="0.0">
                        <c:v>17.06666666666667</c:v>
                      </c:pt>
                      <c:pt idx="6" formatCode="0.0">
                        <c:v>20.63333333333333</c:v>
                      </c:pt>
                      <c:pt idx="7" formatCode="0.0">
                        <c:v>24.2</c:v>
                      </c:pt>
                      <c:pt idx="8" formatCode="0.0">
                        <c:v>27.9</c:v>
                      </c:pt>
                      <c:pt idx="9" formatCode="0.0">
                        <c:v>31.6</c:v>
                      </c:pt>
                      <c:pt idx="10" formatCode="0.0">
                        <c:v>35.3</c:v>
                      </c:pt>
                      <c:pt idx="11" formatCode="0.0">
                        <c:v>36.8</c:v>
                      </c:pt>
                      <c:pt idx="12" formatCode="0.0">
                        <c:v>38.3</c:v>
                      </c:pt>
                    </c:numCache>
                  </c:numRef>
                </c:cat>
                <c:val>
                  <c:numRef>
                    <c:extLst xmlns:c16r2="http://schemas.microsoft.com/office/drawing/2015/06/chart">
                      <c:ext uri="{02D57815-91ED-43cb-92C2-25804820EDAC}">
                        <c15:formulaRef>
                          <c15:sqref>Sheet1!$Y$2:$Y$14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0.0</c:v>
                      </c:pt>
                      <c:pt idx="1">
                        <c:v>4.5</c:v>
                      </c:pt>
                      <c:pt idx="2">
                        <c:v>9.0</c:v>
                      </c:pt>
                      <c:pt idx="3" formatCode="0.0">
                        <c:v>11.25</c:v>
                      </c:pt>
                      <c:pt idx="4" formatCode="0.0">
                        <c:v>13.5</c:v>
                      </c:pt>
                      <c:pt idx="5" formatCode="0.0">
                        <c:v>17.06666666666667</c:v>
                      </c:pt>
                      <c:pt idx="6" formatCode="0.0">
                        <c:v>20.63333333333333</c:v>
                      </c:pt>
                      <c:pt idx="7" formatCode="0.0">
                        <c:v>24.2</c:v>
                      </c:pt>
                      <c:pt idx="8" formatCode="0.0">
                        <c:v>27.9</c:v>
                      </c:pt>
                      <c:pt idx="9" formatCode="0.0">
                        <c:v>31.6</c:v>
                      </c:pt>
                      <c:pt idx="10" formatCode="0.0">
                        <c:v>35.3</c:v>
                      </c:pt>
                      <c:pt idx="11" formatCode="0.0">
                        <c:v>36.8</c:v>
                      </c:pt>
                      <c:pt idx="12" formatCode="0.0">
                        <c:v>38.3</c:v>
                      </c:pt>
                    </c:numCache>
                  </c:numRef>
                </c:val>
                <c:smooth val="0"/>
                <c:extLst xmlns:c16r2="http://schemas.microsoft.com/office/drawing/2015/06/chart">
                  <c:ext xmlns:c16="http://schemas.microsoft.com/office/drawing/2014/chart" uri="{C3380CC4-5D6E-409C-BE32-E72D297353CC}">
                    <c16:uniqueId val="{00000000-958D-4CD0-BFAF-E68F8A4A2E30}"/>
                  </c:ext>
                </c:extLst>
              </c15:ser>
            </c15:filteredLineSeries>
          </c:ext>
        </c:extLst>
      </c:lineChart>
      <c:catAx>
        <c:axId val="15226303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(s)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2615376"/>
        <c:crosses val="autoZero"/>
        <c:auto val="1"/>
        <c:lblAlgn val="ctr"/>
        <c:lblOffset val="100"/>
        <c:noMultiLvlLbl val="0"/>
      </c:catAx>
      <c:valAx>
        <c:axId val="1522615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Velocity</a:t>
                </a:r>
                <a:r>
                  <a:rPr lang="en-US" baseline="0"/>
                  <a:t> (cm/s)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26303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Required Minimum Coefficient of Friction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9963447142941"/>
          <c:y val="0.130064313831174"/>
          <c:w val="0.643658141057264"/>
          <c:h val="0.710718916638318"/>
        </c:manualLayout>
      </c:layout>
      <c:scatterChart>
        <c:scatterStyle val="lineMarker"/>
        <c:varyColors val="0"/>
        <c:ser>
          <c:idx val="0"/>
          <c:order val="0"/>
          <c:tx>
            <c:strRef>
              <c:f>'Parts 1 and 2'!$I$3</c:f>
              <c:strCache>
                <c:ptCount val="1"/>
                <c:pt idx="0">
                  <c:v>mu_fwd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'Parts 1 and 2'!$H$35:$H$46</c:f>
              <c:numCache>
                <c:formatCode>General</c:formatCode>
                <c:ptCount val="12"/>
                <c:pt idx="0">
                  <c:v>0.02</c:v>
                </c:pt>
                <c:pt idx="1">
                  <c:v>0.03</c:v>
                </c:pt>
                <c:pt idx="2">
                  <c:v>0.04</c:v>
                </c:pt>
                <c:pt idx="3">
                  <c:v>0.05</c:v>
                </c:pt>
                <c:pt idx="4">
                  <c:v>0.06</c:v>
                </c:pt>
                <c:pt idx="5">
                  <c:v>0.07</c:v>
                </c:pt>
                <c:pt idx="6">
                  <c:v>0.07404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</c:numCache>
            </c:numRef>
          </c:xVal>
          <c:yVal>
            <c:numRef>
              <c:f>'Parts 1 and 2'!$I$35:$I$46</c:f>
              <c:numCache>
                <c:formatCode>0.00</c:formatCode>
                <c:ptCount val="12"/>
                <c:pt idx="0">
                  <c:v>27.80173954688864</c:v>
                </c:pt>
                <c:pt idx="1">
                  <c:v>2.629715669649881</c:v>
                </c:pt>
                <c:pt idx="2">
                  <c:v>1.380129811518713</c:v>
                </c:pt>
                <c:pt idx="3">
                  <c:v>0.935567644203639</c:v>
                </c:pt>
                <c:pt idx="4">
                  <c:v>0.707628910213669</c:v>
                </c:pt>
                <c:pt idx="5">
                  <c:v>0.568999641864298</c:v>
                </c:pt>
                <c:pt idx="6">
                  <c:v>0.527268296371893</c:v>
                </c:pt>
                <c:pt idx="7">
                  <c:v>0.475789311919079</c:v>
                </c:pt>
                <c:pt idx="8">
                  <c:v>0.408818893718939</c:v>
                </c:pt>
                <c:pt idx="9">
                  <c:v>0.358375261369018</c:v>
                </c:pt>
                <c:pt idx="10">
                  <c:v>0.31901269877863</c:v>
                </c:pt>
                <c:pt idx="11">
                  <c:v>0.287441255062771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502A-4FF4-ACC5-1468F25BDF34}"/>
            </c:ext>
          </c:extLst>
        </c:ser>
        <c:ser>
          <c:idx val="1"/>
          <c:order val="1"/>
          <c:tx>
            <c:strRef>
              <c:f>'Parts 1 and 2'!$J$3</c:f>
              <c:strCache>
                <c:ptCount val="1"/>
                <c:pt idx="0">
                  <c:v>mu_rwd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'Parts 1 and 2'!$H$35:$H$46</c:f>
              <c:numCache>
                <c:formatCode>General</c:formatCode>
                <c:ptCount val="12"/>
                <c:pt idx="0">
                  <c:v>0.02</c:v>
                </c:pt>
                <c:pt idx="1">
                  <c:v>0.03</c:v>
                </c:pt>
                <c:pt idx="2">
                  <c:v>0.04</c:v>
                </c:pt>
                <c:pt idx="3">
                  <c:v>0.05</c:v>
                </c:pt>
                <c:pt idx="4">
                  <c:v>0.06</c:v>
                </c:pt>
                <c:pt idx="5">
                  <c:v>0.07</c:v>
                </c:pt>
                <c:pt idx="6">
                  <c:v>0.07404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</c:numCache>
            </c:numRef>
          </c:xVal>
          <c:yVal>
            <c:numRef>
              <c:f>'Parts 1 and 2'!$J$35:$J$46</c:f>
              <c:numCache>
                <c:formatCode>0.00</c:formatCode>
                <c:ptCount val="12"/>
                <c:pt idx="0">
                  <c:v>0.309130129358268</c:v>
                </c:pt>
                <c:pt idx="1">
                  <c:v>0.345950928172873</c:v>
                </c:pt>
                <c:pt idx="2">
                  <c:v>0.392729308849537</c:v>
                </c:pt>
                <c:pt idx="3">
                  <c:v>0.454136150038667</c:v>
                </c:pt>
                <c:pt idx="4">
                  <c:v>0.538305106767102</c:v>
                </c:pt>
                <c:pt idx="5">
                  <c:v>0.660771585031792</c:v>
                </c:pt>
                <c:pt idx="6">
                  <c:v>0.727651128791209</c:v>
                </c:pt>
                <c:pt idx="7">
                  <c:v>0.855371998292225</c:v>
                </c:pt>
                <c:pt idx="8">
                  <c:v>1.212442006990037</c:v>
                </c:pt>
                <c:pt idx="9">
                  <c:v>2.081245838846906</c:v>
                </c:pt>
                <c:pt idx="10">
                  <c:v>7.343159359152428</c:v>
                </c:pt>
                <c:pt idx="11">
                  <c:v>-4.80494078313052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502A-4FF4-ACC5-1468F25BDF34}"/>
            </c:ext>
          </c:extLst>
        </c:ser>
        <c:ser>
          <c:idx val="2"/>
          <c:order val="2"/>
          <c:tx>
            <c:strRef>
              <c:f>'Parts 1 and 2'!$K$3</c:f>
              <c:strCache>
                <c:ptCount val="1"/>
                <c:pt idx="0">
                  <c:v>mu_awd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'Parts 1 and 2'!$H$35:$H$46</c:f>
              <c:numCache>
                <c:formatCode>General</c:formatCode>
                <c:ptCount val="12"/>
                <c:pt idx="0">
                  <c:v>0.02</c:v>
                </c:pt>
                <c:pt idx="1">
                  <c:v>0.03</c:v>
                </c:pt>
                <c:pt idx="2">
                  <c:v>0.04</c:v>
                </c:pt>
                <c:pt idx="3">
                  <c:v>0.05</c:v>
                </c:pt>
                <c:pt idx="4">
                  <c:v>0.06</c:v>
                </c:pt>
                <c:pt idx="5">
                  <c:v>0.07</c:v>
                </c:pt>
                <c:pt idx="6">
                  <c:v>0.07404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</c:numCache>
            </c:numRef>
          </c:xVal>
          <c:yVal>
            <c:numRef>
              <c:f>'Parts 1 and 2'!$K$35:$K$46</c:f>
              <c:numCache>
                <c:formatCode>0.00</c:formatCode>
                <c:ptCount val="12"/>
                <c:pt idx="0">
                  <c:v>0.30573068145866</c:v>
                </c:pt>
                <c:pt idx="1">
                  <c:v>0.30573068145866</c:v>
                </c:pt>
                <c:pt idx="2">
                  <c:v>0.30573068145866</c:v>
                </c:pt>
                <c:pt idx="3">
                  <c:v>0.30573068145866</c:v>
                </c:pt>
                <c:pt idx="4">
                  <c:v>0.30573068145866</c:v>
                </c:pt>
                <c:pt idx="5">
                  <c:v>0.30573068145866</c:v>
                </c:pt>
                <c:pt idx="6">
                  <c:v>0.30573068145866</c:v>
                </c:pt>
                <c:pt idx="7">
                  <c:v>0.30573068145866</c:v>
                </c:pt>
                <c:pt idx="8">
                  <c:v>0.30573068145866</c:v>
                </c:pt>
                <c:pt idx="9">
                  <c:v>0.30573068145866</c:v>
                </c:pt>
                <c:pt idx="10">
                  <c:v>0.30573068145866</c:v>
                </c:pt>
                <c:pt idx="11">
                  <c:v>0.30573068145866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502A-4FF4-ACC5-1468F25BDF34}"/>
            </c:ext>
          </c:extLst>
        </c:ser>
        <c:ser>
          <c:idx val="3"/>
          <c:order val="3"/>
          <c:tx>
            <c:v>mu_fwd=mu_rwd</c:v>
          </c:tx>
          <c:spPr>
            <a:ln w="44450" cap="rnd">
              <a:noFill/>
              <a:round/>
            </a:ln>
            <a:effectLst/>
          </c:spPr>
          <c:marker>
            <c:symbol val="circle"/>
            <c:size val="6"/>
            <c:spPr>
              <a:noFill/>
              <a:ln w="19050">
                <a:solidFill>
                  <a:srgbClr val="92D050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0.0586365526796806"/>
                  <c:y val="-0.0610849576041548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1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3-502A-4FF4-ACC5-1468F25BDF34}"/>
                </c:ex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  <c15:layout/>
                </c:ext>
              </c:extLst>
            </c:dLbl>
            <c:spPr>
              <a:solidFill>
                <a:schemeClr val="lt1"/>
              </a:solidFill>
              <a:ln>
                <a:solidFill>
                  <a:schemeClr val="dk1">
                    <a:lumMod val="25000"/>
                    <a:lumOff val="75000"/>
                  </a:scheme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'Parts 1 and 2'!$H$28</c:f>
              <c:numCache>
                <c:formatCode>0.000</c:formatCode>
                <c:ptCount val="1"/>
                <c:pt idx="0">
                  <c:v>0.0664553022504369</c:v>
                </c:pt>
              </c:numCache>
            </c:numRef>
          </c:xVal>
          <c:yVal>
            <c:numRef>
              <c:f>'Parts 1 and 2'!$I$28</c:f>
              <c:numCache>
                <c:formatCode>0.00</c:formatCode>
                <c:ptCount val="1"/>
                <c:pt idx="0">
                  <c:v>0.611461362917321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4-502A-4FF4-ACC5-1468F25BDF34}"/>
            </c:ext>
          </c:extLst>
        </c:ser>
        <c:ser>
          <c:idx val="4"/>
          <c:order val="4"/>
          <c:tx>
            <c:strRef>
              <c:f>'Parts 1 and 2'!$G$36</c:f>
              <c:strCache>
                <c:ptCount val="1"/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22225">
                <a:solidFill>
                  <a:srgbClr val="00B050">
                    <a:alpha val="96000"/>
                  </a:srgb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0.0441841074461988"/>
                  <c:y val="-0.0695404247227739"/>
                </c:manualLayout>
              </c:layout>
              <c:dLblPos val="r"/>
              <c:showLegendKey val="0"/>
              <c:showVal val="1"/>
              <c:showCatName val="1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5-502A-4FF4-ACC5-1468F25BDF34}"/>
                </c:ex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'Parts 1 and 2'!$H$36</c:f>
              <c:numCache>
                <c:formatCode>General</c:formatCode>
                <c:ptCount val="1"/>
                <c:pt idx="0">
                  <c:v>0.03</c:v>
                </c:pt>
              </c:numCache>
            </c:numRef>
          </c:xVal>
          <c:yVal>
            <c:numRef>
              <c:f>'Parts 1 and 2'!$J$36</c:f>
              <c:numCache>
                <c:formatCode>0.00</c:formatCode>
                <c:ptCount val="1"/>
                <c:pt idx="0">
                  <c:v>0.345950928172873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6-502A-4FF4-ACC5-1468F25BDF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95072608"/>
        <c:axId val="1494816064"/>
      </c:scatterChart>
      <c:valAx>
        <c:axId val="1495072608"/>
        <c:scaling>
          <c:orientation val="minMax"/>
          <c:max val="0.12"/>
          <c:min val="0.0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Horizontal Distance of Center of Mass from Rear Wheels (m)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4816064"/>
        <c:crosses val="autoZero"/>
        <c:crossBetween val="midCat"/>
      </c:valAx>
      <c:valAx>
        <c:axId val="1494816064"/>
        <c:scaling>
          <c:orientation val="minMax"/>
          <c:max val="3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Coefficient of Friction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50726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63733384840239"/>
          <c:y val="0.401433621121038"/>
          <c:w val="0.234162827530331"/>
          <c:h val="0.28537401260783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387349</xdr:colOff>
      <xdr:row>9</xdr:row>
      <xdr:rowOff>139700</xdr:rowOff>
    </xdr:from>
    <xdr:to>
      <xdr:col>22</xdr:col>
      <xdr:colOff>71967</xdr:colOff>
      <xdr:row>25</xdr:row>
      <xdr:rowOff>88900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A507A8D6-0B8D-4CF4-8FBA-DF492CFB32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24</xdr:col>
      <xdr:colOff>556684</xdr:colOff>
      <xdr:row>17</xdr:row>
      <xdr:rowOff>129117</xdr:rowOff>
    </xdr:from>
    <xdr:to>
      <xdr:col>31</xdr:col>
      <xdr:colOff>383118</xdr:colOff>
      <xdr:row>32</xdr:row>
      <xdr:rowOff>116417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xmlns="" id="{6AD7BD11-E59A-4B5B-A72A-128D8DAC0BE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554568</xdr:colOff>
      <xdr:row>2</xdr:row>
      <xdr:rowOff>126998</xdr:rowOff>
    </xdr:from>
    <xdr:to>
      <xdr:col>21</xdr:col>
      <xdr:colOff>156632</xdr:colOff>
      <xdr:row>21</xdr:row>
      <xdr:rowOff>143932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477C1783-E10F-4F28-A18F-7E5E477D92B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0.2426</cdr:x>
      <cdr:y>0.16131</cdr:y>
    </cdr:from>
    <cdr:to>
      <cdr:x>0.49327</cdr:x>
      <cdr:y>0.27937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xmlns="" id="{34A610B8-0CEC-4741-94F3-7A6B05780C6A}"/>
            </a:ext>
          </a:extLst>
        </cdr:cNvPr>
        <cdr:cNvSpPr txBox="1"/>
      </cdr:nvSpPr>
      <cdr:spPr>
        <a:xfrm xmlns:a="http://schemas.openxmlformats.org/drawingml/2006/main">
          <a:off x="1335618" y="584201"/>
          <a:ext cx="1380067" cy="42756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0.23558</cdr:x>
      <cdr:y>0.11388</cdr:y>
    </cdr:from>
    <cdr:to>
      <cdr:x>0.49855</cdr:x>
      <cdr:y>0.25766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xmlns="" id="{6E638E13-3866-44B5-A93E-CD52CA14B336}"/>
            </a:ext>
          </a:extLst>
        </cdr:cNvPr>
        <cdr:cNvSpPr txBox="1"/>
      </cdr:nvSpPr>
      <cdr:spPr>
        <a:xfrm xmlns:a="http://schemas.openxmlformats.org/drawingml/2006/main">
          <a:off x="1408158" y="427624"/>
          <a:ext cx="1571927" cy="53987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/>
            <a:t>Wheelbase, L (m) = 0.11</a:t>
          </a:r>
        </a:p>
        <a:p xmlns:a="http://schemas.openxmlformats.org/drawingml/2006/main">
          <a:r>
            <a:rPr lang="en-US" sz="900"/>
            <a:t>CoM Height, hc (m) = 0.06</a:t>
          </a:r>
        </a:p>
        <a:p xmlns:a="http://schemas.openxmlformats.org/drawingml/2006/main">
          <a:r>
            <a:rPr lang="en-US" sz="900"/>
            <a:t>Incline Angle, </a:t>
          </a:r>
          <a:r>
            <a:rPr lang="el-GR" sz="900"/>
            <a:t>ϴ</a:t>
          </a:r>
          <a:r>
            <a:rPr lang="en-US" sz="900"/>
            <a:t> =</a:t>
          </a:r>
          <a:r>
            <a:rPr lang="en-US" sz="900" baseline="0"/>
            <a:t> 17.00</a:t>
          </a:r>
          <a:endParaRPr lang="en-US" sz="900"/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Relationship Id="rId2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0"/>
  <sheetViews>
    <sheetView topLeftCell="J1" workbookViewId="0">
      <selection activeCell="F21" sqref="F21"/>
    </sheetView>
  </sheetViews>
  <sheetFormatPr baseColWidth="10" defaultColWidth="8.83203125" defaultRowHeight="15" x14ac:dyDescent="0.2"/>
  <cols>
    <col min="1" max="1" width="17.33203125" bestFit="1" customWidth="1"/>
    <col min="2" max="2" width="9.6640625" customWidth="1"/>
    <col min="3" max="3" width="9.1640625" customWidth="1"/>
    <col min="5" max="5" width="21" bestFit="1" customWidth="1"/>
    <col min="7" max="7" width="25.6640625" bestFit="1" customWidth="1"/>
    <col min="8" max="8" width="10.1640625" bestFit="1" customWidth="1"/>
    <col min="10" max="10" width="13.83203125" bestFit="1" customWidth="1"/>
    <col min="12" max="12" width="12" bestFit="1" customWidth="1"/>
    <col min="13" max="13" width="14.6640625" customWidth="1"/>
    <col min="14" max="14" width="18.33203125" customWidth="1"/>
    <col min="18" max="18" width="13.33203125" customWidth="1"/>
    <col min="19" max="19" width="11.33203125" customWidth="1"/>
    <col min="20" max="20" width="14.1640625" customWidth="1"/>
    <col min="21" max="21" width="11" customWidth="1"/>
    <col min="22" max="22" width="10.6640625" customWidth="1"/>
    <col min="24" max="24" width="10.6640625" style="12" customWidth="1"/>
    <col min="29" max="29" width="12.33203125" customWidth="1"/>
    <col min="32" max="32" width="9.83203125" bestFit="1" customWidth="1"/>
    <col min="33" max="33" width="10.6640625" bestFit="1" customWidth="1"/>
    <col min="35" max="35" width="12" bestFit="1" customWidth="1"/>
    <col min="37" max="37" width="9.33203125" bestFit="1" customWidth="1"/>
    <col min="39" max="39" width="9.33203125" bestFit="1" customWidth="1"/>
    <col min="42" max="42" width="24.5" bestFit="1" customWidth="1"/>
    <col min="44" max="44" width="10.1640625" bestFit="1" customWidth="1"/>
    <col min="45" max="45" width="12" bestFit="1" customWidth="1"/>
    <col min="46" max="46" width="10.33203125" bestFit="1" customWidth="1"/>
    <col min="49" max="49" width="13.1640625" bestFit="1" customWidth="1"/>
    <col min="50" max="50" width="16.1640625" bestFit="1" customWidth="1"/>
    <col min="52" max="52" width="10.6640625" bestFit="1" customWidth="1"/>
    <col min="53" max="53" width="12.1640625" bestFit="1" customWidth="1"/>
  </cols>
  <sheetData>
    <row r="1" spans="1:53" ht="32" x14ac:dyDescent="0.25">
      <c r="A1" s="1" t="s">
        <v>0</v>
      </c>
      <c r="B1" s="1" t="s">
        <v>1</v>
      </c>
      <c r="C1" s="1" t="s">
        <v>2</v>
      </c>
      <c r="D1" s="1" t="s">
        <v>3</v>
      </c>
      <c r="E1" s="66" t="s">
        <v>192</v>
      </c>
      <c r="G1" s="23" t="s">
        <v>15</v>
      </c>
      <c r="H1" s="23" t="s">
        <v>61</v>
      </c>
      <c r="I1" s="23" t="s">
        <v>25</v>
      </c>
      <c r="L1" s="6" t="s">
        <v>30</v>
      </c>
      <c r="M1" s="7" t="s">
        <v>31</v>
      </c>
      <c r="N1" s="7" t="s">
        <v>32</v>
      </c>
      <c r="Q1" s="9" t="s">
        <v>30</v>
      </c>
      <c r="R1" s="9" t="s">
        <v>35</v>
      </c>
      <c r="S1" s="9" t="s">
        <v>36</v>
      </c>
      <c r="T1" s="9" t="s">
        <v>37</v>
      </c>
      <c r="U1" s="9" t="s">
        <v>38</v>
      </c>
      <c r="V1" s="9" t="s">
        <v>39</v>
      </c>
      <c r="Y1" s="11" t="s">
        <v>42</v>
      </c>
      <c r="Z1" s="11" t="s">
        <v>43</v>
      </c>
      <c r="AC1" s="14" t="s">
        <v>30</v>
      </c>
      <c r="AD1" s="14" t="s">
        <v>49</v>
      </c>
      <c r="AE1" s="14" t="s">
        <v>50</v>
      </c>
      <c r="AF1" s="14" t="s">
        <v>51</v>
      </c>
      <c r="AG1" s="14" t="s">
        <v>52</v>
      </c>
      <c r="AI1" s="14" t="s">
        <v>30</v>
      </c>
      <c r="AJ1" s="14" t="s">
        <v>53</v>
      </c>
      <c r="AK1" s="14" t="s">
        <v>54</v>
      </c>
      <c r="AL1" s="14" t="s">
        <v>55</v>
      </c>
      <c r="AM1" s="14" t="s">
        <v>56</v>
      </c>
      <c r="AN1" s="17" t="s">
        <v>57</v>
      </c>
    </row>
    <row r="2" spans="1:53" ht="16" thickBot="1" x14ac:dyDescent="0.25">
      <c r="A2" s="2" t="s">
        <v>6</v>
      </c>
      <c r="B2" s="2">
        <v>20</v>
      </c>
      <c r="C2" s="2">
        <v>4</v>
      </c>
      <c r="D2" s="2">
        <f>B2*C2</f>
        <v>80</v>
      </c>
      <c r="E2" s="20"/>
      <c r="G2" s="82" t="s">
        <v>16</v>
      </c>
      <c r="H2" s="82">
        <v>0.23699999999999999</v>
      </c>
      <c r="I2" s="82" t="s">
        <v>26</v>
      </c>
      <c r="J2" s="92" t="s">
        <v>198</v>
      </c>
      <c r="L2" s="2">
        <v>1</v>
      </c>
      <c r="M2" s="2">
        <v>90</v>
      </c>
      <c r="N2" s="2">
        <f>M2/M10</f>
        <v>9</v>
      </c>
      <c r="Q2" s="4">
        <v>1</v>
      </c>
      <c r="R2" s="4" t="s">
        <v>41</v>
      </c>
      <c r="S2" s="4">
        <f>V2/2</f>
        <v>4.5</v>
      </c>
      <c r="T2" s="4">
        <f>0</f>
        <v>0</v>
      </c>
      <c r="U2" s="4">
        <f>S2</f>
        <v>4.5</v>
      </c>
      <c r="V2" s="4">
        <f>N2</f>
        <v>9</v>
      </c>
      <c r="X2" s="91" t="s">
        <v>44</v>
      </c>
      <c r="Y2">
        <v>0</v>
      </c>
      <c r="Z2">
        <v>0</v>
      </c>
      <c r="AC2" s="13">
        <v>1</v>
      </c>
      <c r="AD2" s="13">
        <f>M2/100</f>
        <v>0.9</v>
      </c>
      <c r="AE2" s="13">
        <f>N2</f>
        <v>9</v>
      </c>
      <c r="AF2" s="13">
        <f>2*M10/100</f>
        <v>0.2</v>
      </c>
      <c r="AG2" s="15">
        <f>2*AD2/AE2</f>
        <v>0.2</v>
      </c>
      <c r="AI2" s="13">
        <v>1</v>
      </c>
      <c r="AJ2" s="15">
        <f>D15/1000*AG2</f>
        <v>0.35765400000000003</v>
      </c>
      <c r="AK2" s="15">
        <f>D15/1000*9.81*SIN(0)</f>
        <v>0</v>
      </c>
      <c r="AL2" s="15">
        <f>(H10)*D15/1000*9.81*COS(0)</f>
        <v>6.45332336612252</v>
      </c>
      <c r="AM2" s="15">
        <f>(H11)*D15/1000*9.81*COS(0)</f>
        <v>5.2628786100000005E-2</v>
      </c>
      <c r="AN2" s="16">
        <f>SUM(AJ2:AM2)</f>
        <v>6.8636061522225198</v>
      </c>
      <c r="AP2" s="64" t="s">
        <v>227</v>
      </c>
      <c r="AR2" s="86" t="s">
        <v>200</v>
      </c>
      <c r="AS2" s="86"/>
      <c r="AT2" s="86"/>
      <c r="AU2" s="86" t="s">
        <v>212</v>
      </c>
      <c r="AV2" s="86"/>
      <c r="AW2" s="86"/>
      <c r="AX2" s="86"/>
      <c r="AY2" s="86"/>
      <c r="AZ2" s="86"/>
      <c r="BA2" s="73" t="s">
        <v>215</v>
      </c>
    </row>
    <row r="3" spans="1:53" ht="17" x14ac:dyDescent="0.2">
      <c r="A3" s="2" t="s">
        <v>9</v>
      </c>
      <c r="B3" s="2">
        <v>96.77</v>
      </c>
      <c r="C3" s="2">
        <v>4</v>
      </c>
      <c r="D3" s="2">
        <f t="shared" ref="D3:D13" si="0">B3*C3</f>
        <v>387.08</v>
      </c>
      <c r="G3" s="82" t="s">
        <v>17</v>
      </c>
      <c r="H3" s="82">
        <v>0.21099999999999999</v>
      </c>
      <c r="I3" s="82" t="s">
        <v>26</v>
      </c>
      <c r="J3" s="92"/>
      <c r="L3" s="2">
        <v>2</v>
      </c>
      <c r="M3" s="2">
        <v>45</v>
      </c>
      <c r="N3" s="2">
        <f>M3/M10</f>
        <v>4.5</v>
      </c>
      <c r="Q3" s="4">
        <v>2</v>
      </c>
      <c r="R3" s="4" t="s">
        <v>41</v>
      </c>
      <c r="S3" s="10">
        <f>V3/2</f>
        <v>2.25</v>
      </c>
      <c r="T3" s="10">
        <f>0</f>
        <v>0</v>
      </c>
      <c r="U3" s="10">
        <f t="shared" ref="U3:U6" si="1">S3</f>
        <v>2.25</v>
      </c>
      <c r="V3" s="4">
        <f t="shared" ref="V3:V6" si="2">N3</f>
        <v>4.5</v>
      </c>
      <c r="X3" s="91"/>
      <c r="Y3">
        <f>S2</f>
        <v>4.5</v>
      </c>
      <c r="Z3">
        <f>2*M10</f>
        <v>20</v>
      </c>
      <c r="AC3" s="13">
        <v>2</v>
      </c>
      <c r="AD3" s="13">
        <f>M3/100</f>
        <v>0.45</v>
      </c>
      <c r="AE3" s="13">
        <f>N3</f>
        <v>4.5</v>
      </c>
      <c r="AF3" s="13">
        <f>2*M10/100</f>
        <v>0.2</v>
      </c>
      <c r="AG3" s="15">
        <f>2*AD3/AE3</f>
        <v>0.2</v>
      </c>
      <c r="AI3" s="13">
        <v>2</v>
      </c>
      <c r="AJ3" s="15">
        <f>D15/1000*AG3</f>
        <v>0.35765400000000003</v>
      </c>
      <c r="AK3" s="15">
        <f>D15/1000*9.81*SIN(0)</f>
        <v>0</v>
      </c>
      <c r="AL3" s="15">
        <f>(H10)*D15/1000*9.81*COS(0)</f>
        <v>6.45332336612252</v>
      </c>
      <c r="AM3" s="15">
        <f>(H11)*D15/1000*9.81*COS(0)</f>
        <v>5.2628786100000005E-2</v>
      </c>
      <c r="AN3" s="16">
        <f>SUM(AJ3:AM3)</f>
        <v>6.8636061522225198</v>
      </c>
      <c r="AR3" s="75" t="s">
        <v>199</v>
      </c>
      <c r="AS3" s="76" t="s">
        <v>202</v>
      </c>
      <c r="AT3" s="76" t="s">
        <v>203</v>
      </c>
      <c r="AU3" s="76" t="s">
        <v>216</v>
      </c>
      <c r="AV3" s="76" t="s">
        <v>217</v>
      </c>
      <c r="AW3" s="76" t="s">
        <v>218</v>
      </c>
      <c r="AX3" s="76" t="s">
        <v>219</v>
      </c>
      <c r="AY3" s="77" t="s">
        <v>220</v>
      </c>
      <c r="AZ3" s="77" t="s">
        <v>211</v>
      </c>
      <c r="BA3" s="78" t="s">
        <v>213</v>
      </c>
    </row>
    <row r="4" spans="1:53" ht="16" thickBot="1" x14ac:dyDescent="0.25">
      <c r="A4" s="2" t="s">
        <v>4</v>
      </c>
      <c r="B4" s="2">
        <v>50</v>
      </c>
      <c r="C4" s="2">
        <v>2</v>
      </c>
      <c r="D4" s="2">
        <f t="shared" si="0"/>
        <v>100</v>
      </c>
      <c r="E4" s="20"/>
      <c r="G4" s="82" t="s">
        <v>18</v>
      </c>
      <c r="H4" s="82">
        <f>0.093+0.04</f>
        <v>0.13300000000000001</v>
      </c>
      <c r="I4" s="82" t="s">
        <v>26</v>
      </c>
      <c r="J4" s="92"/>
      <c r="L4" s="2">
        <v>3</v>
      </c>
      <c r="M4" s="2">
        <v>107</v>
      </c>
      <c r="N4" s="2">
        <f>M4/M10</f>
        <v>10.7</v>
      </c>
      <c r="Q4" s="4">
        <v>3</v>
      </c>
      <c r="R4" s="4" t="s">
        <v>40</v>
      </c>
      <c r="S4" s="4">
        <f>V4/3</f>
        <v>3.5666666666666664</v>
      </c>
      <c r="T4" s="4">
        <f>V4/3</f>
        <v>3.5666666666666664</v>
      </c>
      <c r="U4" s="4">
        <f>V4/3</f>
        <v>3.5666666666666664</v>
      </c>
      <c r="V4" s="4">
        <f t="shared" si="2"/>
        <v>10.7</v>
      </c>
      <c r="X4" s="91"/>
      <c r="Y4">
        <v>9</v>
      </c>
      <c r="Z4">
        <v>0</v>
      </c>
      <c r="AC4" s="13">
        <v>3</v>
      </c>
      <c r="AD4" s="13">
        <f>M4/100</f>
        <v>1.07</v>
      </c>
      <c r="AE4" s="13">
        <f>N4</f>
        <v>10.7</v>
      </c>
      <c r="AF4" s="13">
        <f>1.5*M10/100</f>
        <v>0.15</v>
      </c>
      <c r="AG4" s="15">
        <f>4.5*AF4/AE4^2</f>
        <v>5.8957114158441791E-3</v>
      </c>
      <c r="AI4" s="13">
        <v>3</v>
      </c>
      <c r="AJ4" s="15">
        <f>D15/1000*AG4</f>
        <v>1.0543123853611671E-2</v>
      </c>
      <c r="AK4" s="15">
        <f>D15/1000*9.81*SIN(0)</f>
        <v>0</v>
      </c>
      <c r="AL4" s="15">
        <f>(H10)*D15/1000*9.81*COS(0)</f>
        <v>6.45332336612252</v>
      </c>
      <c r="AM4" s="15">
        <f>(H11)*D15/1000*9.81*COS(0)</f>
        <v>5.2628786100000005E-2</v>
      </c>
      <c r="AN4" s="16">
        <f t="shared" ref="AN4:AN6" si="3">SUM(AJ4:AM4)</f>
        <v>6.5164952760761317</v>
      </c>
      <c r="AR4" s="79" t="s">
        <v>201</v>
      </c>
      <c r="AS4" s="80" t="s">
        <v>149</v>
      </c>
      <c r="AT4" s="80" t="s">
        <v>204</v>
      </c>
      <c r="AU4" s="80" t="s">
        <v>205</v>
      </c>
      <c r="AV4" s="80" t="s">
        <v>206</v>
      </c>
      <c r="AW4" s="80" t="s">
        <v>207</v>
      </c>
      <c r="AX4" s="80" t="s">
        <v>208</v>
      </c>
      <c r="AY4" s="80" t="s">
        <v>209</v>
      </c>
      <c r="AZ4" s="80" t="s">
        <v>210</v>
      </c>
      <c r="BA4" s="81" t="s">
        <v>214</v>
      </c>
    </row>
    <row r="5" spans="1:53" x14ac:dyDescent="0.2">
      <c r="A5" s="2" t="s">
        <v>8</v>
      </c>
      <c r="B5" s="2">
        <v>25</v>
      </c>
      <c r="C5" s="2">
        <v>1</v>
      </c>
      <c r="D5" s="2">
        <f t="shared" si="0"/>
        <v>25</v>
      </c>
      <c r="G5" s="82" t="s">
        <v>19</v>
      </c>
      <c r="H5" s="82">
        <v>3.3000000000000002E-2</v>
      </c>
      <c r="I5" s="82" t="s">
        <v>26</v>
      </c>
      <c r="J5" s="92"/>
      <c r="L5" s="2">
        <v>4</v>
      </c>
      <c r="M5" s="2">
        <v>111</v>
      </c>
      <c r="N5" s="2">
        <f>M5/M10</f>
        <v>11.1</v>
      </c>
      <c r="Q5" s="4">
        <v>4</v>
      </c>
      <c r="R5" s="4" t="s">
        <v>40</v>
      </c>
      <c r="S5" s="4">
        <f>V5/3</f>
        <v>3.6999999999999997</v>
      </c>
      <c r="T5" s="4">
        <f t="shared" ref="T5" si="4">S5</f>
        <v>3.6999999999999997</v>
      </c>
      <c r="U5" s="4">
        <f t="shared" si="1"/>
        <v>3.6999999999999997</v>
      </c>
      <c r="V5" s="4">
        <f t="shared" si="2"/>
        <v>11.1</v>
      </c>
      <c r="X5" s="91"/>
      <c r="Y5" s="8">
        <f>9+S3</f>
        <v>11.25</v>
      </c>
      <c r="Z5">
        <f>2*M10</f>
        <v>20</v>
      </c>
      <c r="AC5" s="13">
        <v>4</v>
      </c>
      <c r="AD5" s="13">
        <f>M5/100</f>
        <v>1.1100000000000001</v>
      </c>
      <c r="AE5" s="13">
        <f>N5</f>
        <v>11.1</v>
      </c>
      <c r="AF5" s="13">
        <f>1.5*M10/100</f>
        <v>0.15</v>
      </c>
      <c r="AG5" s="15">
        <f>4.5*AF5/AE5^2</f>
        <v>5.4784514243973702E-3</v>
      </c>
      <c r="AI5" s="13">
        <v>4</v>
      </c>
      <c r="AJ5" s="15">
        <f>D15/1000*AG5</f>
        <v>9.7969503287070846E-3</v>
      </c>
      <c r="AK5" s="15">
        <f>D15/1000*9.81*SIN(17*PI()/180)</f>
        <v>5.1290559698484248</v>
      </c>
      <c r="AL5" s="15">
        <f>(H10)*D15/1000*9.81*COS(17*PI()/180)</f>
        <v>6.1713438267903511</v>
      </c>
      <c r="AM5" s="15">
        <f>(H11)*D15/1000*9.81*COS(17*PI()/180)</f>
        <v>5.0329158447991296E-2</v>
      </c>
      <c r="AN5" s="16">
        <f t="shared" si="3"/>
        <v>11.360525905415475</v>
      </c>
      <c r="AR5" s="24">
        <v>1</v>
      </c>
      <c r="AS5" s="24">
        <f>AF2</f>
        <v>0.2</v>
      </c>
      <c r="AT5" s="74">
        <f>AG2</f>
        <v>0.2</v>
      </c>
      <c r="AU5" s="74">
        <f>AJ2</f>
        <v>0.35765400000000003</v>
      </c>
      <c r="AV5" s="74">
        <f t="shared" ref="AV5:AY9" si="5">AK2</f>
        <v>0</v>
      </c>
      <c r="AW5" s="74">
        <f t="shared" si="5"/>
        <v>6.45332336612252</v>
      </c>
      <c r="AX5" s="74">
        <f t="shared" si="5"/>
        <v>5.2628786100000005E-2</v>
      </c>
      <c r="AY5" s="74">
        <f t="shared" si="5"/>
        <v>6.8636061522225198</v>
      </c>
      <c r="AZ5" s="74">
        <f>AJ14</f>
        <v>1.9610303292064344</v>
      </c>
      <c r="BA5" s="74">
        <f>AK24</f>
        <v>0.29415454938096514</v>
      </c>
    </row>
    <row r="6" spans="1:53" x14ac:dyDescent="0.2">
      <c r="A6" s="2" t="s">
        <v>14</v>
      </c>
      <c r="B6" s="2">
        <v>10</v>
      </c>
      <c r="C6" s="2">
        <v>1</v>
      </c>
      <c r="D6" s="2">
        <f t="shared" si="0"/>
        <v>10</v>
      </c>
      <c r="G6" s="82" t="s">
        <v>20</v>
      </c>
      <c r="H6" s="82">
        <v>0.06</v>
      </c>
      <c r="I6" s="82" t="s">
        <v>26</v>
      </c>
      <c r="J6" s="92"/>
      <c r="L6" s="2">
        <v>5</v>
      </c>
      <c r="M6" s="2">
        <v>30</v>
      </c>
      <c r="N6" s="2">
        <f>M6/M10</f>
        <v>3</v>
      </c>
      <c r="Q6" s="4">
        <v>5</v>
      </c>
      <c r="R6" s="4" t="s">
        <v>41</v>
      </c>
      <c r="S6" s="4">
        <f>V6/2</f>
        <v>1.5</v>
      </c>
      <c r="T6" s="4">
        <f>0</f>
        <v>0</v>
      </c>
      <c r="U6" s="4">
        <f t="shared" si="1"/>
        <v>1.5</v>
      </c>
      <c r="V6" s="4">
        <f t="shared" si="2"/>
        <v>3</v>
      </c>
      <c r="X6" s="87" t="s">
        <v>45</v>
      </c>
      <c r="Y6" s="8">
        <f>Y5+S3</f>
        <v>13.5</v>
      </c>
      <c r="Z6">
        <f>0</f>
        <v>0</v>
      </c>
      <c r="AC6" s="13">
        <v>5</v>
      </c>
      <c r="AD6" s="13">
        <f>M6/100</f>
        <v>0.3</v>
      </c>
      <c r="AE6" s="13">
        <f>N6</f>
        <v>3</v>
      </c>
      <c r="AF6" s="13">
        <f>2*M10/100</f>
        <v>0.2</v>
      </c>
      <c r="AG6" s="15">
        <f>2*AD6/AE6</f>
        <v>0.19999999999999998</v>
      </c>
      <c r="AI6" s="13">
        <v>5</v>
      </c>
      <c r="AJ6" s="15">
        <f>D15/1000*AG6</f>
        <v>0.35765399999999997</v>
      </c>
      <c r="AK6" s="15">
        <f>D15/1000*9.81*SIN(0)</f>
        <v>0</v>
      </c>
      <c r="AL6" s="15">
        <f>(H10)*D15/1000*9.81*COS(0)</f>
        <v>6.45332336612252</v>
      </c>
      <c r="AM6" s="15">
        <f>(H11)*D15/1000*9.81*COS(0)</f>
        <v>5.2628786100000005E-2</v>
      </c>
      <c r="AN6" s="16">
        <f t="shared" si="3"/>
        <v>6.8636061522225198</v>
      </c>
      <c r="AR6" s="25">
        <v>2</v>
      </c>
      <c r="AS6" s="25">
        <f t="shared" ref="AS6:AS9" si="6">AF3</f>
        <v>0.2</v>
      </c>
      <c r="AT6" s="15">
        <f t="shared" ref="AT6:AT9" si="7">AG3</f>
        <v>0.2</v>
      </c>
      <c r="AU6" s="15">
        <f t="shared" ref="AU6:AU9" si="8">AJ3</f>
        <v>0.35765400000000003</v>
      </c>
      <c r="AV6" s="15">
        <f t="shared" si="5"/>
        <v>0</v>
      </c>
      <c r="AW6" s="15">
        <f t="shared" si="5"/>
        <v>6.45332336612252</v>
      </c>
      <c r="AX6" s="15">
        <f t="shared" si="5"/>
        <v>5.2628786100000005E-2</v>
      </c>
      <c r="AY6" s="15">
        <f t="shared" si="5"/>
        <v>6.8636061522225198</v>
      </c>
      <c r="AZ6" s="15">
        <f t="shared" ref="AZ6:AZ9" si="9">AJ15</f>
        <v>1.9610303292064344</v>
      </c>
      <c r="BA6" s="15">
        <f t="shared" ref="BA6:BA9" si="10">AK25</f>
        <v>0.29415454938096514</v>
      </c>
    </row>
    <row r="7" spans="1:53" x14ac:dyDescent="0.2">
      <c r="A7" s="3" t="s">
        <v>11</v>
      </c>
      <c r="B7" s="2">
        <v>5</v>
      </c>
      <c r="C7" s="2">
        <v>3</v>
      </c>
      <c r="D7" s="2">
        <f t="shared" si="0"/>
        <v>15</v>
      </c>
      <c r="G7" s="82" t="s">
        <v>21</v>
      </c>
      <c r="H7" s="82">
        <v>0.112</v>
      </c>
      <c r="I7" s="82" t="s">
        <v>26</v>
      </c>
      <c r="J7" s="92"/>
      <c r="L7" s="2"/>
      <c r="M7" s="2"/>
      <c r="N7" s="2"/>
      <c r="Q7" s="4"/>
      <c r="R7" s="4"/>
      <c r="S7" s="4"/>
      <c r="T7" s="4"/>
      <c r="U7" s="4"/>
      <c r="V7" s="4"/>
      <c r="X7" s="89"/>
      <c r="Y7" s="8">
        <f>9+4.5+S4</f>
        <v>17.066666666666666</v>
      </c>
      <c r="Z7">
        <f>15</f>
        <v>15</v>
      </c>
      <c r="AC7" s="13"/>
      <c r="AD7" s="13"/>
      <c r="AE7" s="13"/>
      <c r="AF7" s="13"/>
      <c r="AG7" s="15"/>
      <c r="AI7" s="13"/>
      <c r="AJ7" s="15"/>
      <c r="AK7" s="15"/>
      <c r="AL7" s="15"/>
      <c r="AM7" s="15"/>
      <c r="AN7" s="16"/>
      <c r="AR7" s="25">
        <v>3</v>
      </c>
      <c r="AS7" s="25">
        <f t="shared" si="6"/>
        <v>0.15</v>
      </c>
      <c r="AT7" s="15">
        <f t="shared" si="7"/>
        <v>5.8957114158441791E-3</v>
      </c>
      <c r="AU7" s="15">
        <f t="shared" si="8"/>
        <v>1.0543123853611671E-2</v>
      </c>
      <c r="AV7" s="15">
        <f t="shared" si="5"/>
        <v>0</v>
      </c>
      <c r="AW7" s="15">
        <f t="shared" si="5"/>
        <v>6.45332336612252</v>
      </c>
      <c r="AX7" s="15">
        <f t="shared" si="5"/>
        <v>5.2628786100000005E-2</v>
      </c>
      <c r="AY7" s="15">
        <f t="shared" si="5"/>
        <v>6.5164952760761317</v>
      </c>
      <c r="AZ7" s="15">
        <f t="shared" si="9"/>
        <v>1.3963918448734569</v>
      </c>
      <c r="BA7" s="15">
        <f t="shared" si="10"/>
        <v>0.27927836897469138</v>
      </c>
    </row>
    <row r="8" spans="1:53" x14ac:dyDescent="0.2">
      <c r="A8" s="3" t="s">
        <v>12</v>
      </c>
      <c r="B8" s="2">
        <v>3</v>
      </c>
      <c r="C8" s="2">
        <v>1</v>
      </c>
      <c r="D8" s="2">
        <f t="shared" si="0"/>
        <v>3</v>
      </c>
      <c r="G8" s="82" t="s">
        <v>22</v>
      </c>
      <c r="H8" s="82">
        <f>0.211-0.025</f>
        <v>0.186</v>
      </c>
      <c r="I8" s="82" t="s">
        <v>26</v>
      </c>
      <c r="J8" s="92"/>
      <c r="L8" s="2"/>
      <c r="M8" s="2"/>
      <c r="N8" s="2"/>
      <c r="Q8" s="4"/>
      <c r="R8" s="4"/>
      <c r="S8" s="4"/>
      <c r="T8" s="4"/>
      <c r="U8" s="4"/>
      <c r="V8" s="4"/>
      <c r="X8" s="88"/>
      <c r="Y8" s="8">
        <f>Y7+T4</f>
        <v>20.633333333333333</v>
      </c>
      <c r="Z8">
        <v>15</v>
      </c>
      <c r="AC8" s="13"/>
      <c r="AD8" s="13"/>
      <c r="AE8" s="13"/>
      <c r="AF8" s="13"/>
      <c r="AG8" s="15"/>
      <c r="AI8" s="13"/>
      <c r="AJ8" s="15"/>
      <c r="AK8" s="15"/>
      <c r="AL8" s="15"/>
      <c r="AM8" s="15"/>
      <c r="AN8" s="16"/>
      <c r="AR8" s="25">
        <v>4</v>
      </c>
      <c r="AS8" s="25">
        <f t="shared" si="6"/>
        <v>0.15</v>
      </c>
      <c r="AT8" s="15">
        <f t="shared" si="7"/>
        <v>5.4784514243973702E-3</v>
      </c>
      <c r="AU8" s="15">
        <f t="shared" si="8"/>
        <v>9.7969503287070846E-3</v>
      </c>
      <c r="AV8" s="15">
        <f t="shared" si="5"/>
        <v>5.1290559698484248</v>
      </c>
      <c r="AW8" s="15">
        <f t="shared" si="5"/>
        <v>6.1713438267903511</v>
      </c>
      <c r="AX8" s="15">
        <f t="shared" si="5"/>
        <v>5.0329158447991296E-2</v>
      </c>
      <c r="AY8" s="15">
        <f t="shared" si="5"/>
        <v>11.360525905415475</v>
      </c>
      <c r="AZ8" s="15">
        <f t="shared" si="9"/>
        <v>2.4343984083033163</v>
      </c>
      <c r="BA8" s="15">
        <f t="shared" si="10"/>
        <v>0.48687968166066325</v>
      </c>
    </row>
    <row r="9" spans="1:53" x14ac:dyDescent="0.2">
      <c r="A9" s="3" t="s">
        <v>13</v>
      </c>
      <c r="B9" s="2">
        <v>5.13</v>
      </c>
      <c r="C9" s="2">
        <v>6</v>
      </c>
      <c r="D9" s="2">
        <f t="shared" si="0"/>
        <v>30.78</v>
      </c>
      <c r="G9" s="18" t="s">
        <v>60</v>
      </c>
      <c r="H9" s="18">
        <f>60/1000</f>
        <v>0.06</v>
      </c>
      <c r="I9" s="18" t="s">
        <v>26</v>
      </c>
      <c r="J9" s="70" t="s">
        <v>197</v>
      </c>
      <c r="X9" s="87" t="s">
        <v>46</v>
      </c>
      <c r="Y9" s="8">
        <f>V2+V3+V4</f>
        <v>24.2</v>
      </c>
      <c r="Z9">
        <v>0</v>
      </c>
      <c r="AR9" s="25">
        <v>5</v>
      </c>
      <c r="AS9" s="25">
        <f t="shared" si="6"/>
        <v>0.2</v>
      </c>
      <c r="AT9" s="15">
        <f t="shared" si="7"/>
        <v>0.19999999999999998</v>
      </c>
      <c r="AU9" s="15">
        <f t="shared" si="8"/>
        <v>0.35765399999999997</v>
      </c>
      <c r="AV9" s="15">
        <f t="shared" si="5"/>
        <v>0</v>
      </c>
      <c r="AW9" s="15">
        <f t="shared" si="5"/>
        <v>6.45332336612252</v>
      </c>
      <c r="AX9" s="15">
        <f t="shared" si="5"/>
        <v>5.2628786100000005E-2</v>
      </c>
      <c r="AY9" s="15">
        <f t="shared" si="5"/>
        <v>6.8636061522225198</v>
      </c>
      <c r="AZ9" s="15">
        <f t="shared" si="9"/>
        <v>1.9610303292064344</v>
      </c>
      <c r="BA9" s="15">
        <f t="shared" si="10"/>
        <v>0.29415454938096514</v>
      </c>
    </row>
    <row r="10" spans="1:53" x14ac:dyDescent="0.2">
      <c r="A10" s="2" t="s">
        <v>5</v>
      </c>
      <c r="B10" s="2">
        <v>688.5</v>
      </c>
      <c r="C10" s="2">
        <v>1</v>
      </c>
      <c r="D10" s="2">
        <f t="shared" si="0"/>
        <v>688.5</v>
      </c>
      <c r="G10" s="18" t="s">
        <v>23</v>
      </c>
      <c r="H10" s="68">
        <f>mu_W</f>
        <v>0.36785895197319701</v>
      </c>
      <c r="I10" s="5" t="s">
        <v>29</v>
      </c>
      <c r="J10" s="70" t="s">
        <v>195</v>
      </c>
      <c r="L10" t="s">
        <v>33</v>
      </c>
      <c r="M10">
        <v>10</v>
      </c>
      <c r="N10" t="s">
        <v>34</v>
      </c>
      <c r="X10" s="88"/>
      <c r="Y10" s="8">
        <f>Y9+S5</f>
        <v>27.9</v>
      </c>
      <c r="Z10">
        <v>15</v>
      </c>
    </row>
    <row r="11" spans="1:53" x14ac:dyDescent="0.2">
      <c r="A11" s="2" t="s">
        <v>7</v>
      </c>
      <c r="B11" s="2">
        <v>42.22</v>
      </c>
      <c r="C11" s="2">
        <v>1</v>
      </c>
      <c r="D11" s="2">
        <f t="shared" si="0"/>
        <v>42.22</v>
      </c>
      <c r="G11" s="18" t="s">
        <v>24</v>
      </c>
      <c r="H11" s="18">
        <v>3.0000000000000001E-3</v>
      </c>
      <c r="I11" s="5" t="s">
        <v>29</v>
      </c>
      <c r="J11" s="71" t="s">
        <v>193</v>
      </c>
      <c r="X11" s="87" t="s">
        <v>47</v>
      </c>
      <c r="Y11" s="8">
        <f>Y10+S5</f>
        <v>31.599999999999998</v>
      </c>
      <c r="Z11">
        <f>1.5*M10</f>
        <v>15</v>
      </c>
      <c r="AN11" s="27"/>
    </row>
    <row r="12" spans="1:53" x14ac:dyDescent="0.2">
      <c r="A12" s="2" t="s">
        <v>10</v>
      </c>
      <c r="B12" s="2">
        <v>291.89</v>
      </c>
      <c r="C12" s="2">
        <v>1</v>
      </c>
      <c r="D12" s="2">
        <f t="shared" si="0"/>
        <v>291.89</v>
      </c>
      <c r="G12" s="18" t="s">
        <v>62</v>
      </c>
      <c r="H12" s="18">
        <v>0.7</v>
      </c>
      <c r="I12" s="5" t="s">
        <v>29</v>
      </c>
      <c r="J12" s="72" t="s">
        <v>191</v>
      </c>
      <c r="X12" s="89"/>
      <c r="Y12" s="8">
        <f>V2+V3+V4+V5</f>
        <v>35.299999999999997</v>
      </c>
      <c r="Z12">
        <v>0</v>
      </c>
    </row>
    <row r="13" spans="1:53" ht="17" x14ac:dyDescent="0.2">
      <c r="A13" s="2" t="s">
        <v>27</v>
      </c>
      <c r="B13" s="2">
        <v>43.12</v>
      </c>
      <c r="C13" s="2">
        <v>1</v>
      </c>
      <c r="D13" s="2">
        <f t="shared" si="0"/>
        <v>43.12</v>
      </c>
      <c r="X13" s="88"/>
      <c r="Y13" s="8">
        <f>Y12+1.5</f>
        <v>36.799999999999997</v>
      </c>
      <c r="Z13">
        <v>20</v>
      </c>
      <c r="AI13" s="14" t="s">
        <v>30</v>
      </c>
      <c r="AJ13" s="14" t="s">
        <v>58</v>
      </c>
      <c r="AR13" s="42" t="s">
        <v>221</v>
      </c>
    </row>
    <row r="14" spans="1:53" x14ac:dyDescent="0.2">
      <c r="A14" s="69" t="s">
        <v>196</v>
      </c>
      <c r="B14" s="69">
        <v>160</v>
      </c>
      <c r="C14" s="69">
        <v>1</v>
      </c>
      <c r="D14">
        <f>B14*C14</f>
        <v>160</v>
      </c>
      <c r="X14" s="87" t="s">
        <v>48</v>
      </c>
      <c r="Y14" s="8">
        <f>Y13+S6</f>
        <v>38.299999999999997</v>
      </c>
      <c r="Z14">
        <v>0</v>
      </c>
      <c r="AI14" s="13">
        <v>1</v>
      </c>
      <c r="AJ14" s="15">
        <f>AN2*AF2/H12</f>
        <v>1.9610303292064344</v>
      </c>
      <c r="AR14" s="25" t="s">
        <v>222</v>
      </c>
      <c r="AS14" s="15">
        <f>D15/1000</f>
        <v>1.78827</v>
      </c>
      <c r="AT14" s="25" t="s">
        <v>112</v>
      </c>
      <c r="AY14">
        <f>260*2</f>
        <v>520</v>
      </c>
    </row>
    <row r="15" spans="1:53" x14ac:dyDescent="0.2">
      <c r="A15" s="2"/>
      <c r="B15" s="90" t="s">
        <v>28</v>
      </c>
      <c r="C15" s="90"/>
      <c r="D15" s="2">
        <f>1788.27</f>
        <v>1788.27</v>
      </c>
      <c r="E15" s="19" t="s">
        <v>228</v>
      </c>
      <c r="X15" s="89"/>
      <c r="Y15" s="8"/>
      <c r="AI15" s="13">
        <v>2</v>
      </c>
      <c r="AJ15" s="15">
        <f>AN3*AF3/H12</f>
        <v>1.9610303292064344</v>
      </c>
      <c r="AR15" s="25" t="s">
        <v>223</v>
      </c>
      <c r="AS15" s="15">
        <f>mu_W</f>
        <v>0.36785895197319701</v>
      </c>
      <c r="AT15" s="25" t="s">
        <v>73</v>
      </c>
    </row>
    <row r="16" spans="1:53" x14ac:dyDescent="0.2">
      <c r="X16" s="88"/>
      <c r="Y16" s="8"/>
      <c r="AI16" s="13">
        <v>3</v>
      </c>
      <c r="AJ16" s="15">
        <f>AN4*AF4/H12</f>
        <v>1.3963918448734569</v>
      </c>
      <c r="AR16" s="25" t="s">
        <v>183</v>
      </c>
      <c r="AS16" s="25">
        <f>H11</f>
        <v>3.0000000000000001E-3</v>
      </c>
      <c r="AT16" s="25" t="s">
        <v>73</v>
      </c>
      <c r="AY16">
        <f>0.353*2</f>
        <v>0.70599999999999996</v>
      </c>
    </row>
    <row r="17" spans="3:52" x14ac:dyDescent="0.2">
      <c r="C17" s="20"/>
      <c r="X17" s="87"/>
      <c r="Y17" s="8"/>
      <c r="AI17" s="13">
        <v>4</v>
      </c>
      <c r="AJ17" s="15">
        <f>AN5*AF5/H12</f>
        <v>2.4343984083033163</v>
      </c>
      <c r="AR17" s="25" t="s">
        <v>224</v>
      </c>
      <c r="AS17" s="25">
        <f>H9/2</f>
        <v>0.03</v>
      </c>
      <c r="AT17" s="25" t="s">
        <v>26</v>
      </c>
    </row>
    <row r="18" spans="3:52" x14ac:dyDescent="0.2">
      <c r="X18" s="88"/>
      <c r="Y18" s="8"/>
      <c r="AI18" s="13">
        <v>5</v>
      </c>
      <c r="AJ18" s="15">
        <f>AN6*AF6/H12</f>
        <v>1.9610303292064344</v>
      </c>
      <c r="AR18" s="25" t="s">
        <v>225</v>
      </c>
      <c r="AS18" s="25">
        <f>H12</f>
        <v>0.7</v>
      </c>
      <c r="AT18" s="25" t="s">
        <v>73</v>
      </c>
      <c r="AZ18">
        <f>AY16/BA8</f>
        <v>1.4500502415544532</v>
      </c>
    </row>
    <row r="19" spans="3:52" x14ac:dyDescent="0.2">
      <c r="X19" s="87"/>
      <c r="Y19" s="8"/>
      <c r="AI19" s="13"/>
      <c r="AJ19" s="15"/>
      <c r="AR19" s="25" t="s">
        <v>226</v>
      </c>
      <c r="AS19" s="25">
        <v>17</v>
      </c>
      <c r="AT19" s="25" t="s">
        <v>83</v>
      </c>
    </row>
    <row r="20" spans="3:52" x14ac:dyDescent="0.2">
      <c r="X20" s="89"/>
      <c r="Y20" s="8"/>
      <c r="AI20" s="13"/>
      <c r="AJ20" s="15"/>
    </row>
    <row r="21" spans="3:52" x14ac:dyDescent="0.2">
      <c r="X21" s="88"/>
      <c r="Y21" s="8"/>
    </row>
    <row r="23" spans="3:52" ht="17" x14ac:dyDescent="0.2">
      <c r="AI23" s="14" t="s">
        <v>30</v>
      </c>
      <c r="AJ23" s="14" t="s">
        <v>58</v>
      </c>
      <c r="AK23" s="14" t="s">
        <v>59</v>
      </c>
    </row>
    <row r="24" spans="3:52" x14ac:dyDescent="0.2">
      <c r="AI24" s="13">
        <v>1</v>
      </c>
      <c r="AJ24" s="15">
        <f>AJ14</f>
        <v>1.9610303292064344</v>
      </c>
      <c r="AK24" s="15">
        <f>(AN2*H9/2)/H12</f>
        <v>0.29415454938096514</v>
      </c>
    </row>
    <row r="25" spans="3:52" x14ac:dyDescent="0.2">
      <c r="AI25" s="13">
        <v>2</v>
      </c>
      <c r="AJ25" s="15">
        <f>AJ15</f>
        <v>1.9610303292064344</v>
      </c>
      <c r="AK25" s="15">
        <f>(AN3*H9/2)/H12</f>
        <v>0.29415454938096514</v>
      </c>
    </row>
    <row r="26" spans="3:52" x14ac:dyDescent="0.2">
      <c r="AI26" s="13">
        <v>3</v>
      </c>
      <c r="AJ26" s="15">
        <f>AJ16</f>
        <v>1.3963918448734569</v>
      </c>
      <c r="AK26" s="15">
        <f>(AN4*H9/2)/H12</f>
        <v>0.27927836897469138</v>
      </c>
    </row>
    <row r="27" spans="3:52" x14ac:dyDescent="0.2">
      <c r="AI27" s="13">
        <v>4</v>
      </c>
      <c r="AJ27" s="15">
        <f>AJ17</f>
        <v>2.4343984083033163</v>
      </c>
      <c r="AK27" s="15">
        <f>(AN5*H9/2)/H12</f>
        <v>0.48687968166066325</v>
      </c>
    </row>
    <row r="28" spans="3:52" x14ac:dyDescent="0.2">
      <c r="AI28" s="13">
        <v>5</v>
      </c>
      <c r="AJ28" s="15">
        <f>AJ18</f>
        <v>1.9610303292064344</v>
      </c>
      <c r="AK28" s="15">
        <f>(AN6*H9/2)/H12</f>
        <v>0.29415454938096514</v>
      </c>
    </row>
    <row r="29" spans="3:52" x14ac:dyDescent="0.2">
      <c r="AI29" s="13"/>
      <c r="AJ29" s="15"/>
      <c r="AK29" s="15"/>
    </row>
    <row r="30" spans="3:52" x14ac:dyDescent="0.2">
      <c r="AI30" s="13"/>
      <c r="AJ30" s="15"/>
      <c r="AK30" s="15"/>
    </row>
  </sheetData>
  <mergeCells count="11">
    <mergeCell ref="AR2:AT2"/>
    <mergeCell ref="AU2:AZ2"/>
    <mergeCell ref="X17:X18"/>
    <mergeCell ref="X19:X21"/>
    <mergeCell ref="B15:C15"/>
    <mergeCell ref="X2:X5"/>
    <mergeCell ref="X6:X8"/>
    <mergeCell ref="X9:X10"/>
    <mergeCell ref="X11:X13"/>
    <mergeCell ref="X14:X16"/>
    <mergeCell ref="J2:J8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6"/>
  <sheetViews>
    <sheetView tabSelected="1" workbookViewId="0">
      <selection activeCell="A33" sqref="A33"/>
    </sheetView>
  </sheetViews>
  <sheetFormatPr baseColWidth="10" defaultColWidth="8.83203125" defaultRowHeight="15" x14ac:dyDescent="0.2"/>
  <cols>
    <col min="1" max="1" width="43.5" customWidth="1"/>
    <col min="3" max="3" width="14.33203125" bestFit="1" customWidth="1"/>
    <col min="4" max="4" width="9.33203125" bestFit="1" customWidth="1"/>
    <col min="6" max="6" width="28.83203125" bestFit="1" customWidth="1"/>
    <col min="7" max="7" width="10" customWidth="1"/>
    <col min="8" max="8" width="9.6640625" customWidth="1"/>
  </cols>
  <sheetData>
    <row r="1" spans="1:11" s="46" customFormat="1" x14ac:dyDescent="0.2">
      <c r="A1" s="36" t="s">
        <v>121</v>
      </c>
      <c r="B1" s="47" t="s">
        <v>120</v>
      </c>
      <c r="C1" s="47" t="s">
        <v>119</v>
      </c>
      <c r="D1" s="47" t="s">
        <v>118</v>
      </c>
      <c r="E1" s="47" t="s">
        <v>117</v>
      </c>
      <c r="H1" s="46" t="s">
        <v>116</v>
      </c>
    </row>
    <row r="2" spans="1:11" x14ac:dyDescent="0.2">
      <c r="A2" s="43" t="s">
        <v>115</v>
      </c>
      <c r="B2" s="2"/>
      <c r="C2" s="2"/>
      <c r="D2" s="2"/>
      <c r="E2" s="2"/>
    </row>
    <row r="3" spans="1:11" x14ac:dyDescent="0.2">
      <c r="A3" s="2" t="s">
        <v>114</v>
      </c>
      <c r="B3" s="14" t="s">
        <v>26</v>
      </c>
      <c r="C3" s="14" t="s">
        <v>113</v>
      </c>
      <c r="D3" s="44">
        <f>Sheet1!D15/1000</f>
        <v>1.78827</v>
      </c>
      <c r="E3" s="22" t="s">
        <v>112</v>
      </c>
      <c r="F3" s="64" t="s">
        <v>190</v>
      </c>
      <c r="H3" t="s">
        <v>67</v>
      </c>
      <c r="I3" t="s">
        <v>66</v>
      </c>
      <c r="J3" t="s">
        <v>65</v>
      </c>
      <c r="K3" t="s">
        <v>64</v>
      </c>
    </row>
    <row r="4" spans="1:11" x14ac:dyDescent="0.2">
      <c r="A4" s="2" t="s">
        <v>111</v>
      </c>
      <c r="B4" s="14" t="s">
        <v>110</v>
      </c>
      <c r="C4" s="14" t="s">
        <v>110</v>
      </c>
      <c r="D4" s="45">
        <v>9.5000000000000001E-2</v>
      </c>
      <c r="E4" s="22" t="s">
        <v>26</v>
      </c>
      <c r="F4" s="19" t="s">
        <v>229</v>
      </c>
      <c r="I4" s="26"/>
      <c r="J4" s="26"/>
      <c r="K4" s="26"/>
    </row>
    <row r="5" spans="1:11" ht="17" x14ac:dyDescent="0.2">
      <c r="A5" s="2" t="s">
        <v>109</v>
      </c>
      <c r="B5" s="14" t="s">
        <v>108</v>
      </c>
      <c r="C5" s="14" t="s">
        <v>107</v>
      </c>
      <c r="D5" s="45">
        <v>3.5000000000000003E-2</v>
      </c>
      <c r="E5" s="22" t="s">
        <v>26</v>
      </c>
      <c r="F5" s="19" t="s">
        <v>229</v>
      </c>
      <c r="I5" s="26"/>
      <c r="J5" s="26"/>
      <c r="K5" s="26"/>
    </row>
    <row r="6" spans="1:11" ht="17" x14ac:dyDescent="0.2">
      <c r="A6" s="2" t="s">
        <v>106</v>
      </c>
      <c r="B6" s="14" t="s">
        <v>105</v>
      </c>
      <c r="C6" s="14" t="s">
        <v>104</v>
      </c>
      <c r="D6" s="45">
        <f>0.032+(0.06/2)</f>
        <v>6.2E-2</v>
      </c>
      <c r="E6" s="22" t="s">
        <v>26</v>
      </c>
      <c r="F6" s="19" t="s">
        <v>229</v>
      </c>
      <c r="I6" s="26"/>
      <c r="J6" s="26"/>
      <c r="K6" s="26"/>
    </row>
    <row r="7" spans="1:11" ht="17" x14ac:dyDescent="0.2">
      <c r="A7" s="43" t="s">
        <v>103</v>
      </c>
      <c r="B7" s="14" t="s">
        <v>102</v>
      </c>
      <c r="C7" s="14" t="s">
        <v>101</v>
      </c>
      <c r="D7" s="32">
        <f>mass*9.81</f>
        <v>17.542928700000001</v>
      </c>
      <c r="E7" s="22" t="s">
        <v>90</v>
      </c>
      <c r="G7" s="42"/>
      <c r="I7" s="26"/>
      <c r="J7" s="26"/>
      <c r="K7" s="26"/>
    </row>
    <row r="8" spans="1:11" x14ac:dyDescent="0.2">
      <c r="D8" s="38"/>
      <c r="I8" s="26"/>
      <c r="J8" s="26"/>
      <c r="K8" s="26"/>
    </row>
    <row r="9" spans="1:11" x14ac:dyDescent="0.2">
      <c r="A9" s="31" t="s">
        <v>100</v>
      </c>
      <c r="B9" s="36"/>
      <c r="C9" s="36"/>
      <c r="D9" s="37"/>
      <c r="E9" s="36"/>
      <c r="I9" s="26"/>
      <c r="J9" s="26"/>
      <c r="K9" s="26"/>
    </row>
    <row r="10" spans="1:11" x14ac:dyDescent="0.2">
      <c r="A10" s="2" t="s">
        <v>99</v>
      </c>
      <c r="B10" s="35" t="s">
        <v>98</v>
      </c>
      <c r="C10" s="34" t="s">
        <v>97</v>
      </c>
      <c r="D10" s="41">
        <v>17</v>
      </c>
      <c r="E10" s="21" t="s">
        <v>83</v>
      </c>
      <c r="I10" s="26"/>
      <c r="J10" s="26"/>
      <c r="K10" s="26"/>
    </row>
    <row r="11" spans="1:11" ht="17" x14ac:dyDescent="0.2">
      <c r="A11" s="2" t="s">
        <v>96</v>
      </c>
      <c r="B11" s="14" t="s">
        <v>95</v>
      </c>
      <c r="C11" s="14" t="s">
        <v>94</v>
      </c>
      <c r="D11" s="32">
        <f>(Fmg*Lc*COS(theta*PI()/180)-Fmg*hc*SIN(theta*PI()/180))/L</f>
        <v>2.8333899483785561</v>
      </c>
      <c r="E11" s="22" t="s">
        <v>90</v>
      </c>
      <c r="I11" s="26"/>
      <c r="J11" s="26"/>
      <c r="K11" s="26"/>
    </row>
    <row r="12" spans="1:11" ht="17" x14ac:dyDescent="0.2">
      <c r="A12" s="2" t="s">
        <v>93</v>
      </c>
      <c r="B12" s="14" t="s">
        <v>92</v>
      </c>
      <c r="C12" s="14" t="s">
        <v>91</v>
      </c>
      <c r="D12" s="32">
        <f>(Fmg*(L-Lc)*COS(theta*PI()/180)+Fmg*hc*SIN(theta*PI()/180))/L</f>
        <v>13.942996200951876</v>
      </c>
      <c r="E12" s="22" t="s">
        <v>90</v>
      </c>
      <c r="I12" s="26"/>
      <c r="J12" s="26"/>
      <c r="K12" s="26"/>
    </row>
    <row r="13" spans="1:11" ht="17" x14ac:dyDescent="0.2">
      <c r="A13" s="2" t="s">
        <v>89</v>
      </c>
      <c r="B13" s="14" t="s">
        <v>88</v>
      </c>
      <c r="C13" s="14" t="s">
        <v>87</v>
      </c>
      <c r="D13" s="32">
        <f>Lc*TAN((90-theta)*PI()/180)</f>
        <v>0.11447984164694493</v>
      </c>
      <c r="E13" s="40" t="s">
        <v>26</v>
      </c>
      <c r="F13" s="39"/>
      <c r="I13" s="26"/>
      <c r="J13" s="26"/>
      <c r="K13" s="26"/>
    </row>
    <row r="14" spans="1:11" ht="17" x14ac:dyDescent="0.2">
      <c r="A14" s="2" t="s">
        <v>86</v>
      </c>
      <c r="B14" s="14" t="s">
        <v>85</v>
      </c>
      <c r="C14" s="14" t="s">
        <v>84</v>
      </c>
      <c r="D14" s="32">
        <f>90-ATAN(hc/Lc)*180/PI()</f>
        <v>29.445428729925602</v>
      </c>
      <c r="E14" s="22" t="s">
        <v>83</v>
      </c>
      <c r="I14" s="26"/>
      <c r="J14" s="26"/>
      <c r="K14" s="26"/>
    </row>
    <row r="15" spans="1:11" x14ac:dyDescent="0.2">
      <c r="D15" s="38"/>
      <c r="H15" s="19"/>
      <c r="I15" s="26"/>
      <c r="J15" s="26"/>
      <c r="K15" s="26"/>
    </row>
    <row r="16" spans="1:11" x14ac:dyDescent="0.2">
      <c r="A16" s="31" t="s">
        <v>82</v>
      </c>
      <c r="B16" s="36"/>
      <c r="C16" s="36"/>
      <c r="D16" s="37"/>
      <c r="E16" s="36"/>
      <c r="I16" s="26"/>
      <c r="J16" s="26"/>
      <c r="K16" s="26"/>
    </row>
    <row r="17" spans="1:11" ht="17" x14ac:dyDescent="0.25">
      <c r="A17" s="2" t="s">
        <v>81</v>
      </c>
      <c r="B17" s="35" t="s">
        <v>80</v>
      </c>
      <c r="C17" s="34" t="s">
        <v>79</v>
      </c>
      <c r="D17" s="33">
        <f>L*SIN(theta*PI()/180)/((0-1)*(hc*SIN(theta*PI()/180)-Lc*COS(theta*PI()/180))+(0)*L*COS(theta*PI()/180))</f>
        <v>1.8102188767852421</v>
      </c>
      <c r="E17" s="5" t="s">
        <v>73</v>
      </c>
      <c r="I17" s="26"/>
      <c r="J17" s="26"/>
      <c r="K17" s="26"/>
    </row>
    <row r="18" spans="1:11" ht="17" x14ac:dyDescent="0.2">
      <c r="A18" s="2" t="s">
        <v>78</v>
      </c>
      <c r="B18" s="14" t="s">
        <v>77</v>
      </c>
      <c r="C18" s="14" t="s">
        <v>76</v>
      </c>
      <c r="D18" s="33">
        <f>L*SIN(theta*PI()/180)/((1-0)*(hc*SIN(theta*PI()/180)-Lc*COS(theta*PI()/180))+(1)*L*COS(theta*PI()/180))</f>
        <v>0.36785895197319701</v>
      </c>
      <c r="E18" s="22" t="s">
        <v>73</v>
      </c>
      <c r="I18" s="26"/>
      <c r="J18" s="26"/>
      <c r="K18" s="26"/>
    </row>
    <row r="19" spans="1:11" ht="17" x14ac:dyDescent="0.2">
      <c r="A19" s="2" t="s">
        <v>75</v>
      </c>
      <c r="B19" s="14" t="s">
        <v>74</v>
      </c>
      <c r="C19" s="14" t="s">
        <v>64</v>
      </c>
      <c r="D19" s="33">
        <f>L*SIN(theta*PI()/180)/((1-1)*(hc*SIN(theta*PI()/180)-Lc*COS(theta*PI()/180))+(1)*L*COS(theta*PI()/180))</f>
        <v>0.30573068145866039</v>
      </c>
      <c r="E19" s="22" t="s">
        <v>73</v>
      </c>
      <c r="I19" s="26"/>
      <c r="J19" s="26"/>
      <c r="K19" s="26"/>
    </row>
    <row r="20" spans="1:11" ht="17" x14ac:dyDescent="0.25">
      <c r="A20" s="2" t="s">
        <v>72</v>
      </c>
      <c r="B20" s="14" t="s">
        <v>71</v>
      </c>
      <c r="C20" s="14" t="s">
        <v>70</v>
      </c>
      <c r="D20" s="32">
        <f>hc*TAN(theta*PI()/180)+L/2</f>
        <v>6.6455302250436943E-2</v>
      </c>
      <c r="E20" s="22" t="s">
        <v>26</v>
      </c>
      <c r="I20" s="26"/>
      <c r="J20" s="26"/>
      <c r="K20" s="26"/>
    </row>
    <row r="21" spans="1:11" x14ac:dyDescent="0.2">
      <c r="H21" s="19"/>
      <c r="I21" s="26"/>
      <c r="J21" s="26"/>
      <c r="K21" s="26"/>
    </row>
    <row r="22" spans="1:11" x14ac:dyDescent="0.2">
      <c r="A22" s="31" t="s">
        <v>69</v>
      </c>
      <c r="B22" s="30"/>
      <c r="C22" s="29" t="str">
        <f>IF(D17&lt;D18,"FWD","RWD")</f>
        <v>RWD</v>
      </c>
      <c r="I22" s="26"/>
      <c r="J22" s="26"/>
      <c r="K22" s="26"/>
    </row>
    <row r="23" spans="1:11" ht="17" x14ac:dyDescent="0.25">
      <c r="A23" s="93" t="s">
        <v>68</v>
      </c>
      <c r="B23" s="94"/>
      <c r="C23" s="95"/>
      <c r="I23" s="26"/>
      <c r="J23" s="26"/>
      <c r="K23" s="26"/>
    </row>
    <row r="24" spans="1:11" x14ac:dyDescent="0.2">
      <c r="I24" s="26"/>
      <c r="J24" s="26"/>
      <c r="K24" s="26"/>
    </row>
    <row r="25" spans="1:11" x14ac:dyDescent="0.2">
      <c r="I25" s="26"/>
      <c r="J25" s="26"/>
      <c r="K25" s="26"/>
    </row>
    <row r="26" spans="1:11" x14ac:dyDescent="0.2">
      <c r="I26" s="26"/>
      <c r="J26" s="26"/>
      <c r="K26" s="26"/>
    </row>
    <row r="27" spans="1:11" x14ac:dyDescent="0.2">
      <c r="I27" s="28"/>
      <c r="J27" s="28"/>
      <c r="K27" s="28"/>
    </row>
    <row r="28" spans="1:11" x14ac:dyDescent="0.2">
      <c r="G28" t="s">
        <v>63</v>
      </c>
      <c r="H28" s="27">
        <f>Lc_eq</f>
        <v>6.6455302250436943E-2</v>
      </c>
      <c r="I28" s="26">
        <f>L*SIN(theta*PI()/180)/((0-1)*(hc*SIN(theta*PI()/180)-H28*COS(theta*PI()/180))+(0)*L*COS(theta*PI()/180))</f>
        <v>0.61146136291732089</v>
      </c>
      <c r="J28" s="26">
        <f>L*SIN(theta*PI()/180)/((1-0)*(hc*SIN(theta*PI()/180)-H28*COS(theta*PI()/180))+(1)*L*COS(theta*PI()/180))</f>
        <v>0.61146136291732067</v>
      </c>
      <c r="K28" s="26">
        <f>L*SIN(theta*PI()/180)/((1-1)*(hc*SIN(theta*PI()/180)-Lc*COS(theta*PI()/180))+(1)*L*COS(theta*PI()/180))</f>
        <v>0.30573068145866039</v>
      </c>
    </row>
    <row r="33" spans="7:11" x14ac:dyDescent="0.2">
      <c r="H33" t="s">
        <v>67</v>
      </c>
      <c r="I33" t="s">
        <v>66</v>
      </c>
      <c r="J33" t="s">
        <v>65</v>
      </c>
      <c r="K33" t="s">
        <v>64</v>
      </c>
    </row>
    <row r="34" spans="7:11" x14ac:dyDescent="0.2">
      <c r="I34" s="26"/>
      <c r="J34" s="26"/>
      <c r="K34" s="26"/>
    </row>
    <row r="35" spans="7:11" x14ac:dyDescent="0.2">
      <c r="H35">
        <v>0.02</v>
      </c>
      <c r="I35" s="26">
        <f t="shared" ref="I35:I46" si="0">L*SIN(theta*PI()/180)/((0-1)*(hc*SIN(theta*PI()/180)-H35*COS(theta*PI()/180))+(0)*L*COS(theta*PI()/180))</f>
        <v>27.801739546888644</v>
      </c>
      <c r="J35" s="26">
        <f t="shared" ref="J35:J46" si="1">L*SIN(theta*PI()/180)/((1-0)*(hc*SIN(theta*PI()/180)-H35*COS(theta*PI()/180))+(1)*L*COS(theta*PI()/180))</f>
        <v>0.30913012935826795</v>
      </c>
      <c r="K35" s="26">
        <f t="shared" ref="K35:K47" si="2">L*SIN(theta*PI()/180)/((1-1)*(hc*SIN(theta*PI()/180)-Lc*COS(theta*PI()/180))+(1)*L*COS(theta*PI()/180))</f>
        <v>0.30573068145866039</v>
      </c>
    </row>
    <row r="36" spans="7:11" x14ac:dyDescent="0.2">
      <c r="H36">
        <v>0.03</v>
      </c>
      <c r="I36" s="26">
        <f t="shared" si="0"/>
        <v>2.6297156696498809</v>
      </c>
      <c r="J36" s="26">
        <f t="shared" si="1"/>
        <v>0.34595092817287282</v>
      </c>
      <c r="K36" s="26">
        <f t="shared" si="2"/>
        <v>0.30573068145866039</v>
      </c>
    </row>
    <row r="37" spans="7:11" x14ac:dyDescent="0.2">
      <c r="H37">
        <v>0.04</v>
      </c>
      <c r="I37" s="26">
        <f t="shared" si="0"/>
        <v>1.3801298115187131</v>
      </c>
      <c r="J37" s="26">
        <f t="shared" si="1"/>
        <v>0.39272930884953738</v>
      </c>
      <c r="K37" s="26">
        <f t="shared" si="2"/>
        <v>0.30573068145866039</v>
      </c>
    </row>
    <row r="38" spans="7:11" x14ac:dyDescent="0.2">
      <c r="H38">
        <v>0.05</v>
      </c>
      <c r="I38" s="26">
        <f t="shared" si="0"/>
        <v>0.93556764420363947</v>
      </c>
      <c r="J38" s="26">
        <f t="shared" si="1"/>
        <v>0.45413615003866714</v>
      </c>
      <c r="K38" s="26">
        <f t="shared" si="2"/>
        <v>0.30573068145866039</v>
      </c>
    </row>
    <row r="39" spans="7:11" x14ac:dyDescent="0.2">
      <c r="H39">
        <v>0.06</v>
      </c>
      <c r="I39" s="26">
        <f t="shared" si="0"/>
        <v>0.70762891021366914</v>
      </c>
      <c r="J39" s="26">
        <f t="shared" si="1"/>
        <v>0.5383051067671023</v>
      </c>
      <c r="K39" s="26">
        <f t="shared" si="2"/>
        <v>0.30573068145866039</v>
      </c>
    </row>
    <row r="40" spans="7:11" x14ac:dyDescent="0.2">
      <c r="H40">
        <v>7.0000000000000007E-2</v>
      </c>
      <c r="I40" s="26">
        <f t="shared" si="0"/>
        <v>0.56899964186429841</v>
      </c>
      <c r="J40" s="26">
        <f t="shared" si="1"/>
        <v>0.66077158503179256</v>
      </c>
      <c r="K40" s="26">
        <f t="shared" si="2"/>
        <v>0.30573068145866039</v>
      </c>
    </row>
    <row r="41" spans="7:11" x14ac:dyDescent="0.2">
      <c r="H41">
        <v>7.4039999999999995E-2</v>
      </c>
      <c r="I41" s="26">
        <f t="shared" si="0"/>
        <v>0.52726829637189265</v>
      </c>
      <c r="J41" s="26">
        <f t="shared" si="1"/>
        <v>0.72765112879120908</v>
      </c>
      <c r="K41" s="26">
        <f t="shared" si="2"/>
        <v>0.30573068145866039</v>
      </c>
    </row>
    <row r="42" spans="7:11" x14ac:dyDescent="0.2">
      <c r="H42">
        <v>0.08</v>
      </c>
      <c r="I42" s="26">
        <f t="shared" si="0"/>
        <v>0.47578931191907875</v>
      </c>
      <c r="J42" s="26">
        <f t="shared" si="1"/>
        <v>0.85537199829222499</v>
      </c>
      <c r="K42" s="26">
        <f t="shared" si="2"/>
        <v>0.30573068145866039</v>
      </c>
    </row>
    <row r="43" spans="7:11" x14ac:dyDescent="0.2">
      <c r="H43">
        <v>0.09</v>
      </c>
      <c r="I43" s="26">
        <f t="shared" si="0"/>
        <v>0.40881889371893876</v>
      </c>
      <c r="J43" s="26">
        <f t="shared" si="1"/>
        <v>1.212442006990037</v>
      </c>
      <c r="K43" s="26">
        <f t="shared" si="2"/>
        <v>0.30573068145866039</v>
      </c>
    </row>
    <row r="44" spans="7:11" x14ac:dyDescent="0.2">
      <c r="H44">
        <v>0.1</v>
      </c>
      <c r="I44" s="26">
        <f t="shared" si="0"/>
        <v>0.35837526136901815</v>
      </c>
      <c r="J44" s="26">
        <f t="shared" si="1"/>
        <v>2.0812458388469057</v>
      </c>
      <c r="K44" s="26">
        <f t="shared" si="2"/>
        <v>0.30573068145866039</v>
      </c>
    </row>
    <row r="45" spans="7:11" x14ac:dyDescent="0.2">
      <c r="H45">
        <v>0.11</v>
      </c>
      <c r="I45" s="26">
        <f t="shared" si="0"/>
        <v>0.31901269877862964</v>
      </c>
      <c r="J45" s="26">
        <f t="shared" si="1"/>
        <v>7.3431593591524278</v>
      </c>
      <c r="K45" s="26">
        <f t="shared" si="2"/>
        <v>0.30573068145866039</v>
      </c>
    </row>
    <row r="46" spans="7:11" x14ac:dyDescent="0.2">
      <c r="H46">
        <v>0.12</v>
      </c>
      <c r="I46" s="26">
        <f t="shared" si="0"/>
        <v>0.28744125506277085</v>
      </c>
      <c r="J46" s="26">
        <f t="shared" si="1"/>
        <v>-4.8049407831305198</v>
      </c>
      <c r="K46" s="26">
        <f t="shared" si="2"/>
        <v>0.30573068145866039</v>
      </c>
    </row>
    <row r="47" spans="7:11" x14ac:dyDescent="0.2">
      <c r="G47" s="64" t="s">
        <v>230</v>
      </c>
      <c r="H47" s="64">
        <f>Lc</f>
        <v>3.5000000000000003E-2</v>
      </c>
      <c r="I47" s="26">
        <f t="shared" ref="I47" si="3">L*SIN(theta*PI()/180)/((0-1)*(hc*SIN(theta*PI()/180)-H47*COS(theta*PI()/180))+(0)*L*COS(theta*PI()/180))</f>
        <v>1.8102188767852421</v>
      </c>
      <c r="J47" s="26">
        <f t="shared" ref="J47" si="4">L*SIN(theta*PI()/180)/((1-0)*(hc*SIN(theta*PI()/180)-H47*COS(theta*PI()/180))+(1)*L*COS(theta*PI()/180))</f>
        <v>0.36785895197319701</v>
      </c>
      <c r="K47" s="26">
        <f t="shared" si="2"/>
        <v>0.30573068145866039</v>
      </c>
    </row>
    <row r="48" spans="7:11" x14ac:dyDescent="0.2">
      <c r="G48" t="s">
        <v>63</v>
      </c>
      <c r="H48">
        <v>7.4039999999999995E-2</v>
      </c>
      <c r="I48" s="26">
        <f>L*SIN(theta*PI()/180)/((0-1)*(hc*SIN(theta*PI()/180)-H48*COS(theta*PI()/180))+(0)*L*COS(theta*PI()/180))</f>
        <v>0.52726829637189265</v>
      </c>
      <c r="J48" s="26">
        <f>L*SIN(theta*PI()/180)/((1-0)*(hc*SIN(theta*PI()/180)-H48*COS(theta*PI()/180))+(1)*L*COS(theta*PI()/180))</f>
        <v>0.72765112879120908</v>
      </c>
      <c r="K48" s="26">
        <f>L*SIN(theta*PI()/180)/((1-1)*(hc*SIN(theta*PI()/180)-Lc*COS(theta*PI()/180))+(1)*L*COS(theta*PI()/180))</f>
        <v>0.30573068145866039</v>
      </c>
    </row>
    <row r="49" spans="8:11" x14ac:dyDescent="0.2">
      <c r="I49" s="26"/>
      <c r="J49" s="26"/>
      <c r="K49" s="26"/>
    </row>
    <row r="50" spans="8:11" x14ac:dyDescent="0.2">
      <c r="I50" s="26"/>
      <c r="J50" s="26"/>
      <c r="K50" s="26"/>
    </row>
    <row r="51" spans="8:11" x14ac:dyDescent="0.2">
      <c r="H51" s="19"/>
      <c r="I51" s="26"/>
      <c r="J51" s="26"/>
      <c r="K51" s="26"/>
    </row>
    <row r="52" spans="8:11" x14ac:dyDescent="0.2">
      <c r="I52" s="26"/>
      <c r="J52" s="26"/>
      <c r="K52" s="26"/>
    </row>
    <row r="53" spans="8:11" x14ac:dyDescent="0.2">
      <c r="I53" s="26"/>
      <c r="J53" s="26"/>
      <c r="K53" s="26"/>
    </row>
    <row r="54" spans="8:11" x14ac:dyDescent="0.2">
      <c r="I54" s="26"/>
      <c r="J54" s="26"/>
      <c r="K54" s="26"/>
    </row>
    <row r="55" spans="8:11" x14ac:dyDescent="0.2">
      <c r="I55" s="26"/>
      <c r="J55" s="26"/>
      <c r="K55" s="26"/>
    </row>
    <row r="56" spans="8:11" x14ac:dyDescent="0.2">
      <c r="I56" s="26"/>
      <c r="J56" s="26"/>
      <c r="K56" s="26"/>
    </row>
  </sheetData>
  <mergeCells count="1">
    <mergeCell ref="A23:C23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workbookViewId="0">
      <selection activeCell="F8" sqref="F8"/>
    </sheetView>
  </sheetViews>
  <sheetFormatPr baseColWidth="10" defaultColWidth="8.83203125" defaultRowHeight="15" x14ac:dyDescent="0.2"/>
  <cols>
    <col min="1" max="1" width="49.1640625" style="48" bestFit="1" customWidth="1"/>
    <col min="2" max="2" width="9.1640625" style="48" customWidth="1"/>
    <col min="3" max="3" width="8.83203125" style="48"/>
    <col min="4" max="4" width="11.6640625" style="48" bestFit="1" customWidth="1"/>
    <col min="5" max="5" width="8.83203125" style="48"/>
    <col min="6" max="6" width="40.6640625" style="48" bestFit="1" customWidth="1"/>
    <col min="7" max="7" width="11" style="48" bestFit="1" customWidth="1"/>
    <col min="8" max="16384" width="8.83203125" style="48"/>
  </cols>
  <sheetData>
    <row r="1" spans="1:8" x14ac:dyDescent="0.2">
      <c r="A1" s="58" t="s">
        <v>189</v>
      </c>
      <c r="B1" s="55"/>
      <c r="C1" s="55"/>
      <c r="D1" s="55"/>
      <c r="E1" s="55"/>
    </row>
    <row r="2" spans="1:8" ht="17" x14ac:dyDescent="0.25">
      <c r="A2" s="67" t="s">
        <v>188</v>
      </c>
      <c r="B2" s="63" t="s">
        <v>187</v>
      </c>
      <c r="C2" s="51" t="s">
        <v>186</v>
      </c>
      <c r="D2" s="53">
        <f>'Parts 1 and 2'!J47</f>
        <v>0.36785895197319701</v>
      </c>
      <c r="E2" s="51" t="s">
        <v>73</v>
      </c>
      <c r="F2" s="65" t="s">
        <v>194</v>
      </c>
    </row>
    <row r="3" spans="1:8" ht="17" x14ac:dyDescent="0.25">
      <c r="A3" s="52" t="s">
        <v>185</v>
      </c>
      <c r="B3" s="63" t="s">
        <v>184</v>
      </c>
      <c r="C3" s="51" t="s">
        <v>183</v>
      </c>
      <c r="D3" s="51">
        <v>3.0000000000000001E-3</v>
      </c>
      <c r="E3" s="51" t="s">
        <v>73</v>
      </c>
    </row>
    <row r="4" spans="1:8" ht="17" x14ac:dyDescent="0.25">
      <c r="A4" s="52" t="s">
        <v>182</v>
      </c>
      <c r="B4" s="51" t="s">
        <v>181</v>
      </c>
      <c r="C4" s="51" t="s">
        <v>180</v>
      </c>
      <c r="D4" s="62">
        <f>mu_W*Nf</f>
        <v>1.0422878569419265</v>
      </c>
      <c r="E4" s="49" t="s">
        <v>90</v>
      </c>
      <c r="H4" s="60"/>
    </row>
    <row r="5" spans="1:8" ht="17" x14ac:dyDescent="0.25">
      <c r="A5" s="52" t="s">
        <v>179</v>
      </c>
      <c r="B5" s="51" t="s">
        <v>178</v>
      </c>
      <c r="C5" s="51" t="s">
        <v>177</v>
      </c>
      <c r="D5" s="85">
        <f>mu_W*Nr</f>
        <v>5.1290559698484248</v>
      </c>
      <c r="E5" s="49" t="s">
        <v>90</v>
      </c>
      <c r="G5" s="61"/>
    </row>
    <row r="6" spans="1:8" ht="17" x14ac:dyDescent="0.25">
      <c r="A6" s="52" t="s">
        <v>176</v>
      </c>
      <c r="B6" s="51" t="s">
        <v>175</v>
      </c>
      <c r="C6" s="51" t="s">
        <v>174</v>
      </c>
      <c r="D6" s="84">
        <f>mu_W*(Nf+Nr)</f>
        <v>6.1713438267903502</v>
      </c>
      <c r="E6" s="49" t="s">
        <v>90</v>
      </c>
    </row>
    <row r="7" spans="1:8" x14ac:dyDescent="0.2">
      <c r="A7" s="56"/>
      <c r="B7" s="56"/>
      <c r="C7" s="56"/>
      <c r="D7" s="56"/>
      <c r="E7" s="56"/>
      <c r="G7" s="60"/>
    </row>
    <row r="8" spans="1:8" x14ac:dyDescent="0.2">
      <c r="A8" s="96" t="s">
        <v>173</v>
      </c>
      <c r="B8" s="97"/>
      <c r="C8" s="55"/>
      <c r="D8" s="55"/>
      <c r="E8" s="55"/>
    </row>
    <row r="9" spans="1:8" ht="17" x14ac:dyDescent="0.25">
      <c r="A9" s="52" t="s">
        <v>172</v>
      </c>
      <c r="B9" s="51" t="s">
        <v>171</v>
      </c>
      <c r="C9" s="51" t="s">
        <v>170</v>
      </c>
      <c r="D9" s="59">
        <v>0.08</v>
      </c>
      <c r="E9" s="49" t="s">
        <v>26</v>
      </c>
    </row>
    <row r="10" spans="1:8" ht="17" x14ac:dyDescent="0.25">
      <c r="A10" s="52" t="s">
        <v>169</v>
      </c>
      <c r="B10" s="51" t="s">
        <v>168</v>
      </c>
      <c r="C10" s="51" t="s">
        <v>167</v>
      </c>
      <c r="D10" s="51">
        <v>0.08</v>
      </c>
      <c r="E10" s="49" t="s">
        <v>26</v>
      </c>
    </row>
    <row r="11" spans="1:8" ht="17" x14ac:dyDescent="0.25">
      <c r="A11" s="52" t="s">
        <v>166</v>
      </c>
      <c r="B11" s="51" t="s">
        <v>165</v>
      </c>
      <c r="C11" s="51" t="s">
        <v>164</v>
      </c>
      <c r="D11" s="50">
        <f>F_Tf*Diam_fw/2</f>
        <v>4.1691514277677061E-2</v>
      </c>
      <c r="E11" s="49" t="s">
        <v>157</v>
      </c>
    </row>
    <row r="12" spans="1:8" ht="17" x14ac:dyDescent="0.25">
      <c r="A12" s="52" t="s">
        <v>163</v>
      </c>
      <c r="B12" s="51" t="s">
        <v>162</v>
      </c>
      <c r="C12" s="51" t="s">
        <v>161</v>
      </c>
      <c r="D12" s="50">
        <f>F_Tr*Diam_rw/2</f>
        <v>0.205162238793937</v>
      </c>
      <c r="E12" s="49" t="s">
        <v>157</v>
      </c>
    </row>
    <row r="13" spans="1:8" ht="17" x14ac:dyDescent="0.25">
      <c r="A13" s="52" t="s">
        <v>160</v>
      </c>
      <c r="B13" s="51" t="s">
        <v>159</v>
      </c>
      <c r="C13" s="51" t="s">
        <v>158</v>
      </c>
      <c r="D13" s="50">
        <f>(F_Tawd*(Diam_fw/2)+F_Tawd*(Diam_rw/2))/2</f>
        <v>0.246853753071614</v>
      </c>
      <c r="E13" s="49" t="s">
        <v>157</v>
      </c>
    </row>
    <row r="14" spans="1:8" x14ac:dyDescent="0.2">
      <c r="A14" s="56"/>
      <c r="B14" s="56"/>
      <c r="C14" s="56"/>
      <c r="D14" s="56"/>
      <c r="E14" s="56"/>
    </row>
    <row r="15" spans="1:8" x14ac:dyDescent="0.2">
      <c r="A15" s="58" t="s">
        <v>156</v>
      </c>
      <c r="B15" s="55"/>
      <c r="C15" s="55"/>
      <c r="D15" s="55"/>
      <c r="E15" s="55"/>
    </row>
    <row r="16" spans="1:8" x14ac:dyDescent="0.2">
      <c r="A16" s="52" t="s">
        <v>155</v>
      </c>
      <c r="B16" s="51" t="s">
        <v>154</v>
      </c>
      <c r="C16" s="51" t="s">
        <v>153</v>
      </c>
      <c r="D16" s="57">
        <v>0.7</v>
      </c>
      <c r="E16" s="49" t="s">
        <v>73</v>
      </c>
    </row>
    <row r="17" spans="1:6" ht="17" x14ac:dyDescent="0.25">
      <c r="A17" s="52" t="s">
        <v>152</v>
      </c>
      <c r="B17" s="51" t="s">
        <v>151</v>
      </c>
      <c r="C17" s="51" t="s">
        <v>150</v>
      </c>
      <c r="D17" s="57">
        <v>0.2</v>
      </c>
      <c r="E17" s="49" t="s">
        <v>149</v>
      </c>
    </row>
    <row r="18" spans="1:6" ht="17" x14ac:dyDescent="0.25">
      <c r="A18" s="52" t="s">
        <v>148</v>
      </c>
      <c r="B18" s="51" t="s">
        <v>147</v>
      </c>
      <c r="C18" s="51" t="s">
        <v>146</v>
      </c>
      <c r="D18" s="50">
        <f>T_Fw*v_rms/(Diam_fw/2)/eta</f>
        <v>0.29779653055483618</v>
      </c>
      <c r="E18" s="49" t="s">
        <v>123</v>
      </c>
    </row>
    <row r="19" spans="1:6" ht="17" x14ac:dyDescent="0.25">
      <c r="A19" s="52" t="s">
        <v>145</v>
      </c>
      <c r="B19" s="51" t="s">
        <v>144</v>
      </c>
      <c r="C19" s="51" t="s">
        <v>143</v>
      </c>
      <c r="D19" s="50">
        <f>T_Rw*v_rms/(Diam_rw/2)/eta</f>
        <v>1.4654445628138357</v>
      </c>
      <c r="E19" s="49" t="s">
        <v>123</v>
      </c>
    </row>
    <row r="20" spans="1:6" ht="17" x14ac:dyDescent="0.25">
      <c r="A20" s="52" t="s">
        <v>142</v>
      </c>
      <c r="B20" s="51" t="s">
        <v>141</v>
      </c>
      <c r="C20" s="51" t="s">
        <v>140</v>
      </c>
      <c r="D20" s="50">
        <f>(T_Aw*v_rms/(Diam_fw/2)+T_Aw*v_rms/(Diam_rw/2))/2/eta</f>
        <v>1.7632410933686717</v>
      </c>
      <c r="E20" s="49" t="s">
        <v>123</v>
      </c>
    </row>
    <row r="21" spans="1:6" x14ac:dyDescent="0.2">
      <c r="A21" s="56"/>
      <c r="B21" s="56"/>
      <c r="C21" s="56"/>
      <c r="D21" s="56"/>
      <c r="E21" s="56"/>
    </row>
    <row r="22" spans="1:6" x14ac:dyDescent="0.2">
      <c r="A22" s="96" t="s">
        <v>139</v>
      </c>
      <c r="B22" s="98"/>
      <c r="C22" s="97"/>
      <c r="D22" s="55"/>
      <c r="E22" s="55"/>
    </row>
    <row r="23" spans="1:6" ht="17" x14ac:dyDescent="0.25">
      <c r="A23" s="52" t="s">
        <v>138</v>
      </c>
      <c r="B23" s="54" t="s">
        <v>137</v>
      </c>
      <c r="C23" s="51" t="s">
        <v>136</v>
      </c>
      <c r="D23" s="53">
        <f>Lc/L-hc/L*TAN(theta*PI()/180)</f>
        <v>0.16889155525855851</v>
      </c>
      <c r="E23" s="49" t="s">
        <v>73</v>
      </c>
    </row>
    <row r="24" spans="1:6" ht="17" x14ac:dyDescent="0.25">
      <c r="A24" s="52" t="s">
        <v>135</v>
      </c>
      <c r="B24" s="54" t="s">
        <v>134</v>
      </c>
      <c r="C24" s="51" t="s">
        <v>133</v>
      </c>
      <c r="D24" s="53">
        <f>(L-Lc)/L+hc/L*TAN(theta*PI()/180)</f>
        <v>0.83110844474144152</v>
      </c>
      <c r="E24" s="49" t="s">
        <v>73</v>
      </c>
    </row>
    <row r="25" spans="1:6" ht="17" x14ac:dyDescent="0.25">
      <c r="A25" s="52" t="s">
        <v>132</v>
      </c>
      <c r="B25" s="51" t="s">
        <v>131</v>
      </c>
      <c r="C25" s="51" t="s">
        <v>130</v>
      </c>
      <c r="D25" s="50">
        <f>P_FWD*betaf</f>
        <v>5.0295319196009124E-2</v>
      </c>
      <c r="E25" s="49" t="s">
        <v>123</v>
      </c>
      <c r="F25" s="48" t="s">
        <v>122</v>
      </c>
    </row>
    <row r="26" spans="1:6" ht="17" x14ac:dyDescent="0.25">
      <c r="A26" s="52" t="s">
        <v>129</v>
      </c>
      <c r="B26" s="51" t="s">
        <v>128</v>
      </c>
      <c r="C26" s="51" t="s">
        <v>127</v>
      </c>
      <c r="D26" s="50">
        <f>P_RWD*betar</f>
        <v>1.2179433514550086</v>
      </c>
      <c r="E26" s="49" t="s">
        <v>123</v>
      </c>
      <c r="F26" s="48" t="s">
        <v>122</v>
      </c>
    </row>
    <row r="27" spans="1:6" ht="17" x14ac:dyDescent="0.25">
      <c r="A27" s="52" t="s">
        <v>126</v>
      </c>
      <c r="B27" s="51" t="s">
        <v>125</v>
      </c>
      <c r="C27" s="51" t="s">
        <v>124</v>
      </c>
      <c r="D27" s="50">
        <f>(T_Aw*v_rms/(Diam_fw/2)*betaf+T_Aw*v_rms/(Diam_rw/2)*betar)*eta</f>
        <v>0.86398813575064926</v>
      </c>
      <c r="E27" s="49" t="s">
        <v>123</v>
      </c>
      <c r="F27" s="48" t="s">
        <v>122</v>
      </c>
    </row>
    <row r="30" spans="1:6" x14ac:dyDescent="0.2">
      <c r="A30" s="83" t="s">
        <v>231</v>
      </c>
      <c r="D30" s="48">
        <f>(Sheet1!D15)/1000*9.81*SIN(17*PI()/180)</f>
        <v>5.1290559698484248</v>
      </c>
    </row>
  </sheetData>
  <mergeCells count="2">
    <mergeCell ref="A8:B8"/>
    <mergeCell ref="A22:C2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Parts 1 and 2</vt:lpstr>
      <vt:lpstr>Part 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Saurin Holdheim</dc:creator>
  <cp:lastModifiedBy>Microsoft Office User</cp:lastModifiedBy>
  <dcterms:created xsi:type="dcterms:W3CDTF">2022-02-24T18:31:13Z</dcterms:created>
  <dcterms:modified xsi:type="dcterms:W3CDTF">2022-04-25T04:05:17Z</dcterms:modified>
</cp:coreProperties>
</file>