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ianmohseni/Documents/MAE 162D/"/>
    </mc:Choice>
  </mc:AlternateContent>
  <bookViews>
    <workbookView xWindow="0" yWindow="500" windowWidth="28800" windowHeight="16000" tabRatio="500" activeTab="1"/>
  </bookViews>
  <sheets>
    <sheet name="Sheet1" sheetId="1" r:id="rId1"/>
    <sheet name="Sheet2" sheetId="2" r:id="rId2"/>
  </sheets>
  <definedNames>
    <definedName name="betaf">Sheet1!$D$51</definedName>
    <definedName name="betar">Sheet1!$D$52</definedName>
    <definedName name="Diam_fw">Sheet1!$D$37</definedName>
    <definedName name="Diam_rw">Sheet1!$D$38</definedName>
    <definedName name="eta">Sheet1!$D$44</definedName>
    <definedName name="F_Tawd">Sheet1!$D$34</definedName>
    <definedName name="F_Tf">Sheet1!$D$32</definedName>
    <definedName name="F_Tr">Sheet1!$D$33</definedName>
    <definedName name="Fmg">Sheet1!$D$8</definedName>
    <definedName name="hc">Sheet1!$D$7</definedName>
    <definedName name="hmax">Sheet1!$D$14</definedName>
    <definedName name="L">Sheet1!$D$5</definedName>
    <definedName name="Lc">Sheet1!$D$6</definedName>
    <definedName name="Lc_eq">Sheet1!$D$21</definedName>
    <definedName name="mass">Sheet1!$D$4</definedName>
    <definedName name="mu_awd">Sheet1!$D$20</definedName>
    <definedName name="mu_f">Sheet1!$D$18</definedName>
    <definedName name="mu_r">Sheet1!$D$19</definedName>
    <definedName name="mu_rol">Sheet1!$D$31</definedName>
    <definedName name="mu_W">Sheet1!$D$30</definedName>
    <definedName name="Nf">Sheet1!$D$12</definedName>
    <definedName name="Nr">Sheet1!$D$13</definedName>
    <definedName name="P_b_FWD">Sheet1!$D$53</definedName>
    <definedName name="P_b_RWD">Sheet1!$D$54</definedName>
    <definedName name="P_FWD">Sheet1!$D$46</definedName>
    <definedName name="P_RWD">Sheet1!$D$47</definedName>
    <definedName name="T_Aw">Sheet1!$D$41</definedName>
    <definedName name="T_Fw">Sheet1!$D$39</definedName>
    <definedName name="T_Rw">Sheet1!$D$40</definedName>
    <definedName name="theta">Sheet1!$D$11</definedName>
    <definedName name="theta_tip">Sheet1!$D$15</definedName>
    <definedName name="v_rms">Sheet1!$D$45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7" i="2" l="1"/>
  <c r="D21" i="1"/>
  <c r="H55" i="2"/>
  <c r="I55" i="2"/>
  <c r="D8" i="1"/>
  <c r="D12" i="1"/>
  <c r="D13" i="1"/>
  <c r="H56" i="1"/>
  <c r="I56" i="1"/>
  <c r="D30" i="1"/>
  <c r="D34" i="1"/>
  <c r="D41" i="1"/>
  <c r="D51" i="1"/>
  <c r="D52" i="1"/>
  <c r="D54" i="2"/>
  <c r="K5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J53" i="2"/>
  <c r="I53" i="2"/>
  <c r="D51" i="2"/>
  <c r="D33" i="1"/>
  <c r="D40" i="1"/>
  <c r="D47" i="1"/>
  <c r="D53" i="2"/>
  <c r="K52" i="2"/>
  <c r="J52" i="2"/>
  <c r="I52" i="2"/>
  <c r="D50" i="2"/>
  <c r="D32" i="1"/>
  <c r="D39" i="1"/>
  <c r="D46" i="1"/>
  <c r="D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D47" i="2"/>
  <c r="K46" i="2"/>
  <c r="J46" i="2"/>
  <c r="I46" i="2"/>
  <c r="D46" i="2"/>
  <c r="K45" i="2"/>
  <c r="J45" i="2"/>
  <c r="I45" i="2"/>
  <c r="D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D40" i="2"/>
  <c r="K39" i="2"/>
  <c r="J39" i="2"/>
  <c r="I39" i="2"/>
  <c r="D39" i="2"/>
  <c r="K38" i="2"/>
  <c r="J38" i="2"/>
  <c r="I38" i="2"/>
  <c r="D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D33" i="2"/>
  <c r="K32" i="2"/>
  <c r="J32" i="2"/>
  <c r="I32" i="2"/>
  <c r="D32" i="2"/>
  <c r="K31" i="2"/>
  <c r="J31" i="2"/>
  <c r="I31" i="2"/>
  <c r="D31" i="2"/>
  <c r="K30" i="2"/>
  <c r="J30" i="2"/>
  <c r="I30" i="2"/>
  <c r="K29" i="2"/>
  <c r="J29" i="2"/>
  <c r="I29" i="2"/>
  <c r="D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D18" i="1"/>
  <c r="D19" i="1"/>
  <c r="C22" i="2"/>
  <c r="K21" i="2"/>
  <c r="J21" i="2"/>
  <c r="I21" i="2"/>
  <c r="K20" i="2"/>
  <c r="J20" i="2"/>
  <c r="I20" i="2"/>
  <c r="D20" i="2"/>
  <c r="K19" i="2"/>
  <c r="J19" i="2"/>
  <c r="I19" i="2"/>
  <c r="D19" i="2"/>
  <c r="K18" i="2"/>
  <c r="J18" i="2"/>
  <c r="I18" i="2"/>
  <c r="D18" i="2"/>
  <c r="K17" i="2"/>
  <c r="J17" i="2"/>
  <c r="I17" i="2"/>
  <c r="D17" i="2"/>
  <c r="K16" i="2"/>
  <c r="J16" i="2"/>
  <c r="I16" i="2"/>
  <c r="K15" i="2"/>
  <c r="J15" i="2"/>
  <c r="I15" i="2"/>
  <c r="K14" i="2"/>
  <c r="J14" i="2"/>
  <c r="I14" i="2"/>
  <c r="D14" i="2"/>
  <c r="K13" i="2"/>
  <c r="J13" i="2"/>
  <c r="I13" i="2"/>
  <c r="D13" i="2"/>
  <c r="K12" i="2"/>
  <c r="J12" i="2"/>
  <c r="I12" i="2"/>
  <c r="D12" i="2"/>
  <c r="K11" i="2"/>
  <c r="J11" i="2"/>
  <c r="I11" i="2"/>
  <c r="D11" i="2"/>
  <c r="K10" i="2"/>
  <c r="J10" i="2"/>
  <c r="I10" i="2"/>
  <c r="K9" i="2"/>
  <c r="J9" i="2"/>
  <c r="I9" i="2"/>
  <c r="K8" i="2"/>
  <c r="J8" i="2"/>
  <c r="I8" i="2"/>
  <c r="K7" i="2"/>
  <c r="J7" i="2"/>
  <c r="I7" i="2"/>
  <c r="D7" i="2"/>
  <c r="K6" i="2"/>
  <c r="J6" i="2"/>
  <c r="I6" i="2"/>
  <c r="K5" i="2"/>
  <c r="J5" i="2"/>
  <c r="I5" i="2"/>
  <c r="K4" i="2"/>
  <c r="J4" i="2"/>
  <c r="I4" i="2"/>
  <c r="K3" i="2"/>
  <c r="J3" i="2"/>
  <c r="I3" i="2"/>
  <c r="D55" i="1"/>
  <c r="D48" i="1"/>
  <c r="D54" i="1"/>
  <c r="D53" i="1"/>
  <c r="C23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D20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D15" i="1"/>
  <c r="D14" i="1"/>
</calcChain>
</file>

<file path=xl/sharedStrings.xml><?xml version="1.0" encoding="utf-8"?>
<sst xmlns="http://schemas.openxmlformats.org/spreadsheetml/2006/main" count="307" uniqueCount="127">
  <si>
    <t>Description</t>
  </si>
  <si>
    <t>Symbol</t>
  </si>
  <si>
    <t>Variable Name</t>
  </si>
  <si>
    <t>VALUE</t>
  </si>
  <si>
    <t>UNITS</t>
  </si>
  <si>
    <t>Vehicle/Hill Parameters:</t>
  </si>
  <si>
    <t>Force (weight)</t>
  </si>
  <si>
    <t xml:space="preserve"> Mass</t>
  </si>
  <si>
    <t xml:space="preserve"> Wheelbase</t>
  </si>
  <si>
    <t xml:space="preserve"> CoM distance from Rear Wheel</t>
  </si>
  <si>
    <t xml:space="preserve"> CoM Height from ground</t>
  </si>
  <si>
    <t>m</t>
  </si>
  <si>
    <t>L</t>
  </si>
  <si>
    <t>mass</t>
  </si>
  <si>
    <t>Lc</t>
  </si>
  <si>
    <t>hc</t>
  </si>
  <si>
    <t>Fmg</t>
  </si>
  <si>
    <t>kg</t>
  </si>
  <si>
    <t>N</t>
  </si>
  <si>
    <r>
      <t>L</t>
    </r>
    <r>
      <rPr>
        <b/>
        <vertAlign val="subscript"/>
        <sz val="12"/>
        <color theme="1"/>
        <rFont val="Calibri (Body)"/>
      </rPr>
      <t>c</t>
    </r>
  </si>
  <si>
    <r>
      <t>h</t>
    </r>
    <r>
      <rPr>
        <b/>
        <vertAlign val="subscript"/>
        <sz val="12"/>
        <color theme="1"/>
        <rFont val="Calibri (Body)"/>
      </rPr>
      <t>c</t>
    </r>
  </si>
  <si>
    <r>
      <t>F</t>
    </r>
    <r>
      <rPr>
        <b/>
        <vertAlign val="subscript"/>
        <sz val="12"/>
        <color theme="1"/>
        <rFont val="Calibri (Body)"/>
      </rPr>
      <t>mg</t>
    </r>
  </si>
  <si>
    <t>Normal Wheel Forces and Tipping Angle:</t>
  </si>
  <si>
    <t>Incline Angle (Hill)</t>
  </si>
  <si>
    <t>Normal Force on Both Front Wheels</t>
  </si>
  <si>
    <t>Normal Force on Both Rear Wheels</t>
  </si>
  <si>
    <t>CoM Tipping Height</t>
  </si>
  <si>
    <t>Tipping Angle</t>
  </si>
  <si>
    <t>𝜃</t>
  </si>
  <si>
    <t>theta</t>
  </si>
  <si>
    <t>Nf</t>
  </si>
  <si>
    <t>Nr</t>
  </si>
  <si>
    <t>hmax</t>
  </si>
  <si>
    <t>theta_tip</t>
  </si>
  <si>
    <t>deg</t>
  </si>
  <si>
    <t>Minimum Required Friction Coefficient:</t>
  </si>
  <si>
    <t>Minimum Friction Coefficient for FWD</t>
  </si>
  <si>
    <t>Minimum Friction Coefficient for RWD</t>
  </si>
  <si>
    <t>Minimum Friction Coefficient for AWD</t>
  </si>
  <si>
    <r>
      <t>CoM distance for 𝜇</t>
    </r>
    <r>
      <rPr>
        <vertAlign val="subscript"/>
        <sz val="12"/>
        <color theme="1"/>
        <rFont val="Calibri (Body)"/>
      </rPr>
      <t xml:space="preserve">f </t>
    </r>
    <r>
      <rPr>
        <sz val="12"/>
        <color theme="1"/>
        <rFont val="Calibri"/>
        <family val="2"/>
        <scheme val="minor"/>
      </rPr>
      <t>= 𝜇</t>
    </r>
    <r>
      <rPr>
        <vertAlign val="subscript"/>
        <sz val="12"/>
        <color theme="1"/>
        <rFont val="Calibri (Body)"/>
      </rPr>
      <t>r</t>
    </r>
  </si>
  <si>
    <t>mu_f</t>
  </si>
  <si>
    <t>mu_r</t>
  </si>
  <si>
    <t>mu_awd</t>
  </si>
  <si>
    <t>Lc-eq</t>
  </si>
  <si>
    <t>Lc-equal</t>
  </si>
  <si>
    <r>
      <t>N</t>
    </r>
    <r>
      <rPr>
        <b/>
        <vertAlign val="subscript"/>
        <sz val="12"/>
        <color theme="1"/>
        <rFont val="Calibri (Body)"/>
      </rPr>
      <t>f</t>
    </r>
  </si>
  <si>
    <r>
      <t>N</t>
    </r>
    <r>
      <rPr>
        <b/>
        <vertAlign val="subscript"/>
        <sz val="12"/>
        <color theme="1"/>
        <rFont val="Calibri (Body)"/>
      </rPr>
      <t>r</t>
    </r>
  </si>
  <si>
    <r>
      <t>h</t>
    </r>
    <r>
      <rPr>
        <b/>
        <vertAlign val="subscript"/>
        <sz val="12"/>
        <color theme="1"/>
        <rFont val="Calibri (Body)"/>
      </rPr>
      <t>max</t>
    </r>
  </si>
  <si>
    <r>
      <t>𝜃</t>
    </r>
    <r>
      <rPr>
        <b/>
        <vertAlign val="subscript"/>
        <sz val="12"/>
        <color theme="1"/>
        <rFont val="Calibri (Body)"/>
      </rPr>
      <t>max</t>
    </r>
  </si>
  <si>
    <t>Optimum Drive System - FWD or RWD:</t>
  </si>
  <si>
    <t>Minimum required Tractive Force for estimated 𝜇:</t>
  </si>
  <si>
    <r>
      <t>Friction coefficient at 𝜇</t>
    </r>
    <r>
      <rPr>
        <vertAlign val="subscript"/>
        <sz val="12"/>
        <color theme="1"/>
        <rFont val="Calibri (Body)"/>
      </rPr>
      <t>f</t>
    </r>
    <r>
      <rPr>
        <sz val="12"/>
        <color theme="1"/>
        <rFont val="Calibri"/>
        <family val="2"/>
        <scheme val="minor"/>
      </rPr>
      <t xml:space="preserve"> = 𝜇</t>
    </r>
    <r>
      <rPr>
        <vertAlign val="subscript"/>
        <sz val="12"/>
        <color theme="1"/>
        <rFont val="Calibri (Body)"/>
      </rPr>
      <t>r</t>
    </r>
    <r>
      <rPr>
        <sz val="12"/>
        <color theme="1"/>
        <rFont val="Calibri"/>
        <family val="2"/>
        <scheme val="minor"/>
      </rPr>
      <t xml:space="preserve"> from </t>
    </r>
    <r>
      <rPr>
        <b/>
        <u/>
        <sz val="12"/>
        <color theme="1"/>
        <rFont val="Calibri (Body)"/>
      </rPr>
      <t>your 𝜇-graph</t>
    </r>
    <r>
      <rPr>
        <sz val="12"/>
        <color theme="1"/>
        <rFont val="Calibri"/>
        <family val="2"/>
        <scheme val="minor"/>
      </rPr>
      <t xml:space="preserve"> (Fig.1)</t>
    </r>
  </si>
  <si>
    <t>Rolling friction coefficient</t>
  </si>
  <si>
    <t>Front Wheel Drive Tractive Force (Traction)</t>
  </si>
  <si>
    <t>Rear Wheel Drive Tractive Force (Traction)</t>
  </si>
  <si>
    <t>All Wheel Drive Tractive Force (Traction)</t>
  </si>
  <si>
    <t>mu_W</t>
  </si>
  <si>
    <t>mu_rol</t>
  </si>
  <si>
    <t>F_Tf</t>
  </si>
  <si>
    <t>F_Tr</t>
  </si>
  <si>
    <t>F_Tawd</t>
  </si>
  <si>
    <t>Minimum required Wheel Torque based on Tractive Force:</t>
  </si>
  <si>
    <t>Front Wheel Torque</t>
  </si>
  <si>
    <t>Rear Wheel Torque</t>
  </si>
  <si>
    <t>Rear Wheel Diameter</t>
  </si>
  <si>
    <t>Front Wheel Diameter</t>
  </si>
  <si>
    <t>All Wheel Torque</t>
  </si>
  <si>
    <t>N-m</t>
  </si>
  <si>
    <r>
      <t>𝜇</t>
    </r>
    <r>
      <rPr>
        <b/>
        <vertAlign val="subscript"/>
        <sz val="12"/>
        <color theme="1"/>
        <rFont val="Calibri (Body)"/>
      </rPr>
      <t>W</t>
    </r>
  </si>
  <si>
    <r>
      <t>𝜇</t>
    </r>
    <r>
      <rPr>
        <b/>
        <vertAlign val="subscript"/>
        <sz val="12"/>
        <color theme="1"/>
        <rFont val="Calibri (Body)"/>
      </rPr>
      <t>ROL</t>
    </r>
  </si>
  <si>
    <r>
      <t>F</t>
    </r>
    <r>
      <rPr>
        <b/>
        <vertAlign val="subscript"/>
        <sz val="12"/>
        <color theme="1"/>
        <rFont val="Calibri (Body)"/>
      </rPr>
      <t>TF</t>
    </r>
  </si>
  <si>
    <r>
      <t>F</t>
    </r>
    <r>
      <rPr>
        <b/>
        <vertAlign val="subscript"/>
        <sz val="12"/>
        <color theme="1"/>
        <rFont val="Calibri (Body)"/>
      </rPr>
      <t>TR</t>
    </r>
  </si>
  <si>
    <r>
      <t>F</t>
    </r>
    <r>
      <rPr>
        <b/>
        <vertAlign val="subscript"/>
        <sz val="12"/>
        <color theme="1"/>
        <rFont val="Calibri (Body)"/>
      </rPr>
      <t>Tawd</t>
    </r>
  </si>
  <si>
    <t>Diam_fw</t>
  </si>
  <si>
    <t>Diam_rw</t>
  </si>
  <si>
    <t>T_Aw</t>
  </si>
  <si>
    <t>T_Fw</t>
  </si>
  <si>
    <t>T_Rw</t>
  </si>
  <si>
    <r>
      <t>D</t>
    </r>
    <r>
      <rPr>
        <b/>
        <vertAlign val="subscript"/>
        <sz val="12"/>
        <color theme="1"/>
        <rFont val="Calibri (Body)"/>
      </rPr>
      <t>fw</t>
    </r>
  </si>
  <si>
    <r>
      <t>D</t>
    </r>
    <r>
      <rPr>
        <b/>
        <vertAlign val="subscript"/>
        <sz val="12"/>
        <color theme="1"/>
        <rFont val="Calibri (Body)"/>
      </rPr>
      <t>rw</t>
    </r>
  </si>
  <si>
    <r>
      <t>T</t>
    </r>
    <r>
      <rPr>
        <b/>
        <vertAlign val="subscript"/>
        <sz val="12"/>
        <color theme="1"/>
        <rFont val="Calibri (Body)"/>
      </rPr>
      <t>fw</t>
    </r>
  </si>
  <si>
    <r>
      <t>T</t>
    </r>
    <r>
      <rPr>
        <b/>
        <vertAlign val="subscript"/>
        <sz val="12"/>
        <color theme="1"/>
        <rFont val="Calibri (Body)"/>
      </rPr>
      <t>rw</t>
    </r>
  </si>
  <si>
    <r>
      <t>T</t>
    </r>
    <r>
      <rPr>
        <b/>
        <vertAlign val="subscript"/>
        <sz val="12"/>
        <color theme="1"/>
        <rFont val="Calibri (Body)"/>
      </rPr>
      <t>aw</t>
    </r>
  </si>
  <si>
    <t>Propulsion Power based on Tractive Force:</t>
  </si>
  <si>
    <t>Drive System Efficiency</t>
  </si>
  <si>
    <t>RMS Velocity up the ramp</t>
  </si>
  <si>
    <t>FWD Power</t>
  </si>
  <si>
    <t>RWD Power</t>
  </si>
  <si>
    <t>AWD Power</t>
  </si>
  <si>
    <t>m/s</t>
  </si>
  <si>
    <t>W</t>
  </si>
  <si>
    <t>eta</t>
  </si>
  <si>
    <t>v_rms</t>
  </si>
  <si>
    <t>P_FWD</t>
  </si>
  <si>
    <t>P_RWD</t>
  </si>
  <si>
    <t>P_AWD</t>
  </si>
  <si>
    <t>𝜂</t>
  </si>
  <si>
    <r>
      <t>V</t>
    </r>
    <r>
      <rPr>
        <b/>
        <vertAlign val="subscript"/>
        <sz val="12"/>
        <color theme="1"/>
        <rFont val="Calibri (Body)"/>
      </rPr>
      <t>rms</t>
    </r>
  </si>
  <si>
    <r>
      <t>P</t>
    </r>
    <r>
      <rPr>
        <b/>
        <vertAlign val="subscript"/>
        <sz val="12"/>
        <color theme="1"/>
        <rFont val="Calibri (Body)"/>
      </rPr>
      <t>FWD</t>
    </r>
  </si>
  <si>
    <r>
      <t>P</t>
    </r>
    <r>
      <rPr>
        <b/>
        <vertAlign val="subscript"/>
        <sz val="12"/>
        <color theme="1"/>
        <rFont val="Calibri (Body)"/>
      </rPr>
      <t>RWD</t>
    </r>
  </si>
  <si>
    <r>
      <t>P</t>
    </r>
    <r>
      <rPr>
        <b/>
        <vertAlign val="subscript"/>
        <sz val="12"/>
        <color theme="1"/>
        <rFont val="Calibri (Body)"/>
      </rPr>
      <t>AWD</t>
    </r>
  </si>
  <si>
    <t>Checking Propulsion Power using Weight Distribution on Wheels (𝛽):</t>
  </si>
  <si>
    <t>Fraction of weight on Front wheel</t>
  </si>
  <si>
    <t>Fraction of weight on Rear wheel</t>
  </si>
  <si>
    <t>FWD Propulsion Power based on Weight Distrib. (𝛽):</t>
  </si>
  <si>
    <t>RWD Propulsion Power based on Weight Distrib. (𝛽):</t>
  </si>
  <si>
    <t>AWD Propulsion Power based on Weight Distrib. (𝛽):</t>
  </si>
  <si>
    <t>betaf</t>
  </si>
  <si>
    <t>betar</t>
  </si>
  <si>
    <t>P_b-FWD</t>
  </si>
  <si>
    <t>P_b-AWD</t>
  </si>
  <si>
    <t>P_b-RWD</t>
  </si>
  <si>
    <r>
      <t>𝛽</t>
    </r>
    <r>
      <rPr>
        <b/>
        <vertAlign val="subscript"/>
        <sz val="12"/>
        <color theme="1"/>
        <rFont val="Calibri (Body)"/>
      </rPr>
      <t>f</t>
    </r>
  </si>
  <si>
    <r>
      <t>𝛽</t>
    </r>
    <r>
      <rPr>
        <b/>
        <vertAlign val="subscript"/>
        <sz val="12"/>
        <color theme="1"/>
        <rFont val="Calibri (Body)"/>
      </rPr>
      <t>r</t>
    </r>
  </si>
  <si>
    <r>
      <t>P</t>
    </r>
    <r>
      <rPr>
        <b/>
        <vertAlign val="subscript"/>
        <sz val="12"/>
        <color theme="1"/>
        <rFont val="Calibri (Body)"/>
      </rPr>
      <t>𝛽-FWD</t>
    </r>
  </si>
  <si>
    <r>
      <t>P</t>
    </r>
    <r>
      <rPr>
        <b/>
        <vertAlign val="subscript"/>
        <sz val="12"/>
        <color theme="1"/>
        <rFont val="Calibri (Body)"/>
      </rPr>
      <t>𝛽-RWD</t>
    </r>
  </si>
  <si>
    <r>
      <t>P</t>
    </r>
    <r>
      <rPr>
        <b/>
        <vertAlign val="subscript"/>
        <sz val="12"/>
        <color theme="1"/>
        <rFont val="Calibri (Body)"/>
      </rPr>
      <t>𝛽-AWD</t>
    </r>
  </si>
  <si>
    <r>
      <t>𝜇</t>
    </r>
    <r>
      <rPr>
        <b/>
        <vertAlign val="subscript"/>
        <sz val="12"/>
        <color theme="1"/>
        <rFont val="Calibri (Body)"/>
      </rPr>
      <t>f</t>
    </r>
  </si>
  <si>
    <r>
      <t>𝜇</t>
    </r>
    <r>
      <rPr>
        <b/>
        <vertAlign val="subscript"/>
        <sz val="12"/>
        <color theme="1"/>
        <rFont val="Calibri (Body)"/>
      </rPr>
      <t>r</t>
    </r>
  </si>
  <si>
    <r>
      <t>𝜇</t>
    </r>
    <r>
      <rPr>
        <b/>
        <vertAlign val="subscript"/>
        <sz val="12"/>
        <color theme="1"/>
        <rFont val="Calibri (Body)"/>
      </rPr>
      <t>awd</t>
    </r>
  </si>
  <si>
    <t>-</t>
  </si>
  <si>
    <t>Part 2 Friction Coefficients</t>
  </si>
  <si>
    <t>𝜇awd</t>
  </si>
  <si>
    <t>Lc-var</t>
  </si>
  <si>
    <t>𝜇fwd</t>
  </si>
  <si>
    <t>𝜇rwd</t>
  </si>
  <si>
    <r>
      <t>Check which has the lowest required friction coefficient (FWD or RWD):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𝜇</t>
    </r>
    <r>
      <rPr>
        <vertAlign val="subscript"/>
        <sz val="12"/>
        <color theme="1"/>
        <rFont val="Calibri (Body)"/>
      </rPr>
      <t>f</t>
    </r>
    <r>
      <rPr>
        <sz val="12"/>
        <color theme="1"/>
        <rFont val="Calibri"/>
        <family val="2"/>
        <scheme val="minor"/>
      </rPr>
      <t xml:space="preserve"> or 𝜇</t>
    </r>
    <r>
      <rPr>
        <vertAlign val="subscript"/>
        <sz val="12"/>
        <color theme="1"/>
        <rFont val="Calibri (Body)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</si>
</sst>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vertAlign val="subscript"/>
      <sz val="12"/>
      <color theme="1"/>
      <name val="Calibri (Body)"/>
    </font>
    <font>
      <b/>
      <vertAlign val="subscript"/>
      <sz val="12"/>
      <color theme="1"/>
      <name val="Calibri (Body)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b/>
      <sz val="12"/>
      <color rgb="FF00B05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2" fontId="1" fillId="0" borderId="1" xfId="0" applyNumberFormat="1" applyFont="1" applyBorder="1" applyAlignment="1">
      <alignment horizontal="center"/>
    </xf>
    <xf numFmtId="0" fontId="0" fillId="0" borderId="0" xfId="0" applyAlignment="1"/>
    <xf numFmtId="2" fontId="0" fillId="0" borderId="0" xfId="0" applyNumberFormat="1"/>
    <xf numFmtId="2" fontId="6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Required</a:t>
            </a:r>
            <a:r>
              <a:rPr lang="en-US" sz="1600" b="1" baseline="0"/>
              <a:t> Minimum Coefficient of Friction</a:t>
            </a:r>
            <a:endParaRPr lang="en-US" sz="1600" b="1"/>
          </a:p>
        </c:rich>
      </c:tx>
      <c:layout>
        <c:manualLayout>
          <c:xMode val="edge"/>
          <c:yMode val="edge"/>
          <c:x val="0.313558489498831"/>
          <c:y val="0.0293685756240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321389752559"/>
          <c:y val="0.10563485172966"/>
          <c:w val="0.837257566199417"/>
          <c:h val="0.747549455357968"/>
        </c:manualLayout>
      </c:layout>
      <c:scatterChart>
        <c:scatterStyle val="lineMarker"/>
        <c:varyColors val="0"/>
        <c:ser>
          <c:idx val="0"/>
          <c:order val="0"/>
          <c:tx>
            <c:v>mu_fwd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Sheet1!$H$12:$H$35</c:f>
              <c:numCache>
                <c:formatCode>General</c:formatCode>
                <c:ptCount val="24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</c:v>
                </c:pt>
                <c:pt idx="21">
                  <c:v>0.29</c:v>
                </c:pt>
                <c:pt idx="22">
                  <c:v>0.3</c:v>
                </c:pt>
                <c:pt idx="23">
                  <c:v>0.31</c:v>
                </c:pt>
              </c:numCache>
            </c:numRef>
          </c:xVal>
          <c:yVal>
            <c:numRef>
              <c:f>Sheet1!$I$12:$I$35</c:f>
              <c:numCache>
                <c:formatCode>General</c:formatCode>
                <c:ptCount val="24"/>
                <c:pt idx="0">
                  <c:v>1.22219331779993</c:v>
                </c:pt>
                <c:pt idx="1">
                  <c:v>1.049737429639467</c:v>
                </c:pt>
                <c:pt idx="2">
                  <c:v>0.919931740875537</c:v>
                </c:pt>
                <c:pt idx="3">
                  <c:v>0.818695617009388</c:v>
                </c:pt>
                <c:pt idx="4">
                  <c:v>0.737532104374566</c:v>
                </c:pt>
                <c:pt idx="5">
                  <c:v>0.671009807383859</c:v>
                </c:pt>
                <c:pt idx="6">
                  <c:v>0.615494765597292</c:v>
                </c:pt>
                <c:pt idx="7">
                  <c:v>0.568463727814396</c:v>
                </c:pt>
                <c:pt idx="8">
                  <c:v>0.528109919819837</c:v>
                </c:pt>
                <c:pt idx="9">
                  <c:v>0.493105595780263</c:v>
                </c:pt>
                <c:pt idx="10">
                  <c:v>0.46245315136309</c:v>
                </c:pt>
                <c:pt idx="11">
                  <c:v>0.435388517639547</c:v>
                </c:pt>
                <c:pt idx="12">
                  <c:v>0.411316602141595</c:v>
                </c:pt>
                <c:pt idx="13">
                  <c:v>0.389767024037457</c:v>
                </c:pt>
                <c:pt idx="14">
                  <c:v>0.370363071245062</c:v>
                </c:pt>
                <c:pt idx="15">
                  <c:v>0.352799490352388</c:v>
                </c:pt>
                <c:pt idx="16">
                  <c:v>0.336826309975242</c:v>
                </c:pt>
                <c:pt idx="17">
                  <c:v>0.322236868207881</c:v>
                </c:pt>
                <c:pt idx="18">
                  <c:v>0.30885882240116</c:v>
                </c:pt>
                <c:pt idx="19">
                  <c:v>0.296547309112114</c:v>
                </c:pt>
                <c:pt idx="20">
                  <c:v>0.285179677263057</c:v>
                </c:pt>
                <c:pt idx="21">
                  <c:v>0.27465138795095</c:v>
                </c:pt>
                <c:pt idx="22">
                  <c:v>0.264872790147822</c:v>
                </c:pt>
                <c:pt idx="23">
                  <c:v>0.255766561502551</c:v>
                </c:pt>
              </c:numCache>
            </c:numRef>
          </c:yVal>
          <c:smooth val="0"/>
        </c:ser>
        <c:ser>
          <c:idx val="1"/>
          <c:order val="1"/>
          <c:tx>
            <c:v>mu_rwd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Sheet1!$H$12:$H$35</c:f>
              <c:numCache>
                <c:formatCode>General</c:formatCode>
                <c:ptCount val="24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</c:v>
                </c:pt>
                <c:pt idx="21">
                  <c:v>0.29</c:v>
                </c:pt>
                <c:pt idx="22">
                  <c:v>0.3</c:v>
                </c:pt>
                <c:pt idx="23">
                  <c:v>0.31</c:v>
                </c:pt>
              </c:numCache>
            </c:numRef>
          </c:xVal>
          <c:yVal>
            <c:numRef>
              <c:f>Sheet1!$J$12:$J$35</c:f>
              <c:numCache>
                <c:formatCode>General</c:formatCode>
                <c:ptCount val="24"/>
                <c:pt idx="0">
                  <c:v>0.257305617837673</c:v>
                </c:pt>
                <c:pt idx="1">
                  <c:v>0.266523743240434</c:v>
                </c:pt>
                <c:pt idx="2">
                  <c:v>0.276426899840109</c:v>
                </c:pt>
                <c:pt idx="3">
                  <c:v>0.287094395045049</c:v>
                </c:pt>
                <c:pt idx="4">
                  <c:v>0.298618269756887</c:v>
                </c:pt>
                <c:pt idx="5">
                  <c:v>0.311105960832054</c:v>
                </c:pt>
                <c:pt idx="6">
                  <c:v>0.324683660735409</c:v>
                </c:pt>
                <c:pt idx="7">
                  <c:v>0.339500597100471</c:v>
                </c:pt>
                <c:pt idx="8">
                  <c:v>0.355734540107291</c:v>
                </c:pt>
                <c:pt idx="9">
                  <c:v>0.373598969291459</c:v>
                </c:pt>
                <c:pt idx="10">
                  <c:v>0.393352513965626</c:v>
                </c:pt>
                <c:pt idx="11">
                  <c:v>0.415311555730034</c:v>
                </c:pt>
                <c:pt idx="12">
                  <c:v>0.439867301805657</c:v>
                </c:pt>
                <c:pt idx="13">
                  <c:v>0.467509295867529</c:v>
                </c:pt>
                <c:pt idx="14">
                  <c:v>0.498858388069001</c:v>
                </c:pt>
                <c:pt idx="15">
                  <c:v>0.53471392342414</c:v>
                </c:pt>
                <c:pt idx="16">
                  <c:v>0.576122856163627</c:v>
                </c:pt>
                <c:pt idx="17">
                  <c:v>0.62448367361137</c:v>
                </c:pt>
                <c:pt idx="18">
                  <c:v>0.681707457671508</c:v>
                </c:pt>
                <c:pt idx="19">
                  <c:v>0.750476431238175</c:v>
                </c:pt>
                <c:pt idx="20">
                  <c:v>0.834676551153305</c:v>
                </c:pt>
                <c:pt idx="21">
                  <c:v>0.940158112636255</c:v>
                </c:pt>
                <c:pt idx="22">
                  <c:v>1.07615650424145</c:v>
                </c:pt>
                <c:pt idx="23">
                  <c:v>1.258154619621633</c:v>
                </c:pt>
              </c:numCache>
            </c:numRef>
          </c:yVal>
          <c:smooth val="0"/>
        </c:ser>
        <c:ser>
          <c:idx val="2"/>
          <c:order val="2"/>
          <c:tx>
            <c:v>mu_awd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Sheet1!$H$12:$H$35</c:f>
              <c:numCache>
                <c:formatCode>General</c:formatCode>
                <c:ptCount val="24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</c:v>
                </c:pt>
                <c:pt idx="21">
                  <c:v>0.29</c:v>
                </c:pt>
                <c:pt idx="22">
                  <c:v>0.3</c:v>
                </c:pt>
                <c:pt idx="23">
                  <c:v>0.31</c:v>
                </c:pt>
              </c:numCache>
            </c:numRef>
          </c:xVal>
          <c:yVal>
            <c:numRef>
              <c:f>Sheet1!$K$12:$K$35</c:f>
              <c:numCache>
                <c:formatCode>General</c:formatCode>
                <c:ptCount val="24"/>
                <c:pt idx="0">
                  <c:v>0.212556561670022</c:v>
                </c:pt>
                <c:pt idx="1">
                  <c:v>0.212556561670022</c:v>
                </c:pt>
                <c:pt idx="2">
                  <c:v>0.212556561670022</c:v>
                </c:pt>
                <c:pt idx="3">
                  <c:v>0.212556561670022</c:v>
                </c:pt>
                <c:pt idx="4">
                  <c:v>0.212556561670022</c:v>
                </c:pt>
                <c:pt idx="5">
                  <c:v>0.212556561670022</c:v>
                </c:pt>
                <c:pt idx="6">
                  <c:v>0.212556561670022</c:v>
                </c:pt>
                <c:pt idx="7">
                  <c:v>0.212556561670022</c:v>
                </c:pt>
                <c:pt idx="8">
                  <c:v>0.212556561670022</c:v>
                </c:pt>
                <c:pt idx="9">
                  <c:v>0.212556561670022</c:v>
                </c:pt>
                <c:pt idx="10">
                  <c:v>0.212556561670022</c:v>
                </c:pt>
                <c:pt idx="11">
                  <c:v>0.212556561670022</c:v>
                </c:pt>
                <c:pt idx="12">
                  <c:v>0.212556561670022</c:v>
                </c:pt>
                <c:pt idx="13">
                  <c:v>0.212556561670022</c:v>
                </c:pt>
                <c:pt idx="14">
                  <c:v>0.212556561670022</c:v>
                </c:pt>
                <c:pt idx="15">
                  <c:v>0.212556561670022</c:v>
                </c:pt>
                <c:pt idx="16">
                  <c:v>0.212556561670022</c:v>
                </c:pt>
                <c:pt idx="17">
                  <c:v>0.212556561670022</c:v>
                </c:pt>
                <c:pt idx="18">
                  <c:v>0.212556561670022</c:v>
                </c:pt>
                <c:pt idx="19">
                  <c:v>0.212556561670022</c:v>
                </c:pt>
                <c:pt idx="20">
                  <c:v>0.212556561670022</c:v>
                </c:pt>
                <c:pt idx="21">
                  <c:v>0.212556561670022</c:v>
                </c:pt>
                <c:pt idx="22">
                  <c:v>0.212556561670022</c:v>
                </c:pt>
                <c:pt idx="23">
                  <c:v>0.212556561670022</c:v>
                </c:pt>
              </c:numCache>
            </c:numRef>
          </c:yVal>
          <c:smooth val="0"/>
        </c:ser>
        <c:ser>
          <c:idx val="3"/>
          <c:order val="3"/>
          <c:tx>
            <c:v>mu_fwd=mu_rwd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349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0165910120870095"/>
                  <c:y val="-0.0025269980894302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Sheet1!$H$56</c:f>
              <c:numCache>
                <c:formatCode>0.00</c:formatCode>
                <c:ptCount val="1"/>
                <c:pt idx="0">
                  <c:v>0.194130090550302</c:v>
                </c:pt>
              </c:numCache>
            </c:numRef>
          </c:xVal>
          <c:yVal>
            <c:numRef>
              <c:f>Sheet1!$I$56</c:f>
              <c:numCache>
                <c:formatCode>0.00</c:formatCode>
                <c:ptCount val="1"/>
                <c:pt idx="0">
                  <c:v>0.425113123340044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85849008"/>
        <c:axId val="1417188736"/>
      </c:scatterChart>
      <c:valAx>
        <c:axId val="1485849008"/>
        <c:scaling>
          <c:orientation val="minMax"/>
          <c:max val="0.32"/>
          <c:min val="0.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Horizontal Distance of Center of Mass from Rear Wheels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88736"/>
        <c:crosses val="autoZero"/>
        <c:crossBetween val="midCat"/>
      </c:valAx>
      <c:valAx>
        <c:axId val="1417188736"/>
        <c:scaling>
          <c:orientation val="minMax"/>
          <c:max val="1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Coefficient</a:t>
                </a:r>
                <a:r>
                  <a:rPr lang="en-US" sz="1600" baseline="0"/>
                  <a:t> of Friction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50361953922"/>
          <c:y val="0.105284178919149"/>
          <c:w val="0.195489391650748"/>
          <c:h val="0.2475895824465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290038</xdr:colOff>
      <xdr:row>11</xdr:row>
      <xdr:rowOff>92161</xdr:rowOff>
    </xdr:from>
    <xdr:to>
      <xdr:col>21</xdr:col>
      <xdr:colOff>501264</xdr:colOff>
      <xdr:row>34</xdr:row>
      <xdr:rowOff>195261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646982</xdr:colOff>
      <xdr:row>61</xdr:row>
      <xdr:rowOff>11981</xdr:rowOff>
    </xdr:from>
    <xdr:to>
      <xdr:col>7</xdr:col>
      <xdr:colOff>192425</xdr:colOff>
      <xdr:row>66</xdr:row>
      <xdr:rowOff>102626</xdr:rowOff>
    </xdr:to>
    <xdr:sp macro="" textlink="">
      <xdr:nvSpPr>
        <xdr:cNvPr id="5" name="TextBox 4"/>
        <xdr:cNvSpPr txBox="1"/>
      </xdr:nvSpPr>
      <xdr:spPr>
        <a:xfrm>
          <a:off x="8408093" y="13327739"/>
          <a:ext cx="2008473" cy="11169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0.3146</cdr:x>
      <cdr:y>0.12577</cdr:y>
    </cdr:from>
    <cdr:to>
      <cdr:x>0.57453</cdr:x>
      <cdr:y>0.3609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91073" y="651880"/>
          <a:ext cx="1975556" cy="121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0.27241</cdr:x>
      <cdr:y>0.13072</cdr:y>
    </cdr:from>
    <cdr:to>
      <cdr:x>0.67074</cdr:x>
      <cdr:y>0.42277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70366" y="677536"/>
          <a:ext cx="3027475" cy="1513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0.24878</cdr:x>
      <cdr:y>0.11092</cdr:y>
    </cdr:from>
    <cdr:to>
      <cdr:x>0.55259</cdr:x>
      <cdr:y>0.31635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0770" y="574910"/>
          <a:ext cx="2309091" cy="1064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Wheelbase,</a:t>
          </a:r>
          <a:r>
            <a:rPr lang="en-US" sz="1400" baseline="0"/>
            <a:t> L(m) = 0.35</a:t>
          </a:r>
        </a:p>
        <a:p xmlns:a="http://schemas.openxmlformats.org/drawingml/2006/main">
          <a:r>
            <a:rPr lang="en-US" sz="1400" baseline="0"/>
            <a:t>CoM Height, h(m) = 0.09</a:t>
          </a:r>
        </a:p>
        <a:p xmlns:a="http://schemas.openxmlformats.org/drawingml/2006/main">
          <a:r>
            <a:rPr lang="en-US" sz="1400" baseline="0"/>
            <a:t>Incline Angle, 𝜃 = 12</a:t>
          </a:r>
        </a:p>
        <a:p xmlns:a="http://schemas.openxmlformats.org/drawingml/2006/main"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62" zoomScale="75" workbookViewId="0">
      <selection activeCell="T6" sqref="T6"/>
    </sheetView>
  </sheetViews>
  <sheetFormatPr baseColWidth="10" defaultRowHeight="16" x14ac:dyDescent="0.2"/>
  <cols>
    <col min="1" max="1" width="53" customWidth="1"/>
    <col min="2" max="2" width="17.83203125" customWidth="1"/>
    <col min="3" max="3" width="19" customWidth="1"/>
    <col min="4" max="4" width="12" customWidth="1"/>
  </cols>
  <sheetData>
    <row r="1" spans="1:12" x14ac:dyDescent="0.2">
      <c r="H1" s="29" t="s">
        <v>121</v>
      </c>
      <c r="I1" s="29"/>
      <c r="J1" s="29"/>
      <c r="K1" s="29"/>
      <c r="L1" s="13"/>
    </row>
    <row r="2" spans="1:12" x14ac:dyDescent="0.2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H2" s="2"/>
      <c r="I2" s="2"/>
      <c r="J2" s="2"/>
      <c r="K2" s="2"/>
    </row>
    <row r="3" spans="1:12" x14ac:dyDescent="0.2">
      <c r="A3" s="1" t="s">
        <v>5</v>
      </c>
      <c r="B3" s="2"/>
      <c r="C3" s="2"/>
      <c r="D3" s="2"/>
      <c r="E3" s="2"/>
      <c r="H3" s="7" t="s">
        <v>123</v>
      </c>
      <c r="I3" s="7" t="s">
        <v>124</v>
      </c>
      <c r="J3" s="7" t="s">
        <v>125</v>
      </c>
      <c r="K3" s="7" t="s">
        <v>122</v>
      </c>
    </row>
    <row r="4" spans="1:12" x14ac:dyDescent="0.2">
      <c r="A4" s="2" t="s">
        <v>7</v>
      </c>
      <c r="B4" s="3" t="s">
        <v>11</v>
      </c>
      <c r="C4" s="3" t="s">
        <v>13</v>
      </c>
      <c r="D4" s="12">
        <v>2.12</v>
      </c>
      <c r="E4" s="4" t="s">
        <v>17</v>
      </c>
      <c r="H4" s="7">
        <v>0</v>
      </c>
      <c r="I4" s="7">
        <f t="shared" ref="I4:I35" si="0">(L*TAN(theta*PI()/180))/(H4-hc*TAN(theta*PI()/180))</f>
        <v>-3.8888888888888893</v>
      </c>
      <c r="J4" s="7">
        <f t="shared" ref="J4:J35" si="1">(L*TAN(theta*PI()/180))/(L-H4+hc*TAN(theta*PI()/180))</f>
        <v>0.2015408618506267</v>
      </c>
      <c r="K4" s="7">
        <f t="shared" ref="K4:K35" si="2">TAN(theta*PI()/180)</f>
        <v>0.2125565616700221</v>
      </c>
    </row>
    <row r="5" spans="1:12" x14ac:dyDescent="0.2">
      <c r="A5" s="2" t="s">
        <v>8</v>
      </c>
      <c r="B5" s="3" t="s">
        <v>12</v>
      </c>
      <c r="C5" s="3" t="s">
        <v>12</v>
      </c>
      <c r="D5" s="12">
        <v>0.35</v>
      </c>
      <c r="E5" s="4" t="s">
        <v>11</v>
      </c>
      <c r="H5" s="7">
        <f>H4+0.01</f>
        <v>0.01</v>
      </c>
      <c r="I5" s="7">
        <f t="shared" si="0"/>
        <v>-8.1483087352345098</v>
      </c>
      <c r="J5" s="7">
        <f t="shared" si="1"/>
        <v>0.20715277984785721</v>
      </c>
      <c r="K5" s="7">
        <f t="shared" si="2"/>
        <v>0.2125565616700221</v>
      </c>
    </row>
    <row r="6" spans="1:12" ht="18" x14ac:dyDescent="0.25">
      <c r="A6" s="2" t="s">
        <v>9</v>
      </c>
      <c r="B6" s="3" t="s">
        <v>19</v>
      </c>
      <c r="C6" s="3" t="s">
        <v>14</v>
      </c>
      <c r="D6" s="12">
        <v>0.25</v>
      </c>
      <c r="E6" s="4" t="s">
        <v>11</v>
      </c>
      <c r="H6" s="7">
        <f t="shared" ref="H6:H54" si="3">H5+0.01</f>
        <v>0.02</v>
      </c>
      <c r="I6" s="7">
        <f t="shared" si="0"/>
        <v>85.520161449371159</v>
      </c>
      <c r="J6" s="7">
        <f t="shared" si="1"/>
        <v>0.21308617789788897</v>
      </c>
      <c r="K6" s="7">
        <f t="shared" si="2"/>
        <v>0.2125565616700221</v>
      </c>
    </row>
    <row r="7" spans="1:12" ht="18" x14ac:dyDescent="0.25">
      <c r="A7" s="2" t="s">
        <v>10</v>
      </c>
      <c r="B7" s="3" t="s">
        <v>20</v>
      </c>
      <c r="C7" s="3" t="s">
        <v>15</v>
      </c>
      <c r="D7" s="12">
        <v>0.09</v>
      </c>
      <c r="E7" s="4" t="s">
        <v>11</v>
      </c>
      <c r="H7" s="7">
        <f t="shared" si="3"/>
        <v>0.03</v>
      </c>
      <c r="I7" s="7">
        <f t="shared" si="0"/>
        <v>6.8441045372806277</v>
      </c>
      <c r="J7" s="7">
        <f t="shared" si="1"/>
        <v>0.21936949464964395</v>
      </c>
      <c r="K7" s="7">
        <f t="shared" si="2"/>
        <v>0.2125565616700221</v>
      </c>
    </row>
    <row r="8" spans="1:12" ht="18" x14ac:dyDescent="0.25">
      <c r="A8" s="1" t="s">
        <v>6</v>
      </c>
      <c r="B8" s="3" t="s">
        <v>21</v>
      </c>
      <c r="C8" s="3" t="s">
        <v>16</v>
      </c>
      <c r="D8" s="15">
        <f>mass*9.81</f>
        <v>20.797200000000004</v>
      </c>
      <c r="E8" s="4" t="s">
        <v>18</v>
      </c>
      <c r="H8" s="7">
        <f t="shared" si="3"/>
        <v>0.04</v>
      </c>
      <c r="I8" s="7">
        <f t="shared" si="0"/>
        <v>3.5646918719900924</v>
      </c>
      <c r="J8" s="7">
        <f t="shared" si="1"/>
        <v>0.22603462497190832</v>
      </c>
      <c r="K8" s="7">
        <f t="shared" si="2"/>
        <v>0.2125565616700221</v>
      </c>
    </row>
    <row r="9" spans="1:12" x14ac:dyDescent="0.2">
      <c r="H9" s="7">
        <f t="shared" si="3"/>
        <v>0.05</v>
      </c>
      <c r="I9" s="7">
        <f t="shared" si="0"/>
        <v>2.4099454099705984</v>
      </c>
      <c r="J9" s="7">
        <f t="shared" si="1"/>
        <v>0.23311746145975373</v>
      </c>
      <c r="K9" s="7">
        <f t="shared" si="2"/>
        <v>0.2125565616700221</v>
      </c>
    </row>
    <row r="10" spans="1:12" x14ac:dyDescent="0.2">
      <c r="A10" s="8" t="s">
        <v>22</v>
      </c>
      <c r="B10" s="9"/>
      <c r="C10" s="9"/>
      <c r="D10" s="9"/>
      <c r="E10" s="9"/>
      <c r="H10" s="7">
        <f t="shared" si="3"/>
        <v>6.0000000000000005E-2</v>
      </c>
      <c r="I10" s="7">
        <f t="shared" si="0"/>
        <v>1.8202828825953621</v>
      </c>
      <c r="J10" s="7">
        <f t="shared" si="1"/>
        <v>0.24065854104358742</v>
      </c>
      <c r="K10" s="7">
        <f t="shared" si="2"/>
        <v>0.2125565616700221</v>
      </c>
    </row>
    <row r="11" spans="1:12" x14ac:dyDescent="0.2">
      <c r="A11" s="2" t="s">
        <v>23</v>
      </c>
      <c r="B11" s="10" t="s">
        <v>28</v>
      </c>
      <c r="C11" s="3" t="s">
        <v>29</v>
      </c>
      <c r="D11" s="12">
        <v>12</v>
      </c>
      <c r="E11" s="7" t="s">
        <v>34</v>
      </c>
      <c r="H11" s="7">
        <f t="shared" si="3"/>
        <v>7.0000000000000007E-2</v>
      </c>
      <c r="I11" s="7">
        <f t="shared" si="0"/>
        <v>1.4624519168462833</v>
      </c>
      <c r="J11" s="7">
        <f t="shared" si="1"/>
        <v>0.24870382129609742</v>
      </c>
      <c r="K11" s="7">
        <f t="shared" si="2"/>
        <v>0.2125565616700221</v>
      </c>
    </row>
    <row r="12" spans="1:12" ht="18" x14ac:dyDescent="0.25">
      <c r="A12" s="11" t="s">
        <v>24</v>
      </c>
      <c r="B12" s="3" t="s">
        <v>45</v>
      </c>
      <c r="C12" s="3" t="s">
        <v>30</v>
      </c>
      <c r="D12" s="15">
        <f>((Fmg*Lc*COS(theta*PI()/180))-(Fmg*hc*SIN(theta*PI()/180)))/L</f>
        <v>13.418641511515764</v>
      </c>
      <c r="E12" s="7" t="s">
        <v>18</v>
      </c>
      <c r="H12" s="7">
        <f t="shared" si="3"/>
        <v>0.08</v>
      </c>
      <c r="I12" s="7">
        <f t="shared" si="0"/>
        <v>1.22219331779993</v>
      </c>
      <c r="J12" s="7">
        <f t="shared" si="1"/>
        <v>0.25730561783767286</v>
      </c>
      <c r="K12" s="7">
        <f t="shared" si="2"/>
        <v>0.2125565616700221</v>
      </c>
    </row>
    <row r="13" spans="1:12" ht="18" x14ac:dyDescent="0.25">
      <c r="A13" s="2" t="s">
        <v>25</v>
      </c>
      <c r="B13" s="3" t="s">
        <v>46</v>
      </c>
      <c r="C13" s="3" t="s">
        <v>31</v>
      </c>
      <c r="D13" s="15">
        <f>((Fmg*(L-Lc)*COS(theta*PI()/180))+(Fmg*hc*SIN(theta*PI()/180)))/L</f>
        <v>6.9240897704653435</v>
      </c>
      <c r="E13" s="7" t="s">
        <v>18</v>
      </c>
      <c r="H13" s="7">
        <f t="shared" si="3"/>
        <v>0.09</v>
      </c>
      <c r="I13" s="7">
        <f t="shared" si="0"/>
        <v>1.0497374296394666</v>
      </c>
      <c r="J13" s="7">
        <f t="shared" si="1"/>
        <v>0.26652374324043382</v>
      </c>
      <c r="K13" s="7">
        <f t="shared" si="2"/>
        <v>0.2125565616700221</v>
      </c>
    </row>
    <row r="14" spans="1:12" ht="18" x14ac:dyDescent="0.25">
      <c r="A14" s="2" t="s">
        <v>26</v>
      </c>
      <c r="B14" s="3" t="s">
        <v>47</v>
      </c>
      <c r="C14" s="3" t="s">
        <v>32</v>
      </c>
      <c r="D14" s="15">
        <f>Lc*TAN((90-theta)*PI()/180)</f>
        <v>1.1761575273696128</v>
      </c>
      <c r="E14" s="7" t="s">
        <v>11</v>
      </c>
      <c r="H14" s="7">
        <f t="shared" si="3"/>
        <v>9.9999999999999992E-2</v>
      </c>
      <c r="I14" s="7">
        <f t="shared" si="0"/>
        <v>0.91993174087553709</v>
      </c>
      <c r="J14" s="7">
        <f t="shared" si="1"/>
        <v>0.27642689984010876</v>
      </c>
      <c r="K14" s="7">
        <f t="shared" si="2"/>
        <v>0.2125565616700221</v>
      </c>
    </row>
    <row r="15" spans="1:12" ht="18" x14ac:dyDescent="0.25">
      <c r="A15" s="2" t="s">
        <v>27</v>
      </c>
      <c r="B15" s="3" t="s">
        <v>48</v>
      </c>
      <c r="C15" s="3" t="s">
        <v>33</v>
      </c>
      <c r="D15" s="15">
        <f>90-(ATAN(hc/Lc)*180/PI())</f>
        <v>70.201123645475064</v>
      </c>
      <c r="E15" s="7" t="s">
        <v>34</v>
      </c>
      <c r="H15" s="7">
        <f t="shared" si="3"/>
        <v>0.10999999999999999</v>
      </c>
      <c r="I15" s="7">
        <f t="shared" si="0"/>
        <v>0.81869561700938809</v>
      </c>
      <c r="J15" s="7">
        <f t="shared" si="1"/>
        <v>0.28709439504504902</v>
      </c>
      <c r="K15" s="7">
        <f t="shared" si="2"/>
        <v>0.2125565616700221</v>
      </c>
    </row>
    <row r="16" spans="1:12" x14ac:dyDescent="0.2">
      <c r="H16" s="7">
        <f t="shared" si="3"/>
        <v>0.11999999999999998</v>
      </c>
      <c r="I16" s="7">
        <f t="shared" si="0"/>
        <v>0.73753210437456651</v>
      </c>
      <c r="J16" s="7">
        <f t="shared" si="1"/>
        <v>0.29861826975688688</v>
      </c>
      <c r="K16" s="7">
        <f t="shared" si="2"/>
        <v>0.2125565616700221</v>
      </c>
    </row>
    <row r="17" spans="1:13" x14ac:dyDescent="0.2">
      <c r="A17" s="8" t="s">
        <v>35</v>
      </c>
      <c r="B17" s="9"/>
      <c r="C17" s="9"/>
      <c r="D17" s="9"/>
      <c r="E17" s="9"/>
      <c r="H17" s="7">
        <f t="shared" si="3"/>
        <v>0.12999999999999998</v>
      </c>
      <c r="I17" s="7">
        <f t="shared" si="0"/>
        <v>0.67100980738385896</v>
      </c>
      <c r="J17" s="7">
        <f t="shared" si="1"/>
        <v>0.31110596083205383</v>
      </c>
      <c r="K17" s="7">
        <f t="shared" si="2"/>
        <v>0.2125565616700221</v>
      </c>
    </row>
    <row r="18" spans="1:13" ht="18" x14ac:dyDescent="0.25">
      <c r="A18" s="2" t="s">
        <v>36</v>
      </c>
      <c r="B18" s="3" t="s">
        <v>117</v>
      </c>
      <c r="C18" s="3" t="s">
        <v>40</v>
      </c>
      <c r="D18" s="15">
        <f>(L*TAN(theta*PI()/180))/(Lc-hc*TAN(theta*PI()/180))</f>
        <v>0.32223686820788089</v>
      </c>
      <c r="E18" s="7" t="s">
        <v>120</v>
      </c>
      <c r="H18" s="7">
        <f t="shared" si="3"/>
        <v>0.13999999999999999</v>
      </c>
      <c r="I18" s="7">
        <f t="shared" si="0"/>
        <v>0.61549476559729166</v>
      </c>
      <c r="J18" s="7">
        <f t="shared" si="1"/>
        <v>0.32468366073540872</v>
      </c>
      <c r="K18" s="7">
        <f t="shared" si="2"/>
        <v>0.2125565616700221</v>
      </c>
      <c r="M18" s="14"/>
    </row>
    <row r="19" spans="1:13" ht="18" x14ac:dyDescent="0.25">
      <c r="A19" s="2" t="s">
        <v>37</v>
      </c>
      <c r="B19" s="3" t="s">
        <v>118</v>
      </c>
      <c r="C19" s="3" t="s">
        <v>41</v>
      </c>
      <c r="D19" s="15">
        <f>(L*TAN(theta*PI()/180))/(L-Lc+hc*TAN(theta*PI()/180))</f>
        <v>0.62448367361137003</v>
      </c>
      <c r="E19" s="7" t="s">
        <v>120</v>
      </c>
      <c r="H19" s="7">
        <f t="shared" si="3"/>
        <v>0.15</v>
      </c>
      <c r="I19" s="7">
        <f t="shared" si="0"/>
        <v>0.56846372781439569</v>
      </c>
      <c r="J19" s="7">
        <f t="shared" si="1"/>
        <v>0.3395005971004707</v>
      </c>
      <c r="K19" s="7">
        <f t="shared" si="2"/>
        <v>0.2125565616700221</v>
      </c>
    </row>
    <row r="20" spans="1:13" ht="18" x14ac:dyDescent="0.25">
      <c r="A20" s="2" t="s">
        <v>38</v>
      </c>
      <c r="B20" s="3" t="s">
        <v>119</v>
      </c>
      <c r="C20" s="3" t="s">
        <v>42</v>
      </c>
      <c r="D20" s="15">
        <f>TAN(theta*PI()/180)</f>
        <v>0.2125565616700221</v>
      </c>
      <c r="E20" s="7" t="s">
        <v>120</v>
      </c>
      <c r="H20" s="7">
        <f t="shared" si="3"/>
        <v>0.16</v>
      </c>
      <c r="I20" s="7">
        <f t="shared" si="0"/>
        <v>0.52810991981983713</v>
      </c>
      <c r="J20" s="7">
        <f t="shared" si="1"/>
        <v>0.35573454010729072</v>
      </c>
      <c r="K20" s="7">
        <f t="shared" si="2"/>
        <v>0.2125565616700221</v>
      </c>
    </row>
    <row r="21" spans="1:13" ht="18" x14ac:dyDescent="0.25">
      <c r="A21" s="2" t="s">
        <v>39</v>
      </c>
      <c r="B21" s="3" t="s">
        <v>44</v>
      </c>
      <c r="C21" s="3" t="s">
        <v>43</v>
      </c>
      <c r="D21" s="15">
        <f>hc*TAN(theta*PI()/180)+L/2</f>
        <v>0.19413009055030198</v>
      </c>
      <c r="E21" s="7" t="s">
        <v>11</v>
      </c>
      <c r="H21" s="7">
        <f t="shared" si="3"/>
        <v>0.17</v>
      </c>
      <c r="I21" s="7">
        <f t="shared" si="0"/>
        <v>0.49310559578026336</v>
      </c>
      <c r="J21" s="7">
        <f t="shared" si="1"/>
        <v>0.37359896929145914</v>
      </c>
      <c r="K21" s="7">
        <f t="shared" si="2"/>
        <v>0.2125565616700221</v>
      </c>
    </row>
    <row r="22" spans="1:13" x14ac:dyDescent="0.2">
      <c r="H22" s="7">
        <f t="shared" si="3"/>
        <v>0.18000000000000002</v>
      </c>
      <c r="I22" s="7">
        <f t="shared" si="0"/>
        <v>0.46245315136308968</v>
      </c>
      <c r="J22" s="7">
        <f t="shared" si="1"/>
        <v>0.39335251396562587</v>
      </c>
      <c r="K22" s="7">
        <f t="shared" si="2"/>
        <v>0.2125565616700221</v>
      </c>
    </row>
    <row r="23" spans="1:13" x14ac:dyDescent="0.2">
      <c r="A23" s="8" t="s">
        <v>49</v>
      </c>
      <c r="B23" s="2"/>
      <c r="C23" s="17" t="str">
        <f>IF(mu_f&lt;mu_r,"FWD","RWD")</f>
        <v>FWD</v>
      </c>
      <c r="F23" s="14"/>
      <c r="H23" s="7">
        <f t="shared" si="3"/>
        <v>0.19000000000000003</v>
      </c>
      <c r="I23" s="7">
        <f t="shared" si="0"/>
        <v>0.43538851763954745</v>
      </c>
      <c r="J23" s="7">
        <f t="shared" si="1"/>
        <v>0.41531155573003387</v>
      </c>
      <c r="K23" s="7">
        <f t="shared" si="2"/>
        <v>0.2125565616700221</v>
      </c>
    </row>
    <row r="24" spans="1:13" ht="18" x14ac:dyDescent="0.25">
      <c r="A24" s="23" t="s">
        <v>126</v>
      </c>
      <c r="B24" s="24"/>
      <c r="C24" s="25"/>
      <c r="H24" s="7">
        <f t="shared" si="3"/>
        <v>0.20000000000000004</v>
      </c>
      <c r="I24" s="7">
        <f t="shared" si="0"/>
        <v>0.41131660214159482</v>
      </c>
      <c r="J24" s="7">
        <f t="shared" si="1"/>
        <v>0.43986730180565686</v>
      </c>
      <c r="K24" s="7">
        <f t="shared" si="2"/>
        <v>0.2125565616700221</v>
      </c>
    </row>
    <row r="25" spans="1:13" x14ac:dyDescent="0.2">
      <c r="H25" s="7">
        <f t="shared" si="3"/>
        <v>0.21000000000000005</v>
      </c>
      <c r="I25" s="7">
        <f t="shared" si="0"/>
        <v>0.38976702403745717</v>
      </c>
      <c r="J25" s="7">
        <f t="shared" si="1"/>
        <v>0.46750929586752871</v>
      </c>
      <c r="K25" s="7">
        <f t="shared" si="2"/>
        <v>0.2125565616700221</v>
      </c>
    </row>
    <row r="26" spans="1:13" x14ac:dyDescent="0.2">
      <c r="H26" s="7">
        <f t="shared" si="3"/>
        <v>0.22000000000000006</v>
      </c>
      <c r="I26" s="7">
        <f t="shared" si="0"/>
        <v>0.37036307124506229</v>
      </c>
      <c r="J26" s="7">
        <f t="shared" si="1"/>
        <v>0.49885838806900079</v>
      </c>
      <c r="K26" s="7">
        <f t="shared" si="2"/>
        <v>0.2125565616700221</v>
      </c>
    </row>
    <row r="27" spans="1:13" x14ac:dyDescent="0.2">
      <c r="H27" s="7">
        <f t="shared" si="3"/>
        <v>0.23000000000000007</v>
      </c>
      <c r="I27" s="7">
        <f t="shared" si="0"/>
        <v>0.35279949035238822</v>
      </c>
      <c r="J27" s="7">
        <f t="shared" si="1"/>
        <v>0.53471392342413959</v>
      </c>
      <c r="K27" s="7">
        <f t="shared" si="2"/>
        <v>0.2125565616700221</v>
      </c>
    </row>
    <row r="28" spans="1:13" x14ac:dyDescent="0.2">
      <c r="E28" s="16"/>
      <c r="H28" s="7">
        <f t="shared" si="3"/>
        <v>0.24000000000000007</v>
      </c>
      <c r="I28" s="7">
        <f t="shared" si="0"/>
        <v>0.33682630997524243</v>
      </c>
      <c r="J28" s="7">
        <f t="shared" si="1"/>
        <v>0.57612285616362724</v>
      </c>
      <c r="K28" s="7">
        <f t="shared" si="2"/>
        <v>0.2125565616700221</v>
      </c>
    </row>
    <row r="29" spans="1:13" x14ac:dyDescent="0.2">
      <c r="A29" s="8" t="s">
        <v>50</v>
      </c>
      <c r="B29" s="9"/>
      <c r="C29" s="9"/>
      <c r="D29" s="9"/>
      <c r="E29" s="9"/>
      <c r="H29" s="7">
        <f t="shared" si="3"/>
        <v>0.25000000000000006</v>
      </c>
      <c r="I29" s="7">
        <f t="shared" si="0"/>
        <v>0.32223686820788083</v>
      </c>
      <c r="J29" s="7">
        <f t="shared" si="1"/>
        <v>0.62448367361137036</v>
      </c>
      <c r="K29" s="7">
        <f t="shared" si="2"/>
        <v>0.2125565616700221</v>
      </c>
    </row>
    <row r="30" spans="1:13" ht="18" x14ac:dyDescent="0.25">
      <c r="A30" s="2" t="s">
        <v>51</v>
      </c>
      <c r="B30" s="3" t="s">
        <v>68</v>
      </c>
      <c r="C30" s="3" t="s">
        <v>56</v>
      </c>
      <c r="D30" s="18">
        <f>I56</f>
        <v>0.4251131233400442</v>
      </c>
      <c r="E30" s="3"/>
      <c r="H30" s="7">
        <f t="shared" si="3"/>
        <v>0.26000000000000006</v>
      </c>
      <c r="I30" s="7">
        <f t="shared" si="0"/>
        <v>0.30885882240115975</v>
      </c>
      <c r="J30" s="7">
        <f t="shared" si="1"/>
        <v>0.68170745767150764</v>
      </c>
      <c r="K30" s="7">
        <f t="shared" si="2"/>
        <v>0.2125565616700221</v>
      </c>
    </row>
    <row r="31" spans="1:13" ht="18" x14ac:dyDescent="0.25">
      <c r="A31" s="2" t="s">
        <v>52</v>
      </c>
      <c r="B31" s="3" t="s">
        <v>69</v>
      </c>
      <c r="C31" s="3" t="s">
        <v>57</v>
      </c>
      <c r="D31" s="3">
        <v>3.0000000000000001E-3</v>
      </c>
      <c r="E31" s="3" t="s">
        <v>120</v>
      </c>
      <c r="H31" s="7">
        <f t="shared" si="3"/>
        <v>0.27000000000000007</v>
      </c>
      <c r="I31" s="7">
        <f t="shared" si="0"/>
        <v>0.29654730911211424</v>
      </c>
      <c r="J31" s="7">
        <f t="shared" si="1"/>
        <v>0.75047643123817531</v>
      </c>
      <c r="K31" s="7">
        <f t="shared" si="2"/>
        <v>0.2125565616700221</v>
      </c>
    </row>
    <row r="32" spans="1:13" ht="18" x14ac:dyDescent="0.25">
      <c r="A32" s="2" t="s">
        <v>53</v>
      </c>
      <c r="B32" s="3" t="s">
        <v>70</v>
      </c>
      <c r="C32" s="3" t="s">
        <v>58</v>
      </c>
      <c r="D32" s="21">
        <f>Nf*mu_W</f>
        <v>5.7044406039408377</v>
      </c>
      <c r="E32" s="4" t="s">
        <v>18</v>
      </c>
      <c r="H32" s="7">
        <f t="shared" si="3"/>
        <v>0.28000000000000008</v>
      </c>
      <c r="I32" s="7">
        <f t="shared" si="0"/>
        <v>0.28517967726305671</v>
      </c>
      <c r="J32" s="7">
        <f t="shared" si="1"/>
        <v>0.83467655115330475</v>
      </c>
      <c r="K32" s="7">
        <f t="shared" si="2"/>
        <v>0.2125565616700221</v>
      </c>
    </row>
    <row r="33" spans="1:11" ht="18" x14ac:dyDescent="0.25">
      <c r="A33" s="2" t="s">
        <v>54</v>
      </c>
      <c r="B33" s="3" t="s">
        <v>71</v>
      </c>
      <c r="C33" s="3" t="s">
        <v>59</v>
      </c>
      <c r="D33" s="21">
        <f>Nr*mu_W</f>
        <v>2.943521428609372</v>
      </c>
      <c r="E33" s="4" t="s">
        <v>18</v>
      </c>
      <c r="H33" s="7">
        <f t="shared" si="3"/>
        <v>0.29000000000000009</v>
      </c>
      <c r="I33" s="7">
        <f t="shared" si="0"/>
        <v>0.27465138795094995</v>
      </c>
      <c r="J33" s="7">
        <f t="shared" si="1"/>
        <v>0.94015811263625459</v>
      </c>
      <c r="K33" s="7">
        <f t="shared" si="2"/>
        <v>0.2125565616700221</v>
      </c>
    </row>
    <row r="34" spans="1:11" ht="18" x14ac:dyDescent="0.25">
      <c r="A34" s="2" t="s">
        <v>55</v>
      </c>
      <c r="B34" s="3" t="s">
        <v>72</v>
      </c>
      <c r="C34" s="3" t="s">
        <v>60</v>
      </c>
      <c r="D34" s="21">
        <f>(Nf+Nr)*mu_W</f>
        <v>8.6479620325502111</v>
      </c>
      <c r="E34" s="4" t="s">
        <v>18</v>
      </c>
      <c r="H34" s="7">
        <f t="shared" si="3"/>
        <v>0.3000000000000001</v>
      </c>
      <c r="I34" s="7">
        <f t="shared" si="0"/>
        <v>0.26487279014782222</v>
      </c>
      <c r="J34" s="7">
        <f t="shared" si="1"/>
        <v>1.0761565042414498</v>
      </c>
      <c r="K34" s="7">
        <f t="shared" si="2"/>
        <v>0.2125565616700221</v>
      </c>
    </row>
    <row r="35" spans="1:11" x14ac:dyDescent="0.2">
      <c r="H35" s="7">
        <f t="shared" si="3"/>
        <v>0.31000000000000011</v>
      </c>
      <c r="I35" s="7">
        <f t="shared" si="0"/>
        <v>0.25576656150255123</v>
      </c>
      <c r="J35" s="7">
        <f t="shared" si="1"/>
        <v>1.2581546196216327</v>
      </c>
      <c r="K35" s="7">
        <f t="shared" si="2"/>
        <v>0.2125565616700221</v>
      </c>
    </row>
    <row r="36" spans="1:11" x14ac:dyDescent="0.2">
      <c r="A36" s="26" t="s">
        <v>61</v>
      </c>
      <c r="B36" s="27"/>
      <c r="C36" s="9"/>
      <c r="D36" s="9"/>
      <c r="E36" s="9"/>
      <c r="H36" s="7">
        <f t="shared" si="3"/>
        <v>0.32000000000000012</v>
      </c>
      <c r="I36" s="7">
        <f t="shared" ref="I36:I54" si="4">(L*TAN(theta*PI()/180))/(H36-hc*TAN(theta*PI()/180))</f>
        <v>0.24726565950240248</v>
      </c>
      <c r="J36" s="7">
        <f t="shared" ref="J36:J54" si="5">(L*TAN(theta*PI()/180))/(L-H36+hc*TAN(theta*PI()/180))</f>
        <v>1.5142409824858478</v>
      </c>
      <c r="K36" s="7">
        <f t="shared" ref="K36:K54" si="6">TAN(theta*PI()/180)</f>
        <v>0.2125565616700221</v>
      </c>
    </row>
    <row r="37" spans="1:11" ht="18" x14ac:dyDescent="0.25">
      <c r="A37" s="2" t="s">
        <v>65</v>
      </c>
      <c r="B37" s="3" t="s">
        <v>78</v>
      </c>
      <c r="C37" s="3" t="s">
        <v>73</v>
      </c>
      <c r="D37" s="3">
        <v>0.05</v>
      </c>
      <c r="E37" s="7" t="s">
        <v>11</v>
      </c>
      <c r="H37" s="7">
        <f t="shared" si="3"/>
        <v>0.33000000000000013</v>
      </c>
      <c r="I37" s="7">
        <f t="shared" si="4"/>
        <v>0.23931166807428028</v>
      </c>
      <c r="J37" s="7">
        <f t="shared" si="5"/>
        <v>1.9012170822572725</v>
      </c>
      <c r="K37" s="7">
        <f t="shared" si="6"/>
        <v>0.2125565616700221</v>
      </c>
    </row>
    <row r="38" spans="1:11" ht="18" x14ac:dyDescent="0.25">
      <c r="A38" s="2" t="s">
        <v>64</v>
      </c>
      <c r="B38" s="3" t="s">
        <v>79</v>
      </c>
      <c r="C38" s="3" t="s">
        <v>74</v>
      </c>
      <c r="D38" s="3">
        <v>2.5000000000000001E-2</v>
      </c>
      <c r="E38" s="7" t="s">
        <v>11</v>
      </c>
      <c r="H38" s="7">
        <f t="shared" si="3"/>
        <v>0.34000000000000014</v>
      </c>
      <c r="I38" s="7">
        <f t="shared" si="4"/>
        <v>0.2318534533577708</v>
      </c>
      <c r="J38" s="7">
        <f t="shared" si="5"/>
        <v>2.5538814050729717</v>
      </c>
      <c r="K38" s="7">
        <f t="shared" si="6"/>
        <v>0.2125565616700221</v>
      </c>
    </row>
    <row r="39" spans="1:11" ht="18" x14ac:dyDescent="0.25">
      <c r="A39" s="2" t="s">
        <v>62</v>
      </c>
      <c r="B39" s="3" t="s">
        <v>80</v>
      </c>
      <c r="C39" s="3" t="s">
        <v>76</v>
      </c>
      <c r="D39" s="19">
        <f>F_Tf*(Diam_fw/2)</f>
        <v>0.14261101509852095</v>
      </c>
      <c r="E39" s="7" t="s">
        <v>67</v>
      </c>
      <c r="H39" s="7">
        <f t="shared" si="3"/>
        <v>0.35000000000000014</v>
      </c>
      <c r="I39" s="7">
        <f t="shared" si="4"/>
        <v>0.22484606324050721</v>
      </c>
      <c r="J39" s="7">
        <f t="shared" si="5"/>
        <v>3.888888888888923</v>
      </c>
      <c r="K39" s="7">
        <f t="shared" si="6"/>
        <v>0.2125565616700221</v>
      </c>
    </row>
    <row r="40" spans="1:11" ht="18" x14ac:dyDescent="0.25">
      <c r="A40" s="2" t="s">
        <v>63</v>
      </c>
      <c r="B40" s="3" t="s">
        <v>81</v>
      </c>
      <c r="C40" s="3" t="s">
        <v>77</v>
      </c>
      <c r="D40" s="20">
        <f>F_Tr*(Diam_rw/2)</f>
        <v>3.6794017857617149E-2</v>
      </c>
      <c r="E40" s="7" t="s">
        <v>67</v>
      </c>
      <c r="H40" s="7">
        <f t="shared" si="3"/>
        <v>0.36000000000000015</v>
      </c>
      <c r="I40" s="7">
        <f t="shared" si="4"/>
        <v>0.21824982059757345</v>
      </c>
      <c r="J40" s="7">
        <f t="shared" si="5"/>
        <v>8.1483087352346661</v>
      </c>
      <c r="K40" s="7">
        <f t="shared" si="6"/>
        <v>0.2125565616700221</v>
      </c>
    </row>
    <row r="41" spans="1:11" ht="18" x14ac:dyDescent="0.25">
      <c r="A41" s="2" t="s">
        <v>66</v>
      </c>
      <c r="B41" s="3" t="s">
        <v>82</v>
      </c>
      <c r="C41" s="3" t="s">
        <v>75</v>
      </c>
      <c r="D41" s="20">
        <f>(F_Tawd*(Diam_fw/2)+F_Tawd*(Diam_rw/2))/2</f>
        <v>0.16214928811031648</v>
      </c>
      <c r="E41" s="7" t="s">
        <v>67</v>
      </c>
      <c r="H41" s="7">
        <f t="shared" si="3"/>
        <v>0.37000000000000016</v>
      </c>
      <c r="I41" s="7">
        <f t="shared" si="4"/>
        <v>0.21202957159018848</v>
      </c>
      <c r="J41" s="7">
        <f t="shared" si="5"/>
        <v>-85.520161449353083</v>
      </c>
      <c r="K41" s="7">
        <f t="shared" si="6"/>
        <v>0.2125565616700221</v>
      </c>
    </row>
    <row r="42" spans="1:11" x14ac:dyDescent="0.2">
      <c r="H42" s="7">
        <f t="shared" si="3"/>
        <v>0.38000000000000017</v>
      </c>
      <c r="I42" s="7">
        <f t="shared" si="4"/>
        <v>0.20615405894593616</v>
      </c>
      <c r="J42" s="7">
        <f t="shared" si="5"/>
        <v>-6.8441045372805052</v>
      </c>
      <c r="K42" s="7">
        <f t="shared" si="6"/>
        <v>0.2125565616700221</v>
      </c>
    </row>
    <row r="43" spans="1:11" x14ac:dyDescent="0.2">
      <c r="A43" s="8" t="s">
        <v>83</v>
      </c>
      <c r="B43" s="9"/>
      <c r="C43" s="9"/>
      <c r="D43" s="9"/>
      <c r="E43" s="9"/>
      <c r="H43" s="7">
        <f t="shared" si="3"/>
        <v>0.39000000000000018</v>
      </c>
      <c r="I43" s="7">
        <f t="shared" si="4"/>
        <v>0.20059539663084486</v>
      </c>
      <c r="J43" s="7">
        <f t="shared" si="5"/>
        <v>-3.5646918719900582</v>
      </c>
      <c r="K43" s="7">
        <f t="shared" si="6"/>
        <v>0.2125565616700221</v>
      </c>
    </row>
    <row r="44" spans="1:11" x14ac:dyDescent="0.2">
      <c r="A44" s="2" t="s">
        <v>84</v>
      </c>
      <c r="B44" s="3" t="s">
        <v>96</v>
      </c>
      <c r="C44" s="3" t="s">
        <v>91</v>
      </c>
      <c r="D44" s="3">
        <v>0.7</v>
      </c>
      <c r="E44" s="7" t="s">
        <v>120</v>
      </c>
      <c r="H44" s="7">
        <f t="shared" si="3"/>
        <v>0.40000000000000019</v>
      </c>
      <c r="I44" s="7">
        <f t="shared" si="4"/>
        <v>0.1953286272785304</v>
      </c>
      <c r="J44" s="7">
        <f t="shared" si="5"/>
        <v>-2.4099454099705819</v>
      </c>
      <c r="K44" s="7">
        <f t="shared" si="6"/>
        <v>0.2125565616700221</v>
      </c>
    </row>
    <row r="45" spans="1:11" ht="18" x14ac:dyDescent="0.25">
      <c r="A45" s="2" t="s">
        <v>85</v>
      </c>
      <c r="B45" s="3" t="s">
        <v>97</v>
      </c>
      <c r="C45" s="3" t="s">
        <v>92</v>
      </c>
      <c r="D45" s="3">
        <v>0.2</v>
      </c>
      <c r="E45" s="7" t="s">
        <v>89</v>
      </c>
      <c r="H45" s="7">
        <f t="shared" si="3"/>
        <v>0.4100000000000002</v>
      </c>
      <c r="I45" s="7">
        <f t="shared" si="4"/>
        <v>0.19033134755562894</v>
      </c>
      <c r="J45" s="7">
        <f t="shared" si="5"/>
        <v>-1.8202828825953523</v>
      </c>
      <c r="K45" s="7">
        <f t="shared" si="6"/>
        <v>0.2125565616700221</v>
      </c>
    </row>
    <row r="46" spans="1:11" ht="18" x14ac:dyDescent="0.25">
      <c r="A46" s="2" t="s">
        <v>86</v>
      </c>
      <c r="B46" s="3" t="s">
        <v>98</v>
      </c>
      <c r="C46" s="3" t="s">
        <v>93</v>
      </c>
      <c r="D46" s="19">
        <f>D44*T_Fw*D45/(Diam_fw/2)</f>
        <v>0.79862168455171723</v>
      </c>
      <c r="E46" s="7" t="s">
        <v>90</v>
      </c>
      <c r="H46" s="7">
        <f t="shared" si="3"/>
        <v>0.42000000000000021</v>
      </c>
      <c r="I46" s="7">
        <f t="shared" si="4"/>
        <v>0.18558338960046813</v>
      </c>
      <c r="J46" s="7">
        <f t="shared" si="5"/>
        <v>-1.4624519168462771</v>
      </c>
      <c r="K46" s="7">
        <f t="shared" si="6"/>
        <v>0.2125565616700221</v>
      </c>
    </row>
    <row r="47" spans="1:11" ht="18" x14ac:dyDescent="0.25">
      <c r="A47" s="2" t="s">
        <v>87</v>
      </c>
      <c r="B47" s="3" t="s">
        <v>99</v>
      </c>
      <c r="C47" s="3" t="s">
        <v>94</v>
      </c>
      <c r="D47" s="19">
        <f>D44*T_Rw*D45/(Diam_rw/2)</f>
        <v>0.41209300000531207</v>
      </c>
      <c r="E47" s="7" t="s">
        <v>90</v>
      </c>
      <c r="H47" s="7">
        <f t="shared" si="3"/>
        <v>0.43000000000000022</v>
      </c>
      <c r="I47" s="7">
        <f t="shared" si="4"/>
        <v>0.18106654898176644</v>
      </c>
      <c r="J47" s="7">
        <f t="shared" si="5"/>
        <v>-1.2221933177999253</v>
      </c>
      <c r="K47" s="7">
        <f t="shared" si="6"/>
        <v>0.2125565616700221</v>
      </c>
    </row>
    <row r="48" spans="1:11" ht="18" x14ac:dyDescent="0.25">
      <c r="A48" s="2" t="s">
        <v>88</v>
      </c>
      <c r="B48" s="3" t="s">
        <v>100</v>
      </c>
      <c r="C48" s="3" t="s">
        <v>95</v>
      </c>
      <c r="D48" s="19">
        <f>((D44*T_Aw*D45/(Diam_fw/2))+(D44*T_Aw*D45/(Diam_rw/2)))/2</f>
        <v>1.3620540201266584</v>
      </c>
      <c r="E48" s="7" t="s">
        <v>90</v>
      </c>
      <c r="H48" s="7">
        <f t="shared" si="3"/>
        <v>0.44000000000000022</v>
      </c>
      <c r="I48" s="7">
        <f t="shared" si="4"/>
        <v>0.17676435144004821</v>
      </c>
      <c r="J48" s="7">
        <f t="shared" si="5"/>
        <v>-1.0497374296394628</v>
      </c>
      <c r="K48" s="7">
        <f t="shared" si="6"/>
        <v>0.2125565616700221</v>
      </c>
    </row>
    <row r="49" spans="1:11" x14ac:dyDescent="0.2">
      <c r="H49" s="7">
        <f t="shared" si="3"/>
        <v>0.45000000000000023</v>
      </c>
      <c r="I49" s="7">
        <f t="shared" si="4"/>
        <v>0.17266185211105561</v>
      </c>
      <c r="J49" s="7">
        <f t="shared" si="5"/>
        <v>-0.91993174087553409</v>
      </c>
      <c r="K49" s="7">
        <f t="shared" si="6"/>
        <v>0.2125565616700221</v>
      </c>
    </row>
    <row r="50" spans="1:11" x14ac:dyDescent="0.2">
      <c r="A50" s="26" t="s">
        <v>101</v>
      </c>
      <c r="B50" s="28"/>
      <c r="C50" s="27"/>
      <c r="D50" s="9"/>
      <c r="E50" s="9"/>
      <c r="H50" s="7">
        <f t="shared" si="3"/>
        <v>0.46000000000000024</v>
      </c>
      <c r="I50" s="7">
        <f t="shared" si="4"/>
        <v>0.16874546207376379</v>
      </c>
      <c r="J50" s="7">
        <f t="shared" si="5"/>
        <v>-0.81869561700938565</v>
      </c>
      <c r="K50" s="7">
        <f t="shared" si="6"/>
        <v>0.2125565616700221</v>
      </c>
    </row>
    <row r="51" spans="1:11" ht="18" x14ac:dyDescent="0.25">
      <c r="A51" s="2" t="s">
        <v>102</v>
      </c>
      <c r="B51" s="3" t="s">
        <v>112</v>
      </c>
      <c r="C51" s="3" t="s">
        <v>107</v>
      </c>
      <c r="D51" s="18">
        <f>(Lc/L)-((hc/L)*TAN(theta*PI()/180))</f>
        <v>0.65962831271342293</v>
      </c>
      <c r="E51" s="7" t="s">
        <v>120</v>
      </c>
      <c r="H51" s="7">
        <f t="shared" si="3"/>
        <v>0.47000000000000025</v>
      </c>
      <c r="I51" s="7">
        <f t="shared" si="4"/>
        <v>0.16500279798070591</v>
      </c>
      <c r="J51" s="7">
        <f t="shared" si="5"/>
        <v>-0.7375321043745644</v>
      </c>
      <c r="K51" s="7">
        <f t="shared" si="6"/>
        <v>0.2125565616700221</v>
      </c>
    </row>
    <row r="52" spans="1:11" ht="18" x14ac:dyDescent="0.25">
      <c r="A52" s="2" t="s">
        <v>103</v>
      </c>
      <c r="B52" s="3" t="s">
        <v>113</v>
      </c>
      <c r="C52" s="3" t="s">
        <v>108</v>
      </c>
      <c r="D52" s="18">
        <f>((L-Lc)/L)+((hc/L)*TAN(theta*PI()/180))</f>
        <v>0.34037168728657707</v>
      </c>
      <c r="E52" s="7" t="s">
        <v>120</v>
      </c>
      <c r="H52" s="7">
        <f t="shared" si="3"/>
        <v>0.48000000000000026</v>
      </c>
      <c r="I52" s="7">
        <f t="shared" si="4"/>
        <v>0.16142255126471336</v>
      </c>
      <c r="J52" s="7">
        <f t="shared" si="5"/>
        <v>-0.67100980738385707</v>
      </c>
      <c r="K52" s="7">
        <f t="shared" si="6"/>
        <v>0.2125565616700221</v>
      </c>
    </row>
    <row r="53" spans="1:11" ht="18" x14ac:dyDescent="0.25">
      <c r="A53" s="2" t="s">
        <v>104</v>
      </c>
      <c r="B53" s="3" t="s">
        <v>114</v>
      </c>
      <c r="C53" s="3" t="s">
        <v>109</v>
      </c>
      <c r="D53" s="19">
        <f>D51*P_FWD</f>
        <v>0.52679347427720069</v>
      </c>
      <c r="E53" s="7" t="s">
        <v>90</v>
      </c>
      <c r="H53" s="7">
        <f t="shared" si="3"/>
        <v>0.49000000000000027</v>
      </c>
      <c r="I53" s="7">
        <f t="shared" si="4"/>
        <v>0.15799437401182059</v>
      </c>
      <c r="J53" s="7">
        <f t="shared" si="5"/>
        <v>-0.61549476559729011</v>
      </c>
      <c r="K53" s="7">
        <f t="shared" si="6"/>
        <v>0.2125565616700221</v>
      </c>
    </row>
    <row r="54" spans="1:11" ht="18" x14ac:dyDescent="0.25">
      <c r="A54" s="2" t="s">
        <v>105</v>
      </c>
      <c r="B54" s="3" t="s">
        <v>115</v>
      </c>
      <c r="C54" s="3" t="s">
        <v>111</v>
      </c>
      <c r="D54" s="20">
        <f>D52*P_RWD</f>
        <v>0.14026478973079548</v>
      </c>
      <c r="E54" s="7" t="s">
        <v>90</v>
      </c>
      <c r="H54" s="7">
        <f t="shared" si="3"/>
        <v>0.50000000000000022</v>
      </c>
      <c r="I54" s="7">
        <f t="shared" si="4"/>
        <v>0.15470877907424951</v>
      </c>
      <c r="J54" s="7">
        <f t="shared" si="5"/>
        <v>-0.56846372781439458</v>
      </c>
      <c r="K54" s="7">
        <f t="shared" si="6"/>
        <v>0.2125565616700221</v>
      </c>
    </row>
    <row r="55" spans="1:11" ht="18" x14ac:dyDescent="0.25">
      <c r="A55" s="2" t="s">
        <v>106</v>
      </c>
      <c r="B55" s="3" t="s">
        <v>116</v>
      </c>
      <c r="C55" s="3" t="s">
        <v>110</v>
      </c>
      <c r="D55" s="19">
        <f>((D44*T_Aw*betaf*D45/(Diam_fw/2))+(D44*T_Aw*betar*D45/(Diam_rw/2)))</f>
        <v>1.2171057634217561</v>
      </c>
      <c r="E55" s="7" t="s">
        <v>90</v>
      </c>
      <c r="H55" s="2"/>
      <c r="I55" s="7"/>
      <c r="J55" s="2"/>
      <c r="K55" s="2"/>
    </row>
    <row r="56" spans="1:11" x14ac:dyDescent="0.2">
      <c r="H56" s="22">
        <f>Lc_eq</f>
        <v>0.19413009055030198</v>
      </c>
      <c r="I56" s="22">
        <f>(L*TAN(theta*PI()/180))/(H56-hc*TAN(theta*PI()/180))</f>
        <v>0.4251131233400442</v>
      </c>
      <c r="J56" s="2"/>
      <c r="K56" s="2"/>
    </row>
  </sheetData>
  <mergeCells count="4">
    <mergeCell ref="A24:C24"/>
    <mergeCell ref="A36:B36"/>
    <mergeCell ref="A50:C50"/>
    <mergeCell ref="H1:K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33" workbookViewId="0">
      <selection activeCell="D61" sqref="D61"/>
    </sheetView>
  </sheetViews>
  <sheetFormatPr baseColWidth="10" defaultRowHeight="16" x14ac:dyDescent="0.2"/>
  <cols>
    <col min="1" max="1" width="12" bestFit="1" customWidth="1"/>
  </cols>
  <sheetData>
    <row r="1" spans="1:1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H1" s="2"/>
      <c r="I1" s="2"/>
      <c r="J1" s="2"/>
      <c r="K1" s="2"/>
    </row>
    <row r="2" spans="1:11" x14ac:dyDescent="0.2">
      <c r="A2" s="1" t="s">
        <v>5</v>
      </c>
      <c r="B2" s="2"/>
      <c r="C2" s="2"/>
      <c r="D2" s="2"/>
      <c r="E2" s="2"/>
      <c r="H2" s="7" t="s">
        <v>123</v>
      </c>
      <c r="I2" s="7" t="s">
        <v>124</v>
      </c>
      <c r="J2" s="7" t="s">
        <v>125</v>
      </c>
      <c r="K2" s="7" t="s">
        <v>122</v>
      </c>
    </row>
    <row r="3" spans="1:11" x14ac:dyDescent="0.2">
      <c r="A3" s="2" t="s">
        <v>7</v>
      </c>
      <c r="B3" s="3" t="s">
        <v>11</v>
      </c>
      <c r="C3" s="3" t="s">
        <v>13</v>
      </c>
      <c r="D3" s="12">
        <v>2.12</v>
      </c>
      <c r="E3" s="4" t="s">
        <v>17</v>
      </c>
      <c r="H3" s="7">
        <v>0</v>
      </c>
      <c r="I3" s="7">
        <f t="shared" ref="I3:I53" si="0">(L*TAN(theta*PI()/180))/(H3-hc*TAN(theta*PI()/180))</f>
        <v>-3.8888888888888893</v>
      </c>
      <c r="J3" s="7">
        <f t="shared" ref="J3:J53" si="1">(L*TAN(theta*PI()/180))/(L-H3+hc*TAN(theta*PI()/180))</f>
        <v>0.2015408618506267</v>
      </c>
      <c r="K3" s="7">
        <f t="shared" ref="K3:K53" si="2">TAN(theta*PI()/180)</f>
        <v>0.2125565616700221</v>
      </c>
    </row>
    <row r="4" spans="1:11" x14ac:dyDescent="0.2">
      <c r="A4" s="2" t="s">
        <v>8</v>
      </c>
      <c r="B4" s="3" t="s">
        <v>12</v>
      </c>
      <c r="C4" s="3" t="s">
        <v>12</v>
      </c>
      <c r="D4" s="12">
        <v>0.35</v>
      </c>
      <c r="E4" s="4" t="s">
        <v>11</v>
      </c>
      <c r="H4" s="7">
        <f>H3+0.01</f>
        <v>0.01</v>
      </c>
      <c r="I4" s="7">
        <f t="shared" si="0"/>
        <v>-8.1483087352345098</v>
      </c>
      <c r="J4" s="7">
        <f t="shared" si="1"/>
        <v>0.20715277984785721</v>
      </c>
      <c r="K4" s="7">
        <f t="shared" si="2"/>
        <v>0.2125565616700221</v>
      </c>
    </row>
    <row r="5" spans="1:11" ht="18" x14ac:dyDescent="0.25">
      <c r="A5" s="2" t="s">
        <v>9</v>
      </c>
      <c r="B5" s="3" t="s">
        <v>19</v>
      </c>
      <c r="C5" s="3" t="s">
        <v>14</v>
      </c>
      <c r="D5" s="12">
        <v>0.25</v>
      </c>
      <c r="E5" s="4" t="s">
        <v>11</v>
      </c>
      <c r="H5" s="7">
        <f t="shared" ref="H5:H53" si="3">H4+0.01</f>
        <v>0.02</v>
      </c>
      <c r="I5" s="7">
        <f t="shared" si="0"/>
        <v>85.520161449371159</v>
      </c>
      <c r="J5" s="7">
        <f t="shared" si="1"/>
        <v>0.21308617789788897</v>
      </c>
      <c r="K5" s="7">
        <f t="shared" si="2"/>
        <v>0.2125565616700221</v>
      </c>
    </row>
    <row r="6" spans="1:11" ht="18" x14ac:dyDescent="0.25">
      <c r="A6" s="2" t="s">
        <v>10</v>
      </c>
      <c r="B6" s="3" t="s">
        <v>20</v>
      </c>
      <c r="C6" s="3" t="s">
        <v>15</v>
      </c>
      <c r="D6" s="12">
        <v>0.09</v>
      </c>
      <c r="E6" s="4" t="s">
        <v>11</v>
      </c>
      <c r="H6" s="7">
        <f t="shared" si="3"/>
        <v>0.03</v>
      </c>
      <c r="I6" s="7">
        <f t="shared" si="0"/>
        <v>6.8441045372806277</v>
      </c>
      <c r="J6" s="7">
        <f t="shared" si="1"/>
        <v>0.21936949464964395</v>
      </c>
      <c r="K6" s="7">
        <f t="shared" si="2"/>
        <v>0.2125565616700221</v>
      </c>
    </row>
    <row r="7" spans="1:11" ht="18" x14ac:dyDescent="0.25">
      <c r="A7" s="1" t="s">
        <v>6</v>
      </c>
      <c r="B7" s="3" t="s">
        <v>21</v>
      </c>
      <c r="C7" s="3" t="s">
        <v>16</v>
      </c>
      <c r="D7" s="15">
        <f>mass*9.81</f>
        <v>20.797200000000004</v>
      </c>
      <c r="E7" s="4" t="s">
        <v>18</v>
      </c>
      <c r="H7" s="7">
        <f t="shared" si="3"/>
        <v>0.04</v>
      </c>
      <c r="I7" s="7">
        <f t="shared" si="0"/>
        <v>3.5646918719900924</v>
      </c>
      <c r="J7" s="7">
        <f t="shared" si="1"/>
        <v>0.22603462497190832</v>
      </c>
      <c r="K7" s="7">
        <f t="shared" si="2"/>
        <v>0.2125565616700221</v>
      </c>
    </row>
    <row r="8" spans="1:11" x14ac:dyDescent="0.2">
      <c r="H8" s="7">
        <f t="shared" si="3"/>
        <v>0.05</v>
      </c>
      <c r="I8" s="7">
        <f t="shared" si="0"/>
        <v>2.4099454099705984</v>
      </c>
      <c r="J8" s="7">
        <f t="shared" si="1"/>
        <v>0.23311746145975373</v>
      </c>
      <c r="K8" s="7">
        <f t="shared" si="2"/>
        <v>0.2125565616700221</v>
      </c>
    </row>
    <row r="9" spans="1:11" x14ac:dyDescent="0.2">
      <c r="A9" s="8" t="s">
        <v>22</v>
      </c>
      <c r="B9" s="9"/>
      <c r="C9" s="9"/>
      <c r="D9" s="9"/>
      <c r="E9" s="9"/>
      <c r="H9" s="7">
        <f t="shared" si="3"/>
        <v>6.0000000000000005E-2</v>
      </c>
      <c r="I9" s="7">
        <f t="shared" si="0"/>
        <v>1.8202828825953621</v>
      </c>
      <c r="J9" s="7">
        <f t="shared" si="1"/>
        <v>0.24065854104358742</v>
      </c>
      <c r="K9" s="7">
        <f t="shared" si="2"/>
        <v>0.2125565616700221</v>
      </c>
    </row>
    <row r="10" spans="1:11" x14ac:dyDescent="0.2">
      <c r="A10" s="2" t="s">
        <v>23</v>
      </c>
      <c r="B10" s="10" t="s">
        <v>28</v>
      </c>
      <c r="C10" s="3" t="s">
        <v>29</v>
      </c>
      <c r="D10" s="12">
        <v>12</v>
      </c>
      <c r="E10" s="7" t="s">
        <v>34</v>
      </c>
      <c r="H10" s="7">
        <f t="shared" si="3"/>
        <v>7.0000000000000007E-2</v>
      </c>
      <c r="I10" s="7">
        <f t="shared" si="0"/>
        <v>1.4624519168462833</v>
      </c>
      <c r="J10" s="7">
        <f t="shared" si="1"/>
        <v>0.24870382129609742</v>
      </c>
      <c r="K10" s="7">
        <f t="shared" si="2"/>
        <v>0.2125565616700221</v>
      </c>
    </row>
    <row r="11" spans="1:11" ht="18" x14ac:dyDescent="0.25">
      <c r="A11" s="11" t="s">
        <v>24</v>
      </c>
      <c r="B11" s="3" t="s">
        <v>45</v>
      </c>
      <c r="C11" s="3" t="s">
        <v>30</v>
      </c>
      <c r="D11" s="15">
        <f>((Fmg*Lc*COS(theta*PI()/180))-(Fmg*hc*SIN(theta*PI()/180)))/L</f>
        <v>13.418641511515764</v>
      </c>
      <c r="E11" s="7" t="s">
        <v>18</v>
      </c>
      <c r="H11" s="7">
        <f t="shared" si="3"/>
        <v>0.08</v>
      </c>
      <c r="I11" s="7">
        <f t="shared" si="0"/>
        <v>1.22219331779993</v>
      </c>
      <c r="J11" s="7">
        <f t="shared" si="1"/>
        <v>0.25730561783767286</v>
      </c>
      <c r="K11" s="7">
        <f t="shared" si="2"/>
        <v>0.2125565616700221</v>
      </c>
    </row>
    <row r="12" spans="1:11" ht="18" x14ac:dyDescent="0.25">
      <c r="A12" s="2" t="s">
        <v>25</v>
      </c>
      <c r="B12" s="3" t="s">
        <v>46</v>
      </c>
      <c r="C12" s="3" t="s">
        <v>31</v>
      </c>
      <c r="D12" s="15">
        <f>((Fmg*(L-Lc)*COS(theta*PI()/180))+(Fmg*hc*SIN(theta*PI()/180)))/L</f>
        <v>6.9240897704653435</v>
      </c>
      <c r="E12" s="7" t="s">
        <v>18</v>
      </c>
      <c r="H12" s="7">
        <f t="shared" si="3"/>
        <v>0.09</v>
      </c>
      <c r="I12" s="7">
        <f t="shared" si="0"/>
        <v>1.0497374296394666</v>
      </c>
      <c r="J12" s="7">
        <f t="shared" si="1"/>
        <v>0.26652374324043382</v>
      </c>
      <c r="K12" s="7">
        <f t="shared" si="2"/>
        <v>0.2125565616700221</v>
      </c>
    </row>
    <row r="13" spans="1:11" ht="18" x14ac:dyDescent="0.25">
      <c r="A13" s="2" t="s">
        <v>26</v>
      </c>
      <c r="B13" s="3" t="s">
        <v>47</v>
      </c>
      <c r="C13" s="3" t="s">
        <v>32</v>
      </c>
      <c r="D13" s="15">
        <f>Lc*TAN((90-theta)*PI()/180)</f>
        <v>1.1761575273696128</v>
      </c>
      <c r="E13" s="7" t="s">
        <v>11</v>
      </c>
      <c r="H13" s="7">
        <f t="shared" si="3"/>
        <v>9.9999999999999992E-2</v>
      </c>
      <c r="I13" s="7">
        <f t="shared" si="0"/>
        <v>0.91993174087553709</v>
      </c>
      <c r="J13" s="7">
        <f t="shared" si="1"/>
        <v>0.27642689984010876</v>
      </c>
      <c r="K13" s="7">
        <f t="shared" si="2"/>
        <v>0.2125565616700221</v>
      </c>
    </row>
    <row r="14" spans="1:11" ht="18" x14ac:dyDescent="0.25">
      <c r="A14" s="2" t="s">
        <v>27</v>
      </c>
      <c r="B14" s="3" t="s">
        <v>48</v>
      </c>
      <c r="C14" s="3" t="s">
        <v>33</v>
      </c>
      <c r="D14" s="15">
        <f>90-(ATAN(hc/Lc)*180/PI())</f>
        <v>70.201123645475064</v>
      </c>
      <c r="E14" s="7" t="s">
        <v>34</v>
      </c>
      <c r="H14" s="7">
        <f t="shared" si="3"/>
        <v>0.10999999999999999</v>
      </c>
      <c r="I14" s="7">
        <f t="shared" si="0"/>
        <v>0.81869561700938809</v>
      </c>
      <c r="J14" s="7">
        <f t="shared" si="1"/>
        <v>0.28709439504504902</v>
      </c>
      <c r="K14" s="7">
        <f t="shared" si="2"/>
        <v>0.2125565616700221</v>
      </c>
    </row>
    <row r="15" spans="1:11" x14ac:dyDescent="0.2">
      <c r="H15" s="7">
        <f t="shared" si="3"/>
        <v>0.11999999999999998</v>
      </c>
      <c r="I15" s="7">
        <f t="shared" si="0"/>
        <v>0.73753210437456651</v>
      </c>
      <c r="J15" s="7">
        <f t="shared" si="1"/>
        <v>0.29861826975688688</v>
      </c>
      <c r="K15" s="7">
        <f t="shared" si="2"/>
        <v>0.2125565616700221</v>
      </c>
    </row>
    <row r="16" spans="1:11" x14ac:dyDescent="0.2">
      <c r="A16" s="8" t="s">
        <v>35</v>
      </c>
      <c r="B16" s="9"/>
      <c r="C16" s="9"/>
      <c r="D16" s="9"/>
      <c r="E16" s="9"/>
      <c r="H16" s="7">
        <f t="shared" si="3"/>
        <v>0.12999999999999998</v>
      </c>
      <c r="I16" s="7">
        <f t="shared" si="0"/>
        <v>0.67100980738385896</v>
      </c>
      <c r="J16" s="7">
        <f t="shared" si="1"/>
        <v>0.31110596083205383</v>
      </c>
      <c r="K16" s="7">
        <f t="shared" si="2"/>
        <v>0.2125565616700221</v>
      </c>
    </row>
    <row r="17" spans="1:11" ht="18" x14ac:dyDescent="0.25">
      <c r="A17" s="2" t="s">
        <v>36</v>
      </c>
      <c r="B17" s="3" t="s">
        <v>117</v>
      </c>
      <c r="C17" s="3" t="s">
        <v>40</v>
      </c>
      <c r="D17" s="15">
        <f>(L*TAN(theta*PI()/180))/(Lc-hc*TAN(theta*PI()/180))</f>
        <v>0.32223686820788089</v>
      </c>
      <c r="E17" s="7" t="s">
        <v>120</v>
      </c>
      <c r="H17" s="7">
        <f t="shared" si="3"/>
        <v>0.13999999999999999</v>
      </c>
      <c r="I17" s="7">
        <f t="shared" si="0"/>
        <v>0.61549476559729166</v>
      </c>
      <c r="J17" s="7">
        <f t="shared" si="1"/>
        <v>0.32468366073540872</v>
      </c>
      <c r="K17" s="7">
        <f t="shared" si="2"/>
        <v>0.2125565616700221</v>
      </c>
    </row>
    <row r="18" spans="1:11" ht="18" x14ac:dyDescent="0.25">
      <c r="A18" s="2" t="s">
        <v>37</v>
      </c>
      <c r="B18" s="3" t="s">
        <v>118</v>
      </c>
      <c r="C18" s="3" t="s">
        <v>41</v>
      </c>
      <c r="D18" s="15">
        <f>(L*TAN(theta*PI()/180))/(L-Lc+hc*TAN(theta*PI()/180))</f>
        <v>0.62448367361137003</v>
      </c>
      <c r="E18" s="7" t="s">
        <v>120</v>
      </c>
      <c r="H18" s="7">
        <f t="shared" si="3"/>
        <v>0.15</v>
      </c>
      <c r="I18" s="7">
        <f t="shared" si="0"/>
        <v>0.56846372781439569</v>
      </c>
      <c r="J18" s="7">
        <f t="shared" si="1"/>
        <v>0.3395005971004707</v>
      </c>
      <c r="K18" s="7">
        <f t="shared" si="2"/>
        <v>0.2125565616700221</v>
      </c>
    </row>
    <row r="19" spans="1:11" ht="18" x14ac:dyDescent="0.25">
      <c r="A19" s="2" t="s">
        <v>38</v>
      </c>
      <c r="B19" s="3" t="s">
        <v>119</v>
      </c>
      <c r="C19" s="3" t="s">
        <v>42</v>
      </c>
      <c r="D19" s="15">
        <f>TAN(theta*PI()/180)</f>
        <v>0.2125565616700221</v>
      </c>
      <c r="E19" s="7" t="s">
        <v>120</v>
      </c>
      <c r="H19" s="7">
        <f t="shared" si="3"/>
        <v>0.16</v>
      </c>
      <c r="I19" s="7">
        <f t="shared" si="0"/>
        <v>0.52810991981983713</v>
      </c>
      <c r="J19" s="7">
        <f t="shared" si="1"/>
        <v>0.35573454010729072</v>
      </c>
      <c r="K19" s="7">
        <f t="shared" si="2"/>
        <v>0.2125565616700221</v>
      </c>
    </row>
    <row r="20" spans="1:11" ht="18" x14ac:dyDescent="0.25">
      <c r="A20" s="2" t="s">
        <v>39</v>
      </c>
      <c r="B20" s="3" t="s">
        <v>44</v>
      </c>
      <c r="C20" s="3" t="s">
        <v>43</v>
      </c>
      <c r="D20" s="15">
        <f>hc*TAN(theta*PI()/180)+L/2</f>
        <v>0.19413009055030198</v>
      </c>
      <c r="E20" s="7" t="s">
        <v>11</v>
      </c>
      <c r="H20" s="7">
        <f t="shared" si="3"/>
        <v>0.17</v>
      </c>
      <c r="I20" s="7">
        <f t="shared" si="0"/>
        <v>0.49310559578026336</v>
      </c>
      <c r="J20" s="7">
        <f t="shared" si="1"/>
        <v>0.37359896929145914</v>
      </c>
      <c r="K20" s="7">
        <f t="shared" si="2"/>
        <v>0.2125565616700221</v>
      </c>
    </row>
    <row r="21" spans="1:11" x14ac:dyDescent="0.2">
      <c r="H21" s="7">
        <f t="shared" si="3"/>
        <v>0.18000000000000002</v>
      </c>
      <c r="I21" s="7">
        <f t="shared" si="0"/>
        <v>0.46245315136308968</v>
      </c>
      <c r="J21" s="7">
        <f t="shared" si="1"/>
        <v>0.39335251396562587</v>
      </c>
      <c r="K21" s="7">
        <f t="shared" si="2"/>
        <v>0.2125565616700221</v>
      </c>
    </row>
    <row r="22" spans="1:11" x14ac:dyDescent="0.2">
      <c r="A22" s="8" t="s">
        <v>49</v>
      </c>
      <c r="B22" s="2"/>
      <c r="C22" s="17" t="str">
        <f>IF(mu_f&lt;mu_r,"FWD","RWD")</f>
        <v>FWD</v>
      </c>
      <c r="F22" s="14"/>
      <c r="H22" s="7">
        <f t="shared" si="3"/>
        <v>0.19000000000000003</v>
      </c>
      <c r="I22" s="7">
        <f t="shared" si="0"/>
        <v>0.43538851763954745</v>
      </c>
      <c r="J22" s="7">
        <f t="shared" si="1"/>
        <v>0.41531155573003387</v>
      </c>
      <c r="K22" s="7">
        <f t="shared" si="2"/>
        <v>0.2125565616700221</v>
      </c>
    </row>
    <row r="23" spans="1:11" ht="18" x14ac:dyDescent="0.25">
      <c r="A23" s="23" t="s">
        <v>126</v>
      </c>
      <c r="B23" s="24"/>
      <c r="C23" s="25"/>
      <c r="H23" s="7">
        <f t="shared" si="3"/>
        <v>0.20000000000000004</v>
      </c>
      <c r="I23" s="7">
        <f t="shared" si="0"/>
        <v>0.41131660214159482</v>
      </c>
      <c r="J23" s="7">
        <f t="shared" si="1"/>
        <v>0.43986730180565686</v>
      </c>
      <c r="K23" s="7">
        <f t="shared" si="2"/>
        <v>0.2125565616700221</v>
      </c>
    </row>
    <row r="24" spans="1:11" x14ac:dyDescent="0.2">
      <c r="H24" s="7">
        <f t="shared" si="3"/>
        <v>0.21000000000000005</v>
      </c>
      <c r="I24" s="7">
        <f t="shared" si="0"/>
        <v>0.38976702403745717</v>
      </c>
      <c r="J24" s="7">
        <f t="shared" si="1"/>
        <v>0.46750929586752871</v>
      </c>
      <c r="K24" s="7">
        <f t="shared" si="2"/>
        <v>0.2125565616700221</v>
      </c>
    </row>
    <row r="25" spans="1:11" x14ac:dyDescent="0.2">
      <c r="H25" s="7">
        <f t="shared" si="3"/>
        <v>0.22000000000000006</v>
      </c>
      <c r="I25" s="7">
        <f t="shared" si="0"/>
        <v>0.37036307124506229</v>
      </c>
      <c r="J25" s="7">
        <f t="shared" si="1"/>
        <v>0.49885838806900079</v>
      </c>
      <c r="K25" s="7">
        <f t="shared" si="2"/>
        <v>0.2125565616700221</v>
      </c>
    </row>
    <row r="26" spans="1:11" x14ac:dyDescent="0.2">
      <c r="H26" s="7">
        <f t="shared" si="3"/>
        <v>0.23000000000000007</v>
      </c>
      <c r="I26" s="7">
        <f t="shared" si="0"/>
        <v>0.35279949035238822</v>
      </c>
      <c r="J26" s="7">
        <f t="shared" si="1"/>
        <v>0.53471392342413959</v>
      </c>
      <c r="K26" s="7">
        <f t="shared" si="2"/>
        <v>0.2125565616700221</v>
      </c>
    </row>
    <row r="27" spans="1:11" x14ac:dyDescent="0.2">
      <c r="E27" s="16"/>
      <c r="H27" s="7">
        <f t="shared" si="3"/>
        <v>0.24000000000000007</v>
      </c>
      <c r="I27" s="7">
        <f t="shared" si="0"/>
        <v>0.33682630997524243</v>
      </c>
      <c r="J27" s="7">
        <f t="shared" si="1"/>
        <v>0.57612285616362724</v>
      </c>
      <c r="K27" s="7">
        <f t="shared" si="2"/>
        <v>0.2125565616700221</v>
      </c>
    </row>
    <row r="28" spans="1:11" x14ac:dyDescent="0.2">
      <c r="A28" s="8" t="s">
        <v>50</v>
      </c>
      <c r="B28" s="9"/>
      <c r="C28" s="9"/>
      <c r="D28" s="9"/>
      <c r="E28" s="9"/>
      <c r="H28" s="7">
        <f t="shared" si="3"/>
        <v>0.25000000000000006</v>
      </c>
      <c r="I28" s="7">
        <f t="shared" si="0"/>
        <v>0.32223686820788083</v>
      </c>
      <c r="J28" s="7">
        <f t="shared" si="1"/>
        <v>0.62448367361137036</v>
      </c>
      <c r="K28" s="7">
        <f t="shared" si="2"/>
        <v>0.2125565616700221</v>
      </c>
    </row>
    <row r="29" spans="1:11" ht="18" x14ac:dyDescent="0.25">
      <c r="A29" s="2" t="s">
        <v>51</v>
      </c>
      <c r="B29" s="3" t="s">
        <v>68</v>
      </c>
      <c r="C29" s="3" t="s">
        <v>56</v>
      </c>
      <c r="D29" s="18">
        <f>I55</f>
        <v>0.4251131233400442</v>
      </c>
      <c r="E29" s="3"/>
      <c r="H29" s="7">
        <f t="shared" si="3"/>
        <v>0.26000000000000006</v>
      </c>
      <c r="I29" s="7">
        <f t="shared" si="0"/>
        <v>0.30885882240115975</v>
      </c>
      <c r="J29" s="7">
        <f t="shared" si="1"/>
        <v>0.68170745767150764</v>
      </c>
      <c r="K29" s="7">
        <f t="shared" si="2"/>
        <v>0.2125565616700221</v>
      </c>
    </row>
    <row r="30" spans="1:11" ht="18" x14ac:dyDescent="0.25">
      <c r="A30" s="2" t="s">
        <v>52</v>
      </c>
      <c r="B30" s="3" t="s">
        <v>69</v>
      </c>
      <c r="C30" s="3" t="s">
        <v>57</v>
      </c>
      <c r="D30" s="3">
        <v>3.0000000000000001E-3</v>
      </c>
      <c r="E30" s="3" t="s">
        <v>120</v>
      </c>
      <c r="H30" s="7">
        <f t="shared" si="3"/>
        <v>0.27000000000000007</v>
      </c>
      <c r="I30" s="7">
        <f t="shared" si="0"/>
        <v>0.29654730911211424</v>
      </c>
      <c r="J30" s="7">
        <f t="shared" si="1"/>
        <v>0.75047643123817531</v>
      </c>
      <c r="K30" s="7">
        <f t="shared" si="2"/>
        <v>0.2125565616700221</v>
      </c>
    </row>
    <row r="31" spans="1:11" ht="18" x14ac:dyDescent="0.25">
      <c r="A31" s="2" t="s">
        <v>53</v>
      </c>
      <c r="B31" s="3" t="s">
        <v>70</v>
      </c>
      <c r="C31" s="3" t="s">
        <v>58</v>
      </c>
      <c r="D31" s="21">
        <f>Nf*mu_W</f>
        <v>5.7044406039408377</v>
      </c>
      <c r="E31" s="4" t="s">
        <v>18</v>
      </c>
      <c r="H31" s="7">
        <f t="shared" si="3"/>
        <v>0.28000000000000008</v>
      </c>
      <c r="I31" s="7">
        <f t="shared" si="0"/>
        <v>0.28517967726305671</v>
      </c>
      <c r="J31" s="7">
        <f t="shared" si="1"/>
        <v>0.83467655115330475</v>
      </c>
      <c r="K31" s="7">
        <f t="shared" si="2"/>
        <v>0.2125565616700221</v>
      </c>
    </row>
    <row r="32" spans="1:11" ht="18" x14ac:dyDescent="0.25">
      <c r="A32" s="2" t="s">
        <v>54</v>
      </c>
      <c r="B32" s="3" t="s">
        <v>71</v>
      </c>
      <c r="C32" s="3" t="s">
        <v>59</v>
      </c>
      <c r="D32" s="21">
        <f>Nr*mu_W</f>
        <v>2.943521428609372</v>
      </c>
      <c r="E32" s="4" t="s">
        <v>18</v>
      </c>
      <c r="H32" s="7">
        <f t="shared" si="3"/>
        <v>0.29000000000000009</v>
      </c>
      <c r="I32" s="7">
        <f t="shared" si="0"/>
        <v>0.27465138795094995</v>
      </c>
      <c r="J32" s="7">
        <f t="shared" si="1"/>
        <v>0.94015811263625459</v>
      </c>
      <c r="K32" s="7">
        <f t="shared" si="2"/>
        <v>0.2125565616700221</v>
      </c>
    </row>
    <row r="33" spans="1:11" ht="18" x14ac:dyDescent="0.25">
      <c r="A33" s="2" t="s">
        <v>55</v>
      </c>
      <c r="B33" s="3" t="s">
        <v>72</v>
      </c>
      <c r="C33" s="3" t="s">
        <v>60</v>
      </c>
      <c r="D33" s="21">
        <f>(Nf+Nr)*mu_W</f>
        <v>8.6479620325502111</v>
      </c>
      <c r="E33" s="4" t="s">
        <v>18</v>
      </c>
      <c r="H33" s="7">
        <f t="shared" si="3"/>
        <v>0.3000000000000001</v>
      </c>
      <c r="I33" s="7">
        <f t="shared" si="0"/>
        <v>0.26487279014782222</v>
      </c>
      <c r="J33" s="7">
        <f t="shared" si="1"/>
        <v>1.0761565042414498</v>
      </c>
      <c r="K33" s="7">
        <f t="shared" si="2"/>
        <v>0.2125565616700221</v>
      </c>
    </row>
    <row r="34" spans="1:11" x14ac:dyDescent="0.2">
      <c r="H34" s="7">
        <f t="shared" si="3"/>
        <v>0.31000000000000011</v>
      </c>
      <c r="I34" s="7">
        <f t="shared" si="0"/>
        <v>0.25576656150255123</v>
      </c>
      <c r="J34" s="7">
        <f t="shared" si="1"/>
        <v>1.2581546196216327</v>
      </c>
      <c r="K34" s="7">
        <f t="shared" si="2"/>
        <v>0.2125565616700221</v>
      </c>
    </row>
    <row r="35" spans="1:11" x14ac:dyDescent="0.2">
      <c r="A35" s="26" t="s">
        <v>61</v>
      </c>
      <c r="B35" s="27"/>
      <c r="C35" s="9"/>
      <c r="D35" s="9"/>
      <c r="E35" s="9"/>
      <c r="H35" s="7">
        <f t="shared" si="3"/>
        <v>0.32000000000000012</v>
      </c>
      <c r="I35" s="7">
        <f t="shared" si="0"/>
        <v>0.24726565950240248</v>
      </c>
      <c r="J35" s="7">
        <f t="shared" si="1"/>
        <v>1.5142409824858478</v>
      </c>
      <c r="K35" s="7">
        <f t="shared" si="2"/>
        <v>0.2125565616700221</v>
      </c>
    </row>
    <row r="36" spans="1:11" ht="18" x14ac:dyDescent="0.25">
      <c r="A36" s="2" t="s">
        <v>65</v>
      </c>
      <c r="B36" s="3" t="s">
        <v>78</v>
      </c>
      <c r="C36" s="3" t="s">
        <v>73</v>
      </c>
      <c r="D36" s="3">
        <v>0.05</v>
      </c>
      <c r="E36" s="7" t="s">
        <v>11</v>
      </c>
      <c r="H36" s="7">
        <f t="shared" si="3"/>
        <v>0.33000000000000013</v>
      </c>
      <c r="I36" s="7">
        <f t="shared" si="0"/>
        <v>0.23931166807428028</v>
      </c>
      <c r="J36" s="7">
        <f t="shared" si="1"/>
        <v>1.9012170822572725</v>
      </c>
      <c r="K36" s="7">
        <f t="shared" si="2"/>
        <v>0.2125565616700221</v>
      </c>
    </row>
    <row r="37" spans="1:11" ht="18" x14ac:dyDescent="0.25">
      <c r="A37" s="2" t="s">
        <v>64</v>
      </c>
      <c r="B37" s="3" t="s">
        <v>79</v>
      </c>
      <c r="C37" s="3" t="s">
        <v>74</v>
      </c>
      <c r="D37" s="3">
        <v>2.5000000000000001E-2</v>
      </c>
      <c r="E37" s="7" t="s">
        <v>11</v>
      </c>
      <c r="H37" s="7">
        <f t="shared" si="3"/>
        <v>0.34000000000000014</v>
      </c>
      <c r="I37" s="7">
        <f t="shared" si="0"/>
        <v>0.2318534533577708</v>
      </c>
      <c r="J37" s="7">
        <f t="shared" si="1"/>
        <v>2.5538814050729717</v>
      </c>
      <c r="K37" s="7">
        <f t="shared" si="2"/>
        <v>0.2125565616700221</v>
      </c>
    </row>
    <row r="38" spans="1:11" ht="18" x14ac:dyDescent="0.25">
      <c r="A38" s="2" t="s">
        <v>62</v>
      </c>
      <c r="B38" s="3" t="s">
        <v>80</v>
      </c>
      <c r="C38" s="3" t="s">
        <v>76</v>
      </c>
      <c r="D38" s="19">
        <f>F_Tf*(Diam_fw/2)</f>
        <v>0.14261101509852095</v>
      </c>
      <c r="E38" s="7" t="s">
        <v>67</v>
      </c>
      <c r="H38" s="7">
        <f t="shared" si="3"/>
        <v>0.35000000000000014</v>
      </c>
      <c r="I38" s="7">
        <f t="shared" si="0"/>
        <v>0.22484606324050721</v>
      </c>
      <c r="J38" s="7">
        <f t="shared" si="1"/>
        <v>3.888888888888923</v>
      </c>
      <c r="K38" s="7">
        <f t="shared" si="2"/>
        <v>0.2125565616700221</v>
      </c>
    </row>
    <row r="39" spans="1:11" ht="18" x14ac:dyDescent="0.25">
      <c r="A39" s="2" t="s">
        <v>63</v>
      </c>
      <c r="B39" s="3" t="s">
        <v>81</v>
      </c>
      <c r="C39" s="3" t="s">
        <v>77</v>
      </c>
      <c r="D39" s="20">
        <f>F_Tr*(Diam_rw/2)</f>
        <v>3.6794017857617149E-2</v>
      </c>
      <c r="E39" s="7" t="s">
        <v>67</v>
      </c>
      <c r="H39" s="7">
        <f t="shared" si="3"/>
        <v>0.36000000000000015</v>
      </c>
      <c r="I39" s="7">
        <f t="shared" si="0"/>
        <v>0.21824982059757345</v>
      </c>
      <c r="J39" s="7">
        <f t="shared" si="1"/>
        <v>8.1483087352346661</v>
      </c>
      <c r="K39" s="7">
        <f t="shared" si="2"/>
        <v>0.2125565616700221</v>
      </c>
    </row>
    <row r="40" spans="1:11" ht="18" x14ac:dyDescent="0.25">
      <c r="A40" s="2" t="s">
        <v>66</v>
      </c>
      <c r="B40" s="3" t="s">
        <v>82</v>
      </c>
      <c r="C40" s="3" t="s">
        <v>75</v>
      </c>
      <c r="D40" s="20">
        <f>(F_Tawd*(Diam_fw/2)+F_Tawd*(Diam_rw/2))/2</f>
        <v>0.16214928811031648</v>
      </c>
      <c r="E40" s="7" t="s">
        <v>67</v>
      </c>
      <c r="H40" s="7">
        <f t="shared" si="3"/>
        <v>0.37000000000000016</v>
      </c>
      <c r="I40" s="7">
        <f t="shared" si="0"/>
        <v>0.21202957159018848</v>
      </c>
      <c r="J40" s="7">
        <f t="shared" si="1"/>
        <v>-85.520161449353083</v>
      </c>
      <c r="K40" s="7">
        <f t="shared" si="2"/>
        <v>0.2125565616700221</v>
      </c>
    </row>
    <row r="41" spans="1:11" x14ac:dyDescent="0.2">
      <c r="H41" s="7">
        <f t="shared" si="3"/>
        <v>0.38000000000000017</v>
      </c>
      <c r="I41" s="7">
        <f t="shared" si="0"/>
        <v>0.20615405894593616</v>
      </c>
      <c r="J41" s="7">
        <f t="shared" si="1"/>
        <v>-6.8441045372805052</v>
      </c>
      <c r="K41" s="7">
        <f t="shared" si="2"/>
        <v>0.2125565616700221</v>
      </c>
    </row>
    <row r="42" spans="1:11" x14ac:dyDescent="0.2">
      <c r="A42" s="8" t="s">
        <v>83</v>
      </c>
      <c r="B42" s="9"/>
      <c r="C42" s="9"/>
      <c r="D42" s="9"/>
      <c r="E42" s="9"/>
      <c r="H42" s="7">
        <f t="shared" si="3"/>
        <v>0.39000000000000018</v>
      </c>
      <c r="I42" s="7">
        <f t="shared" si="0"/>
        <v>0.20059539663084486</v>
      </c>
      <c r="J42" s="7">
        <f t="shared" si="1"/>
        <v>-3.5646918719900582</v>
      </c>
      <c r="K42" s="7">
        <f t="shared" si="2"/>
        <v>0.2125565616700221</v>
      </c>
    </row>
    <row r="43" spans="1:11" x14ac:dyDescent="0.2">
      <c r="A43" s="2" t="s">
        <v>84</v>
      </c>
      <c r="B43" s="3" t="s">
        <v>96</v>
      </c>
      <c r="C43" s="3" t="s">
        <v>91</v>
      </c>
      <c r="D43" s="3">
        <v>0.7</v>
      </c>
      <c r="E43" s="7" t="s">
        <v>120</v>
      </c>
      <c r="H43" s="7">
        <f t="shared" si="3"/>
        <v>0.40000000000000019</v>
      </c>
      <c r="I43" s="7">
        <f t="shared" si="0"/>
        <v>0.1953286272785304</v>
      </c>
      <c r="J43" s="7">
        <f t="shared" si="1"/>
        <v>-2.4099454099705819</v>
      </c>
      <c r="K43" s="7">
        <f t="shared" si="2"/>
        <v>0.2125565616700221</v>
      </c>
    </row>
    <row r="44" spans="1:11" ht="18" x14ac:dyDescent="0.25">
      <c r="A44" s="2" t="s">
        <v>85</v>
      </c>
      <c r="B44" s="3" t="s">
        <v>97</v>
      </c>
      <c r="C44" s="3" t="s">
        <v>92</v>
      </c>
      <c r="D44" s="3">
        <v>0.2</v>
      </c>
      <c r="E44" s="7" t="s">
        <v>89</v>
      </c>
      <c r="H44" s="7">
        <f t="shared" si="3"/>
        <v>0.4100000000000002</v>
      </c>
      <c r="I44" s="7">
        <f t="shared" si="0"/>
        <v>0.19033134755562894</v>
      </c>
      <c r="J44" s="7">
        <f t="shared" si="1"/>
        <v>-1.8202828825953523</v>
      </c>
      <c r="K44" s="7">
        <f t="shared" si="2"/>
        <v>0.2125565616700221</v>
      </c>
    </row>
    <row r="45" spans="1:11" ht="18" x14ac:dyDescent="0.25">
      <c r="A45" s="2" t="s">
        <v>86</v>
      </c>
      <c r="B45" s="3" t="s">
        <v>98</v>
      </c>
      <c r="C45" s="3" t="s">
        <v>93</v>
      </c>
      <c r="D45" s="19">
        <f>D43*T_Fw*D44/(Diam_fw/2)</f>
        <v>0.79862168455171723</v>
      </c>
      <c r="E45" s="7" t="s">
        <v>90</v>
      </c>
      <c r="H45" s="7">
        <f t="shared" si="3"/>
        <v>0.42000000000000021</v>
      </c>
      <c r="I45" s="7">
        <f t="shared" si="0"/>
        <v>0.18558338960046813</v>
      </c>
      <c r="J45" s="7">
        <f t="shared" si="1"/>
        <v>-1.4624519168462771</v>
      </c>
      <c r="K45" s="7">
        <f t="shared" si="2"/>
        <v>0.2125565616700221</v>
      </c>
    </row>
    <row r="46" spans="1:11" ht="18" x14ac:dyDescent="0.25">
      <c r="A46" s="2" t="s">
        <v>87</v>
      </c>
      <c r="B46" s="3" t="s">
        <v>99</v>
      </c>
      <c r="C46" s="3" t="s">
        <v>94</v>
      </c>
      <c r="D46" s="19">
        <f>D43*T_Rw*D44/(Diam_rw/2)</f>
        <v>0.41209300000531207</v>
      </c>
      <c r="E46" s="7" t="s">
        <v>90</v>
      </c>
      <c r="H46" s="7">
        <f t="shared" si="3"/>
        <v>0.43000000000000022</v>
      </c>
      <c r="I46" s="7">
        <f t="shared" si="0"/>
        <v>0.18106654898176644</v>
      </c>
      <c r="J46" s="7">
        <f t="shared" si="1"/>
        <v>-1.2221933177999253</v>
      </c>
      <c r="K46" s="7">
        <f t="shared" si="2"/>
        <v>0.2125565616700221</v>
      </c>
    </row>
    <row r="47" spans="1:11" ht="18" x14ac:dyDescent="0.25">
      <c r="A47" s="2" t="s">
        <v>88</v>
      </c>
      <c r="B47" s="3" t="s">
        <v>100</v>
      </c>
      <c r="C47" s="3" t="s">
        <v>95</v>
      </c>
      <c r="D47" s="19">
        <f>((D43*T_Aw*D44/(Diam_fw/2))+(D43*T_Aw*D44/(Diam_rw/2)))/2</f>
        <v>1.3620540201266584</v>
      </c>
      <c r="E47" s="7" t="s">
        <v>90</v>
      </c>
      <c r="H47" s="7">
        <f t="shared" si="3"/>
        <v>0.44000000000000022</v>
      </c>
      <c r="I47" s="7">
        <f t="shared" si="0"/>
        <v>0.17676435144004821</v>
      </c>
      <c r="J47" s="7">
        <f t="shared" si="1"/>
        <v>-1.0497374296394628</v>
      </c>
      <c r="K47" s="7">
        <f t="shared" si="2"/>
        <v>0.2125565616700221</v>
      </c>
    </row>
    <row r="48" spans="1:11" x14ac:dyDescent="0.2">
      <c r="H48" s="7">
        <f t="shared" si="3"/>
        <v>0.45000000000000023</v>
      </c>
      <c r="I48" s="7">
        <f t="shared" si="0"/>
        <v>0.17266185211105561</v>
      </c>
      <c r="J48" s="7">
        <f t="shared" si="1"/>
        <v>-0.91993174087553409</v>
      </c>
      <c r="K48" s="7">
        <f t="shared" si="2"/>
        <v>0.2125565616700221</v>
      </c>
    </row>
    <row r="49" spans="1:11" x14ac:dyDescent="0.2">
      <c r="A49" s="26" t="s">
        <v>101</v>
      </c>
      <c r="B49" s="28"/>
      <c r="C49" s="27"/>
      <c r="D49" s="9"/>
      <c r="E49" s="9"/>
      <c r="H49" s="7">
        <f t="shared" si="3"/>
        <v>0.46000000000000024</v>
      </c>
      <c r="I49" s="7">
        <f t="shared" si="0"/>
        <v>0.16874546207376379</v>
      </c>
      <c r="J49" s="7">
        <f t="shared" si="1"/>
        <v>-0.81869561700938565</v>
      </c>
      <c r="K49" s="7">
        <f t="shared" si="2"/>
        <v>0.2125565616700221</v>
      </c>
    </row>
    <row r="50" spans="1:11" ht="18" x14ac:dyDescent="0.25">
      <c r="A50" s="2" t="s">
        <v>102</v>
      </c>
      <c r="B50" s="3" t="s">
        <v>112</v>
      </c>
      <c r="C50" s="3" t="s">
        <v>107</v>
      </c>
      <c r="D50" s="18">
        <f>(Lc/L)-((hc/L)*TAN(theta*PI()/180))</f>
        <v>0.65962831271342293</v>
      </c>
      <c r="E50" s="7" t="s">
        <v>120</v>
      </c>
      <c r="H50" s="7">
        <f t="shared" si="3"/>
        <v>0.47000000000000025</v>
      </c>
      <c r="I50" s="7">
        <f t="shared" si="0"/>
        <v>0.16500279798070591</v>
      </c>
      <c r="J50" s="7">
        <f t="shared" si="1"/>
        <v>-0.7375321043745644</v>
      </c>
      <c r="K50" s="7">
        <f t="shared" si="2"/>
        <v>0.2125565616700221</v>
      </c>
    </row>
    <row r="51" spans="1:11" ht="18" x14ac:dyDescent="0.25">
      <c r="A51" s="2" t="s">
        <v>103</v>
      </c>
      <c r="B51" s="3" t="s">
        <v>113</v>
      </c>
      <c r="C51" s="3" t="s">
        <v>108</v>
      </c>
      <c r="D51" s="18">
        <f>((L-Lc)/L)+((hc/L)*TAN(theta*PI()/180))</f>
        <v>0.34037168728657707</v>
      </c>
      <c r="E51" s="7" t="s">
        <v>120</v>
      </c>
      <c r="H51" s="7">
        <f t="shared" si="3"/>
        <v>0.48000000000000026</v>
      </c>
      <c r="I51" s="7">
        <f t="shared" si="0"/>
        <v>0.16142255126471336</v>
      </c>
      <c r="J51" s="7">
        <f t="shared" si="1"/>
        <v>-0.67100980738385707</v>
      </c>
      <c r="K51" s="7">
        <f t="shared" si="2"/>
        <v>0.2125565616700221</v>
      </c>
    </row>
    <row r="52" spans="1:11" ht="18" x14ac:dyDescent="0.25">
      <c r="A52" s="2" t="s">
        <v>104</v>
      </c>
      <c r="B52" s="3" t="s">
        <v>114</v>
      </c>
      <c r="C52" s="3" t="s">
        <v>109</v>
      </c>
      <c r="D52" s="19">
        <f>D50*P_FWD</f>
        <v>0.52679347427720069</v>
      </c>
      <c r="E52" s="7" t="s">
        <v>90</v>
      </c>
      <c r="H52" s="7">
        <f t="shared" si="3"/>
        <v>0.49000000000000027</v>
      </c>
      <c r="I52" s="7">
        <f t="shared" si="0"/>
        <v>0.15799437401182059</v>
      </c>
      <c r="J52" s="7">
        <f t="shared" si="1"/>
        <v>-0.61549476559729011</v>
      </c>
      <c r="K52" s="7">
        <f t="shared" si="2"/>
        <v>0.2125565616700221</v>
      </c>
    </row>
    <row r="53" spans="1:11" ht="18" x14ac:dyDescent="0.25">
      <c r="A53" s="2" t="s">
        <v>105</v>
      </c>
      <c r="B53" s="3" t="s">
        <v>115</v>
      </c>
      <c r="C53" s="3" t="s">
        <v>111</v>
      </c>
      <c r="D53" s="20">
        <f>D51*P_RWD</f>
        <v>0.14026478973079548</v>
      </c>
      <c r="E53" s="7" t="s">
        <v>90</v>
      </c>
      <c r="H53" s="7">
        <f t="shared" si="3"/>
        <v>0.50000000000000022</v>
      </c>
      <c r="I53" s="7">
        <f t="shared" si="0"/>
        <v>0.15470877907424951</v>
      </c>
      <c r="J53" s="7">
        <f t="shared" si="1"/>
        <v>-0.56846372781439458</v>
      </c>
      <c r="K53" s="7">
        <f t="shared" si="2"/>
        <v>0.2125565616700221</v>
      </c>
    </row>
    <row r="54" spans="1:11" ht="18" x14ac:dyDescent="0.25">
      <c r="A54" s="2" t="s">
        <v>106</v>
      </c>
      <c r="B54" s="3" t="s">
        <v>116</v>
      </c>
      <c r="C54" s="3" t="s">
        <v>110</v>
      </c>
      <c r="D54" s="19">
        <f>((D43*T_Aw*betaf*D44/(Diam_fw/2))+(D43*T_Aw*betar*D44/(Diam_rw/2)))</f>
        <v>1.2171057634217561</v>
      </c>
      <c r="E54" s="7" t="s">
        <v>90</v>
      </c>
      <c r="H54" s="2"/>
      <c r="I54" s="7"/>
      <c r="J54" s="2"/>
      <c r="K54" s="2"/>
    </row>
    <row r="55" spans="1:11" x14ac:dyDescent="0.2">
      <c r="H55" s="22">
        <f>Lc_eq</f>
        <v>0.19413009055030198</v>
      </c>
      <c r="I55" s="22">
        <f>(L*TAN(theta*PI()/180))/(H55-hc*TAN(theta*PI()/180))</f>
        <v>0.4251131233400442</v>
      </c>
      <c r="J55" s="2"/>
      <c r="K55" s="2"/>
    </row>
    <row r="57" spans="1:11" x14ac:dyDescent="0.2">
      <c r="A57">
        <f>(9.81*(1706.59/1000))*(SIN(17*PI()/180))</f>
        <v>4.8947841363908262</v>
      </c>
    </row>
  </sheetData>
  <mergeCells count="3">
    <mergeCell ref="A23:C23"/>
    <mergeCell ref="A35:B35"/>
    <mergeCell ref="A49:C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2022-01-15T23:23:44Z</dcterms:created>
  <dcterms:modified xsi:type="dcterms:W3CDTF">2022-03-17T21:27:51Z</dcterms:modified>
</cp:coreProperties>
</file>