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berlin\ere\projekte\FutuRaM_EU_TUB\2_Projektbearbeitung\23_Untersuchungen\02_Work Packages\WP4\Task 4.1\POM Batteries\Recharge data\"/>
    </mc:Choice>
  </mc:AlternateContent>
  <bookViews>
    <workbookView xWindow="0" yWindow="0" windowWidth="28800" windowHeight="12000" firstSheet="3" activeTab="14"/>
  </bookViews>
  <sheets>
    <sheet name="Av 2011" sheetId="9" r:id="rId1"/>
    <sheet name="Av 2012" sheetId="5" r:id="rId2"/>
    <sheet name="Av 2013" sheetId="10" r:id="rId3"/>
    <sheet name="Av 2014" sheetId="11" r:id="rId4"/>
    <sheet name="Av 2015" sheetId="14" r:id="rId5"/>
    <sheet name="Av 2016" sheetId="16" r:id="rId6"/>
    <sheet name="Av 2017" sheetId="19" r:id="rId7"/>
    <sheet name="Av 2018" sheetId="21" r:id="rId8"/>
    <sheet name="Av 2019" sheetId="25" r:id="rId9"/>
    <sheet name="Av 2020" sheetId="27" r:id="rId10"/>
    <sheet name="Av 2021" sheetId="28" r:id="rId11"/>
    <sheet name="product app 2020" sheetId="24" r:id="rId12"/>
    <sheet name="trends" sheetId="20" r:id="rId13"/>
    <sheet name="Tabelle1" sheetId="29" r:id="rId14"/>
    <sheet name="Tabelle3" sheetId="31" r:id="rId15"/>
  </sheets>
  <externalReferences>
    <externalReference r:id="rId16"/>
  </externalReferences>
  <definedNames>
    <definedName name="_xlnm.Print_Area" localSheetId="1">'Av 2012'!$A$1:$BC$226</definedName>
    <definedName name="_xlnm.Print_Area" localSheetId="3">'Av 2014'!$A$1:$AC$90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31" l="1"/>
  <c r="C68" i="31"/>
  <c r="D68" i="31" s="1"/>
  <c r="C67" i="31"/>
  <c r="C66" i="31"/>
  <c r="D66" i="31" s="1"/>
  <c r="D65" i="31"/>
  <c r="C64" i="31"/>
  <c r="D64" i="31" s="1"/>
  <c r="C63" i="31"/>
  <c r="C62" i="31"/>
  <c r="C61" i="31"/>
  <c r="D61" i="31" s="1"/>
  <c r="C60" i="31"/>
  <c r="D60" i="31" s="1"/>
  <c r="C59" i="31"/>
  <c r="D59" i="31" s="1"/>
  <c r="C58" i="31"/>
  <c r="D54" i="31"/>
  <c r="B49" i="31"/>
  <c r="D45" i="31"/>
  <c r="F43" i="31"/>
  <c r="B43" i="31"/>
  <c r="A43" i="31"/>
  <c r="C42" i="31"/>
  <c r="C41" i="31"/>
  <c r="D41" i="31" s="1"/>
  <c r="C40" i="31"/>
  <c r="D40" i="31" s="1"/>
  <c r="C38" i="31"/>
  <c r="D38" i="31" s="1"/>
  <c r="C37" i="31"/>
  <c r="D37" i="31" s="1"/>
  <c r="C36" i="31"/>
  <c r="G35" i="31"/>
  <c r="C35" i="31"/>
  <c r="F34" i="31"/>
  <c r="A34" i="31"/>
  <c r="E33" i="31"/>
  <c r="C33" i="31"/>
  <c r="D33" i="31" s="1"/>
  <c r="C32" i="31"/>
  <c r="C28" i="31"/>
  <c r="D28" i="31" s="1"/>
  <c r="C27" i="31"/>
  <c r="D27" i="31" s="1"/>
  <c r="C26" i="31"/>
  <c r="D26" i="31" s="1"/>
  <c r="G25" i="31"/>
  <c r="C25" i="31"/>
  <c r="C24" i="31"/>
  <c r="D24" i="31" s="1"/>
  <c r="C23" i="31"/>
  <c r="C22" i="31"/>
  <c r="G21" i="31"/>
  <c r="C21" i="31"/>
  <c r="G20" i="31"/>
  <c r="C20" i="31"/>
  <c r="G19" i="31"/>
  <c r="C19" i="31"/>
  <c r="G16" i="31"/>
  <c r="D16" i="31"/>
  <c r="C15" i="31"/>
  <c r="D15" i="31" s="1"/>
  <c r="C14" i="31"/>
  <c r="D14" i="31" s="1"/>
  <c r="G13" i="31"/>
  <c r="C13" i="31"/>
  <c r="C12" i="31"/>
  <c r="D12" i="31" s="1"/>
  <c r="C11" i="31"/>
  <c r="C9" i="31"/>
  <c r="C54" i="31" s="1"/>
  <c r="C8" i="31"/>
  <c r="D8" i="31" s="1"/>
  <c r="G7" i="31"/>
  <c r="C5" i="31"/>
  <c r="C4" i="31"/>
  <c r="C3" i="31"/>
  <c r="C2" i="31"/>
  <c r="X1" i="31"/>
  <c r="Y1" i="31" s="1"/>
  <c r="Z1" i="31" s="1"/>
  <c r="AA1" i="31" s="1"/>
  <c r="AB1" i="31" s="1"/>
  <c r="AC1" i="31" s="1"/>
  <c r="C49" i="31" l="1"/>
  <c r="E40" i="29" l="1"/>
  <c r="E42" i="29"/>
  <c r="E41" i="29"/>
  <c r="E43" i="29"/>
  <c r="E44" i="29"/>
  <c r="E45" i="29"/>
  <c r="E46" i="29"/>
  <c r="E47" i="29"/>
  <c r="F42" i="28"/>
  <c r="F36" i="28"/>
  <c r="F21" i="28"/>
  <c r="G41" i="28"/>
  <c r="F37" i="28"/>
  <c r="D150" i="20"/>
  <c r="D132" i="20"/>
  <c r="U112" i="20"/>
  <c r="D105" i="20"/>
  <c r="D38" i="20"/>
  <c r="D62" i="20"/>
  <c r="D53" i="20"/>
  <c r="D86" i="20"/>
  <c r="E87" i="20"/>
  <c r="F87" i="20"/>
  <c r="G87" i="20"/>
  <c r="H87" i="20"/>
  <c r="I87" i="20"/>
  <c r="J87" i="20"/>
  <c r="D87" i="20"/>
  <c r="AE75" i="20"/>
  <c r="P75" i="20"/>
  <c r="Q75" i="20"/>
  <c r="R75" i="20"/>
  <c r="S75" i="20"/>
  <c r="T75" i="20"/>
  <c r="U75" i="20"/>
  <c r="W75" i="20"/>
  <c r="X75" i="20"/>
  <c r="Y75" i="20"/>
  <c r="Z75" i="20"/>
  <c r="AA75" i="20"/>
  <c r="AB75" i="20"/>
  <c r="AC75" i="20"/>
  <c r="I75" i="20"/>
  <c r="J75" i="20"/>
  <c r="H75" i="20"/>
  <c r="G75" i="20"/>
  <c r="F75" i="20"/>
  <c r="E75" i="20"/>
  <c r="D75" i="20"/>
  <c r="W61" i="20"/>
  <c r="E62" i="20"/>
  <c r="F62" i="20"/>
  <c r="G62" i="20"/>
  <c r="H62" i="20"/>
  <c r="I62" i="20"/>
  <c r="J62" i="20"/>
  <c r="K62" i="20"/>
  <c r="L62" i="20"/>
  <c r="M62" i="20"/>
  <c r="N62" i="20"/>
  <c r="O62" i="20"/>
  <c r="P62" i="20"/>
  <c r="Q62" i="20"/>
  <c r="R62" i="20"/>
  <c r="S62" i="20"/>
  <c r="T62" i="20"/>
  <c r="U62" i="20"/>
  <c r="V62" i="20"/>
  <c r="W62" i="20"/>
  <c r="X62" i="20"/>
  <c r="Y62" i="20"/>
  <c r="Z62" i="20"/>
  <c r="AA62" i="20"/>
  <c r="AB62" i="20"/>
  <c r="AC62" i="20"/>
  <c r="AE62" i="20"/>
  <c r="F231" i="28"/>
  <c r="Y141" i="28"/>
  <c r="AB6" i="20"/>
  <c r="AE6" i="20"/>
  <c r="J192" i="28"/>
  <c r="X219" i="28"/>
  <c r="X218" i="28"/>
  <c r="X217" i="28"/>
  <c r="X216" i="28"/>
  <c r="X210" i="28"/>
  <c r="F222" i="28"/>
  <c r="F190" i="28"/>
  <c r="P267" i="19" l="1"/>
  <c r="H267" i="19"/>
  <c r="G267" i="19"/>
  <c r="F267" i="19"/>
  <c r="H266" i="19"/>
  <c r="G266" i="19"/>
  <c r="X264" i="19"/>
  <c r="Q264" i="19"/>
  <c r="P264" i="19"/>
  <c r="O264" i="19"/>
  <c r="M264" i="19"/>
  <c r="K264" i="19"/>
  <c r="I264" i="19"/>
  <c r="X263" i="19"/>
  <c r="U263" i="19"/>
  <c r="T263" i="19"/>
  <c r="P263" i="19"/>
  <c r="O263" i="19"/>
  <c r="M263" i="19"/>
  <c r="K263" i="19"/>
  <c r="X262" i="19"/>
  <c r="R262" i="19"/>
  <c r="P262" i="19"/>
  <c r="O262" i="19"/>
  <c r="N262" i="19"/>
  <c r="M262" i="19"/>
  <c r="K262" i="19"/>
  <c r="J262" i="19"/>
  <c r="I262" i="19"/>
  <c r="F262" i="19"/>
  <c r="X261" i="19"/>
  <c r="W261" i="19"/>
  <c r="M261" i="19"/>
  <c r="K261" i="19"/>
  <c r="J261" i="19"/>
  <c r="I261" i="19"/>
  <c r="H261" i="19"/>
  <c r="F261" i="19"/>
  <c r="P222" i="19"/>
  <c r="H222" i="19"/>
  <c r="G222" i="19"/>
  <c r="F222" i="19"/>
  <c r="H221" i="19"/>
  <c r="G221" i="19"/>
  <c r="X219" i="19"/>
  <c r="Q219" i="19"/>
  <c r="P219" i="19"/>
  <c r="O219" i="19"/>
  <c r="M219" i="19"/>
  <c r="K219" i="19"/>
  <c r="I219" i="19"/>
  <c r="X218" i="19"/>
  <c r="U218" i="19"/>
  <c r="T218" i="19"/>
  <c r="P218" i="19"/>
  <c r="O218" i="19"/>
  <c r="M218" i="19"/>
  <c r="K218" i="19"/>
  <c r="X217" i="19"/>
  <c r="R217" i="19"/>
  <c r="P217" i="19"/>
  <c r="O217" i="19"/>
  <c r="N217" i="19"/>
  <c r="M217" i="19"/>
  <c r="K217" i="19"/>
  <c r="J217" i="19"/>
  <c r="I217" i="19"/>
  <c r="F217" i="19"/>
  <c r="X216" i="19"/>
  <c r="W216" i="19"/>
  <c r="M216" i="19"/>
  <c r="K216" i="19"/>
  <c r="J216" i="19"/>
  <c r="I216" i="19"/>
  <c r="H216" i="19"/>
  <c r="F216" i="19"/>
  <c r="P87" i="19"/>
  <c r="H87" i="19"/>
  <c r="G87" i="19"/>
  <c r="F87" i="19"/>
  <c r="H86" i="19"/>
  <c r="G86" i="19"/>
  <c r="X84" i="19"/>
  <c r="Q84" i="19"/>
  <c r="P84" i="19"/>
  <c r="O84" i="19"/>
  <c r="M84" i="19"/>
  <c r="K84" i="19"/>
  <c r="I84" i="19"/>
  <c r="X83" i="19"/>
  <c r="U83" i="19"/>
  <c r="T83" i="19"/>
  <c r="P83" i="19"/>
  <c r="O83" i="19"/>
  <c r="M83" i="19"/>
  <c r="K83" i="19"/>
  <c r="X82" i="19"/>
  <c r="R82" i="19"/>
  <c r="P82" i="19"/>
  <c r="O82" i="19"/>
  <c r="N82" i="19"/>
  <c r="M82" i="19"/>
  <c r="K82" i="19"/>
  <c r="J82" i="19"/>
  <c r="I82" i="19"/>
  <c r="F82" i="19"/>
  <c r="X81" i="19"/>
  <c r="W81" i="19"/>
  <c r="M81" i="19"/>
  <c r="K81" i="19"/>
  <c r="J81" i="19"/>
  <c r="I81" i="19"/>
  <c r="H81" i="19"/>
  <c r="F81" i="19"/>
  <c r="F37" i="19"/>
  <c r="F36" i="19"/>
  <c r="P267" i="16"/>
  <c r="H267" i="16"/>
  <c r="G267" i="16"/>
  <c r="F267" i="16"/>
  <c r="H266" i="16"/>
  <c r="G266" i="16"/>
  <c r="X264" i="16"/>
  <c r="Q264" i="16"/>
  <c r="P264" i="16"/>
  <c r="O264" i="16"/>
  <c r="M264" i="16"/>
  <c r="K264" i="16"/>
  <c r="I264" i="16"/>
  <c r="X263" i="16"/>
  <c r="U263" i="16"/>
  <c r="T263" i="16"/>
  <c r="P263" i="16"/>
  <c r="O263" i="16"/>
  <c r="M263" i="16"/>
  <c r="K263" i="16"/>
  <c r="X262" i="16"/>
  <c r="R262" i="16"/>
  <c r="P262" i="16"/>
  <c r="O262" i="16"/>
  <c r="N262" i="16"/>
  <c r="M262" i="16"/>
  <c r="K262" i="16"/>
  <c r="J262" i="16"/>
  <c r="I262" i="16"/>
  <c r="F262" i="16"/>
  <c r="X261" i="16"/>
  <c r="W261" i="16"/>
  <c r="M261" i="16"/>
  <c r="K261" i="16"/>
  <c r="J261" i="16"/>
  <c r="I261" i="16"/>
  <c r="H261" i="16"/>
  <c r="F261" i="16"/>
  <c r="P222" i="16"/>
  <c r="H222" i="16"/>
  <c r="G222" i="16"/>
  <c r="F222" i="16"/>
  <c r="H221" i="16"/>
  <c r="G221" i="16"/>
  <c r="X219" i="16"/>
  <c r="Q219" i="16"/>
  <c r="P219" i="16"/>
  <c r="O219" i="16"/>
  <c r="M219" i="16"/>
  <c r="K219" i="16"/>
  <c r="I219" i="16"/>
  <c r="X218" i="16"/>
  <c r="U218" i="16"/>
  <c r="T218" i="16"/>
  <c r="P218" i="16"/>
  <c r="O218" i="16"/>
  <c r="M218" i="16"/>
  <c r="K218" i="16"/>
  <c r="X217" i="16"/>
  <c r="R217" i="16"/>
  <c r="P217" i="16"/>
  <c r="O217" i="16"/>
  <c r="N217" i="16"/>
  <c r="M217" i="16"/>
  <c r="K217" i="16"/>
  <c r="J217" i="16"/>
  <c r="I217" i="16"/>
  <c r="F217" i="16"/>
  <c r="X216" i="16"/>
  <c r="W216" i="16"/>
  <c r="M216" i="16"/>
  <c r="K216" i="16"/>
  <c r="J216" i="16"/>
  <c r="I216" i="16"/>
  <c r="H216" i="16"/>
  <c r="F216" i="16"/>
  <c r="P87" i="16"/>
  <c r="H87" i="16"/>
  <c r="G87" i="16"/>
  <c r="F87" i="16"/>
  <c r="H86" i="16"/>
  <c r="G86" i="16"/>
  <c r="X84" i="16"/>
  <c r="Q84" i="16"/>
  <c r="P84" i="16"/>
  <c r="O84" i="16"/>
  <c r="M84" i="16"/>
  <c r="K84" i="16"/>
  <c r="I84" i="16"/>
  <c r="X83" i="16"/>
  <c r="U83" i="16"/>
  <c r="T83" i="16"/>
  <c r="P83" i="16"/>
  <c r="O83" i="16"/>
  <c r="M83" i="16"/>
  <c r="K83" i="16"/>
  <c r="X82" i="16"/>
  <c r="R82" i="16"/>
  <c r="P82" i="16"/>
  <c r="O82" i="16"/>
  <c r="N82" i="16"/>
  <c r="M82" i="16"/>
  <c r="K82" i="16"/>
  <c r="J82" i="16"/>
  <c r="I82" i="16"/>
  <c r="F82" i="16"/>
  <c r="X81" i="16"/>
  <c r="W81" i="16"/>
  <c r="M81" i="16"/>
  <c r="K81" i="16"/>
  <c r="J81" i="16"/>
  <c r="I81" i="16"/>
  <c r="H81" i="16"/>
  <c r="F81" i="16"/>
  <c r="F37" i="16"/>
  <c r="F36" i="16"/>
  <c r="P267" i="14"/>
  <c r="H267" i="14"/>
  <c r="G267" i="14"/>
  <c r="F267" i="14"/>
  <c r="H266" i="14"/>
  <c r="G266" i="14"/>
  <c r="X264" i="14"/>
  <c r="Q264" i="14"/>
  <c r="P264" i="14"/>
  <c r="O264" i="14"/>
  <c r="M264" i="14"/>
  <c r="K264" i="14"/>
  <c r="I264" i="14"/>
  <c r="X263" i="14"/>
  <c r="U263" i="14"/>
  <c r="T263" i="14"/>
  <c r="P263" i="14"/>
  <c r="O263" i="14"/>
  <c r="M263" i="14"/>
  <c r="K263" i="14"/>
  <c r="X262" i="14"/>
  <c r="R262" i="14"/>
  <c r="P262" i="14"/>
  <c r="O262" i="14"/>
  <c r="N262" i="14"/>
  <c r="M262" i="14"/>
  <c r="K262" i="14"/>
  <c r="J262" i="14"/>
  <c r="I262" i="14"/>
  <c r="F262" i="14"/>
  <c r="X261" i="14"/>
  <c r="W261" i="14"/>
  <c r="M261" i="14"/>
  <c r="K261" i="14"/>
  <c r="J261" i="14"/>
  <c r="I261" i="14"/>
  <c r="H261" i="14"/>
  <c r="F261" i="14"/>
  <c r="P222" i="14"/>
  <c r="H222" i="14"/>
  <c r="G222" i="14"/>
  <c r="F222" i="14"/>
  <c r="H221" i="14"/>
  <c r="G221" i="14"/>
  <c r="X219" i="14"/>
  <c r="Q219" i="14"/>
  <c r="P219" i="14"/>
  <c r="O219" i="14"/>
  <c r="M219" i="14"/>
  <c r="K219" i="14"/>
  <c r="I219" i="14"/>
  <c r="X218" i="14"/>
  <c r="U218" i="14"/>
  <c r="T218" i="14"/>
  <c r="P218" i="14"/>
  <c r="O218" i="14"/>
  <c r="M218" i="14"/>
  <c r="K218" i="14"/>
  <c r="X217" i="14"/>
  <c r="R217" i="14"/>
  <c r="P217" i="14"/>
  <c r="O217" i="14"/>
  <c r="N217" i="14"/>
  <c r="M217" i="14"/>
  <c r="K217" i="14"/>
  <c r="J217" i="14"/>
  <c r="I217" i="14"/>
  <c r="F217" i="14"/>
  <c r="X216" i="14"/>
  <c r="W216" i="14"/>
  <c r="M216" i="14"/>
  <c r="K216" i="14"/>
  <c r="J216" i="14"/>
  <c r="I216" i="14"/>
  <c r="H216" i="14"/>
  <c r="F216" i="14"/>
  <c r="P87" i="14"/>
  <c r="H87" i="14"/>
  <c r="G87" i="14"/>
  <c r="F87" i="14"/>
  <c r="H86" i="14"/>
  <c r="G86" i="14"/>
  <c r="X84" i="14"/>
  <c r="Q84" i="14"/>
  <c r="P84" i="14"/>
  <c r="O84" i="14"/>
  <c r="M84" i="14"/>
  <c r="K84" i="14"/>
  <c r="I84" i="14"/>
  <c r="X83" i="14"/>
  <c r="U83" i="14"/>
  <c r="T83" i="14"/>
  <c r="P83" i="14"/>
  <c r="O83" i="14"/>
  <c r="M83" i="14"/>
  <c r="K83" i="14"/>
  <c r="X82" i="14"/>
  <c r="R82" i="14"/>
  <c r="P82" i="14"/>
  <c r="O82" i="14"/>
  <c r="N82" i="14"/>
  <c r="M82" i="14"/>
  <c r="K82" i="14"/>
  <c r="J82" i="14"/>
  <c r="I82" i="14"/>
  <c r="F82" i="14"/>
  <c r="X81" i="14"/>
  <c r="W81" i="14"/>
  <c r="M81" i="14"/>
  <c r="K81" i="14"/>
  <c r="J81" i="14"/>
  <c r="I81" i="14"/>
  <c r="H81" i="14"/>
  <c r="F81" i="14"/>
  <c r="F37" i="14"/>
  <c r="F36" i="14"/>
  <c r="AB44" i="14"/>
  <c r="AB43" i="14"/>
  <c r="AB42" i="14"/>
  <c r="AB41" i="14"/>
  <c r="AB40" i="14"/>
  <c r="AB39" i="14"/>
  <c r="AB38" i="14"/>
  <c r="P42" i="14"/>
  <c r="H42" i="14"/>
  <c r="G42" i="14"/>
  <c r="F42" i="14"/>
  <c r="H41" i="14"/>
  <c r="G41" i="14"/>
  <c r="X39" i="14"/>
  <c r="Q39" i="14"/>
  <c r="P39" i="14"/>
  <c r="O39" i="14"/>
  <c r="M39" i="14"/>
  <c r="K39" i="14"/>
  <c r="I39" i="14"/>
  <c r="X38" i="14"/>
  <c r="U38" i="14"/>
  <c r="T38" i="14"/>
  <c r="P38" i="14"/>
  <c r="O38" i="14"/>
  <c r="M38" i="14"/>
  <c r="K38" i="14"/>
  <c r="X37" i="14"/>
  <c r="R37" i="14"/>
  <c r="P37" i="14"/>
  <c r="O37" i="14"/>
  <c r="N37" i="14"/>
  <c r="M37" i="14"/>
  <c r="K37" i="14"/>
  <c r="J37" i="14"/>
  <c r="I37" i="14"/>
  <c r="X36" i="14"/>
  <c r="W36" i="14"/>
  <c r="M36" i="14"/>
  <c r="K36" i="14"/>
  <c r="J36" i="14"/>
  <c r="I36" i="14"/>
  <c r="H36" i="14"/>
  <c r="P39" i="16"/>
  <c r="P37" i="16"/>
  <c r="P42" i="16"/>
  <c r="H42" i="16"/>
  <c r="G42" i="16"/>
  <c r="F42" i="16"/>
  <c r="H41" i="16"/>
  <c r="G41" i="16"/>
  <c r="X39" i="16"/>
  <c r="Q39" i="16"/>
  <c r="O39" i="16"/>
  <c r="M39" i="16"/>
  <c r="K39" i="16"/>
  <c r="I39" i="16"/>
  <c r="X38" i="16"/>
  <c r="U38" i="16"/>
  <c r="T38" i="16"/>
  <c r="P38" i="16"/>
  <c r="O38" i="16"/>
  <c r="M38" i="16"/>
  <c r="K38" i="16"/>
  <c r="X37" i="16"/>
  <c r="R37" i="16"/>
  <c r="O37" i="16"/>
  <c r="N37" i="16"/>
  <c r="M37" i="16"/>
  <c r="K37" i="16"/>
  <c r="J37" i="16"/>
  <c r="I37" i="16"/>
  <c r="X36" i="16"/>
  <c r="W36" i="16"/>
  <c r="M36" i="16"/>
  <c r="K36" i="16"/>
  <c r="J36" i="16"/>
  <c r="I36" i="16"/>
  <c r="H36" i="16"/>
  <c r="M38" i="19"/>
  <c r="M37" i="19"/>
  <c r="P38" i="19"/>
  <c r="P37" i="19"/>
  <c r="I37" i="19"/>
  <c r="I36" i="19"/>
  <c r="G42" i="19"/>
  <c r="G41" i="19"/>
  <c r="X84" i="21"/>
  <c r="X83" i="21"/>
  <c r="X82" i="21"/>
  <c r="X81" i="21"/>
  <c r="X39" i="21"/>
  <c r="X38" i="21"/>
  <c r="X37" i="21"/>
  <c r="X36" i="21"/>
  <c r="X36" i="19"/>
  <c r="X38" i="19"/>
  <c r="X37" i="19"/>
  <c r="O38" i="19"/>
  <c r="P177" i="19"/>
  <c r="H177" i="19"/>
  <c r="G177" i="19"/>
  <c r="F177" i="19"/>
  <c r="H176" i="19"/>
  <c r="G176" i="19"/>
  <c r="X174" i="19"/>
  <c r="Q174" i="19"/>
  <c r="P174" i="19"/>
  <c r="O174" i="19"/>
  <c r="M174" i="19"/>
  <c r="K174" i="19"/>
  <c r="I174" i="19"/>
  <c r="X173" i="19"/>
  <c r="U173" i="19"/>
  <c r="T173" i="19"/>
  <c r="P173" i="19"/>
  <c r="O173" i="19"/>
  <c r="M173" i="19"/>
  <c r="K173" i="19"/>
  <c r="X172" i="19"/>
  <c r="R172" i="19"/>
  <c r="P172" i="19"/>
  <c r="O172" i="19"/>
  <c r="N172" i="19"/>
  <c r="M172" i="19"/>
  <c r="K172" i="19"/>
  <c r="J172" i="19"/>
  <c r="I172" i="19"/>
  <c r="F172" i="19"/>
  <c r="X171" i="19"/>
  <c r="W171" i="19"/>
  <c r="M171" i="19"/>
  <c r="K171" i="19"/>
  <c r="J171" i="19"/>
  <c r="I171" i="19"/>
  <c r="H171" i="19"/>
  <c r="F171" i="19"/>
  <c r="O37" i="19"/>
  <c r="H87" i="21"/>
  <c r="H86" i="21"/>
  <c r="H42" i="19"/>
  <c r="H41" i="19"/>
  <c r="H42" i="21"/>
  <c r="H41" i="21"/>
  <c r="P39" i="19"/>
  <c r="AB44" i="19"/>
  <c r="AB43" i="19"/>
  <c r="AB40" i="19"/>
  <c r="P42" i="19"/>
  <c r="F42" i="19"/>
  <c r="X39" i="19"/>
  <c r="Q39" i="19"/>
  <c r="O39" i="19"/>
  <c r="M39" i="19"/>
  <c r="K39" i="19"/>
  <c r="I39" i="19"/>
  <c r="U38" i="19"/>
  <c r="T38" i="19"/>
  <c r="K38" i="19"/>
  <c r="R37" i="19"/>
  <c r="N37" i="19"/>
  <c r="K37" i="19"/>
  <c r="J37" i="19"/>
  <c r="W36" i="19"/>
  <c r="M36" i="19"/>
  <c r="K36" i="19"/>
  <c r="J36" i="19"/>
  <c r="H36" i="19"/>
  <c r="P267" i="21"/>
  <c r="H267" i="21"/>
  <c r="G267" i="21"/>
  <c r="F267" i="21"/>
  <c r="H266" i="21"/>
  <c r="G266" i="21"/>
  <c r="X264" i="21"/>
  <c r="Q264" i="21"/>
  <c r="P264" i="21"/>
  <c r="O264" i="21"/>
  <c r="M264" i="21"/>
  <c r="K264" i="21"/>
  <c r="I264" i="21"/>
  <c r="X263" i="21"/>
  <c r="U263" i="21"/>
  <c r="T263" i="21"/>
  <c r="P263" i="21"/>
  <c r="O263" i="21"/>
  <c r="M263" i="21"/>
  <c r="K263" i="21"/>
  <c r="X262" i="21"/>
  <c r="R262" i="21"/>
  <c r="P262" i="21"/>
  <c r="O262" i="21"/>
  <c r="N262" i="21"/>
  <c r="M262" i="21"/>
  <c r="K262" i="21"/>
  <c r="J262" i="21"/>
  <c r="I262" i="21"/>
  <c r="F262" i="21"/>
  <c r="X261" i="21"/>
  <c r="W261" i="21"/>
  <c r="M261" i="21"/>
  <c r="K261" i="21"/>
  <c r="J261" i="21"/>
  <c r="I261" i="21"/>
  <c r="H261" i="21"/>
  <c r="F261" i="21"/>
  <c r="P222" i="21"/>
  <c r="H222" i="21"/>
  <c r="G222" i="21"/>
  <c r="F222" i="21"/>
  <c r="H221" i="21"/>
  <c r="G221" i="21"/>
  <c r="X219" i="21"/>
  <c r="Q219" i="21"/>
  <c r="P219" i="21"/>
  <c r="O219" i="21"/>
  <c r="M219" i="21"/>
  <c r="K219" i="21"/>
  <c r="I219" i="21"/>
  <c r="X218" i="21"/>
  <c r="U218" i="21"/>
  <c r="T218" i="21"/>
  <c r="P218" i="21"/>
  <c r="O218" i="21"/>
  <c r="M218" i="21"/>
  <c r="K218" i="21"/>
  <c r="X217" i="21"/>
  <c r="R217" i="21"/>
  <c r="P217" i="21"/>
  <c r="O217" i="21"/>
  <c r="N217" i="21"/>
  <c r="M217" i="21"/>
  <c r="K217" i="21"/>
  <c r="J217" i="21"/>
  <c r="I217" i="21"/>
  <c r="F217" i="21"/>
  <c r="X216" i="21"/>
  <c r="W216" i="21"/>
  <c r="M216" i="21"/>
  <c r="K216" i="21"/>
  <c r="J216" i="21"/>
  <c r="I216" i="21"/>
  <c r="H216" i="21"/>
  <c r="F216" i="21"/>
  <c r="P87" i="21"/>
  <c r="G87" i="21"/>
  <c r="F87" i="21"/>
  <c r="G86" i="21"/>
  <c r="Q84" i="21"/>
  <c r="P84" i="21"/>
  <c r="O84" i="21"/>
  <c r="M84" i="21"/>
  <c r="K84" i="21"/>
  <c r="I84" i="21"/>
  <c r="U83" i="21"/>
  <c r="T83" i="21"/>
  <c r="P83" i="21"/>
  <c r="O83" i="21"/>
  <c r="M83" i="21"/>
  <c r="K83" i="21"/>
  <c r="R82" i="21"/>
  <c r="P82" i="21"/>
  <c r="O82" i="21"/>
  <c r="N82" i="21"/>
  <c r="M82" i="21"/>
  <c r="K82" i="21"/>
  <c r="J82" i="21"/>
  <c r="I82" i="21"/>
  <c r="F82" i="21"/>
  <c r="W81" i="21"/>
  <c r="M81" i="21"/>
  <c r="K81" i="21"/>
  <c r="J81" i="21"/>
  <c r="I81" i="21"/>
  <c r="H81" i="21"/>
  <c r="F81" i="21"/>
  <c r="P42" i="21"/>
  <c r="G42" i="21"/>
  <c r="F42" i="21"/>
  <c r="G41" i="21"/>
  <c r="Q39" i="21"/>
  <c r="P39" i="21"/>
  <c r="O39" i="21"/>
  <c r="M39" i="21"/>
  <c r="K39" i="21"/>
  <c r="I39" i="21"/>
  <c r="U38" i="21"/>
  <c r="T38" i="21"/>
  <c r="P38" i="21"/>
  <c r="O38" i="21"/>
  <c r="M38" i="21"/>
  <c r="K38" i="21"/>
  <c r="R37" i="21"/>
  <c r="P37" i="21"/>
  <c r="O37" i="21"/>
  <c r="N37" i="21"/>
  <c r="M37" i="21"/>
  <c r="K37" i="21"/>
  <c r="J37" i="21"/>
  <c r="I37" i="21"/>
  <c r="F37" i="21"/>
  <c r="W36" i="21"/>
  <c r="M36" i="21"/>
  <c r="K36" i="21"/>
  <c r="J36" i="21"/>
  <c r="I36" i="21"/>
  <c r="H36" i="21"/>
  <c r="F36" i="21"/>
  <c r="P267" i="25"/>
  <c r="H267" i="25"/>
  <c r="G267" i="25"/>
  <c r="F267" i="25"/>
  <c r="H266" i="25"/>
  <c r="G266" i="25"/>
  <c r="X264" i="25"/>
  <c r="Q264" i="25"/>
  <c r="P264" i="25"/>
  <c r="O264" i="25"/>
  <c r="M264" i="25"/>
  <c r="K264" i="25"/>
  <c r="I264" i="25"/>
  <c r="X263" i="25"/>
  <c r="U263" i="25"/>
  <c r="T263" i="25"/>
  <c r="P263" i="25"/>
  <c r="O263" i="25"/>
  <c r="M263" i="25"/>
  <c r="K263" i="25"/>
  <c r="X262" i="25"/>
  <c r="R262" i="25"/>
  <c r="P262" i="25"/>
  <c r="O262" i="25"/>
  <c r="N262" i="25"/>
  <c r="M262" i="25"/>
  <c r="K262" i="25"/>
  <c r="J262" i="25"/>
  <c r="I262" i="25"/>
  <c r="F262" i="25"/>
  <c r="X261" i="25"/>
  <c r="W261" i="25"/>
  <c r="M261" i="25"/>
  <c r="K261" i="25"/>
  <c r="J261" i="25"/>
  <c r="I261" i="25"/>
  <c r="H261" i="25"/>
  <c r="F261" i="25"/>
  <c r="P222" i="25"/>
  <c r="H222" i="25"/>
  <c r="G222" i="25"/>
  <c r="F222" i="25"/>
  <c r="H221" i="25"/>
  <c r="G221" i="25"/>
  <c r="X219" i="25"/>
  <c r="Q219" i="25"/>
  <c r="P219" i="25"/>
  <c r="O219" i="25"/>
  <c r="M219" i="25"/>
  <c r="K219" i="25"/>
  <c r="I219" i="25"/>
  <c r="X218" i="25"/>
  <c r="U218" i="25"/>
  <c r="T218" i="25"/>
  <c r="P218" i="25"/>
  <c r="O218" i="25"/>
  <c r="M218" i="25"/>
  <c r="K218" i="25"/>
  <c r="X217" i="25"/>
  <c r="R217" i="25"/>
  <c r="P217" i="25"/>
  <c r="O217" i="25"/>
  <c r="N217" i="25"/>
  <c r="M217" i="25"/>
  <c r="K217" i="25"/>
  <c r="J217" i="25"/>
  <c r="I217" i="25"/>
  <c r="F217" i="25"/>
  <c r="X216" i="25"/>
  <c r="W216" i="25"/>
  <c r="M216" i="25"/>
  <c r="K216" i="25"/>
  <c r="J216" i="25"/>
  <c r="I216" i="25"/>
  <c r="H216" i="25"/>
  <c r="F216" i="25"/>
  <c r="P177" i="25"/>
  <c r="H177" i="25"/>
  <c r="G177" i="25"/>
  <c r="F177" i="25"/>
  <c r="H176" i="25"/>
  <c r="G176" i="25"/>
  <c r="X174" i="25"/>
  <c r="Q174" i="25"/>
  <c r="P174" i="25"/>
  <c r="O174" i="25"/>
  <c r="M174" i="25"/>
  <c r="K174" i="25"/>
  <c r="I174" i="25"/>
  <c r="X173" i="25"/>
  <c r="U173" i="25"/>
  <c r="T173" i="25"/>
  <c r="P173" i="25"/>
  <c r="O173" i="25"/>
  <c r="M173" i="25"/>
  <c r="K173" i="25"/>
  <c r="X172" i="25"/>
  <c r="R172" i="25"/>
  <c r="P172" i="25"/>
  <c r="O172" i="25"/>
  <c r="N172" i="25"/>
  <c r="M172" i="25"/>
  <c r="K172" i="25"/>
  <c r="J172" i="25"/>
  <c r="I172" i="25"/>
  <c r="F172" i="25"/>
  <c r="X171" i="25"/>
  <c r="W171" i="25"/>
  <c r="M171" i="25"/>
  <c r="K171" i="25"/>
  <c r="J171" i="25"/>
  <c r="I171" i="25"/>
  <c r="H171" i="25"/>
  <c r="F171" i="25"/>
  <c r="P132" i="25"/>
  <c r="H132" i="25"/>
  <c r="G132" i="25"/>
  <c r="F132" i="25"/>
  <c r="H131" i="25"/>
  <c r="G131" i="25"/>
  <c r="X129" i="25"/>
  <c r="Q129" i="25"/>
  <c r="P129" i="25"/>
  <c r="O129" i="25"/>
  <c r="M129" i="25"/>
  <c r="K129" i="25"/>
  <c r="I129" i="25"/>
  <c r="X128" i="25"/>
  <c r="U128" i="25"/>
  <c r="T128" i="25"/>
  <c r="P128" i="25"/>
  <c r="O128" i="25"/>
  <c r="M128" i="25"/>
  <c r="K128" i="25"/>
  <c r="X127" i="25"/>
  <c r="R127" i="25"/>
  <c r="P127" i="25"/>
  <c r="O127" i="25"/>
  <c r="N127" i="25"/>
  <c r="M127" i="25"/>
  <c r="K127" i="25"/>
  <c r="J127" i="25"/>
  <c r="I127" i="25"/>
  <c r="F127" i="25"/>
  <c r="X126" i="25"/>
  <c r="W126" i="25"/>
  <c r="M126" i="25"/>
  <c r="K126" i="25"/>
  <c r="J126" i="25"/>
  <c r="I126" i="25"/>
  <c r="H126" i="25"/>
  <c r="F126" i="25"/>
  <c r="P87" i="25"/>
  <c r="H87" i="25"/>
  <c r="G87" i="25"/>
  <c r="F87" i="25"/>
  <c r="H86" i="25"/>
  <c r="G86" i="25"/>
  <c r="X84" i="25"/>
  <c r="Q84" i="25"/>
  <c r="P84" i="25"/>
  <c r="O84" i="25"/>
  <c r="M84" i="25"/>
  <c r="K84" i="25"/>
  <c r="I84" i="25"/>
  <c r="X83" i="25"/>
  <c r="U83" i="25"/>
  <c r="T83" i="25"/>
  <c r="P83" i="25"/>
  <c r="O83" i="25"/>
  <c r="M83" i="25"/>
  <c r="K83" i="25"/>
  <c r="X82" i="25"/>
  <c r="R82" i="25"/>
  <c r="P82" i="25"/>
  <c r="O82" i="25"/>
  <c r="N82" i="25"/>
  <c r="M82" i="25"/>
  <c r="K82" i="25"/>
  <c r="J82" i="25"/>
  <c r="I82" i="25"/>
  <c r="F82" i="25"/>
  <c r="X81" i="25"/>
  <c r="W81" i="25"/>
  <c r="M81" i="25"/>
  <c r="K81" i="25"/>
  <c r="J81" i="25"/>
  <c r="I81" i="25"/>
  <c r="H81" i="25"/>
  <c r="F81" i="25"/>
  <c r="P38" i="25"/>
  <c r="P37" i="25"/>
  <c r="P42" i="25"/>
  <c r="H42" i="25"/>
  <c r="G42" i="25"/>
  <c r="F42" i="25"/>
  <c r="H41" i="25"/>
  <c r="G41" i="25"/>
  <c r="X39" i="25"/>
  <c r="Q39" i="25"/>
  <c r="P39" i="25"/>
  <c r="O39" i="25"/>
  <c r="M39" i="25"/>
  <c r="K39" i="25"/>
  <c r="I39" i="25"/>
  <c r="X38" i="25"/>
  <c r="U38" i="25"/>
  <c r="T38" i="25"/>
  <c r="O38" i="25"/>
  <c r="M38" i="25"/>
  <c r="K38" i="25"/>
  <c r="X37" i="25"/>
  <c r="R37" i="25"/>
  <c r="O37" i="25"/>
  <c r="N37" i="25"/>
  <c r="M37" i="25"/>
  <c r="K37" i="25"/>
  <c r="J37" i="25"/>
  <c r="I37" i="25"/>
  <c r="F37" i="25"/>
  <c r="X36" i="25"/>
  <c r="W36" i="25"/>
  <c r="M36" i="25"/>
  <c r="K36" i="25"/>
  <c r="J36" i="25"/>
  <c r="I36" i="25"/>
  <c r="H36" i="25"/>
  <c r="F36" i="25"/>
  <c r="P267" i="27"/>
  <c r="H267" i="27"/>
  <c r="G267" i="27"/>
  <c r="F267" i="27"/>
  <c r="H266" i="27"/>
  <c r="G266" i="27"/>
  <c r="X264" i="27"/>
  <c r="Q264" i="27"/>
  <c r="P264" i="27"/>
  <c r="O264" i="27"/>
  <c r="M264" i="27"/>
  <c r="K264" i="27"/>
  <c r="I264" i="27"/>
  <c r="X263" i="27"/>
  <c r="U263" i="27"/>
  <c r="T263" i="27"/>
  <c r="P263" i="27"/>
  <c r="O263" i="27"/>
  <c r="M263" i="27"/>
  <c r="K263" i="27"/>
  <c r="X262" i="27"/>
  <c r="R262" i="27"/>
  <c r="P262" i="27"/>
  <c r="O262" i="27"/>
  <c r="N262" i="27"/>
  <c r="M262" i="27"/>
  <c r="K262" i="27"/>
  <c r="J262" i="27"/>
  <c r="I262" i="27"/>
  <c r="F262" i="27"/>
  <c r="X261" i="27"/>
  <c r="W261" i="27"/>
  <c r="M261" i="27"/>
  <c r="K261" i="27"/>
  <c r="J261" i="27"/>
  <c r="I261" i="27"/>
  <c r="H261" i="27"/>
  <c r="F261" i="27"/>
  <c r="P222" i="27"/>
  <c r="H222" i="27"/>
  <c r="G222" i="27"/>
  <c r="F222" i="27"/>
  <c r="H221" i="27"/>
  <c r="G221" i="27"/>
  <c r="Y221" i="27" s="1"/>
  <c r="X219" i="27"/>
  <c r="Q219" i="27"/>
  <c r="P219" i="27"/>
  <c r="O219" i="27"/>
  <c r="M219" i="27"/>
  <c r="K219" i="27"/>
  <c r="I219" i="27"/>
  <c r="X218" i="27"/>
  <c r="AZ218" i="27" s="1"/>
  <c r="U218" i="27"/>
  <c r="T218" i="27"/>
  <c r="P218" i="27"/>
  <c r="O218" i="27"/>
  <c r="M218" i="27"/>
  <c r="K218" i="27"/>
  <c r="X217" i="27"/>
  <c r="R217" i="27"/>
  <c r="P217" i="27"/>
  <c r="O217" i="27"/>
  <c r="N217" i="27"/>
  <c r="M217" i="27"/>
  <c r="K217" i="27"/>
  <c r="J217" i="27"/>
  <c r="I217" i="27"/>
  <c r="F217" i="27"/>
  <c r="X216" i="27"/>
  <c r="W216" i="27"/>
  <c r="M216" i="27"/>
  <c r="K216" i="27"/>
  <c r="J216" i="27"/>
  <c r="I216" i="27"/>
  <c r="H216" i="27"/>
  <c r="F216" i="27"/>
  <c r="P177" i="27"/>
  <c r="H177" i="27"/>
  <c r="G177" i="27"/>
  <c r="F177" i="27"/>
  <c r="H176" i="27"/>
  <c r="G176" i="27"/>
  <c r="X174" i="27"/>
  <c r="Q174" i="27"/>
  <c r="P174" i="27"/>
  <c r="O174" i="27"/>
  <c r="M174" i="27"/>
  <c r="K174" i="27"/>
  <c r="I174" i="27"/>
  <c r="X173" i="27"/>
  <c r="U173" i="27"/>
  <c r="T173" i="27"/>
  <c r="P173" i="27"/>
  <c r="O173" i="27"/>
  <c r="M173" i="27"/>
  <c r="K173" i="27"/>
  <c r="X172" i="27"/>
  <c r="R172" i="27"/>
  <c r="P172" i="27"/>
  <c r="O172" i="27"/>
  <c r="N172" i="27"/>
  <c r="M172" i="27"/>
  <c r="K172" i="27"/>
  <c r="J172" i="27"/>
  <c r="I172" i="27"/>
  <c r="F172" i="27"/>
  <c r="X171" i="27"/>
  <c r="W171" i="27"/>
  <c r="M171" i="27"/>
  <c r="K171" i="27"/>
  <c r="J171" i="27"/>
  <c r="I171" i="27"/>
  <c r="H171" i="27"/>
  <c r="F171" i="27"/>
  <c r="P132" i="27"/>
  <c r="H132" i="27"/>
  <c r="G132" i="27"/>
  <c r="F132" i="27"/>
  <c r="H131" i="27"/>
  <c r="G131" i="27"/>
  <c r="X129" i="27"/>
  <c r="Q129" i="27"/>
  <c r="P129" i="27"/>
  <c r="O129" i="27"/>
  <c r="M129" i="27"/>
  <c r="K129" i="27"/>
  <c r="I129" i="27"/>
  <c r="X128" i="27"/>
  <c r="U128" i="27"/>
  <c r="T128" i="27"/>
  <c r="P128" i="27"/>
  <c r="O128" i="27"/>
  <c r="M128" i="27"/>
  <c r="K128" i="27"/>
  <c r="X127" i="27"/>
  <c r="R127" i="27"/>
  <c r="P127" i="27"/>
  <c r="O127" i="27"/>
  <c r="N127" i="27"/>
  <c r="M127" i="27"/>
  <c r="K127" i="27"/>
  <c r="J127" i="27"/>
  <c r="I127" i="27"/>
  <c r="F127" i="27"/>
  <c r="X126" i="27"/>
  <c r="W126" i="27"/>
  <c r="M126" i="27"/>
  <c r="K126" i="27"/>
  <c r="J126" i="27"/>
  <c r="I126" i="27"/>
  <c r="H126" i="27"/>
  <c r="F126" i="27"/>
  <c r="P87" i="27"/>
  <c r="H87" i="27"/>
  <c r="G87" i="27"/>
  <c r="F87" i="27"/>
  <c r="H86" i="27"/>
  <c r="G86" i="27"/>
  <c r="X84" i="27"/>
  <c r="Q84" i="27"/>
  <c r="P84" i="27"/>
  <c r="O84" i="27"/>
  <c r="M84" i="27"/>
  <c r="K84" i="27"/>
  <c r="I84" i="27"/>
  <c r="X83" i="27"/>
  <c r="U83" i="27"/>
  <c r="T83" i="27"/>
  <c r="P83" i="27"/>
  <c r="O83" i="27"/>
  <c r="M83" i="27"/>
  <c r="K83" i="27"/>
  <c r="X82" i="27"/>
  <c r="R82" i="27"/>
  <c r="P82" i="27"/>
  <c r="O82" i="27"/>
  <c r="N82" i="27"/>
  <c r="M82" i="27"/>
  <c r="K82" i="27"/>
  <c r="J82" i="27"/>
  <c r="I82" i="27"/>
  <c r="F82" i="27"/>
  <c r="X81" i="27"/>
  <c r="W81" i="27"/>
  <c r="Z81" i="27" s="1"/>
  <c r="M81" i="27"/>
  <c r="K81" i="27"/>
  <c r="J81" i="27"/>
  <c r="I81" i="27"/>
  <c r="H81" i="27"/>
  <c r="F81" i="27"/>
  <c r="P38" i="27"/>
  <c r="P37" i="27"/>
  <c r="J36" i="27"/>
  <c r="J37" i="27"/>
  <c r="H42" i="27"/>
  <c r="H41" i="27"/>
  <c r="P42" i="27"/>
  <c r="G42" i="27"/>
  <c r="F42" i="27"/>
  <c r="G41" i="27"/>
  <c r="X39" i="27"/>
  <c r="Q39" i="27"/>
  <c r="P39" i="27"/>
  <c r="O39" i="27"/>
  <c r="M39" i="27"/>
  <c r="K39" i="27"/>
  <c r="I39" i="27"/>
  <c r="X38" i="27"/>
  <c r="U38" i="27"/>
  <c r="T38" i="27"/>
  <c r="O38" i="27"/>
  <c r="M38" i="27"/>
  <c r="K38" i="27"/>
  <c r="X37" i="27"/>
  <c r="R37" i="27"/>
  <c r="O37" i="27"/>
  <c r="N37" i="27"/>
  <c r="M37" i="27"/>
  <c r="K37" i="27"/>
  <c r="I37" i="27"/>
  <c r="F37" i="27"/>
  <c r="X36" i="27"/>
  <c r="W36" i="27"/>
  <c r="M36" i="27"/>
  <c r="K36" i="27"/>
  <c r="I36" i="27"/>
  <c r="H36" i="27"/>
  <c r="F36" i="27"/>
  <c r="P267" i="28"/>
  <c r="H267" i="28"/>
  <c r="G267" i="28"/>
  <c r="F267" i="28"/>
  <c r="H266" i="28"/>
  <c r="G266" i="28"/>
  <c r="AI221" i="28" s="1"/>
  <c r="X264" i="28"/>
  <c r="Q264" i="28"/>
  <c r="P264" i="28"/>
  <c r="O264" i="28"/>
  <c r="M264" i="28"/>
  <c r="K264" i="28"/>
  <c r="I264" i="28"/>
  <c r="X263" i="28"/>
  <c r="AZ218" i="28" s="1"/>
  <c r="U263" i="28"/>
  <c r="T263" i="28"/>
  <c r="P263" i="28"/>
  <c r="O263" i="28"/>
  <c r="M263" i="28"/>
  <c r="K263" i="28"/>
  <c r="X262" i="28"/>
  <c r="R262" i="28"/>
  <c r="P262" i="28"/>
  <c r="O262" i="28"/>
  <c r="N262" i="28"/>
  <c r="M262" i="28"/>
  <c r="K262" i="28"/>
  <c r="J262" i="28"/>
  <c r="I262" i="28"/>
  <c r="F262" i="28"/>
  <c r="X261" i="28"/>
  <c r="W261" i="28"/>
  <c r="M261" i="28"/>
  <c r="K261" i="28"/>
  <c r="I261" i="28"/>
  <c r="H261" i="28"/>
  <c r="F261" i="28"/>
  <c r="P222" i="28"/>
  <c r="H222" i="28"/>
  <c r="G222" i="28"/>
  <c r="H221" i="28"/>
  <c r="G221" i="28"/>
  <c r="Q219" i="28"/>
  <c r="P219" i="28"/>
  <c r="O219" i="28"/>
  <c r="M219" i="28"/>
  <c r="K219" i="28"/>
  <c r="I219" i="28"/>
  <c r="U218" i="28"/>
  <c r="T218" i="28"/>
  <c r="P218" i="28"/>
  <c r="O218" i="28"/>
  <c r="M218" i="28"/>
  <c r="K218" i="28"/>
  <c r="R217" i="28"/>
  <c r="P217" i="28"/>
  <c r="O217" i="28"/>
  <c r="N217" i="28"/>
  <c r="M217" i="28"/>
  <c r="K217" i="28"/>
  <c r="J217" i="28"/>
  <c r="I217" i="28"/>
  <c r="F217" i="28"/>
  <c r="W216" i="28"/>
  <c r="M216" i="28"/>
  <c r="K216" i="28"/>
  <c r="I216" i="28"/>
  <c r="H216" i="28"/>
  <c r="F216" i="28"/>
  <c r="P177" i="28"/>
  <c r="H177" i="28"/>
  <c r="G177" i="28"/>
  <c r="F177" i="28"/>
  <c r="H176" i="28"/>
  <c r="G176" i="28"/>
  <c r="X174" i="28"/>
  <c r="Q174" i="28"/>
  <c r="P174" i="28"/>
  <c r="O174" i="28"/>
  <c r="M174" i="28"/>
  <c r="K174" i="28"/>
  <c r="I174" i="28"/>
  <c r="X173" i="28"/>
  <c r="U173" i="28"/>
  <c r="T173" i="28"/>
  <c r="P173" i="28"/>
  <c r="O173" i="28"/>
  <c r="M173" i="28"/>
  <c r="K173" i="28"/>
  <c r="X172" i="28"/>
  <c r="R172" i="28"/>
  <c r="P172" i="28"/>
  <c r="O172" i="28"/>
  <c r="N172" i="28"/>
  <c r="M172" i="28"/>
  <c r="K172" i="28"/>
  <c r="J172" i="28"/>
  <c r="I172" i="28"/>
  <c r="F172" i="28"/>
  <c r="X171" i="28"/>
  <c r="W171" i="28"/>
  <c r="M171" i="28"/>
  <c r="K171" i="28"/>
  <c r="I171" i="28"/>
  <c r="H171" i="28"/>
  <c r="F171" i="28"/>
  <c r="P132" i="28"/>
  <c r="H132" i="28"/>
  <c r="G132" i="28"/>
  <c r="F132" i="28"/>
  <c r="H131" i="28"/>
  <c r="G131" i="28"/>
  <c r="X129" i="28"/>
  <c r="Q129" i="28"/>
  <c r="P129" i="28"/>
  <c r="O129" i="28"/>
  <c r="M129" i="28"/>
  <c r="K129" i="28"/>
  <c r="I129" i="28"/>
  <c r="X128" i="28"/>
  <c r="U128" i="28"/>
  <c r="T128" i="28"/>
  <c r="P128" i="28"/>
  <c r="O128" i="28"/>
  <c r="M128" i="28"/>
  <c r="K128" i="28"/>
  <c r="X127" i="28"/>
  <c r="R127" i="28"/>
  <c r="P127" i="28"/>
  <c r="O127" i="28"/>
  <c r="N127" i="28"/>
  <c r="M127" i="28"/>
  <c r="K127" i="28"/>
  <c r="J127" i="28"/>
  <c r="I127" i="28"/>
  <c r="F127" i="28"/>
  <c r="X126" i="28"/>
  <c r="W126" i="28"/>
  <c r="M126" i="28"/>
  <c r="K126" i="28"/>
  <c r="I126" i="28"/>
  <c r="H126" i="28"/>
  <c r="F126" i="28"/>
  <c r="P87" i="28"/>
  <c r="H87" i="28"/>
  <c r="G87" i="28"/>
  <c r="F87" i="28"/>
  <c r="H86" i="28"/>
  <c r="G86" i="28"/>
  <c r="X84" i="28"/>
  <c r="Q84" i="28"/>
  <c r="P84" i="28"/>
  <c r="O84" i="28"/>
  <c r="M84" i="28"/>
  <c r="K84" i="28"/>
  <c r="I84" i="28"/>
  <c r="X83" i="28"/>
  <c r="U83" i="28"/>
  <c r="T83" i="28"/>
  <c r="P83" i="28"/>
  <c r="O83" i="28"/>
  <c r="M83" i="28"/>
  <c r="K83" i="28"/>
  <c r="X82" i="28"/>
  <c r="R82" i="28"/>
  <c r="P82" i="28"/>
  <c r="O82" i="28"/>
  <c r="N82" i="28"/>
  <c r="M82" i="28"/>
  <c r="K82" i="28"/>
  <c r="J82" i="28"/>
  <c r="I82" i="28"/>
  <c r="F82" i="28"/>
  <c r="X81" i="28"/>
  <c r="W81" i="28"/>
  <c r="Z81" i="28" s="1"/>
  <c r="M81" i="28"/>
  <c r="K81" i="28"/>
  <c r="I81" i="28"/>
  <c r="H81" i="28"/>
  <c r="F81" i="28"/>
  <c r="P38" i="28"/>
  <c r="P37" i="28"/>
  <c r="O38" i="28"/>
  <c r="O37" i="28"/>
  <c r="M37" i="28"/>
  <c r="K37" i="28"/>
  <c r="H42" i="28"/>
  <c r="P39" i="28"/>
  <c r="H41" i="28"/>
  <c r="X38" i="28"/>
  <c r="X36" i="28"/>
  <c r="X37" i="28"/>
  <c r="X39" i="28"/>
  <c r="Y221" i="28"/>
  <c r="AP172" i="28"/>
  <c r="AM171" i="28"/>
  <c r="K36" i="28"/>
  <c r="K38" i="28"/>
  <c r="K39" i="28"/>
  <c r="I39" i="28"/>
  <c r="I37" i="28"/>
  <c r="I36" i="28"/>
  <c r="AM95" i="28"/>
  <c r="E150" i="20"/>
  <c r="F150" i="20"/>
  <c r="G150" i="20"/>
  <c r="H150" i="20"/>
  <c r="I150" i="20"/>
  <c r="J150" i="20"/>
  <c r="P150" i="20"/>
  <c r="Q150" i="20"/>
  <c r="R150" i="20"/>
  <c r="S150" i="20"/>
  <c r="T150" i="20"/>
  <c r="U150" i="20"/>
  <c r="W150" i="20"/>
  <c r="X150" i="20"/>
  <c r="Y150" i="20"/>
  <c r="Z150" i="20"/>
  <c r="AA150" i="20"/>
  <c r="AC150" i="20"/>
  <c r="D151" i="20"/>
  <c r="E151" i="20"/>
  <c r="F151" i="20"/>
  <c r="G151" i="20"/>
  <c r="H151" i="20"/>
  <c r="I151" i="20"/>
  <c r="J151" i="20"/>
  <c r="P151" i="20"/>
  <c r="Q151" i="20"/>
  <c r="R151" i="20"/>
  <c r="S151" i="20"/>
  <c r="T151" i="20"/>
  <c r="U151" i="20"/>
  <c r="W151" i="20"/>
  <c r="X151" i="20"/>
  <c r="Y151" i="20"/>
  <c r="Z151" i="20"/>
  <c r="AA151" i="20"/>
  <c r="AB151" i="20"/>
  <c r="AC151" i="20"/>
  <c r="D152" i="20"/>
  <c r="E152" i="20"/>
  <c r="F152" i="20"/>
  <c r="G152" i="20"/>
  <c r="H152" i="20"/>
  <c r="I152" i="20"/>
  <c r="J152" i="20"/>
  <c r="P152" i="20"/>
  <c r="Q152" i="20"/>
  <c r="R152" i="20"/>
  <c r="S152" i="20"/>
  <c r="T152" i="20"/>
  <c r="U152" i="20"/>
  <c r="W152" i="20"/>
  <c r="X152" i="20"/>
  <c r="Y152" i="20"/>
  <c r="Z152" i="20"/>
  <c r="AA152" i="20"/>
  <c r="AB152" i="20"/>
  <c r="AC152" i="20"/>
  <c r="D153" i="20"/>
  <c r="E153" i="20"/>
  <c r="F153" i="20"/>
  <c r="G153" i="20"/>
  <c r="H153" i="20"/>
  <c r="I153" i="20"/>
  <c r="J153" i="20"/>
  <c r="P153" i="20"/>
  <c r="Q153" i="20"/>
  <c r="R153" i="20"/>
  <c r="S153" i="20"/>
  <c r="T153" i="20"/>
  <c r="U153" i="20"/>
  <c r="W153" i="20"/>
  <c r="X153" i="20"/>
  <c r="Y153" i="20"/>
  <c r="Z153" i="20"/>
  <c r="AA153" i="20"/>
  <c r="AB153" i="20"/>
  <c r="AC153" i="20"/>
  <c r="D154" i="20"/>
  <c r="E154" i="20"/>
  <c r="F154" i="20"/>
  <c r="G154" i="20"/>
  <c r="H154" i="20"/>
  <c r="I154" i="20"/>
  <c r="J154" i="20"/>
  <c r="P154" i="20"/>
  <c r="T154" i="20"/>
  <c r="U154" i="20"/>
  <c r="W154" i="20"/>
  <c r="X154" i="20"/>
  <c r="Y154" i="20"/>
  <c r="Z154" i="20"/>
  <c r="AA154" i="20"/>
  <c r="AB154" i="20"/>
  <c r="D155" i="20"/>
  <c r="E155" i="20"/>
  <c r="F155" i="20"/>
  <c r="G155" i="20"/>
  <c r="H155" i="20"/>
  <c r="I155" i="20"/>
  <c r="J155" i="20"/>
  <c r="P155" i="20"/>
  <c r="T155" i="20"/>
  <c r="U155" i="20"/>
  <c r="W155" i="20"/>
  <c r="X155" i="20"/>
  <c r="Y155" i="20"/>
  <c r="Z155" i="20"/>
  <c r="AA155" i="20"/>
  <c r="AB155" i="20"/>
  <c r="D156" i="20"/>
  <c r="E156" i="20"/>
  <c r="F156" i="20"/>
  <c r="G156" i="20"/>
  <c r="H156" i="20"/>
  <c r="I156" i="20"/>
  <c r="J156" i="20"/>
  <c r="P156" i="20"/>
  <c r="R156" i="20"/>
  <c r="T156" i="20"/>
  <c r="U156" i="20"/>
  <c r="W156" i="20"/>
  <c r="X156" i="20"/>
  <c r="Y156" i="20"/>
  <c r="Z156" i="20"/>
  <c r="AA156" i="20"/>
  <c r="AB156" i="20"/>
  <c r="P202" i="16"/>
  <c r="P201" i="16"/>
  <c r="P202" i="19"/>
  <c r="P201" i="19"/>
  <c r="P202" i="21"/>
  <c r="P201" i="21"/>
  <c r="P202" i="28"/>
  <c r="P201" i="28"/>
  <c r="G22" i="16"/>
  <c r="G22" i="19"/>
  <c r="F21" i="21"/>
  <c r="F22" i="21"/>
  <c r="F99" i="20"/>
  <c r="F98" i="20"/>
  <c r="F97" i="20"/>
  <c r="F96" i="20"/>
  <c r="F95" i="20"/>
  <c r="Z32" i="20"/>
  <c r="Y32" i="20"/>
  <c r="X32" i="20"/>
  <c r="W32" i="20"/>
  <c r="V32" i="20"/>
  <c r="U32" i="20"/>
  <c r="T32" i="20"/>
  <c r="Q32" i="20"/>
  <c r="P32" i="20"/>
  <c r="J32" i="20"/>
  <c r="I32" i="20"/>
  <c r="H32" i="20"/>
  <c r="G32" i="20"/>
  <c r="F32" i="20"/>
  <c r="E32" i="20"/>
  <c r="Z47" i="20"/>
  <c r="Z129" i="20" s="1"/>
  <c r="Y47" i="20"/>
  <c r="Y129" i="20" s="1"/>
  <c r="X47" i="20"/>
  <c r="W47" i="20"/>
  <c r="V47" i="20"/>
  <c r="U47" i="20"/>
  <c r="T47" i="20"/>
  <c r="Q47" i="20"/>
  <c r="Q129" i="20" s="1"/>
  <c r="P47" i="20"/>
  <c r="J47" i="20"/>
  <c r="I47" i="20"/>
  <c r="H47" i="20"/>
  <c r="G47" i="20"/>
  <c r="F47" i="20"/>
  <c r="E47" i="20"/>
  <c r="E129" i="20" s="1"/>
  <c r="L114" i="20"/>
  <c r="K114" i="20"/>
  <c r="M114" i="20"/>
  <c r="N114" i="20"/>
  <c r="O114" i="20"/>
  <c r="V114" i="20"/>
  <c r="V141" i="20" s="1"/>
  <c r="Z15" i="20"/>
  <c r="Y15" i="20"/>
  <c r="X15" i="20"/>
  <c r="W15" i="20"/>
  <c r="V15" i="20"/>
  <c r="U15" i="20"/>
  <c r="T15" i="20"/>
  <c r="R15" i="20"/>
  <c r="Q15" i="20"/>
  <c r="P15" i="20"/>
  <c r="J15" i="20"/>
  <c r="I15" i="20"/>
  <c r="H15" i="20"/>
  <c r="G15" i="20"/>
  <c r="F15" i="20"/>
  <c r="E15" i="20"/>
  <c r="AM105" i="28"/>
  <c r="AM106" i="28"/>
  <c r="AM103" i="28"/>
  <c r="AJ102" i="28"/>
  <c r="AK102" i="28"/>
  <c r="AI102" i="28"/>
  <c r="AI103" i="28"/>
  <c r="AJ103" i="28" s="1"/>
  <c r="AH103" i="28"/>
  <c r="AL105" i="28"/>
  <c r="AL106" i="28"/>
  <c r="AG106" i="28"/>
  <c r="AG105" i="28"/>
  <c r="AL103" i="28"/>
  <c r="AG103" i="28"/>
  <c r="AH93" i="28"/>
  <c r="AI93" i="28"/>
  <c r="AJ93" i="28"/>
  <c r="AK93" i="28"/>
  <c r="AL93" i="28"/>
  <c r="AM93" i="28"/>
  <c r="AH94" i="28"/>
  <c r="AI94" i="28"/>
  <c r="AJ94" i="28"/>
  <c r="AK94" i="28"/>
  <c r="AL94" i="28"/>
  <c r="AM94" i="28"/>
  <c r="AH95" i="28"/>
  <c r="AI95" i="28"/>
  <c r="AJ95" i="28"/>
  <c r="AK95" i="28"/>
  <c r="AL95" i="28"/>
  <c r="AH96" i="28"/>
  <c r="AI96" i="28"/>
  <c r="AJ96" i="28"/>
  <c r="AK96" i="28"/>
  <c r="AL96" i="28"/>
  <c r="AM96" i="28"/>
  <c r="AH97" i="28"/>
  <c r="AI97" i="28"/>
  <c r="AJ97" i="28"/>
  <c r="AK97" i="28"/>
  <c r="AL97" i="28"/>
  <c r="AM97" i="28"/>
  <c r="AH98" i="28"/>
  <c r="AI98" i="28"/>
  <c r="AJ98" i="28"/>
  <c r="AK98" i="28"/>
  <c r="AL98" i="28"/>
  <c r="AM98" i="28"/>
  <c r="AG94" i="28"/>
  <c r="AG95" i="28"/>
  <c r="AG96" i="28"/>
  <c r="AG97" i="28"/>
  <c r="AG98" i="28"/>
  <c r="AG93" i="28"/>
  <c r="AH91" i="28"/>
  <c r="AI91" i="28"/>
  <c r="AJ91" i="28"/>
  <c r="AK91" i="28"/>
  <c r="AL91" i="28"/>
  <c r="AM91" i="28"/>
  <c r="AG91" i="28"/>
  <c r="J201" i="14"/>
  <c r="P22" i="27"/>
  <c r="P21" i="27"/>
  <c r="P22" i="25"/>
  <c r="P21" i="25"/>
  <c r="H67" i="19"/>
  <c r="H66" i="19"/>
  <c r="H66" i="25"/>
  <c r="H66" i="27"/>
  <c r="H66" i="28"/>
  <c r="S111" i="27"/>
  <c r="S111" i="25"/>
  <c r="P22" i="28"/>
  <c r="P21" i="28"/>
  <c r="P156" i="28" s="1"/>
  <c r="S111" i="21"/>
  <c r="R21" i="21"/>
  <c r="T21" i="21"/>
  <c r="U21" i="21"/>
  <c r="AI19" i="28"/>
  <c r="AJ54" i="28"/>
  <c r="AJ55" i="28"/>
  <c r="AJ56" i="28"/>
  <c r="AJ57" i="28"/>
  <c r="AJ53" i="28"/>
  <c r="AI53" i="28"/>
  <c r="AI21" i="28"/>
  <c r="AI20" i="28"/>
  <c r="AI18" i="28"/>
  <c r="AI17" i="28"/>
  <c r="N69" i="11"/>
  <c r="N24" i="25"/>
  <c r="K24" i="25"/>
  <c r="K24" i="19"/>
  <c r="N24" i="16"/>
  <c r="K24" i="16"/>
  <c r="N24" i="28"/>
  <c r="K24" i="28"/>
  <c r="N24" i="27"/>
  <c r="K24" i="27"/>
  <c r="N69" i="28"/>
  <c r="K69" i="28"/>
  <c r="J24" i="28"/>
  <c r="N69" i="27"/>
  <c r="J24" i="27"/>
  <c r="N69" i="25"/>
  <c r="K69" i="25"/>
  <c r="J25" i="25"/>
  <c r="U28" i="27"/>
  <c r="T28" i="27"/>
  <c r="R28" i="27"/>
  <c r="Q28" i="27"/>
  <c r="Q28" i="25"/>
  <c r="M27" i="25"/>
  <c r="L29" i="25"/>
  <c r="S25" i="27"/>
  <c r="K25" i="27"/>
  <c r="S25" i="28"/>
  <c r="K25" i="28"/>
  <c r="U30" i="28"/>
  <c r="M111" i="28"/>
  <c r="W28" i="28"/>
  <c r="X28" i="28"/>
  <c r="V28" i="28" s="1"/>
  <c r="U28" i="28"/>
  <c r="T28" i="28"/>
  <c r="J66" i="27"/>
  <c r="J66" i="25"/>
  <c r="J52" i="27"/>
  <c r="J53" i="27"/>
  <c r="J54" i="27"/>
  <c r="J55" i="27"/>
  <c r="J57" i="27"/>
  <c r="J58" i="27"/>
  <c r="X28" i="27"/>
  <c r="L29" i="27"/>
  <c r="L74" i="27" s="1"/>
  <c r="AD302" i="28"/>
  <c r="AD301" i="28"/>
  <c r="AC301" i="28"/>
  <c r="AB301" i="28"/>
  <c r="AD300" i="28"/>
  <c r="AD303" i="28" s="1"/>
  <c r="AC300" i="28"/>
  <c r="AC303" i="28" s="1"/>
  <c r="AB300" i="28"/>
  <c r="AB303" i="28" s="1"/>
  <c r="AA270" i="28"/>
  <c r="Z270" i="28"/>
  <c r="Y270" i="28"/>
  <c r="AA269" i="28"/>
  <c r="Z269" i="28"/>
  <c r="Y269" i="28"/>
  <c r="AA268" i="28"/>
  <c r="Z268" i="28"/>
  <c r="Y268" i="28"/>
  <c r="AA267" i="28"/>
  <c r="Z267" i="28"/>
  <c r="Y267" i="28"/>
  <c r="AA266" i="28"/>
  <c r="Z266" i="28"/>
  <c r="Y266" i="28"/>
  <c r="AA265" i="28"/>
  <c r="Z265" i="28"/>
  <c r="Y265" i="28"/>
  <c r="AA264" i="28"/>
  <c r="Z264" i="28"/>
  <c r="Y264" i="28"/>
  <c r="AA263" i="28"/>
  <c r="Z263" i="28"/>
  <c r="Y263" i="28"/>
  <c r="AA262" i="28"/>
  <c r="Z262" i="28"/>
  <c r="Y262" i="28"/>
  <c r="AA261" i="28"/>
  <c r="Z261" i="28"/>
  <c r="Y261" i="28"/>
  <c r="AA260" i="28"/>
  <c r="Z260" i="28"/>
  <c r="Y260" i="28"/>
  <c r="X260" i="28"/>
  <c r="W260" i="28"/>
  <c r="V260" i="28"/>
  <c r="U260" i="28"/>
  <c r="T260" i="28"/>
  <c r="S260" i="28"/>
  <c r="R260" i="28"/>
  <c r="Q260" i="28"/>
  <c r="P260" i="28"/>
  <c r="O260" i="28"/>
  <c r="N260" i="28"/>
  <c r="M260" i="28"/>
  <c r="L260" i="28"/>
  <c r="K260" i="28"/>
  <c r="J260" i="28"/>
  <c r="I260" i="28"/>
  <c r="H260" i="28"/>
  <c r="G260" i="28"/>
  <c r="F260" i="28"/>
  <c r="AA259" i="28"/>
  <c r="Z259" i="28"/>
  <c r="Y259" i="28"/>
  <c r="X259" i="28"/>
  <c r="W259" i="28"/>
  <c r="V259" i="28"/>
  <c r="U259" i="28"/>
  <c r="T259" i="28"/>
  <c r="S259" i="28"/>
  <c r="R259" i="28"/>
  <c r="Q259" i="28"/>
  <c r="P259" i="28"/>
  <c r="O259" i="28"/>
  <c r="N259" i="28"/>
  <c r="M259" i="28"/>
  <c r="L259" i="28"/>
  <c r="K259" i="28"/>
  <c r="J259" i="28"/>
  <c r="I259" i="28"/>
  <c r="H259" i="28"/>
  <c r="G259" i="28"/>
  <c r="F259" i="28"/>
  <c r="AA258" i="28"/>
  <c r="Z258" i="28"/>
  <c r="Y258" i="28"/>
  <c r="X258" i="28"/>
  <c r="W258" i="28"/>
  <c r="V258" i="28"/>
  <c r="U258" i="28"/>
  <c r="T258" i="28"/>
  <c r="S258" i="28"/>
  <c r="R258" i="28"/>
  <c r="Q258" i="28"/>
  <c r="P258" i="28"/>
  <c r="O258" i="28"/>
  <c r="N258" i="28"/>
  <c r="M258" i="28"/>
  <c r="L258" i="28"/>
  <c r="K258" i="28"/>
  <c r="J258" i="28"/>
  <c r="I258" i="28"/>
  <c r="H258" i="28"/>
  <c r="G258" i="28"/>
  <c r="F258" i="28"/>
  <c r="AA257" i="28"/>
  <c r="Z257" i="28"/>
  <c r="Y257" i="28"/>
  <c r="X257" i="28"/>
  <c r="W257" i="28"/>
  <c r="V257" i="28"/>
  <c r="U257" i="28"/>
  <c r="T257" i="28"/>
  <c r="S257" i="28"/>
  <c r="R257" i="28"/>
  <c r="Q257" i="28"/>
  <c r="P257" i="28"/>
  <c r="O257" i="28"/>
  <c r="N257" i="28"/>
  <c r="M257" i="28"/>
  <c r="L257" i="28"/>
  <c r="K257" i="28"/>
  <c r="J257" i="28"/>
  <c r="I257" i="28"/>
  <c r="H257" i="28"/>
  <c r="G257" i="28"/>
  <c r="F257" i="28"/>
  <c r="AA256" i="28"/>
  <c r="Z256" i="28"/>
  <c r="Y256" i="28"/>
  <c r="X256" i="28"/>
  <c r="W256" i="28"/>
  <c r="V256" i="28"/>
  <c r="U256" i="28"/>
  <c r="T256" i="28"/>
  <c r="S256" i="28"/>
  <c r="R256" i="28"/>
  <c r="Q256" i="28"/>
  <c r="P256" i="28"/>
  <c r="O256" i="28"/>
  <c r="N256" i="28"/>
  <c r="M256" i="28"/>
  <c r="L256" i="28"/>
  <c r="K256" i="28"/>
  <c r="J256" i="28"/>
  <c r="I256" i="28"/>
  <c r="H256" i="28"/>
  <c r="G256" i="28"/>
  <c r="F256" i="28"/>
  <c r="AA255" i="28"/>
  <c r="Z255" i="28"/>
  <c r="Y255" i="28"/>
  <c r="W255" i="28"/>
  <c r="V255" i="28"/>
  <c r="V238" i="28" s="1"/>
  <c r="U255" i="28"/>
  <c r="T255" i="28"/>
  <c r="S255" i="28"/>
  <c r="R255" i="28"/>
  <c r="Q255" i="28"/>
  <c r="P255" i="28"/>
  <c r="O255" i="28"/>
  <c r="N255" i="28"/>
  <c r="N238" i="28" s="1"/>
  <c r="M255" i="28"/>
  <c r="L255" i="28"/>
  <c r="K255" i="28"/>
  <c r="J255" i="28"/>
  <c r="I255" i="28"/>
  <c r="H255" i="28"/>
  <c r="G255" i="28"/>
  <c r="F255" i="28"/>
  <c r="F238" i="28" s="1"/>
  <c r="Y238" i="28" s="1"/>
  <c r="AA254" i="28"/>
  <c r="Z254" i="28"/>
  <c r="Y254" i="28"/>
  <c r="X254" i="28"/>
  <c r="W254" i="28"/>
  <c r="V254" i="28"/>
  <c r="U254" i="28"/>
  <c r="T254" i="28"/>
  <c r="S254" i="28"/>
  <c r="R254" i="28"/>
  <c r="Q254" i="28"/>
  <c r="P254" i="28"/>
  <c r="O254" i="28"/>
  <c r="N254" i="28"/>
  <c r="M254" i="28"/>
  <c r="K254" i="28"/>
  <c r="J254" i="28"/>
  <c r="I254" i="28"/>
  <c r="H254" i="28"/>
  <c r="G254" i="28"/>
  <c r="F254" i="28"/>
  <c r="AA253" i="28"/>
  <c r="Z253" i="28"/>
  <c r="Y253" i="28"/>
  <c r="S253" i="28"/>
  <c r="P253" i="28"/>
  <c r="O253" i="28"/>
  <c r="N253" i="28"/>
  <c r="M253" i="28"/>
  <c r="L253" i="28"/>
  <c r="K253" i="28"/>
  <c r="J253" i="28"/>
  <c r="I253" i="28"/>
  <c r="H253" i="28"/>
  <c r="G253" i="28"/>
  <c r="F253" i="28"/>
  <c r="AA252" i="28"/>
  <c r="Z252" i="28"/>
  <c r="Y252" i="28"/>
  <c r="X252" i="28"/>
  <c r="W252" i="28"/>
  <c r="V252" i="28"/>
  <c r="U252" i="28"/>
  <c r="T252" i="28"/>
  <c r="S252" i="28"/>
  <c r="R252" i="28"/>
  <c r="Q252" i="28"/>
  <c r="P252" i="28"/>
  <c r="O252" i="28"/>
  <c r="O237" i="28" s="1"/>
  <c r="N252" i="28"/>
  <c r="N237" i="28" s="1"/>
  <c r="L252" i="28"/>
  <c r="K252" i="28"/>
  <c r="I252" i="28"/>
  <c r="H252" i="28"/>
  <c r="G252" i="28"/>
  <c r="G237" i="28" s="1"/>
  <c r="F252" i="28"/>
  <c r="F237" i="28" s="1"/>
  <c r="AA251" i="28"/>
  <c r="Z251" i="28"/>
  <c r="Y251" i="28"/>
  <c r="X251" i="28"/>
  <c r="W251" i="28"/>
  <c r="V251" i="28"/>
  <c r="U251" i="28"/>
  <c r="U236" i="28" s="1"/>
  <c r="T251" i="28"/>
  <c r="S251" i="28"/>
  <c r="R251" i="28"/>
  <c r="Q251" i="28"/>
  <c r="P251" i="28"/>
  <c r="O251" i="28"/>
  <c r="N251" i="28"/>
  <c r="M251" i="28"/>
  <c r="M236" i="28" s="1"/>
  <c r="L251" i="28"/>
  <c r="K251" i="28"/>
  <c r="J251" i="28"/>
  <c r="I251" i="28"/>
  <c r="H251" i="28"/>
  <c r="G251" i="28"/>
  <c r="F251" i="28"/>
  <c r="AC250" i="28"/>
  <c r="AA250" i="28"/>
  <c r="Z250" i="28"/>
  <c r="Y250" i="28"/>
  <c r="X250" i="28"/>
  <c r="W250" i="28"/>
  <c r="V250" i="28"/>
  <c r="U250" i="28"/>
  <c r="T250" i="28"/>
  <c r="T236" i="28" s="1"/>
  <c r="R250" i="28"/>
  <c r="Q250" i="28"/>
  <c r="P250" i="28"/>
  <c r="O250" i="28"/>
  <c r="N250" i="28"/>
  <c r="M250" i="28"/>
  <c r="L250" i="28"/>
  <c r="L236" i="28" s="1"/>
  <c r="I250" i="28"/>
  <c r="H250" i="28"/>
  <c r="G250" i="28"/>
  <c r="F250" i="28"/>
  <c r="AA249" i="28"/>
  <c r="Z249" i="28"/>
  <c r="Y249" i="28"/>
  <c r="X249" i="28"/>
  <c r="W249" i="28"/>
  <c r="V249" i="28"/>
  <c r="U249" i="28"/>
  <c r="T249" i="28"/>
  <c r="S249" i="28"/>
  <c r="R249" i="28"/>
  <c r="R236" i="28" s="1"/>
  <c r="Q249" i="28"/>
  <c r="P249" i="28"/>
  <c r="O249" i="28"/>
  <c r="M249" i="28"/>
  <c r="L249" i="28"/>
  <c r="I249" i="28"/>
  <c r="H249" i="28"/>
  <c r="G249" i="28"/>
  <c r="AA248" i="28"/>
  <c r="Z248" i="28"/>
  <c r="Y248" i="28"/>
  <c r="X248" i="28"/>
  <c r="W248" i="28"/>
  <c r="V248" i="28"/>
  <c r="U248" i="28"/>
  <c r="T248" i="28"/>
  <c r="S248" i="28"/>
  <c r="R248" i="28"/>
  <c r="Q248" i="28"/>
  <c r="P248" i="28"/>
  <c r="O248" i="28"/>
  <c r="N248" i="28"/>
  <c r="M248" i="28"/>
  <c r="L248" i="28"/>
  <c r="K248" i="28"/>
  <c r="J248" i="28"/>
  <c r="I248" i="28"/>
  <c r="H248" i="28"/>
  <c r="G248" i="28"/>
  <c r="F248" i="28"/>
  <c r="AA247" i="28"/>
  <c r="Z247" i="28"/>
  <c r="Y247" i="28"/>
  <c r="X247" i="28"/>
  <c r="W247" i="28"/>
  <c r="V247" i="28"/>
  <c r="U247" i="28"/>
  <c r="T247" i="28"/>
  <c r="S247" i="28"/>
  <c r="R247" i="28"/>
  <c r="Q247" i="28"/>
  <c r="O247" i="28"/>
  <c r="N247" i="28"/>
  <c r="M247" i="28"/>
  <c r="L247" i="28"/>
  <c r="K247" i="28"/>
  <c r="J247" i="28"/>
  <c r="I247" i="28"/>
  <c r="AA246" i="28"/>
  <c r="Z246" i="28"/>
  <c r="Y246" i="28"/>
  <c r="V246" i="28"/>
  <c r="S246" i="28"/>
  <c r="S235" i="28" s="1"/>
  <c r="M246" i="28"/>
  <c r="L246" i="28"/>
  <c r="G246" i="28"/>
  <c r="AA245" i="28"/>
  <c r="Z245" i="28"/>
  <c r="Y245" i="28"/>
  <c r="X245" i="28"/>
  <c r="X234" i="28" s="1"/>
  <c r="W245" i="28"/>
  <c r="W234" i="28" s="1"/>
  <c r="V245" i="28"/>
  <c r="U245" i="28"/>
  <c r="T245" i="28"/>
  <c r="S245" i="28"/>
  <c r="R245" i="28"/>
  <c r="R234" i="28" s="1"/>
  <c r="Q245" i="28"/>
  <c r="Q234" i="28" s="1"/>
  <c r="P245" i="28"/>
  <c r="P234" i="28" s="1"/>
  <c r="O245" i="28"/>
  <c r="O234" i="28" s="1"/>
  <c r="N245" i="28"/>
  <c r="M245" i="28"/>
  <c r="L245" i="28"/>
  <c r="K245" i="28"/>
  <c r="J245" i="28"/>
  <c r="J234" i="28" s="1"/>
  <c r="I245" i="28"/>
  <c r="I234" i="28" s="1"/>
  <c r="H245" i="28"/>
  <c r="H234" i="28" s="1"/>
  <c r="G245" i="28"/>
  <c r="G234" i="28" s="1"/>
  <c r="F245" i="28"/>
  <c r="AA244" i="28"/>
  <c r="Z244" i="28"/>
  <c r="Y244" i="28"/>
  <c r="X244" i="28"/>
  <c r="X233" i="28" s="1"/>
  <c r="W244" i="28"/>
  <c r="V244" i="28"/>
  <c r="U244" i="28"/>
  <c r="T244" i="28"/>
  <c r="S244" i="28"/>
  <c r="R244" i="28"/>
  <c r="Q244" i="28"/>
  <c r="Q233" i="28" s="1"/>
  <c r="P244" i="28"/>
  <c r="P233" i="28" s="1"/>
  <c r="O244" i="28"/>
  <c r="N244" i="28"/>
  <c r="M244" i="28"/>
  <c r="L244" i="28"/>
  <c r="K244" i="28"/>
  <c r="J244" i="28"/>
  <c r="I244" i="28"/>
  <c r="I233" i="28" s="1"/>
  <c r="H244" i="28"/>
  <c r="H233" i="28" s="1"/>
  <c r="G244" i="28"/>
  <c r="F244" i="28"/>
  <c r="AA243" i="28"/>
  <c r="Z243" i="28"/>
  <c r="Y243" i="28"/>
  <c r="X243" i="28"/>
  <c r="W243" i="28"/>
  <c r="W233" i="28" s="1"/>
  <c r="V243" i="28"/>
  <c r="U243" i="28"/>
  <c r="T243" i="28"/>
  <c r="T233" i="28" s="1"/>
  <c r="S243" i="28"/>
  <c r="R243" i="28"/>
  <c r="Q243" i="28"/>
  <c r="P243" i="28"/>
  <c r="O243" i="28"/>
  <c r="O233" i="28" s="1"/>
  <c r="N243" i="28"/>
  <c r="M243" i="28"/>
  <c r="L243" i="28"/>
  <c r="K243" i="28"/>
  <c r="J243" i="28"/>
  <c r="I243" i="28"/>
  <c r="H243" i="28"/>
  <c r="G243" i="28"/>
  <c r="G233" i="28" s="1"/>
  <c r="F243" i="28"/>
  <c r="AA242" i="28"/>
  <c r="Z242" i="28"/>
  <c r="Y242" i="28"/>
  <c r="X242" i="28"/>
  <c r="W242" i="28"/>
  <c r="V242" i="28"/>
  <c r="U242" i="28"/>
  <c r="T242" i="28"/>
  <c r="S242" i="28"/>
  <c r="R242" i="28"/>
  <c r="R233" i="28" s="1"/>
  <c r="Q242" i="28"/>
  <c r="P242" i="28"/>
  <c r="O242" i="28"/>
  <c r="N242" i="28"/>
  <c r="M242" i="28"/>
  <c r="L242" i="28"/>
  <c r="K242" i="28"/>
  <c r="J242" i="28"/>
  <c r="J233" i="28" s="1"/>
  <c r="I242" i="28"/>
  <c r="H242" i="28"/>
  <c r="G242" i="28"/>
  <c r="F242" i="28"/>
  <c r="AA241" i="28"/>
  <c r="Z241" i="28"/>
  <c r="Y241" i="28"/>
  <c r="X241" i="28"/>
  <c r="W241" i="28"/>
  <c r="V241" i="28"/>
  <c r="U241" i="28"/>
  <c r="T241" i="28"/>
  <c r="S241" i="28"/>
  <c r="R241" i="28"/>
  <c r="R232" i="28" s="1"/>
  <c r="Q241" i="28"/>
  <c r="P241" i="28"/>
  <c r="O241" i="28"/>
  <c r="N241" i="28"/>
  <c r="M241" i="28"/>
  <c r="L241" i="28"/>
  <c r="K241" i="28"/>
  <c r="J241" i="28"/>
  <c r="J232" i="28" s="1"/>
  <c r="I241" i="28"/>
  <c r="H241" i="28"/>
  <c r="G241" i="28"/>
  <c r="F241" i="28"/>
  <c r="AA240" i="28"/>
  <c r="Z240" i="28"/>
  <c r="Y240" i="28"/>
  <c r="X240" i="28"/>
  <c r="W240" i="28"/>
  <c r="V240" i="28"/>
  <c r="U240" i="28"/>
  <c r="T240" i="28"/>
  <c r="S240" i="28"/>
  <c r="R240" i="28"/>
  <c r="Q240" i="28"/>
  <c r="P240" i="28"/>
  <c r="O240" i="28"/>
  <c r="N240" i="28"/>
  <c r="M240" i="28"/>
  <c r="L240" i="28"/>
  <c r="K240" i="28"/>
  <c r="J240" i="28"/>
  <c r="I240" i="28"/>
  <c r="H240" i="28"/>
  <c r="G240" i="28"/>
  <c r="F240" i="28"/>
  <c r="AA239" i="28"/>
  <c r="Z239" i="28"/>
  <c r="Y239" i="28"/>
  <c r="X239" i="28"/>
  <c r="W239" i="28"/>
  <c r="W232" i="28" s="1"/>
  <c r="V239" i="28"/>
  <c r="U239" i="28"/>
  <c r="U232" i="28" s="1"/>
  <c r="T239" i="28"/>
  <c r="T232" i="28" s="1"/>
  <c r="T230" i="28" s="1"/>
  <c r="S239" i="28"/>
  <c r="R239" i="28"/>
  <c r="Q239" i="28"/>
  <c r="P239" i="28"/>
  <c r="O239" i="28"/>
  <c r="O232" i="28" s="1"/>
  <c r="N239" i="28"/>
  <c r="M239" i="28"/>
  <c r="M232" i="28" s="1"/>
  <c r="L239" i="28"/>
  <c r="L232" i="28" s="1"/>
  <c r="K239" i="28"/>
  <c r="J239" i="28"/>
  <c r="I239" i="28"/>
  <c r="H239" i="28"/>
  <c r="G239" i="28"/>
  <c r="G232" i="28" s="1"/>
  <c r="F239" i="28"/>
  <c r="W238" i="28"/>
  <c r="U238" i="28"/>
  <c r="T238" i="28"/>
  <c r="S238" i="28"/>
  <c r="R238" i="28"/>
  <c r="Q238" i="28"/>
  <c r="P238" i="28"/>
  <c r="O238" i="28"/>
  <c r="M238" i="28"/>
  <c r="L238" i="28"/>
  <c r="K238" i="28"/>
  <c r="J238" i="28"/>
  <c r="I238" i="28"/>
  <c r="H238" i="28"/>
  <c r="G238" i="28"/>
  <c r="S237" i="28"/>
  <c r="P237" i="28"/>
  <c r="K237" i="28"/>
  <c r="I237" i="28"/>
  <c r="H237" i="28"/>
  <c r="X236" i="28"/>
  <c r="W236" i="28"/>
  <c r="V236" i="28"/>
  <c r="Q236" i="28"/>
  <c r="P236" i="28"/>
  <c r="O236" i="28"/>
  <c r="I236" i="28"/>
  <c r="H236" i="28"/>
  <c r="G236" i="28"/>
  <c r="V235" i="28"/>
  <c r="L235" i="28"/>
  <c r="V234" i="28"/>
  <c r="U234" i="28"/>
  <c r="U230" i="28" s="1"/>
  <c r="T234" i="28"/>
  <c r="S234" i="28"/>
  <c r="N234" i="28"/>
  <c r="M234" i="28"/>
  <c r="L234" i="28"/>
  <c r="K234" i="28"/>
  <c r="F234" i="28"/>
  <c r="AE233" i="28"/>
  <c r="U233" i="28"/>
  <c r="S233" i="28"/>
  <c r="M233" i="28"/>
  <c r="K233" i="28"/>
  <c r="AE232" i="28"/>
  <c r="AE234" i="28" s="1"/>
  <c r="S232" i="28"/>
  <c r="Q232" i="28"/>
  <c r="Q230" i="28" s="1"/>
  <c r="K232" i="28"/>
  <c r="K230" i="28" s="1"/>
  <c r="I232" i="28"/>
  <c r="W230" i="28"/>
  <c r="O230" i="28"/>
  <c r="G230" i="28"/>
  <c r="AZ225" i="28"/>
  <c r="AY225" i="28"/>
  <c r="AX225" i="28"/>
  <c r="AW225" i="28"/>
  <c r="AV225" i="28"/>
  <c r="AU225" i="28"/>
  <c r="AT225" i="28"/>
  <c r="AS225" i="28"/>
  <c r="AR225" i="28"/>
  <c r="AQ225" i="28"/>
  <c r="AP225" i="28"/>
  <c r="AO225" i="28"/>
  <c r="AN225" i="28"/>
  <c r="AM225" i="28"/>
  <c r="AL225" i="28"/>
  <c r="AK225" i="28"/>
  <c r="AJ225" i="28"/>
  <c r="AI225" i="28"/>
  <c r="AH225" i="28"/>
  <c r="Z225" i="28"/>
  <c r="BB225" i="28" s="1"/>
  <c r="Y225" i="28"/>
  <c r="BA225" i="28" s="1"/>
  <c r="AZ224" i="28"/>
  <c r="AY224" i="28"/>
  <c r="AX224" i="28"/>
  <c r="AW224" i="28"/>
  <c r="AV224" i="28"/>
  <c r="AU224" i="28"/>
  <c r="AT224" i="28"/>
  <c r="AS224" i="28"/>
  <c r="AQ224" i="28"/>
  <c r="AP224" i="28"/>
  <c r="AO224" i="28"/>
  <c r="AN224" i="28"/>
  <c r="AM224" i="28"/>
  <c r="AL224" i="28"/>
  <c r="AK224" i="28"/>
  <c r="AJ224" i="28"/>
  <c r="AI224" i="28"/>
  <c r="AH224" i="28"/>
  <c r="Y224" i="28"/>
  <c r="BA224" i="28" s="1"/>
  <c r="AZ223" i="28"/>
  <c r="AY223" i="28"/>
  <c r="AX223" i="28"/>
  <c r="AW223" i="28"/>
  <c r="AV223" i="28"/>
  <c r="AU223" i="28"/>
  <c r="AT223" i="28"/>
  <c r="AS223" i="28"/>
  <c r="AR223" i="28"/>
  <c r="AQ223" i="28"/>
  <c r="AP223" i="28"/>
  <c r="AO223" i="28"/>
  <c r="AN223" i="28"/>
  <c r="AM223" i="28"/>
  <c r="AL223" i="28"/>
  <c r="AK223" i="28"/>
  <c r="AJ223" i="28"/>
  <c r="AI223" i="28"/>
  <c r="AH223" i="28"/>
  <c r="Z223" i="28"/>
  <c r="BB223" i="28" s="1"/>
  <c r="Y223" i="28"/>
  <c r="AZ222" i="28"/>
  <c r="AY222" i="28"/>
  <c r="AX222" i="28"/>
  <c r="AW222" i="28"/>
  <c r="AV222" i="28"/>
  <c r="AU222" i="28"/>
  <c r="AT222" i="28"/>
  <c r="AS222" i="28"/>
  <c r="AR222" i="28"/>
  <c r="AQ222" i="28"/>
  <c r="AP222" i="28"/>
  <c r="AO222" i="28"/>
  <c r="AN222" i="28"/>
  <c r="AM222" i="28"/>
  <c r="AL222" i="28"/>
  <c r="AK222" i="28"/>
  <c r="Z222" i="28"/>
  <c r="Z177" i="28" s="1"/>
  <c r="AZ221" i="28"/>
  <c r="AY221" i="28"/>
  <c r="AX221" i="28"/>
  <c r="AW221" i="28"/>
  <c r="AV221" i="28"/>
  <c r="AU221" i="28"/>
  <c r="AT221" i="28"/>
  <c r="AS221" i="28"/>
  <c r="AR221" i="28"/>
  <c r="AQ221" i="28"/>
  <c r="AP221" i="28"/>
  <c r="AO221" i="28"/>
  <c r="AN221" i="28"/>
  <c r="AM221" i="28"/>
  <c r="AL221" i="28"/>
  <c r="AK221" i="28"/>
  <c r="AJ221" i="28"/>
  <c r="AH221" i="28"/>
  <c r="Z221" i="28"/>
  <c r="BB221" i="28" s="1"/>
  <c r="AZ220" i="28"/>
  <c r="AY220" i="28"/>
  <c r="AX220" i="28"/>
  <c r="AW220" i="28"/>
  <c r="AV220" i="28"/>
  <c r="AU220" i="28"/>
  <c r="AT220" i="28"/>
  <c r="AS220" i="28"/>
  <c r="AR220" i="28"/>
  <c r="AQ220" i="28"/>
  <c r="AP220" i="28"/>
  <c r="AO220" i="28"/>
  <c r="AN220" i="28"/>
  <c r="AM220" i="28"/>
  <c r="AL220" i="28"/>
  <c r="AK220" i="28"/>
  <c r="AJ220" i="28"/>
  <c r="AI220" i="28"/>
  <c r="AH220" i="28"/>
  <c r="Z220" i="28"/>
  <c r="BB220" i="28" s="1"/>
  <c r="Y220" i="28"/>
  <c r="BA220" i="28" s="1"/>
  <c r="AY219" i="28"/>
  <c r="AX219" i="28"/>
  <c r="AW219" i="28"/>
  <c r="AV219" i="28"/>
  <c r="AU219" i="28"/>
  <c r="AT219" i="28"/>
  <c r="AP219" i="28"/>
  <c r="AN219" i="28"/>
  <c r="AL219" i="28"/>
  <c r="AJ219" i="28"/>
  <c r="AI219" i="28"/>
  <c r="AH219" i="28"/>
  <c r="AY218" i="28"/>
  <c r="AX218" i="28"/>
  <c r="AU218" i="28"/>
  <c r="AT218" i="28"/>
  <c r="AS218" i="28"/>
  <c r="AQ218" i="28"/>
  <c r="AP218" i="28"/>
  <c r="AN218" i="28"/>
  <c r="AL218" i="28"/>
  <c r="AK218" i="28"/>
  <c r="AJ218" i="28"/>
  <c r="AI218" i="28"/>
  <c r="AH218" i="28"/>
  <c r="AZ217" i="28"/>
  <c r="AY217" i="28"/>
  <c r="AX217" i="28"/>
  <c r="AW217" i="28"/>
  <c r="AV217" i="28"/>
  <c r="AU217" i="28"/>
  <c r="AS217" i="28"/>
  <c r="AN217" i="28"/>
  <c r="AJ217" i="28"/>
  <c r="AI217" i="28"/>
  <c r="AZ216" i="28"/>
  <c r="AX216" i="28"/>
  <c r="AW216" i="28"/>
  <c r="AV216" i="28"/>
  <c r="AU216" i="28"/>
  <c r="AT216" i="28"/>
  <c r="AS216" i="28"/>
  <c r="AR216" i="28"/>
  <c r="AQ216" i="28"/>
  <c r="AP216" i="28"/>
  <c r="AN216" i="28"/>
  <c r="AL216" i="28"/>
  <c r="AI216" i="28"/>
  <c r="BB215" i="28"/>
  <c r="AZ215" i="28"/>
  <c r="AY215" i="28"/>
  <c r="AX215" i="28"/>
  <c r="AW215" i="28"/>
  <c r="AV215" i="28"/>
  <c r="AU215" i="28"/>
  <c r="AT215" i="28"/>
  <c r="AS215" i="28"/>
  <c r="AR215" i="28"/>
  <c r="AQ215" i="28"/>
  <c r="AP215" i="28"/>
  <c r="AO215" i="28"/>
  <c r="AN215" i="28"/>
  <c r="AM215" i="28"/>
  <c r="AL215" i="28"/>
  <c r="AK215" i="28"/>
  <c r="AJ215" i="28"/>
  <c r="AI215" i="28"/>
  <c r="AH215" i="28"/>
  <c r="Z215" i="28"/>
  <c r="Y215" i="28"/>
  <c r="BA215" i="28" s="1"/>
  <c r="BC214" i="28"/>
  <c r="AZ214" i="28"/>
  <c r="AY214" i="28"/>
  <c r="AX214" i="28"/>
  <c r="AW214" i="28"/>
  <c r="AV214" i="28"/>
  <c r="AU214" i="28"/>
  <c r="AT214" i="28"/>
  <c r="AS214" i="28"/>
  <c r="AR214" i="28"/>
  <c r="AQ214" i="28"/>
  <c r="AP214" i="28"/>
  <c r="AO214" i="28"/>
  <c r="AN214" i="28"/>
  <c r="AM214" i="28"/>
  <c r="AL214" i="28"/>
  <c r="AK214" i="28"/>
  <c r="AJ214" i="28"/>
  <c r="AI214" i="28"/>
  <c r="AH214" i="28"/>
  <c r="AA214" i="28"/>
  <c r="BC169" i="28" s="1"/>
  <c r="Z214" i="28"/>
  <c r="BB214" i="28" s="1"/>
  <c r="Y214" i="28"/>
  <c r="BA214" i="28" s="1"/>
  <c r="BA213" i="28"/>
  <c r="AZ213" i="28"/>
  <c r="AY213" i="28"/>
  <c r="AX213" i="28"/>
  <c r="AW213" i="28"/>
  <c r="AV213" i="28"/>
  <c r="AU213" i="28"/>
  <c r="AT213" i="28"/>
  <c r="AS213" i="28"/>
  <c r="AR213" i="28"/>
  <c r="AQ213" i="28"/>
  <c r="AP213" i="28"/>
  <c r="AO213" i="28"/>
  <c r="AN213" i="28"/>
  <c r="AM213" i="28"/>
  <c r="AL213" i="28"/>
  <c r="AK213" i="28"/>
  <c r="AJ213" i="28"/>
  <c r="AI213" i="28"/>
  <c r="AH213" i="28"/>
  <c r="Z213" i="28"/>
  <c r="Y213" i="28"/>
  <c r="BB212" i="28"/>
  <c r="AZ212" i="28"/>
  <c r="AY212" i="28"/>
  <c r="AX212" i="28"/>
  <c r="AW212" i="28"/>
  <c r="AV212" i="28"/>
  <c r="AU212" i="28"/>
  <c r="AT212" i="28"/>
  <c r="AS212" i="28"/>
  <c r="AR212" i="28"/>
  <c r="AQ212" i="28"/>
  <c r="AP212" i="28"/>
  <c r="AO212" i="28"/>
  <c r="AN212" i="28"/>
  <c r="AM212" i="28"/>
  <c r="AL212" i="28"/>
  <c r="AK212" i="28"/>
  <c r="AJ212" i="28"/>
  <c r="AI212" i="28"/>
  <c r="AH212" i="28"/>
  <c r="AA212" i="28"/>
  <c r="Z212" i="28"/>
  <c r="Y212" i="28"/>
  <c r="BA212" i="28" s="1"/>
  <c r="AZ211" i="28"/>
  <c r="AY211" i="28"/>
  <c r="AX211" i="28"/>
  <c r="AW211" i="28"/>
  <c r="AV211" i="28"/>
  <c r="AU211" i="28"/>
  <c r="AT211" i="28"/>
  <c r="AS211" i="28"/>
  <c r="AR211" i="28"/>
  <c r="AQ211" i="28"/>
  <c r="AP211" i="28"/>
  <c r="AO211" i="28"/>
  <c r="AN211" i="28"/>
  <c r="AM211" i="28"/>
  <c r="AL211" i="28"/>
  <c r="AK211" i="28"/>
  <c r="AJ211" i="28"/>
  <c r="AI211" i="28"/>
  <c r="AH211" i="28"/>
  <c r="Z211" i="28"/>
  <c r="BB211" i="28" s="1"/>
  <c r="Y211" i="28"/>
  <c r="AA211" i="28" s="1"/>
  <c r="BC211" i="28" s="1"/>
  <c r="BA210" i="28"/>
  <c r="AY210" i="28"/>
  <c r="AX210" i="28"/>
  <c r="AW210" i="28"/>
  <c r="AV210" i="28"/>
  <c r="AU210" i="28"/>
  <c r="AT210" i="28"/>
  <c r="AS210" i="28"/>
  <c r="AR210" i="28"/>
  <c r="AQ210" i="28"/>
  <c r="AP210" i="28"/>
  <c r="AO210" i="28"/>
  <c r="AN210" i="28"/>
  <c r="AM210" i="28"/>
  <c r="AL210" i="28"/>
  <c r="AK210" i="28"/>
  <c r="AJ210" i="28"/>
  <c r="AI210" i="28"/>
  <c r="AH210" i="28"/>
  <c r="Y210" i="28"/>
  <c r="BA209" i="28"/>
  <c r="AZ209" i="28"/>
  <c r="AY209" i="28"/>
  <c r="AX209" i="28"/>
  <c r="AW209" i="28"/>
  <c r="AV209" i="28"/>
  <c r="AU209" i="28"/>
  <c r="AT209" i="28"/>
  <c r="AS209" i="28"/>
  <c r="AR209" i="28"/>
  <c r="AQ209" i="28"/>
  <c r="AP209" i="28"/>
  <c r="AO209" i="28"/>
  <c r="AM209" i="28"/>
  <c r="AL209" i="28"/>
  <c r="AK209" i="28"/>
  <c r="AJ209" i="28"/>
  <c r="AI209" i="28"/>
  <c r="AH209" i="28"/>
  <c r="Z209" i="28"/>
  <c r="Y209" i="28"/>
  <c r="AU208" i="28"/>
  <c r="AR208" i="28"/>
  <c r="AQ208" i="28"/>
  <c r="AP208" i="28"/>
  <c r="AO208" i="28"/>
  <c r="AN208" i="28"/>
  <c r="AM208" i="28"/>
  <c r="AL208" i="28"/>
  <c r="AK208" i="28"/>
  <c r="AJ208" i="28"/>
  <c r="AI208" i="28"/>
  <c r="AH208" i="28"/>
  <c r="Y208" i="28"/>
  <c r="AZ207" i="28"/>
  <c r="AY207" i="28"/>
  <c r="AX207" i="28"/>
  <c r="AW207" i="28"/>
  <c r="AV207" i="28"/>
  <c r="AU207" i="28"/>
  <c r="AT207" i="28"/>
  <c r="AS207" i="28"/>
  <c r="AR207" i="28"/>
  <c r="AQ207" i="28"/>
  <c r="AP207" i="28"/>
  <c r="AN207" i="28"/>
  <c r="AM207" i="28"/>
  <c r="AK207" i="28"/>
  <c r="AJ207" i="28"/>
  <c r="AI207" i="28"/>
  <c r="AH207" i="28"/>
  <c r="AZ206" i="28"/>
  <c r="AY206" i="28"/>
  <c r="AX206" i="28"/>
  <c r="AW206" i="28"/>
  <c r="AV206" i="28"/>
  <c r="AU206" i="28"/>
  <c r="AT206" i="28"/>
  <c r="AS206" i="28"/>
  <c r="AR206" i="28"/>
  <c r="AQ206" i="28"/>
  <c r="AP206" i="28"/>
  <c r="AO206" i="28"/>
  <c r="AN206" i="28"/>
  <c r="AM206" i="28"/>
  <c r="AL206" i="28"/>
  <c r="AK206" i="28"/>
  <c r="AJ206" i="28"/>
  <c r="AI206" i="28"/>
  <c r="AH206" i="28"/>
  <c r="Z206" i="28"/>
  <c r="BB206" i="28" s="1"/>
  <c r="Y206" i="28"/>
  <c r="AA206" i="28" s="1"/>
  <c r="BC206" i="28" s="1"/>
  <c r="AZ205" i="28"/>
  <c r="AY205" i="28"/>
  <c r="AW205" i="28"/>
  <c r="AT205" i="28"/>
  <c r="AS205" i="28"/>
  <c r="AR205" i="28"/>
  <c r="AQ205" i="28"/>
  <c r="AP205" i="28"/>
  <c r="AO205" i="28"/>
  <c r="AN205" i="28"/>
  <c r="AK205" i="28"/>
  <c r="AJ205" i="28"/>
  <c r="AI205" i="28"/>
  <c r="AH205" i="28"/>
  <c r="X205" i="28"/>
  <c r="V205" i="28"/>
  <c r="AX205" i="28" s="1"/>
  <c r="T205" i="28"/>
  <c r="T191" i="28" s="1"/>
  <c r="AV191" i="28" s="1"/>
  <c r="AZ204" i="28"/>
  <c r="AY204" i="28"/>
  <c r="AX204" i="28"/>
  <c r="AW204" i="28"/>
  <c r="AV204" i="28"/>
  <c r="AU204" i="28"/>
  <c r="AT204" i="28"/>
  <c r="AS204" i="28"/>
  <c r="AR204" i="28"/>
  <c r="AQ204" i="28"/>
  <c r="AO204" i="28"/>
  <c r="AN204" i="28"/>
  <c r="AK204" i="28"/>
  <c r="AJ204" i="28"/>
  <c r="AI204" i="28"/>
  <c r="AH204" i="28"/>
  <c r="Z204" i="28"/>
  <c r="BC203" i="28"/>
  <c r="BB203" i="28"/>
  <c r="BA203" i="28"/>
  <c r="AZ203" i="28"/>
  <c r="AY203" i="28"/>
  <c r="AX203" i="28"/>
  <c r="AW203" i="28"/>
  <c r="AV203" i="28"/>
  <c r="AU203" i="28"/>
  <c r="AT203" i="28"/>
  <c r="AS203" i="28"/>
  <c r="AR203" i="28"/>
  <c r="AQ203" i="28"/>
  <c r="AP203" i="28"/>
  <c r="AO203" i="28"/>
  <c r="AN203" i="28"/>
  <c r="AM203" i="28"/>
  <c r="AL203" i="28"/>
  <c r="AK203" i="28"/>
  <c r="AJ203" i="28"/>
  <c r="AI203" i="28"/>
  <c r="AH203" i="28"/>
  <c r="Z203" i="28"/>
  <c r="Y203" i="28"/>
  <c r="AA203" i="28" s="1"/>
  <c r="AZ202" i="28"/>
  <c r="AY202" i="28"/>
  <c r="AX202" i="28"/>
  <c r="AW202" i="28"/>
  <c r="AV202" i="28"/>
  <c r="AU202" i="28"/>
  <c r="AT202" i="28"/>
  <c r="AS202" i="28"/>
  <c r="AQ202" i="28"/>
  <c r="AP202" i="28"/>
  <c r="AO202" i="28"/>
  <c r="AN202" i="28"/>
  <c r="AM202" i="28"/>
  <c r="AL202" i="28"/>
  <c r="AK202" i="28"/>
  <c r="Z202" i="28"/>
  <c r="Y202" i="28"/>
  <c r="BA202" i="28" s="1"/>
  <c r="AX201" i="28"/>
  <c r="AU201" i="28"/>
  <c r="AN201" i="28"/>
  <c r="AI201" i="28"/>
  <c r="V201" i="28"/>
  <c r="M201" i="28"/>
  <c r="J201" i="28"/>
  <c r="AZ200" i="28"/>
  <c r="AY200" i="28"/>
  <c r="AX200" i="28"/>
  <c r="AW200" i="28"/>
  <c r="AV200" i="28"/>
  <c r="AU200" i="28"/>
  <c r="AT200" i="28"/>
  <c r="AS200" i="28"/>
  <c r="AR200" i="28"/>
  <c r="AQ200" i="28"/>
  <c r="AP200" i="28"/>
  <c r="AO200" i="28"/>
  <c r="AN200" i="28"/>
  <c r="AM200" i="28"/>
  <c r="AL200" i="28"/>
  <c r="AK200" i="28"/>
  <c r="AJ200" i="28"/>
  <c r="AI200" i="28"/>
  <c r="AH200" i="28"/>
  <c r="Z200" i="28"/>
  <c r="BB200" i="28" s="1"/>
  <c r="Y200" i="28"/>
  <c r="BA199" i="28"/>
  <c r="AZ199" i="28"/>
  <c r="AY199" i="28"/>
  <c r="AX199" i="28"/>
  <c r="AW199" i="28"/>
  <c r="AV199" i="28"/>
  <c r="AU199" i="28"/>
  <c r="AT199" i="28"/>
  <c r="AS199" i="28"/>
  <c r="AR199" i="28"/>
  <c r="AQ199" i="28"/>
  <c r="AP199" i="28"/>
  <c r="AO199" i="28"/>
  <c r="AN199" i="28"/>
  <c r="AM199" i="28"/>
  <c r="AL199" i="28"/>
  <c r="AK199" i="28"/>
  <c r="AJ199" i="28"/>
  <c r="AI199" i="28"/>
  <c r="AH199" i="28"/>
  <c r="Z199" i="28"/>
  <c r="BB199" i="28" s="1"/>
  <c r="Y199" i="28"/>
  <c r="BB198" i="28"/>
  <c r="AZ198" i="28"/>
  <c r="AY198" i="28"/>
  <c r="AX198" i="28"/>
  <c r="AW198" i="28"/>
  <c r="AV198" i="28"/>
  <c r="AU198" i="28"/>
  <c r="AT198" i="28"/>
  <c r="AS198" i="28"/>
  <c r="AR198" i="28"/>
  <c r="AQ198" i="28"/>
  <c r="AP198" i="28"/>
  <c r="AO198" i="28"/>
  <c r="AN198" i="28"/>
  <c r="AM198" i="28"/>
  <c r="AL198" i="28"/>
  <c r="AK198" i="28"/>
  <c r="AJ198" i="28"/>
  <c r="AI198" i="28"/>
  <c r="AH198" i="28"/>
  <c r="AA198" i="28"/>
  <c r="BC198" i="28" s="1"/>
  <c r="Z198" i="28"/>
  <c r="Y198" i="28"/>
  <c r="BA198" i="28" s="1"/>
  <c r="BC197" i="28"/>
  <c r="BA197" i="28"/>
  <c r="AZ197" i="28"/>
  <c r="AY197" i="28"/>
  <c r="AX197" i="28"/>
  <c r="AW197" i="28"/>
  <c r="AV197" i="28"/>
  <c r="AU197" i="28"/>
  <c r="AT197" i="28"/>
  <c r="AS197" i="28"/>
  <c r="AR197" i="28"/>
  <c r="AQ197" i="28"/>
  <c r="AP197" i="28"/>
  <c r="AO197" i="28"/>
  <c r="AN197" i="28"/>
  <c r="AM197" i="28"/>
  <c r="AL197" i="28"/>
  <c r="AK197" i="28"/>
  <c r="AJ197" i="28"/>
  <c r="AI197" i="28"/>
  <c r="AH197" i="28"/>
  <c r="Z197" i="28"/>
  <c r="BB197" i="28" s="1"/>
  <c r="Y197" i="28"/>
  <c r="AA197" i="28" s="1"/>
  <c r="BB196" i="28"/>
  <c r="BA196" i="28"/>
  <c r="AZ196" i="28"/>
  <c r="AY196" i="28"/>
  <c r="AX196" i="28"/>
  <c r="AW196" i="28"/>
  <c r="AV196" i="28"/>
  <c r="AU196" i="28"/>
  <c r="AT196" i="28"/>
  <c r="AS196" i="28"/>
  <c r="AR196" i="28"/>
  <c r="AQ196" i="28"/>
  <c r="AP196" i="28"/>
  <c r="AO196" i="28"/>
  <c r="AN196" i="28"/>
  <c r="AM196" i="28"/>
  <c r="AL196" i="28"/>
  <c r="AK196" i="28"/>
  <c r="AJ196" i="28"/>
  <c r="AI196" i="28"/>
  <c r="AH196" i="28"/>
  <c r="Z196" i="28"/>
  <c r="AA196" i="28" s="1"/>
  <c r="BC196" i="28" s="1"/>
  <c r="Y196" i="28"/>
  <c r="BB195" i="28"/>
  <c r="BA195" i="28"/>
  <c r="AZ195" i="28"/>
  <c r="AY195" i="28"/>
  <c r="AX195" i="28"/>
  <c r="AW195" i="28"/>
  <c r="AV195" i="28"/>
  <c r="AU195" i="28"/>
  <c r="AT195" i="28"/>
  <c r="AS195" i="28"/>
  <c r="AR195" i="28"/>
  <c r="AQ195" i="28"/>
  <c r="AP195" i="28"/>
  <c r="AO195" i="28"/>
  <c r="AN195" i="28"/>
  <c r="AM195" i="28"/>
  <c r="AL195" i="28"/>
  <c r="AK195" i="28"/>
  <c r="AJ195" i="28"/>
  <c r="AI195" i="28"/>
  <c r="AH195" i="28"/>
  <c r="AA195" i="28"/>
  <c r="BC195" i="28" s="1"/>
  <c r="Z195" i="28"/>
  <c r="Y195" i="28"/>
  <c r="BB194" i="28"/>
  <c r="BA194" i="28"/>
  <c r="AZ194" i="28"/>
  <c r="AY194" i="28"/>
  <c r="AX194" i="28"/>
  <c r="AW194" i="28"/>
  <c r="AV194" i="28"/>
  <c r="AU194" i="28"/>
  <c r="AT194" i="28"/>
  <c r="AS194" i="28"/>
  <c r="AR194" i="28"/>
  <c r="AQ194" i="28"/>
  <c r="AP194" i="28"/>
  <c r="AO194" i="28"/>
  <c r="AN194" i="28"/>
  <c r="AM194" i="28"/>
  <c r="AL194" i="28"/>
  <c r="AK194" i="28"/>
  <c r="AJ194" i="28"/>
  <c r="AI194" i="28"/>
  <c r="AH194" i="28"/>
  <c r="Z194" i="28"/>
  <c r="Y194" i="28"/>
  <c r="AY193" i="28"/>
  <c r="AV193" i="28"/>
  <c r="AS193" i="28"/>
  <c r="AR193" i="28"/>
  <c r="AQ193" i="28"/>
  <c r="AO193" i="28"/>
  <c r="AN193" i="28"/>
  <c r="AK193" i="28"/>
  <c r="AJ193" i="28"/>
  <c r="AI193" i="28"/>
  <c r="W193" i="28"/>
  <c r="V193" i="28"/>
  <c r="AX193" i="28" s="1"/>
  <c r="U193" i="28"/>
  <c r="AW193" i="28" s="1"/>
  <c r="T193" i="28"/>
  <c r="S193" i="28"/>
  <c r="AU193" i="28" s="1"/>
  <c r="R193" i="28"/>
  <c r="AT193" i="28" s="1"/>
  <c r="Q193" i="28"/>
  <c r="P193" i="28"/>
  <c r="O193" i="28"/>
  <c r="N193" i="28"/>
  <c r="AP193" i="28" s="1"/>
  <c r="M193" i="28"/>
  <c r="L193" i="28"/>
  <c r="K193" i="28"/>
  <c r="AM193" i="28" s="1"/>
  <c r="J193" i="28"/>
  <c r="AL193" i="28" s="1"/>
  <c r="I193" i="28"/>
  <c r="H193" i="28"/>
  <c r="G193" i="28"/>
  <c r="F193" i="28"/>
  <c r="AH193" i="28" s="1"/>
  <c r="AR192" i="28"/>
  <c r="AQ192" i="28"/>
  <c r="AP192" i="28"/>
  <c r="AK192" i="28"/>
  <c r="AJ192" i="28"/>
  <c r="AI192" i="28"/>
  <c r="AH192" i="28"/>
  <c r="S192" i="28"/>
  <c r="AU192" i="28" s="1"/>
  <c r="P192" i="28"/>
  <c r="O192" i="28"/>
  <c r="N192" i="28"/>
  <c r="K192" i="28"/>
  <c r="AM192" i="28" s="1"/>
  <c r="I192" i="28"/>
  <c r="H192" i="28"/>
  <c r="G192" i="28"/>
  <c r="F192" i="28"/>
  <c r="AZ191" i="28"/>
  <c r="AW191" i="28"/>
  <c r="AS191" i="28"/>
  <c r="AR191" i="28"/>
  <c r="AQ191" i="28"/>
  <c r="AK191" i="28"/>
  <c r="AJ191" i="28"/>
  <c r="AI191" i="28"/>
  <c r="X191" i="28"/>
  <c r="W191" i="28"/>
  <c r="AY191" i="28" s="1"/>
  <c r="V191" i="28"/>
  <c r="AX191" i="28" s="1"/>
  <c r="U191" i="28"/>
  <c r="R191" i="28"/>
  <c r="AT146" i="28" s="1"/>
  <c r="Q191" i="28"/>
  <c r="P191" i="28"/>
  <c r="O191" i="28"/>
  <c r="N191" i="28"/>
  <c r="M191" i="28"/>
  <c r="L191" i="28"/>
  <c r="AN191" i="28" s="1"/>
  <c r="I191" i="28"/>
  <c r="H191" i="28"/>
  <c r="G191" i="28"/>
  <c r="F191" i="28"/>
  <c r="AH191" i="28" s="1"/>
  <c r="AU190" i="28"/>
  <c r="V190" i="28"/>
  <c r="S190" i="28"/>
  <c r="P190" i="28"/>
  <c r="S15" i="20" s="1"/>
  <c r="O190" i="28"/>
  <c r="N190" i="28"/>
  <c r="L190" i="28"/>
  <c r="H190" i="28"/>
  <c r="H186" i="28" s="1"/>
  <c r="G190" i="28"/>
  <c r="D15" i="20"/>
  <c r="AY189" i="28"/>
  <c r="AX189" i="28"/>
  <c r="AW189" i="28"/>
  <c r="AQ189" i="28"/>
  <c r="AP189" i="28"/>
  <c r="AL189" i="28"/>
  <c r="AI189" i="28"/>
  <c r="AH189" i="28"/>
  <c r="X189" i="28"/>
  <c r="W189" i="28"/>
  <c r="V189" i="28"/>
  <c r="U189" i="28"/>
  <c r="T189" i="28"/>
  <c r="AV189" i="28" s="1"/>
  <c r="S189" i="28"/>
  <c r="AU189" i="28" s="1"/>
  <c r="R189" i="28"/>
  <c r="AT189" i="28" s="1"/>
  <c r="Q189" i="28"/>
  <c r="AS189" i="28" s="1"/>
  <c r="P189" i="28"/>
  <c r="O189" i="28"/>
  <c r="N189" i="28"/>
  <c r="M189" i="28"/>
  <c r="AO189" i="28" s="1"/>
  <c r="L189" i="28"/>
  <c r="AN189" i="28" s="1"/>
  <c r="K189" i="28"/>
  <c r="AM189" i="28" s="1"/>
  <c r="J189" i="28"/>
  <c r="I189" i="28"/>
  <c r="AK189" i="28" s="1"/>
  <c r="H189" i="28"/>
  <c r="G189" i="28"/>
  <c r="F189" i="28"/>
  <c r="AU188" i="28"/>
  <c r="AT188" i="28"/>
  <c r="AP188" i="28"/>
  <c r="AM188" i="28"/>
  <c r="AL188" i="28"/>
  <c r="AK188" i="28"/>
  <c r="AJ188" i="28"/>
  <c r="X188" i="28"/>
  <c r="AZ188" i="28" s="1"/>
  <c r="W188" i="28"/>
  <c r="V188" i="28"/>
  <c r="V185" i="28" s="1"/>
  <c r="AX185" i="28" s="1"/>
  <c r="U188" i="28"/>
  <c r="AW188" i="28" s="1"/>
  <c r="T188" i="28"/>
  <c r="AV188" i="28" s="1"/>
  <c r="S188" i="28"/>
  <c r="R188" i="28"/>
  <c r="Q188" i="28"/>
  <c r="Q185" i="28" s="1"/>
  <c r="AS185" i="28" s="1"/>
  <c r="P188" i="28"/>
  <c r="AR188" i="28" s="1"/>
  <c r="O188" i="28"/>
  <c r="N188" i="28"/>
  <c r="M188" i="28"/>
  <c r="AO188" i="28" s="1"/>
  <c r="L188" i="28"/>
  <c r="K188" i="28"/>
  <c r="J188" i="28"/>
  <c r="I188" i="28"/>
  <c r="I185" i="28" s="1"/>
  <c r="AK185" i="28" s="1"/>
  <c r="H188" i="28"/>
  <c r="G188" i="28"/>
  <c r="F188" i="28"/>
  <c r="F185" i="28" s="1"/>
  <c r="AY187" i="28"/>
  <c r="AX187" i="28"/>
  <c r="AV187" i="28"/>
  <c r="AQ187" i="28"/>
  <c r="AP187" i="28"/>
  <c r="AN187" i="28"/>
  <c r="AL187" i="28"/>
  <c r="AI187" i="28"/>
  <c r="AH187" i="28"/>
  <c r="X187" i="28"/>
  <c r="AZ187" i="28" s="1"/>
  <c r="W187" i="28"/>
  <c r="V187" i="28"/>
  <c r="U187" i="28"/>
  <c r="T187" i="28"/>
  <c r="S187" i="28"/>
  <c r="AU187" i="28" s="1"/>
  <c r="R187" i="28"/>
  <c r="AT142" i="28" s="1"/>
  <c r="Q187" i="28"/>
  <c r="AS187" i="28" s="1"/>
  <c r="P187" i="28"/>
  <c r="AR187" i="28" s="1"/>
  <c r="O187" i="28"/>
  <c r="N187" i="28"/>
  <c r="M187" i="28"/>
  <c r="L187" i="28"/>
  <c r="K187" i="28"/>
  <c r="AM187" i="28" s="1"/>
  <c r="J187" i="28"/>
  <c r="AL142" i="28" s="1"/>
  <c r="I187" i="28"/>
  <c r="AK187" i="28" s="1"/>
  <c r="H187" i="28"/>
  <c r="AJ187" i="28" s="1"/>
  <c r="G187" i="28"/>
  <c r="F187" i="28"/>
  <c r="O186" i="28"/>
  <c r="N186" i="28"/>
  <c r="G186" i="28"/>
  <c r="R185" i="28"/>
  <c r="L185" i="28"/>
  <c r="K185" i="28"/>
  <c r="AM185" i="28" s="1"/>
  <c r="J185" i="28"/>
  <c r="AL140" i="28" s="1"/>
  <c r="BB180" i="28"/>
  <c r="AZ180" i="28"/>
  <c r="AY180" i="28"/>
  <c r="AX180" i="28"/>
  <c r="AW180" i="28"/>
  <c r="AV180" i="28"/>
  <c r="AU180" i="28"/>
  <c r="AT180" i="28"/>
  <c r="AS180" i="28"/>
  <c r="AR180" i="28"/>
  <c r="AQ180" i="28"/>
  <c r="AP180" i="28"/>
  <c r="AO180" i="28"/>
  <c r="AN180" i="28"/>
  <c r="AM180" i="28"/>
  <c r="AL180" i="28"/>
  <c r="AK180" i="28"/>
  <c r="AJ180" i="28"/>
  <c r="AI180" i="28"/>
  <c r="AH180" i="28"/>
  <c r="Z180" i="28"/>
  <c r="Y180" i="28"/>
  <c r="AZ179" i="28"/>
  <c r="AY179" i="28"/>
  <c r="AX179" i="28"/>
  <c r="AW179" i="28"/>
  <c r="AV179" i="28"/>
  <c r="AU179" i="28"/>
  <c r="AT179" i="28"/>
  <c r="AS179" i="28"/>
  <c r="AQ179" i="28"/>
  <c r="AP179" i="28"/>
  <c r="AO179" i="28"/>
  <c r="AN179" i="28"/>
  <c r="AM179" i="28"/>
  <c r="AL179" i="28"/>
  <c r="AK179" i="28"/>
  <c r="AJ179" i="28"/>
  <c r="AI179" i="28"/>
  <c r="AH179" i="28"/>
  <c r="BB178" i="28"/>
  <c r="BA178" i="28"/>
  <c r="AZ178" i="28"/>
  <c r="AY178" i="28"/>
  <c r="AX178" i="28"/>
  <c r="AW178" i="28"/>
  <c r="AV178" i="28"/>
  <c r="AU178" i="28"/>
  <c r="AT178" i="28"/>
  <c r="AS178" i="28"/>
  <c r="AR178" i="28"/>
  <c r="AQ178" i="28"/>
  <c r="AP178" i="28"/>
  <c r="AO178" i="28"/>
  <c r="AN178" i="28"/>
  <c r="AM178" i="28"/>
  <c r="AL178" i="28"/>
  <c r="AK178" i="28"/>
  <c r="AJ178" i="28"/>
  <c r="AI178" i="28"/>
  <c r="AH178" i="28"/>
  <c r="Z178" i="28"/>
  <c r="Y178" i="28"/>
  <c r="AZ177" i="28"/>
  <c r="AY177" i="28"/>
  <c r="AX177" i="28"/>
  <c r="AW177" i="28"/>
  <c r="AV177" i="28"/>
  <c r="AU177" i="28"/>
  <c r="AT177" i="28"/>
  <c r="AS177" i="28"/>
  <c r="AR177" i="28"/>
  <c r="AQ177" i="28"/>
  <c r="AP177" i="28"/>
  <c r="AO177" i="28"/>
  <c r="AN177" i="28"/>
  <c r="AM177" i="28"/>
  <c r="AL177" i="28"/>
  <c r="AK177" i="28"/>
  <c r="BB176" i="28"/>
  <c r="AZ176" i="28"/>
  <c r="AY176" i="28"/>
  <c r="AX176" i="28"/>
  <c r="AW176" i="28"/>
  <c r="AV176" i="28"/>
  <c r="AU176" i="28"/>
  <c r="AT176" i="28"/>
  <c r="AS176" i="28"/>
  <c r="AR176" i="28"/>
  <c r="AQ176" i="28"/>
  <c r="AP176" i="28"/>
  <c r="AO176" i="28"/>
  <c r="AN176" i="28"/>
  <c r="AM176" i="28"/>
  <c r="AL176" i="28"/>
  <c r="AK176" i="28"/>
  <c r="AJ176" i="28"/>
  <c r="AH176" i="28"/>
  <c r="Z176" i="28"/>
  <c r="BA175" i="28"/>
  <c r="AZ175" i="28"/>
  <c r="AY175" i="28"/>
  <c r="AX175" i="28"/>
  <c r="AW175" i="28"/>
  <c r="AV175" i="28"/>
  <c r="AU175" i="28"/>
  <c r="AT175" i="28"/>
  <c r="AS175" i="28"/>
  <c r="AR175" i="28"/>
  <c r="AQ175" i="28"/>
  <c r="AP175" i="28"/>
  <c r="AO175" i="28"/>
  <c r="AN175" i="28"/>
  <c r="AM175" i="28"/>
  <c r="AL175" i="28"/>
  <c r="AK175" i="28"/>
  <c r="AJ175" i="28"/>
  <c r="AI175" i="28"/>
  <c r="AH175" i="28"/>
  <c r="Y175" i="28"/>
  <c r="AY174" i="28"/>
  <c r="AX174" i="28"/>
  <c r="AW174" i="28"/>
  <c r="AV174" i="28"/>
  <c r="AU174" i="28"/>
  <c r="AT174" i="28"/>
  <c r="AP174" i="28"/>
  <c r="AN174" i="28"/>
  <c r="AL174" i="28"/>
  <c r="AJ174" i="28"/>
  <c r="AI174" i="28"/>
  <c r="AH174" i="28"/>
  <c r="AZ173" i="28"/>
  <c r="AY173" i="28"/>
  <c r="AX173" i="28"/>
  <c r="AU173" i="28"/>
  <c r="AT173" i="28"/>
  <c r="AS173" i="28"/>
  <c r="AQ173" i="28"/>
  <c r="AP173" i="28"/>
  <c r="AN173" i="28"/>
  <c r="AL173" i="28"/>
  <c r="AK173" i="28"/>
  <c r="AJ173" i="28"/>
  <c r="AI173" i="28"/>
  <c r="AH173" i="28"/>
  <c r="AZ172" i="28"/>
  <c r="AY172" i="28"/>
  <c r="AX172" i="28"/>
  <c r="AW172" i="28"/>
  <c r="AV172" i="28"/>
  <c r="AU172" i="28"/>
  <c r="AS172" i="28"/>
  <c r="AN172" i="28"/>
  <c r="AJ172" i="28"/>
  <c r="AI172" i="28"/>
  <c r="AZ171" i="28"/>
  <c r="AX171" i="28"/>
  <c r="AW171" i="28"/>
  <c r="AV171" i="28"/>
  <c r="AU171" i="28"/>
  <c r="AT171" i="28"/>
  <c r="AS171" i="28"/>
  <c r="AR171" i="28"/>
  <c r="AQ171" i="28"/>
  <c r="AP171" i="28"/>
  <c r="AN171" i="28"/>
  <c r="AL171" i="28"/>
  <c r="AI171" i="28"/>
  <c r="BB170" i="28"/>
  <c r="BA170" i="28"/>
  <c r="AZ170" i="28"/>
  <c r="AY170" i="28"/>
  <c r="AX170" i="28"/>
  <c r="AW170" i="28"/>
  <c r="AV170" i="28"/>
  <c r="AU170" i="28"/>
  <c r="AT170" i="28"/>
  <c r="AS170" i="28"/>
  <c r="AR170" i="28"/>
  <c r="AQ170" i="28"/>
  <c r="AP170" i="28"/>
  <c r="AO170" i="28"/>
  <c r="AN170" i="28"/>
  <c r="AM170" i="28"/>
  <c r="AL170" i="28"/>
  <c r="AK170" i="28"/>
  <c r="AJ170" i="28"/>
  <c r="AI170" i="28"/>
  <c r="AH170" i="28"/>
  <c r="Z170" i="28"/>
  <c r="Y170" i="28"/>
  <c r="X170" i="28"/>
  <c r="W170" i="28"/>
  <c r="V170" i="28"/>
  <c r="U170" i="28"/>
  <c r="T170" i="28"/>
  <c r="S170" i="28"/>
  <c r="R170" i="28"/>
  <c r="Q170" i="28"/>
  <c r="P170" i="28"/>
  <c r="O170" i="28"/>
  <c r="N170" i="28"/>
  <c r="M170" i="28"/>
  <c r="L170" i="28"/>
  <c r="K170" i="28"/>
  <c r="J170" i="28"/>
  <c r="I170" i="28"/>
  <c r="H170" i="28"/>
  <c r="G170" i="28"/>
  <c r="F170" i="28"/>
  <c r="BB169" i="28"/>
  <c r="BA169" i="28"/>
  <c r="AZ169" i="28"/>
  <c r="AY169" i="28"/>
  <c r="AX169" i="28"/>
  <c r="AW169" i="28"/>
  <c r="AV169" i="28"/>
  <c r="AU169" i="28"/>
  <c r="AT169" i="28"/>
  <c r="AS169" i="28"/>
  <c r="AR169" i="28"/>
  <c r="AQ169" i="28"/>
  <c r="AP169" i="28"/>
  <c r="AO169" i="28"/>
  <c r="AN169" i="28"/>
  <c r="AM169" i="28"/>
  <c r="AL169" i="28"/>
  <c r="AK169" i="28"/>
  <c r="AJ169" i="28"/>
  <c r="AI169" i="28"/>
  <c r="AH169" i="28"/>
  <c r="AA169" i="28"/>
  <c r="Z169" i="28"/>
  <c r="Y169" i="28"/>
  <c r="X169" i="28"/>
  <c r="W169" i="28"/>
  <c r="V169" i="28"/>
  <c r="U169" i="28"/>
  <c r="T169" i="28"/>
  <c r="S169" i="28"/>
  <c r="R169" i="28"/>
  <c r="Q169" i="28"/>
  <c r="P169" i="28"/>
  <c r="O169" i="28"/>
  <c r="N169" i="28"/>
  <c r="M169" i="28"/>
  <c r="L169" i="28"/>
  <c r="K169" i="28"/>
  <c r="J169" i="28"/>
  <c r="I169" i="28"/>
  <c r="H169" i="28"/>
  <c r="G169" i="28"/>
  <c r="F169" i="28"/>
  <c r="BB168" i="28"/>
  <c r="BA168" i="28"/>
  <c r="AZ168" i="28"/>
  <c r="AY168" i="28"/>
  <c r="AX168" i="28"/>
  <c r="AW168" i="28"/>
  <c r="AV168" i="28"/>
  <c r="AU168" i="28"/>
  <c r="AT168" i="28"/>
  <c r="AS168" i="28"/>
  <c r="AR168" i="28"/>
  <c r="AQ168" i="28"/>
  <c r="AP168" i="28"/>
  <c r="AO168" i="28"/>
  <c r="AN168" i="28"/>
  <c r="AM168" i="28"/>
  <c r="AL168" i="28"/>
  <c r="AK168" i="28"/>
  <c r="AJ168" i="28"/>
  <c r="AI168" i="28"/>
  <c r="AH168" i="28"/>
  <c r="Y168" i="28"/>
  <c r="X168" i="28"/>
  <c r="W168" i="28"/>
  <c r="V168" i="28"/>
  <c r="U168" i="28"/>
  <c r="T168" i="28"/>
  <c r="S168" i="28"/>
  <c r="R168" i="28"/>
  <c r="Q168" i="28"/>
  <c r="P168" i="28"/>
  <c r="O168" i="28"/>
  <c r="N168" i="28"/>
  <c r="M168" i="28"/>
  <c r="L168" i="28"/>
  <c r="K168" i="28"/>
  <c r="J168" i="28"/>
  <c r="I168" i="28"/>
  <c r="H168" i="28"/>
  <c r="G168" i="28"/>
  <c r="F168" i="28"/>
  <c r="BB167" i="28"/>
  <c r="BA167" i="28"/>
  <c r="AZ167" i="28"/>
  <c r="AY167" i="28"/>
  <c r="AX167" i="28"/>
  <c r="AW167" i="28"/>
  <c r="AV167" i="28"/>
  <c r="AU167" i="28"/>
  <c r="AT167" i="28"/>
  <c r="AS167" i="28"/>
  <c r="AR167" i="28"/>
  <c r="AQ167" i="28"/>
  <c r="AP167" i="28"/>
  <c r="AO167" i="28"/>
  <c r="AN167" i="28"/>
  <c r="AM167" i="28"/>
  <c r="AL167" i="28"/>
  <c r="AK167" i="28"/>
  <c r="AJ167" i="28"/>
  <c r="AI167" i="28"/>
  <c r="AH167" i="28"/>
  <c r="AA167" i="28"/>
  <c r="Z167" i="28"/>
  <c r="Y167" i="28"/>
  <c r="X167" i="28"/>
  <c r="W167" i="28"/>
  <c r="V167" i="28"/>
  <c r="U167" i="28"/>
  <c r="T167" i="28"/>
  <c r="S167" i="28"/>
  <c r="R167" i="28"/>
  <c r="Q167" i="28"/>
  <c r="P167" i="28"/>
  <c r="O167" i="28"/>
  <c r="N167" i="28"/>
  <c r="M167" i="28"/>
  <c r="L167" i="28"/>
  <c r="K167" i="28"/>
  <c r="J167" i="28"/>
  <c r="I167" i="28"/>
  <c r="H167" i="28"/>
  <c r="G167" i="28"/>
  <c r="F167" i="28"/>
  <c r="BC166" i="28"/>
  <c r="BB166" i="28"/>
  <c r="BA166" i="28"/>
  <c r="AZ166" i="28"/>
  <c r="AY166" i="28"/>
  <c r="AX166" i="28"/>
  <c r="AW166" i="28"/>
  <c r="AV166" i="28"/>
  <c r="AU166" i="28"/>
  <c r="AT166" i="28"/>
  <c r="AS166" i="28"/>
  <c r="AR166" i="28"/>
  <c r="AQ166" i="28"/>
  <c r="AP166" i="28"/>
  <c r="AO166" i="28"/>
  <c r="AN166" i="28"/>
  <c r="AM166" i="28"/>
  <c r="AL166" i="28"/>
  <c r="AK166" i="28"/>
  <c r="AJ166" i="28"/>
  <c r="AI166" i="28"/>
  <c r="AH166" i="28"/>
  <c r="AA166" i="28"/>
  <c r="Z166" i="28"/>
  <c r="Y166" i="28"/>
  <c r="X166" i="28"/>
  <c r="W166" i="28"/>
  <c r="V166" i="28"/>
  <c r="U166" i="28"/>
  <c r="T166" i="28"/>
  <c r="S166" i="28"/>
  <c r="R166" i="28"/>
  <c r="Q166" i="28"/>
  <c r="P166" i="28"/>
  <c r="O166" i="28"/>
  <c r="N166" i="28"/>
  <c r="M166" i="28"/>
  <c r="L166" i="28"/>
  <c r="K166" i="28"/>
  <c r="J166" i="28"/>
  <c r="I166" i="28"/>
  <c r="H166" i="28"/>
  <c r="G166" i="28"/>
  <c r="F166" i="28"/>
  <c r="BA165" i="28"/>
  <c r="AY165" i="28"/>
  <c r="AX165" i="28"/>
  <c r="AW165" i="28"/>
  <c r="AV165" i="28"/>
  <c r="AU165" i="28"/>
  <c r="AT165" i="28"/>
  <c r="AS165" i="28"/>
  <c r="AR165" i="28"/>
  <c r="AQ165" i="28"/>
  <c r="AP165" i="28"/>
  <c r="AO165" i="28"/>
  <c r="AN165" i="28"/>
  <c r="AM165" i="28"/>
  <c r="AL165" i="28"/>
  <c r="AK165" i="28"/>
  <c r="AJ165" i="28"/>
  <c r="AI165" i="28"/>
  <c r="AH165" i="28"/>
  <c r="Y165" i="28"/>
  <c r="W165" i="28"/>
  <c r="V165" i="28"/>
  <c r="U165" i="28"/>
  <c r="T165" i="28"/>
  <c r="S165" i="28"/>
  <c r="R165" i="28"/>
  <c r="Q165" i="28"/>
  <c r="P165" i="28"/>
  <c r="O165" i="28"/>
  <c r="N165" i="28"/>
  <c r="M165" i="28"/>
  <c r="L165" i="28"/>
  <c r="K165" i="28"/>
  <c r="J165" i="28"/>
  <c r="I165" i="28"/>
  <c r="H165" i="28"/>
  <c r="G165" i="28"/>
  <c r="F165" i="28"/>
  <c r="BB164" i="28"/>
  <c r="BA164" i="28"/>
  <c r="AZ164" i="28"/>
  <c r="AY164" i="28"/>
  <c r="AX164" i="28"/>
  <c r="AW164" i="28"/>
  <c r="AV164" i="28"/>
  <c r="AU164" i="28"/>
  <c r="AT164" i="28"/>
  <c r="AS164" i="28"/>
  <c r="AR164" i="28"/>
  <c r="AQ164" i="28"/>
  <c r="AP164" i="28"/>
  <c r="AO164" i="28"/>
  <c r="AM164" i="28"/>
  <c r="AL164" i="28"/>
  <c r="AK164" i="28"/>
  <c r="AJ164" i="28"/>
  <c r="AI164" i="28"/>
  <c r="AH164" i="28"/>
  <c r="Y164" i="28"/>
  <c r="X164" i="28"/>
  <c r="W164" i="28"/>
  <c r="V164" i="28"/>
  <c r="U164" i="28"/>
  <c r="T164" i="28"/>
  <c r="S164" i="28"/>
  <c r="R164" i="28"/>
  <c r="Q164" i="28"/>
  <c r="P164" i="28"/>
  <c r="O164" i="28"/>
  <c r="N164" i="28"/>
  <c r="M164" i="28"/>
  <c r="K164" i="28"/>
  <c r="J164" i="28"/>
  <c r="I164" i="28"/>
  <c r="H164" i="28"/>
  <c r="G164" i="28"/>
  <c r="F164" i="28"/>
  <c r="BA163" i="28"/>
  <c r="AU163" i="28"/>
  <c r="AR163" i="28"/>
  <c r="AQ163" i="28"/>
  <c r="AP163" i="28"/>
  <c r="AO163" i="28"/>
  <c r="AN163" i="28"/>
  <c r="AM163" i="28"/>
  <c r="AL163" i="28"/>
  <c r="AK163" i="28"/>
  <c r="AJ163" i="28"/>
  <c r="AI163" i="28"/>
  <c r="AH163" i="28"/>
  <c r="Y163" i="28"/>
  <c r="S163" i="28"/>
  <c r="P163" i="28"/>
  <c r="O163" i="28"/>
  <c r="N163" i="28"/>
  <c r="M163" i="28"/>
  <c r="L163" i="28"/>
  <c r="K163" i="28"/>
  <c r="J163" i="28"/>
  <c r="I163" i="28"/>
  <c r="H163" i="28"/>
  <c r="G163" i="28"/>
  <c r="F163" i="28"/>
  <c r="AZ162" i="28"/>
  <c r="AY162" i="28"/>
  <c r="AX162" i="28"/>
  <c r="AW162" i="28"/>
  <c r="AV162" i="28"/>
  <c r="AU162" i="28"/>
  <c r="AT162" i="28"/>
  <c r="AS162" i="28"/>
  <c r="AR162" i="28"/>
  <c r="AQ162" i="28"/>
  <c r="AP162" i="28"/>
  <c r="AN162" i="28"/>
  <c r="AM162" i="28"/>
  <c r="AK162" i="28"/>
  <c r="AJ162" i="28"/>
  <c r="AI162" i="28"/>
  <c r="AH162" i="28"/>
  <c r="X162" i="28"/>
  <c r="W162" i="28"/>
  <c r="V162" i="28"/>
  <c r="U162" i="28"/>
  <c r="T162" i="28"/>
  <c r="S162" i="28"/>
  <c r="R162" i="28"/>
  <c r="Q162" i="28"/>
  <c r="P162" i="28"/>
  <c r="O162" i="28"/>
  <c r="N162" i="28"/>
  <c r="M162" i="28"/>
  <c r="L162" i="28"/>
  <c r="K162" i="28"/>
  <c r="I162" i="28"/>
  <c r="H162" i="28"/>
  <c r="G162" i="28"/>
  <c r="F162" i="28"/>
  <c r="BC161" i="28"/>
  <c r="BB161" i="28"/>
  <c r="BA161" i="28"/>
  <c r="AZ161" i="28"/>
  <c r="AY161" i="28"/>
  <c r="AX161" i="28"/>
  <c r="AW161" i="28"/>
  <c r="AV161" i="28"/>
  <c r="AU161" i="28"/>
  <c r="AT161" i="28"/>
  <c r="AS161" i="28"/>
  <c r="AR161" i="28"/>
  <c r="AQ161" i="28"/>
  <c r="AP161" i="28"/>
  <c r="AO161" i="28"/>
  <c r="AN161" i="28"/>
  <c r="AM161" i="28"/>
  <c r="AL161" i="28"/>
  <c r="AK161" i="28"/>
  <c r="AJ161" i="28"/>
  <c r="AI161" i="28"/>
  <c r="AH161" i="28"/>
  <c r="AA161" i="28"/>
  <c r="Z161" i="28"/>
  <c r="Y161" i="28"/>
  <c r="X161" i="28"/>
  <c r="W161" i="28"/>
  <c r="V161" i="28"/>
  <c r="U161" i="28"/>
  <c r="T161" i="28"/>
  <c r="S161" i="28"/>
  <c r="R161" i="28"/>
  <c r="Q161" i="28"/>
  <c r="P161" i="28"/>
  <c r="O161" i="28"/>
  <c r="N161" i="28"/>
  <c r="M161" i="28"/>
  <c r="L161" i="28"/>
  <c r="K161" i="28"/>
  <c r="J161" i="28"/>
  <c r="I161" i="28"/>
  <c r="H161" i="28"/>
  <c r="G161" i="28"/>
  <c r="F161" i="28"/>
  <c r="AY160" i="28"/>
  <c r="AX160" i="28"/>
  <c r="AW160" i="28"/>
  <c r="AT160" i="28"/>
  <c r="AS160" i="28"/>
  <c r="AR160" i="28"/>
  <c r="AQ160" i="28"/>
  <c r="AP160" i="28"/>
  <c r="AO160" i="28"/>
  <c r="AN160" i="28"/>
  <c r="AK160" i="28"/>
  <c r="AJ160" i="28"/>
  <c r="AI160" i="28"/>
  <c r="AH160" i="28"/>
  <c r="W160" i="28"/>
  <c r="U160" i="28"/>
  <c r="R160" i="28"/>
  <c r="Q160" i="28"/>
  <c r="P160" i="28"/>
  <c r="O160" i="28"/>
  <c r="N160" i="28"/>
  <c r="M160" i="28"/>
  <c r="L160" i="28"/>
  <c r="I160" i="28"/>
  <c r="H160" i="28"/>
  <c r="G160" i="28"/>
  <c r="F160" i="28"/>
  <c r="AZ159" i="28"/>
  <c r="AY159" i="28"/>
  <c r="AX159" i="28"/>
  <c r="AW159" i="28"/>
  <c r="AV159" i="28"/>
  <c r="AU159" i="28"/>
  <c r="AT159" i="28"/>
  <c r="AS159" i="28"/>
  <c r="AR159" i="28"/>
  <c r="AQ159" i="28"/>
  <c r="AP159" i="28"/>
  <c r="AO159" i="28"/>
  <c r="AN159" i="28"/>
  <c r="AK159" i="28"/>
  <c r="AJ159" i="28"/>
  <c r="AI159" i="28"/>
  <c r="AH159" i="28"/>
  <c r="X159" i="28"/>
  <c r="W159" i="28"/>
  <c r="U159" i="28"/>
  <c r="T159" i="28"/>
  <c r="S159" i="28"/>
  <c r="R159" i="28"/>
  <c r="Q159" i="28"/>
  <c r="P159" i="28"/>
  <c r="O159" i="28"/>
  <c r="M159" i="28"/>
  <c r="L159" i="28"/>
  <c r="I159" i="28"/>
  <c r="H159" i="28"/>
  <c r="G159" i="28"/>
  <c r="BC158" i="28"/>
  <c r="BB158" i="28"/>
  <c r="BA158" i="28"/>
  <c r="AZ158" i="28"/>
  <c r="AY158" i="28"/>
  <c r="AX158" i="28"/>
  <c r="AW158" i="28"/>
  <c r="AV158" i="28"/>
  <c r="AU158" i="28"/>
  <c r="AT158" i="28"/>
  <c r="AS158" i="28"/>
  <c r="AR158" i="28"/>
  <c r="AQ158" i="28"/>
  <c r="AP158" i="28"/>
  <c r="AO158" i="28"/>
  <c r="AN158" i="28"/>
  <c r="AM158" i="28"/>
  <c r="AL158" i="28"/>
  <c r="AK158" i="28"/>
  <c r="AJ158" i="28"/>
  <c r="AI158" i="28"/>
  <c r="AH158" i="28"/>
  <c r="AB158" i="28"/>
  <c r="AA158" i="28"/>
  <c r="Z158" i="28"/>
  <c r="Y158" i="28"/>
  <c r="X158" i="28"/>
  <c r="W158" i="28"/>
  <c r="V158" i="28"/>
  <c r="U158" i="28"/>
  <c r="T158" i="28"/>
  <c r="S158" i="28"/>
  <c r="R158" i="28"/>
  <c r="Q158" i="28"/>
  <c r="P158" i="28"/>
  <c r="O158" i="28"/>
  <c r="N158" i="28"/>
  <c r="M158" i="28"/>
  <c r="L158" i="28"/>
  <c r="K158" i="28"/>
  <c r="J158" i="28"/>
  <c r="I158" i="28"/>
  <c r="H158" i="28"/>
  <c r="G158" i="28"/>
  <c r="F158" i="28"/>
  <c r="AZ157" i="28"/>
  <c r="AY157" i="28"/>
  <c r="AX157" i="28"/>
  <c r="AW157" i="28"/>
  <c r="AV157" i="28"/>
  <c r="AU157" i="28"/>
  <c r="AT157" i="28"/>
  <c r="AS157" i="28"/>
  <c r="AQ157" i="28"/>
  <c r="AP157" i="28"/>
  <c r="AO157" i="28"/>
  <c r="AN157" i="28"/>
  <c r="AM157" i="28"/>
  <c r="AL157" i="28"/>
  <c r="AK157" i="28"/>
  <c r="AB157" i="28"/>
  <c r="X157" i="28"/>
  <c r="W157" i="28"/>
  <c r="V157" i="28"/>
  <c r="U157" i="28"/>
  <c r="T157" i="28"/>
  <c r="S157" i="28"/>
  <c r="R157" i="28"/>
  <c r="Q157" i="28"/>
  <c r="O157" i="28"/>
  <c r="N157" i="28"/>
  <c r="M157" i="28"/>
  <c r="L157" i="28"/>
  <c r="K157" i="28"/>
  <c r="J157" i="28"/>
  <c r="G157" i="28"/>
  <c r="AU156" i="28"/>
  <c r="AQ156" i="28"/>
  <c r="AP156" i="28"/>
  <c r="AN156" i="28"/>
  <c r="AJ156" i="28"/>
  <c r="AI156" i="28"/>
  <c r="S156" i="28"/>
  <c r="L156" i="28"/>
  <c r="G156" i="28"/>
  <c r="BB155" i="28"/>
  <c r="BA155" i="28"/>
  <c r="AZ155" i="28"/>
  <c r="AY155" i="28"/>
  <c r="AX155" i="28"/>
  <c r="AW155" i="28"/>
  <c r="AV155" i="28"/>
  <c r="AU155" i="28"/>
  <c r="AT155" i="28"/>
  <c r="AS155" i="28"/>
  <c r="AR155" i="28"/>
  <c r="AQ155" i="28"/>
  <c r="AP155" i="28"/>
  <c r="AO155" i="28"/>
  <c r="AN155" i="28"/>
  <c r="AM155" i="28"/>
  <c r="AL155" i="28"/>
  <c r="AK155" i="28"/>
  <c r="AJ155" i="28"/>
  <c r="AI155" i="28"/>
  <c r="AH155" i="28"/>
  <c r="Z155" i="28"/>
  <c r="Y155" i="28"/>
  <c r="X155" i="28"/>
  <c r="W155" i="28"/>
  <c r="V155" i="28"/>
  <c r="U155" i="28"/>
  <c r="T155" i="28"/>
  <c r="S155" i="28"/>
  <c r="R155" i="28"/>
  <c r="Q155" i="28"/>
  <c r="P155" i="28"/>
  <c r="O155" i="28"/>
  <c r="N155" i="28"/>
  <c r="M155" i="28"/>
  <c r="L155" i="28"/>
  <c r="K155" i="28"/>
  <c r="J155" i="28"/>
  <c r="I155" i="28"/>
  <c r="H155" i="28"/>
  <c r="G155" i="28"/>
  <c r="F155" i="28"/>
  <c r="BB154" i="28"/>
  <c r="BA154" i="28"/>
  <c r="AZ154" i="28"/>
  <c r="AY154" i="28"/>
  <c r="AX154" i="28"/>
  <c r="AW154" i="28"/>
  <c r="AV154" i="28"/>
  <c r="AU154" i="28"/>
  <c r="AT154" i="28"/>
  <c r="AS154" i="28"/>
  <c r="AR154" i="28"/>
  <c r="AQ154" i="28"/>
  <c r="AP154" i="28"/>
  <c r="AO154" i="28"/>
  <c r="AN154" i="28"/>
  <c r="AM154" i="28"/>
  <c r="AL154" i="28"/>
  <c r="AK154" i="28"/>
  <c r="AJ154" i="28"/>
  <c r="AI154" i="28"/>
  <c r="AH154" i="28"/>
  <c r="Z154" i="28"/>
  <c r="Y154" i="28"/>
  <c r="X154" i="28"/>
  <c r="W154" i="28"/>
  <c r="V154" i="28"/>
  <c r="U154" i="28"/>
  <c r="T154" i="28"/>
  <c r="S154" i="28"/>
  <c r="R154" i="28"/>
  <c r="Q154" i="28"/>
  <c r="P154" i="28"/>
  <c r="O154" i="28"/>
  <c r="N154" i="28"/>
  <c r="M154" i="28"/>
  <c r="L154" i="28"/>
  <c r="K154" i="28"/>
  <c r="J154" i="28"/>
  <c r="I154" i="28"/>
  <c r="H154" i="28"/>
  <c r="G154" i="28"/>
  <c r="F154" i="28"/>
  <c r="BC153" i="28"/>
  <c r="BB153" i="28"/>
  <c r="BA153" i="28"/>
  <c r="AZ153" i="28"/>
  <c r="AY153" i="28"/>
  <c r="AX153" i="28"/>
  <c r="AW153" i="28"/>
  <c r="AV153" i="28"/>
  <c r="AU153" i="28"/>
  <c r="AT153" i="28"/>
  <c r="AS153" i="28"/>
  <c r="AR153" i="28"/>
  <c r="AQ153" i="28"/>
  <c r="AP153" i="28"/>
  <c r="AO153" i="28"/>
  <c r="AN153" i="28"/>
  <c r="AM153" i="28"/>
  <c r="AL153" i="28"/>
  <c r="AK153" i="28"/>
  <c r="AJ153" i="28"/>
  <c r="AI153" i="28"/>
  <c r="AH153" i="28"/>
  <c r="AA153" i="28"/>
  <c r="Z153" i="28"/>
  <c r="Y153" i="28"/>
  <c r="X153" i="28"/>
  <c r="W153" i="28"/>
  <c r="V153" i="28"/>
  <c r="U153" i="28"/>
  <c r="T153" i="28"/>
  <c r="S153" i="28"/>
  <c r="R153" i="28"/>
  <c r="Q153" i="28"/>
  <c r="P153" i="28"/>
  <c r="O153" i="28"/>
  <c r="N153" i="28"/>
  <c r="M153" i="28"/>
  <c r="L153" i="28"/>
  <c r="K153" i="28"/>
  <c r="J153" i="28"/>
  <c r="I153" i="28"/>
  <c r="H153" i="28"/>
  <c r="G153" i="28"/>
  <c r="F153" i="28"/>
  <c r="BC152" i="28"/>
  <c r="BB152" i="28"/>
  <c r="BA152" i="28"/>
  <c r="AZ152" i="28"/>
  <c r="AY152" i="28"/>
  <c r="AX152" i="28"/>
  <c r="AW152" i="28"/>
  <c r="AV152" i="28"/>
  <c r="AU152" i="28"/>
  <c r="AT152" i="28"/>
  <c r="AS152" i="28"/>
  <c r="AR152" i="28"/>
  <c r="AQ152" i="28"/>
  <c r="AP152" i="28"/>
  <c r="AO152" i="28"/>
  <c r="AN152" i="28"/>
  <c r="AM152" i="28"/>
  <c r="AL152" i="28"/>
  <c r="AK152" i="28"/>
  <c r="AJ152" i="28"/>
  <c r="AI152" i="28"/>
  <c r="AH152" i="28"/>
  <c r="AA152" i="28"/>
  <c r="Z152" i="28"/>
  <c r="Y152" i="28"/>
  <c r="X152" i="28"/>
  <c r="W152" i="28"/>
  <c r="V152" i="28"/>
  <c r="U152" i="28"/>
  <c r="T152" i="28"/>
  <c r="S152" i="28"/>
  <c r="R152" i="28"/>
  <c r="Q152" i="28"/>
  <c r="P152" i="28"/>
  <c r="O152" i="28"/>
  <c r="N152" i="28"/>
  <c r="M152" i="28"/>
  <c r="L152" i="28"/>
  <c r="K152" i="28"/>
  <c r="J152" i="28"/>
  <c r="I152" i="28"/>
  <c r="H152" i="28"/>
  <c r="G152" i="28"/>
  <c r="F152" i="28"/>
  <c r="BC151" i="28"/>
  <c r="BB151" i="28"/>
  <c r="BA151" i="28"/>
  <c r="AZ151" i="28"/>
  <c r="AY151" i="28"/>
  <c r="AX151" i="28"/>
  <c r="AW151" i="28"/>
  <c r="AV151" i="28"/>
  <c r="AU151" i="28"/>
  <c r="AT151" i="28"/>
  <c r="AS151" i="28"/>
  <c r="AR151" i="28"/>
  <c r="AQ151" i="28"/>
  <c r="AP151" i="28"/>
  <c r="AO151" i="28"/>
  <c r="AN151" i="28"/>
  <c r="AM151" i="28"/>
  <c r="AL151" i="28"/>
  <c r="AK151" i="28"/>
  <c r="AJ151" i="28"/>
  <c r="AI151" i="28"/>
  <c r="AH151" i="28"/>
  <c r="AA151" i="28"/>
  <c r="Z151" i="28"/>
  <c r="Y151" i="28"/>
  <c r="X151" i="28"/>
  <c r="W151" i="28"/>
  <c r="V151" i="28"/>
  <c r="U151" i="28"/>
  <c r="T151" i="28"/>
  <c r="S151" i="28"/>
  <c r="R151" i="28"/>
  <c r="Q151" i="28"/>
  <c r="P151" i="28"/>
  <c r="O151" i="28"/>
  <c r="N151" i="28"/>
  <c r="M151" i="28"/>
  <c r="L151" i="28"/>
  <c r="K151" i="28"/>
  <c r="J151" i="28"/>
  <c r="I151" i="28"/>
  <c r="H151" i="28"/>
  <c r="G151" i="28"/>
  <c r="F151" i="28"/>
  <c r="BC150" i="28"/>
  <c r="BB150" i="28"/>
  <c r="BA150" i="28"/>
  <c r="AZ150" i="28"/>
  <c r="AY150" i="28"/>
  <c r="AX150" i="28"/>
  <c r="AW150" i="28"/>
  <c r="AV150" i="28"/>
  <c r="AU150" i="28"/>
  <c r="AT150" i="28"/>
  <c r="AS150" i="28"/>
  <c r="AR150" i="28"/>
  <c r="AQ150" i="28"/>
  <c r="AP150" i="28"/>
  <c r="AO150" i="28"/>
  <c r="AN150" i="28"/>
  <c r="AM150" i="28"/>
  <c r="AL150" i="28"/>
  <c r="AK150" i="28"/>
  <c r="AJ150" i="28"/>
  <c r="AI150" i="28"/>
  <c r="AH150" i="28"/>
  <c r="AA150" i="28"/>
  <c r="Z150" i="28"/>
  <c r="Y150" i="28"/>
  <c r="X150" i="28"/>
  <c r="W150" i="28"/>
  <c r="V150" i="28"/>
  <c r="U150" i="28"/>
  <c r="T150" i="28"/>
  <c r="S150" i="28"/>
  <c r="R150" i="28"/>
  <c r="Q150" i="28"/>
  <c r="P150" i="28"/>
  <c r="O150" i="28"/>
  <c r="N150" i="28"/>
  <c r="M150" i="28"/>
  <c r="L150" i="28"/>
  <c r="K150" i="28"/>
  <c r="J150" i="28"/>
  <c r="I150" i="28"/>
  <c r="H150" i="28"/>
  <c r="G150" i="28"/>
  <c r="F150" i="28"/>
  <c r="BB149" i="28"/>
  <c r="BA149" i="28"/>
  <c r="AZ149" i="28"/>
  <c r="AY149" i="28"/>
  <c r="AX149" i="28"/>
  <c r="AW149" i="28"/>
  <c r="AV149" i="28"/>
  <c r="AU149" i="28"/>
  <c r="AT149" i="28"/>
  <c r="AS149" i="28"/>
  <c r="AR149" i="28"/>
  <c r="AQ149" i="28"/>
  <c r="AP149" i="28"/>
  <c r="AO149" i="28"/>
  <c r="AN149" i="28"/>
  <c r="AM149" i="28"/>
  <c r="AL149" i="28"/>
  <c r="AK149" i="28"/>
  <c r="AJ149" i="28"/>
  <c r="AI149" i="28"/>
  <c r="AH149" i="28"/>
  <c r="Z149" i="28"/>
  <c r="Y149" i="28"/>
  <c r="X149" i="28"/>
  <c r="W149" i="28"/>
  <c r="V149" i="28"/>
  <c r="U149" i="28"/>
  <c r="T149" i="28"/>
  <c r="S149" i="28"/>
  <c r="R149" i="28"/>
  <c r="Q149" i="28"/>
  <c r="P149" i="28"/>
  <c r="O149" i="28"/>
  <c r="N149" i="28"/>
  <c r="M149" i="28"/>
  <c r="L149" i="28"/>
  <c r="K149" i="28"/>
  <c r="J149" i="28"/>
  <c r="I149" i="28"/>
  <c r="H149" i="28"/>
  <c r="G149" i="28"/>
  <c r="F149" i="28"/>
  <c r="AY148" i="28"/>
  <c r="AX148" i="28"/>
  <c r="AW148" i="28"/>
  <c r="AV148" i="28"/>
  <c r="AU148" i="28"/>
  <c r="AS148" i="28"/>
  <c r="AR148" i="28"/>
  <c r="AQ148" i="28"/>
  <c r="AP148" i="28"/>
  <c r="AO148" i="28"/>
  <c r="AN148" i="28"/>
  <c r="AM148" i="28"/>
  <c r="AK148" i="28"/>
  <c r="AJ148" i="28"/>
  <c r="AI148" i="28"/>
  <c r="AH148" i="28"/>
  <c r="W148" i="28"/>
  <c r="V148" i="28"/>
  <c r="U148" i="28"/>
  <c r="T148" i="28"/>
  <c r="S148" i="28"/>
  <c r="R148" i="28"/>
  <c r="Q148" i="28"/>
  <c r="P148" i="28"/>
  <c r="O148" i="28"/>
  <c r="N148" i="28"/>
  <c r="M148" i="28"/>
  <c r="L148" i="28"/>
  <c r="K148" i="28"/>
  <c r="J148" i="28"/>
  <c r="I148" i="28"/>
  <c r="H148" i="28"/>
  <c r="G148" i="28"/>
  <c r="F148" i="28"/>
  <c r="AU147" i="28"/>
  <c r="AR147" i="28"/>
  <c r="AQ147" i="28"/>
  <c r="AP147" i="28"/>
  <c r="AM147" i="28"/>
  <c r="AK147" i="28"/>
  <c r="AJ147" i="28"/>
  <c r="AI147" i="28"/>
  <c r="AH147" i="28"/>
  <c r="S147" i="28"/>
  <c r="P147" i="28"/>
  <c r="O147" i="28"/>
  <c r="N147" i="28"/>
  <c r="K147" i="28"/>
  <c r="I147" i="28"/>
  <c r="H147" i="28"/>
  <c r="G147" i="28"/>
  <c r="F147" i="28"/>
  <c r="AY146" i="28"/>
  <c r="AX146" i="28"/>
  <c r="AW146" i="28"/>
  <c r="AS146" i="28"/>
  <c r="AR146" i="28"/>
  <c r="AQ146" i="28"/>
  <c r="AP146" i="28"/>
  <c r="AO146" i="28"/>
  <c r="AN146" i="28"/>
  <c r="AK146" i="28"/>
  <c r="AJ146" i="28"/>
  <c r="AI146" i="28"/>
  <c r="AH146" i="28"/>
  <c r="W146" i="28"/>
  <c r="V146" i="28"/>
  <c r="U146" i="28"/>
  <c r="R146" i="28"/>
  <c r="Q146" i="28"/>
  <c r="P146" i="28"/>
  <c r="O146" i="28"/>
  <c r="M146" i="28"/>
  <c r="L146" i="28"/>
  <c r="I146" i="28"/>
  <c r="H146" i="28"/>
  <c r="G146" i="28"/>
  <c r="F146" i="28"/>
  <c r="AU145" i="28"/>
  <c r="AN145" i="28"/>
  <c r="S145" i="28"/>
  <c r="AZ144" i="28"/>
  <c r="AY144" i="28"/>
  <c r="AX144" i="28"/>
  <c r="AW144" i="28"/>
  <c r="AV144" i="28"/>
  <c r="AU144" i="28"/>
  <c r="AT144" i="28"/>
  <c r="AS144" i="28"/>
  <c r="AR144" i="28"/>
  <c r="AQ144" i="28"/>
  <c r="AP144" i="28"/>
  <c r="AO144" i="28"/>
  <c r="AN144" i="28"/>
  <c r="AM144" i="28"/>
  <c r="AL144" i="28"/>
  <c r="AK144" i="28"/>
  <c r="AJ144" i="28"/>
  <c r="AI144" i="28"/>
  <c r="AH144" i="28"/>
  <c r="W144" i="28"/>
  <c r="V144" i="28"/>
  <c r="U144" i="28"/>
  <c r="T144" i="28"/>
  <c r="S144" i="28"/>
  <c r="R144" i="28"/>
  <c r="Q144" i="28"/>
  <c r="O144" i="28"/>
  <c r="N144" i="28"/>
  <c r="M144" i="28"/>
  <c r="L144" i="28"/>
  <c r="K144" i="28"/>
  <c r="J144" i="28"/>
  <c r="I144" i="28"/>
  <c r="G144" i="28"/>
  <c r="F144" i="28"/>
  <c r="AZ143" i="28"/>
  <c r="AY143" i="28"/>
  <c r="AW143" i="28"/>
  <c r="AV143" i="28"/>
  <c r="AU143" i="28"/>
  <c r="AT143" i="28"/>
  <c r="AS143" i="28"/>
  <c r="AR143" i="28"/>
  <c r="AQ143" i="28"/>
  <c r="AO143" i="28"/>
  <c r="AN143" i="28"/>
  <c r="AM143" i="28"/>
  <c r="AL143" i="28"/>
  <c r="AK143" i="28"/>
  <c r="AJ143" i="28"/>
  <c r="AI143" i="28"/>
  <c r="X143" i="28"/>
  <c r="W143" i="28"/>
  <c r="V143" i="28"/>
  <c r="U143" i="28"/>
  <c r="T143" i="28"/>
  <c r="S143" i="28"/>
  <c r="R143" i="28"/>
  <c r="Q143" i="28"/>
  <c r="P143" i="28"/>
  <c r="O143" i="28"/>
  <c r="N143" i="28"/>
  <c r="M143" i="28"/>
  <c r="L143" i="28"/>
  <c r="K143" i="28"/>
  <c r="J143" i="28"/>
  <c r="I143" i="28"/>
  <c r="H143" i="28"/>
  <c r="G143" i="28"/>
  <c r="F143" i="28"/>
  <c r="AZ142" i="28"/>
  <c r="AY142" i="28"/>
  <c r="AX142" i="28"/>
  <c r="AW142" i="28"/>
  <c r="AV142" i="28"/>
  <c r="AU142" i="28"/>
  <c r="AS142" i="28"/>
  <c r="AR142" i="28"/>
  <c r="AQ142" i="28"/>
  <c r="AP142" i="28"/>
  <c r="AO142" i="28"/>
  <c r="AN142" i="28"/>
  <c r="AM142" i="28"/>
  <c r="AK142" i="28"/>
  <c r="AJ142" i="28"/>
  <c r="AI142" i="28"/>
  <c r="AH142" i="28"/>
  <c r="W142" i="28"/>
  <c r="V142" i="28"/>
  <c r="U142" i="28"/>
  <c r="T142" i="28"/>
  <c r="S142" i="28"/>
  <c r="R142" i="28"/>
  <c r="Q142" i="28"/>
  <c r="O142" i="28"/>
  <c r="N142" i="28"/>
  <c r="M142" i="28"/>
  <c r="L142" i="28"/>
  <c r="K142" i="28"/>
  <c r="J142" i="28"/>
  <c r="I142" i="28"/>
  <c r="G142" i="28"/>
  <c r="F142" i="28"/>
  <c r="AX140" i="28"/>
  <c r="AS140" i="28"/>
  <c r="AN140" i="28"/>
  <c r="AM140" i="28"/>
  <c r="AK140" i="28"/>
  <c r="AH140" i="28"/>
  <c r="V140" i="28"/>
  <c r="Q140" i="28"/>
  <c r="L140" i="28"/>
  <c r="K140" i="28"/>
  <c r="J140" i="28"/>
  <c r="I140" i="28"/>
  <c r="F140" i="28"/>
  <c r="P138" i="28"/>
  <c r="Z135" i="28"/>
  <c r="Z133" i="28"/>
  <c r="Y133" i="28"/>
  <c r="Z125" i="28"/>
  <c r="X125" i="28"/>
  <c r="W125" i="28"/>
  <c r="V125" i="28"/>
  <c r="U125" i="28"/>
  <c r="T125" i="28"/>
  <c r="S125" i="28"/>
  <c r="R125" i="28"/>
  <c r="Q125" i="28"/>
  <c r="P125" i="28"/>
  <c r="O125" i="28"/>
  <c r="N125" i="28"/>
  <c r="M125" i="28"/>
  <c r="L125" i="28"/>
  <c r="K125" i="28"/>
  <c r="J125" i="28"/>
  <c r="I125" i="28"/>
  <c r="H125" i="28"/>
  <c r="G125" i="28"/>
  <c r="F125" i="28"/>
  <c r="X124" i="28"/>
  <c r="W124" i="28"/>
  <c r="V124" i="28"/>
  <c r="U124" i="28"/>
  <c r="T124" i="28"/>
  <c r="S124" i="28"/>
  <c r="R124" i="28"/>
  <c r="Q124" i="28"/>
  <c r="P124" i="28"/>
  <c r="O124" i="28"/>
  <c r="N124" i="28"/>
  <c r="M124" i="28"/>
  <c r="L124" i="28"/>
  <c r="K124" i="28"/>
  <c r="J124" i="28"/>
  <c r="I124" i="28"/>
  <c r="H124" i="28"/>
  <c r="G124" i="28"/>
  <c r="F124" i="28"/>
  <c r="X123" i="28"/>
  <c r="W123" i="28"/>
  <c r="V123" i="28"/>
  <c r="U123" i="28"/>
  <c r="T123" i="28"/>
  <c r="S123" i="28"/>
  <c r="R123" i="28"/>
  <c r="Q123" i="28"/>
  <c r="P123" i="28"/>
  <c r="O123" i="28"/>
  <c r="N123" i="28"/>
  <c r="M123" i="28"/>
  <c r="L123" i="28"/>
  <c r="K123" i="28"/>
  <c r="J123" i="28"/>
  <c r="I123" i="28"/>
  <c r="H123" i="28"/>
  <c r="G123" i="28"/>
  <c r="F123" i="28"/>
  <c r="X122" i="28"/>
  <c r="W122" i="28"/>
  <c r="V122" i="28"/>
  <c r="U122" i="28"/>
  <c r="T122" i="28"/>
  <c r="S122" i="28"/>
  <c r="R122" i="28"/>
  <c r="Q122" i="28"/>
  <c r="P122" i="28"/>
  <c r="O122" i="28"/>
  <c r="N122" i="28"/>
  <c r="M122" i="28"/>
  <c r="L122" i="28"/>
  <c r="K122" i="28"/>
  <c r="J122" i="28"/>
  <c r="I122" i="28"/>
  <c r="H122" i="28"/>
  <c r="G122" i="28"/>
  <c r="F122" i="28"/>
  <c r="X121" i="28"/>
  <c r="W121" i="28"/>
  <c r="V121" i="28"/>
  <c r="U121" i="28"/>
  <c r="T121" i="28"/>
  <c r="S121" i="28"/>
  <c r="R121" i="28"/>
  <c r="Q121" i="28"/>
  <c r="P121" i="28"/>
  <c r="O121" i="28"/>
  <c r="N121" i="28"/>
  <c r="M121" i="28"/>
  <c r="L121" i="28"/>
  <c r="K121" i="28"/>
  <c r="J121" i="28"/>
  <c r="I121" i="28"/>
  <c r="H121" i="28"/>
  <c r="G121" i="28"/>
  <c r="F121" i="28"/>
  <c r="W120" i="28"/>
  <c r="T120" i="28"/>
  <c r="S120" i="28"/>
  <c r="R120" i="28"/>
  <c r="Q120" i="28"/>
  <c r="P120" i="28"/>
  <c r="O120" i="28"/>
  <c r="N120" i="28"/>
  <c r="M120" i="28"/>
  <c r="L120" i="28"/>
  <c r="K120" i="28"/>
  <c r="J120" i="28"/>
  <c r="I120" i="28"/>
  <c r="H120" i="28"/>
  <c r="G120" i="28"/>
  <c r="F120" i="28"/>
  <c r="Y119" i="28"/>
  <c r="X119" i="28"/>
  <c r="W119" i="28"/>
  <c r="V119" i="28"/>
  <c r="U119" i="28"/>
  <c r="T119" i="28"/>
  <c r="S119" i="28"/>
  <c r="R119" i="28"/>
  <c r="Q119" i="28"/>
  <c r="P119" i="28"/>
  <c r="O119" i="28"/>
  <c r="N119" i="28"/>
  <c r="M119" i="28"/>
  <c r="K119" i="28"/>
  <c r="J119" i="28"/>
  <c r="I119" i="28"/>
  <c r="H119" i="28"/>
  <c r="G119" i="28"/>
  <c r="F119" i="28"/>
  <c r="S118" i="28"/>
  <c r="P118" i="28"/>
  <c r="O118" i="28"/>
  <c r="N118" i="28"/>
  <c r="M118" i="28"/>
  <c r="L118" i="28"/>
  <c r="K118" i="28"/>
  <c r="J118" i="28"/>
  <c r="I118" i="28"/>
  <c r="H118" i="28"/>
  <c r="G118" i="28"/>
  <c r="F118" i="28"/>
  <c r="X117" i="28"/>
  <c r="W117" i="28"/>
  <c r="V117" i="28"/>
  <c r="U117" i="28"/>
  <c r="T117" i="28"/>
  <c r="S117" i="28"/>
  <c r="R117" i="28"/>
  <c r="Q117" i="28"/>
  <c r="P117" i="28"/>
  <c r="O117" i="28"/>
  <c r="N117" i="28"/>
  <c r="L117" i="28"/>
  <c r="K117" i="28"/>
  <c r="I117" i="28"/>
  <c r="H117" i="28"/>
  <c r="G117" i="28"/>
  <c r="F117" i="28"/>
  <c r="X116" i="28"/>
  <c r="W116" i="28"/>
  <c r="V116" i="28"/>
  <c r="U116" i="28"/>
  <c r="T116" i="28"/>
  <c r="S116" i="28"/>
  <c r="R116" i="28"/>
  <c r="Q116" i="28"/>
  <c r="P116" i="28"/>
  <c r="O116" i="28"/>
  <c r="N116" i="28"/>
  <c r="M116" i="28"/>
  <c r="L116" i="28"/>
  <c r="K116" i="28"/>
  <c r="J116" i="28"/>
  <c r="I116" i="28"/>
  <c r="H116" i="28"/>
  <c r="G116" i="28"/>
  <c r="F116" i="28"/>
  <c r="W115" i="28"/>
  <c r="U115" i="28"/>
  <c r="R115" i="28"/>
  <c r="Q115" i="28"/>
  <c r="P115" i="28"/>
  <c r="O115" i="28"/>
  <c r="N115" i="28"/>
  <c r="M115" i="28"/>
  <c r="L115" i="28"/>
  <c r="I115" i="28"/>
  <c r="H115" i="28"/>
  <c r="G115" i="28"/>
  <c r="F115" i="28"/>
  <c r="X114" i="28"/>
  <c r="W114" i="28"/>
  <c r="V114" i="28"/>
  <c r="U114" i="28"/>
  <c r="T114" i="28"/>
  <c r="S114" i="28"/>
  <c r="R114" i="28"/>
  <c r="Q114" i="28"/>
  <c r="P114" i="28"/>
  <c r="O114" i="28"/>
  <c r="N114" i="28"/>
  <c r="M114" i="28"/>
  <c r="L114" i="28"/>
  <c r="I114" i="28"/>
  <c r="H114" i="28"/>
  <c r="G114" i="28"/>
  <c r="Z113" i="28"/>
  <c r="X113" i="28"/>
  <c r="W113" i="28"/>
  <c r="V113" i="28"/>
  <c r="U113" i="28"/>
  <c r="T113" i="28"/>
  <c r="S113" i="28"/>
  <c r="R113" i="28"/>
  <c r="Q113" i="28"/>
  <c r="P113" i="28"/>
  <c r="O113" i="28"/>
  <c r="N113" i="28"/>
  <c r="M113" i="28"/>
  <c r="L113" i="28"/>
  <c r="K113" i="28"/>
  <c r="J113" i="28"/>
  <c r="I113" i="28"/>
  <c r="H113" i="28"/>
  <c r="G113" i="28"/>
  <c r="F113" i="28"/>
  <c r="X112" i="28"/>
  <c r="W112" i="28"/>
  <c r="V112" i="28"/>
  <c r="U112" i="28"/>
  <c r="T112" i="28"/>
  <c r="S112" i="28"/>
  <c r="R112" i="28"/>
  <c r="Q112" i="28"/>
  <c r="O112" i="28"/>
  <c r="N112" i="28"/>
  <c r="M112" i="28"/>
  <c r="L112" i="28"/>
  <c r="K112" i="28"/>
  <c r="J112" i="28"/>
  <c r="I112" i="28"/>
  <c r="O111" i="28"/>
  <c r="L111" i="28"/>
  <c r="H111" i="28"/>
  <c r="G111" i="28"/>
  <c r="X110" i="28"/>
  <c r="W110" i="28"/>
  <c r="V110" i="28"/>
  <c r="U110" i="28"/>
  <c r="T110" i="28"/>
  <c r="S110" i="28"/>
  <c r="R110" i="28"/>
  <c r="Q110" i="28"/>
  <c r="P110" i="28"/>
  <c r="O110" i="28"/>
  <c r="N110" i="28"/>
  <c r="M110" i="28"/>
  <c r="L110" i="28"/>
  <c r="K110" i="28"/>
  <c r="J110" i="28"/>
  <c r="I110" i="28"/>
  <c r="H110" i="28"/>
  <c r="G110" i="28"/>
  <c r="F110" i="28"/>
  <c r="Z109" i="28"/>
  <c r="X109" i="28"/>
  <c r="W109" i="28"/>
  <c r="V109" i="28"/>
  <c r="U109" i="28"/>
  <c r="T109" i="28"/>
  <c r="S109" i="28"/>
  <c r="R109" i="28"/>
  <c r="Q109" i="28"/>
  <c r="P109" i="28"/>
  <c r="O109" i="28"/>
  <c r="N109" i="28"/>
  <c r="M109" i="28"/>
  <c r="L109" i="28"/>
  <c r="K109" i="28"/>
  <c r="J109" i="28"/>
  <c r="I109" i="28"/>
  <c r="H109" i="28"/>
  <c r="G109" i="28"/>
  <c r="F109" i="28"/>
  <c r="X108" i="28"/>
  <c r="W108" i="28"/>
  <c r="V108" i="28"/>
  <c r="U108" i="28"/>
  <c r="T108" i="28"/>
  <c r="S108" i="28"/>
  <c r="R108" i="28"/>
  <c r="Q108" i="28"/>
  <c r="P108" i="28"/>
  <c r="O108" i="28"/>
  <c r="N108" i="28"/>
  <c r="M108" i="28"/>
  <c r="L108" i="28"/>
  <c r="K108" i="28"/>
  <c r="J108" i="28"/>
  <c r="I108" i="28"/>
  <c r="H108" i="28"/>
  <c r="G108" i="28"/>
  <c r="F108" i="28"/>
  <c r="X107" i="28"/>
  <c r="W107" i="28"/>
  <c r="V107" i="28"/>
  <c r="U107" i="28"/>
  <c r="T107" i="28"/>
  <c r="S107" i="28"/>
  <c r="R107" i="28"/>
  <c r="Q107" i="28"/>
  <c r="P107" i="28"/>
  <c r="O107" i="28"/>
  <c r="N107" i="28"/>
  <c r="M107" i="28"/>
  <c r="L107" i="28"/>
  <c r="K107" i="28"/>
  <c r="J107" i="28"/>
  <c r="I107" i="28"/>
  <c r="H107" i="28"/>
  <c r="G107" i="28"/>
  <c r="F107" i="28"/>
  <c r="AA106" i="28"/>
  <c r="X106" i="28"/>
  <c r="W106" i="28"/>
  <c r="V106" i="28"/>
  <c r="U106" i="28"/>
  <c r="T106" i="28"/>
  <c r="S106" i="28"/>
  <c r="R106" i="28"/>
  <c r="Q106" i="28"/>
  <c r="P106" i="28"/>
  <c r="O106" i="28"/>
  <c r="N106" i="28"/>
  <c r="M106" i="28"/>
  <c r="L106" i="28"/>
  <c r="K106" i="28"/>
  <c r="J106" i="28"/>
  <c r="I106" i="28"/>
  <c r="H106" i="28"/>
  <c r="G106" i="28"/>
  <c r="F106" i="28"/>
  <c r="X105" i="28"/>
  <c r="W105" i="28"/>
  <c r="V105" i="28"/>
  <c r="U105" i="28"/>
  <c r="T105" i="28"/>
  <c r="S105" i="28"/>
  <c r="R105" i="28"/>
  <c r="Q105" i="28"/>
  <c r="P105" i="28"/>
  <c r="O105" i="28"/>
  <c r="N105" i="28"/>
  <c r="M105" i="28"/>
  <c r="L105" i="28"/>
  <c r="K105" i="28"/>
  <c r="J105" i="28"/>
  <c r="I105" i="28"/>
  <c r="H105" i="28"/>
  <c r="G105" i="28"/>
  <c r="F105" i="28"/>
  <c r="Y104" i="28"/>
  <c r="X104" i="28"/>
  <c r="W104" i="28"/>
  <c r="V104" i="28"/>
  <c r="U104" i="28"/>
  <c r="T104" i="28"/>
  <c r="S104" i="28"/>
  <c r="R104" i="28"/>
  <c r="Q104" i="28"/>
  <c r="P104" i="28"/>
  <c r="O104" i="28"/>
  <c r="N104" i="28"/>
  <c r="M104" i="28"/>
  <c r="L104" i="28"/>
  <c r="K104" i="28"/>
  <c r="J104" i="28"/>
  <c r="I104" i="28"/>
  <c r="H104" i="28"/>
  <c r="G104" i="28"/>
  <c r="F104" i="28"/>
  <c r="AA103" i="28"/>
  <c r="T103" i="28"/>
  <c r="K103" i="28"/>
  <c r="AA102" i="28"/>
  <c r="R101" i="28"/>
  <c r="P101" i="28"/>
  <c r="O100" i="28"/>
  <c r="T99" i="28"/>
  <c r="P99" i="28"/>
  <c r="L99" i="28"/>
  <c r="R98" i="28"/>
  <c r="X97" i="28"/>
  <c r="Q97" i="28"/>
  <c r="P97" i="28"/>
  <c r="H97" i="28"/>
  <c r="M95" i="28"/>
  <c r="Z90" i="28"/>
  <c r="AA90" i="28" s="1"/>
  <c r="Y90" i="28"/>
  <c r="Z89" i="28"/>
  <c r="Y89" i="28"/>
  <c r="Z88" i="28"/>
  <c r="Y88" i="28"/>
  <c r="AA88" i="28" s="1"/>
  <c r="AJ177" i="28"/>
  <c r="Z86" i="28"/>
  <c r="Z85" i="28"/>
  <c r="Y85" i="28"/>
  <c r="AI82" i="28"/>
  <c r="AG82" i="28"/>
  <c r="AH82" i="28" s="1"/>
  <c r="AJ82" i="28" s="1"/>
  <c r="AG81" i="28"/>
  <c r="AH81" i="28" s="1"/>
  <c r="AI80" i="28"/>
  <c r="AG80" i="28"/>
  <c r="AH80" i="28" s="1"/>
  <c r="Z80" i="28"/>
  <c r="AA80" i="28" s="1"/>
  <c r="Y80" i="28"/>
  <c r="AG79" i="28"/>
  <c r="AH79" i="28" s="1"/>
  <c r="AA79" i="28"/>
  <c r="Z79" i="28"/>
  <c r="Y79" i="28"/>
  <c r="Z78" i="28"/>
  <c r="AA78" i="28" s="1"/>
  <c r="Y78" i="28"/>
  <c r="Z77" i="28"/>
  <c r="Y77" i="28"/>
  <c r="Z76" i="28"/>
  <c r="AA76" i="28" s="1"/>
  <c r="Y76" i="28"/>
  <c r="Z75" i="28"/>
  <c r="AA75" i="28" s="1"/>
  <c r="Y75" i="28"/>
  <c r="Z74" i="28"/>
  <c r="Y74" i="28"/>
  <c r="AB73" i="28"/>
  <c r="Y73" i="28"/>
  <c r="W73" i="28"/>
  <c r="W57" i="28" s="1"/>
  <c r="W102" i="28" s="1"/>
  <c r="T73" i="28"/>
  <c r="T57" i="28" s="1"/>
  <c r="Y72" i="28"/>
  <c r="M72" i="28"/>
  <c r="Z71" i="28"/>
  <c r="Y71" i="28"/>
  <c r="AA71" i="28" s="1"/>
  <c r="X70" i="28"/>
  <c r="AZ160" i="28" s="1"/>
  <c r="V70" i="28"/>
  <c r="V56" i="28" s="1"/>
  <c r="T70" i="28"/>
  <c r="T56" i="28" s="1"/>
  <c r="J70" i="28"/>
  <c r="Z69" i="28"/>
  <c r="BB159" i="28" s="1"/>
  <c r="Z68" i="28"/>
  <c r="Y68" i="28"/>
  <c r="AA68" i="28" s="1"/>
  <c r="P67" i="28"/>
  <c r="H67" i="28"/>
  <c r="G67" i="28"/>
  <c r="F67" i="28"/>
  <c r="Z66" i="28"/>
  <c r="V66" i="28"/>
  <c r="AX156" i="28" s="1"/>
  <c r="U66" i="28"/>
  <c r="P66" i="28"/>
  <c r="O66" i="28"/>
  <c r="K66" i="28"/>
  <c r="I66" i="28"/>
  <c r="F66" i="28"/>
  <c r="Z65" i="28"/>
  <c r="AA65" i="28" s="1"/>
  <c r="Y65" i="28"/>
  <c r="AA64" i="28"/>
  <c r="Z64" i="28"/>
  <c r="Y64" i="28"/>
  <c r="Z63" i="28"/>
  <c r="Y63" i="28"/>
  <c r="AA63" i="28" s="1"/>
  <c r="Z62" i="28"/>
  <c r="AA62" i="28" s="1"/>
  <c r="Y62" i="28"/>
  <c r="AA61" i="28"/>
  <c r="Z61" i="28"/>
  <c r="Y61" i="28"/>
  <c r="AA60" i="28"/>
  <c r="Z60" i="28"/>
  <c r="Y60" i="28"/>
  <c r="AA59" i="28"/>
  <c r="Z59" i="28"/>
  <c r="Y59" i="28"/>
  <c r="X58" i="28"/>
  <c r="W58" i="28"/>
  <c r="V58" i="28"/>
  <c r="U58" i="28"/>
  <c r="T58" i="28"/>
  <c r="S58" i="28"/>
  <c r="R58" i="28"/>
  <c r="Q58" i="28"/>
  <c r="P58" i="28"/>
  <c r="O58" i="28"/>
  <c r="N58" i="28"/>
  <c r="M58" i="28"/>
  <c r="L58" i="28"/>
  <c r="K58" i="28"/>
  <c r="J58" i="28"/>
  <c r="I58" i="28"/>
  <c r="H58" i="28"/>
  <c r="G58" i="28"/>
  <c r="F58" i="28"/>
  <c r="Y58" i="28" s="1"/>
  <c r="AA57" i="28"/>
  <c r="S57" i="28"/>
  <c r="S51" i="28" s="1"/>
  <c r="P57" i="28"/>
  <c r="O57" i="28"/>
  <c r="N57" i="28"/>
  <c r="K57" i="28"/>
  <c r="J57" i="28"/>
  <c r="I57" i="28"/>
  <c r="H57" i="28"/>
  <c r="G57" i="28"/>
  <c r="F57" i="28"/>
  <c r="AB56" i="28"/>
  <c r="X56" i="28"/>
  <c r="W56" i="28"/>
  <c r="U56" i="28"/>
  <c r="S56" i="28"/>
  <c r="R56" i="28"/>
  <c r="Q56" i="28"/>
  <c r="P56" i="28"/>
  <c r="O56" i="28"/>
  <c r="N56" i="28"/>
  <c r="M56" i="28"/>
  <c r="L56" i="28"/>
  <c r="I56" i="28"/>
  <c r="H56" i="28"/>
  <c r="G56" i="28"/>
  <c r="G51" i="28" s="1"/>
  <c r="AI141" i="28" s="1"/>
  <c r="X55" i="28"/>
  <c r="W55" i="28"/>
  <c r="U55" i="28"/>
  <c r="T55" i="28"/>
  <c r="S55" i="28"/>
  <c r="R55" i="28"/>
  <c r="Q55" i="28"/>
  <c r="O55" i="28"/>
  <c r="N55" i="28"/>
  <c r="M55" i="28"/>
  <c r="L55" i="28"/>
  <c r="I55" i="28"/>
  <c r="H55" i="28"/>
  <c r="AJ145" i="28" s="1"/>
  <c r="G55" i="28"/>
  <c r="AI145" i="28" s="1"/>
  <c r="F55" i="28"/>
  <c r="X54" i="28"/>
  <c r="W54" i="28"/>
  <c r="V54" i="28"/>
  <c r="U54" i="28"/>
  <c r="T54" i="28"/>
  <c r="S54" i="28"/>
  <c r="R54" i="28"/>
  <c r="Q54" i="28"/>
  <c r="P54" i="28"/>
  <c r="O54" i="28"/>
  <c r="O50" i="28" s="1"/>
  <c r="N54" i="28"/>
  <c r="M54" i="28"/>
  <c r="L54" i="28"/>
  <c r="K54" i="28"/>
  <c r="J54" i="28"/>
  <c r="I54" i="28"/>
  <c r="H54" i="28"/>
  <c r="G54" i="28"/>
  <c r="Y54" i="28" s="1"/>
  <c r="F54" i="28"/>
  <c r="X53" i="28"/>
  <c r="W53" i="28"/>
  <c r="V53" i="28"/>
  <c r="U53" i="28"/>
  <c r="T53" i="28"/>
  <c r="S53" i="28"/>
  <c r="R53" i="28"/>
  <c r="Q53" i="28"/>
  <c r="Q50" i="28" s="1"/>
  <c r="P53" i="28"/>
  <c r="O53" i="28"/>
  <c r="N53" i="28"/>
  <c r="M53" i="28"/>
  <c r="Z53" i="28" s="1"/>
  <c r="L53" i="28"/>
  <c r="K53" i="28"/>
  <c r="J53" i="28"/>
  <c r="I53" i="28"/>
  <c r="I50" i="28" s="1"/>
  <c r="H53" i="28"/>
  <c r="G53" i="28"/>
  <c r="Y53" i="28" s="1"/>
  <c r="F53" i="28"/>
  <c r="X52" i="28"/>
  <c r="X50" i="28" s="1"/>
  <c r="W52" i="28"/>
  <c r="V52" i="28"/>
  <c r="U52" i="28"/>
  <c r="U50" i="28" s="1"/>
  <c r="T52" i="28"/>
  <c r="S52" i="28"/>
  <c r="S50" i="28" s="1"/>
  <c r="R52" i="28"/>
  <c r="Q52" i="28"/>
  <c r="P52" i="28"/>
  <c r="P50" i="28" s="1"/>
  <c r="O52" i="28"/>
  <c r="N52" i="28"/>
  <c r="M52" i="28"/>
  <c r="L52" i="28"/>
  <c r="K52" i="28"/>
  <c r="K50" i="28" s="1"/>
  <c r="J52" i="28"/>
  <c r="I52" i="28"/>
  <c r="H52" i="28"/>
  <c r="H50" i="28" s="1"/>
  <c r="G52" i="28"/>
  <c r="F52" i="28"/>
  <c r="I51" i="28"/>
  <c r="V50" i="28"/>
  <c r="T50" i="28"/>
  <c r="N50" i="28"/>
  <c r="M50" i="28"/>
  <c r="G50" i="28"/>
  <c r="F50" i="28"/>
  <c r="K47" i="28"/>
  <c r="AA45" i="28"/>
  <c r="AA135" i="28" s="1"/>
  <c r="Z45" i="28"/>
  <c r="Y45" i="28"/>
  <c r="Y135" i="28" s="1"/>
  <c r="Z44" i="28"/>
  <c r="Z134" i="28" s="1"/>
  <c r="Y44" i="28"/>
  <c r="Y134" i="28" s="1"/>
  <c r="AA43" i="28"/>
  <c r="AA133" i="28" s="1"/>
  <c r="Z43" i="28"/>
  <c r="Y43" i="28"/>
  <c r="Z41" i="28"/>
  <c r="Z131" i="28" s="1"/>
  <c r="Z40" i="28"/>
  <c r="Z130" i="28" s="1"/>
  <c r="Y40" i="28"/>
  <c r="M39" i="28"/>
  <c r="M38" i="28"/>
  <c r="M36" i="28"/>
  <c r="AA35" i="28"/>
  <c r="AA125" i="28" s="1"/>
  <c r="Z35" i="28"/>
  <c r="Y35" i="28"/>
  <c r="Y125" i="28" s="1"/>
  <c r="AA34" i="28"/>
  <c r="AA124" i="28" s="1"/>
  <c r="Z34" i="28"/>
  <c r="Z124" i="28" s="1"/>
  <c r="Y34" i="28"/>
  <c r="Y124" i="28" s="1"/>
  <c r="Z33" i="28"/>
  <c r="Z123" i="28" s="1"/>
  <c r="Y33" i="28"/>
  <c r="Y123" i="28" s="1"/>
  <c r="Z32" i="28"/>
  <c r="Z122" i="28" s="1"/>
  <c r="Y32" i="28"/>
  <c r="Z31" i="28"/>
  <c r="Z121" i="28" s="1"/>
  <c r="Y31" i="28"/>
  <c r="Y121" i="28" s="1"/>
  <c r="Y30" i="28"/>
  <c r="X30" i="28"/>
  <c r="X13" i="28" s="1"/>
  <c r="X103" i="28" s="1"/>
  <c r="AC29" i="28"/>
  <c r="AA29" i="28"/>
  <c r="Z29" i="28"/>
  <c r="Z119" i="28" s="1"/>
  <c r="Y29" i="28"/>
  <c r="L29" i="28"/>
  <c r="L12" i="28" s="1"/>
  <c r="AC28" i="28"/>
  <c r="Y28" i="28"/>
  <c r="Y118" i="28" s="1"/>
  <c r="U12" i="28"/>
  <c r="Q12" i="28"/>
  <c r="Z27" i="28"/>
  <c r="M27" i="28"/>
  <c r="J27" i="28"/>
  <c r="E27" i="28"/>
  <c r="AA26" i="28"/>
  <c r="AA116" i="28" s="1"/>
  <c r="Z26" i="28"/>
  <c r="Z116" i="28" s="1"/>
  <c r="Y26" i="28"/>
  <c r="Y116" i="28" s="1"/>
  <c r="AG25" i="28"/>
  <c r="AF25" i="28"/>
  <c r="Z25" i="28"/>
  <c r="Z24" i="28"/>
  <c r="F24" i="28"/>
  <c r="F249" i="28" s="1"/>
  <c r="F236" i="28" s="1"/>
  <c r="Z23" i="28"/>
  <c r="Y23" i="28"/>
  <c r="Y113" i="28" s="1"/>
  <c r="AG22" i="28"/>
  <c r="H22" i="28"/>
  <c r="G22" i="28"/>
  <c r="F22" i="28"/>
  <c r="X21" i="28"/>
  <c r="W21" i="28"/>
  <c r="U21" i="28"/>
  <c r="U10" i="28" s="1"/>
  <c r="T21" i="28"/>
  <c r="T10" i="28" s="1"/>
  <c r="R21" i="28"/>
  <c r="Q21" i="28"/>
  <c r="Q10" i="28" s="1"/>
  <c r="P246" i="28"/>
  <c r="O21" i="28"/>
  <c r="N21" i="28"/>
  <c r="N37" i="28" s="1"/>
  <c r="K21" i="28"/>
  <c r="J21" i="28"/>
  <c r="I21" i="28"/>
  <c r="H21" i="28"/>
  <c r="Z20" i="28"/>
  <c r="Z110" i="28" s="1"/>
  <c r="Y20" i="28"/>
  <c r="Y110" i="28" s="1"/>
  <c r="Z19" i="28"/>
  <c r="Y19" i="28"/>
  <c r="Y109" i="28" s="1"/>
  <c r="Z18" i="28"/>
  <c r="Z108" i="28" s="1"/>
  <c r="Y18" i="28"/>
  <c r="Y108" i="28" s="1"/>
  <c r="Z17" i="28"/>
  <c r="Z107" i="28" s="1"/>
  <c r="Y17" i="28"/>
  <c r="Y107" i="28" s="1"/>
  <c r="Z16" i="28"/>
  <c r="Z106" i="28" s="1"/>
  <c r="Y16" i="28"/>
  <c r="AA16" i="28" s="1"/>
  <c r="Z15" i="28"/>
  <c r="Z105" i="28" s="1"/>
  <c r="Y15" i="28"/>
  <c r="AA15" i="28" s="1"/>
  <c r="AA105" i="28" s="1"/>
  <c r="AA14" i="28"/>
  <c r="AA104" i="28" s="1"/>
  <c r="Z14" i="28"/>
  <c r="Z104" i="28" s="1"/>
  <c r="Y14" i="28"/>
  <c r="W13" i="28"/>
  <c r="W103" i="28" s="1"/>
  <c r="U13" i="28"/>
  <c r="U103" i="28" s="1"/>
  <c r="T13" i="28"/>
  <c r="S13" i="28"/>
  <c r="S103" i="28" s="1"/>
  <c r="R13" i="28"/>
  <c r="R103" i="28" s="1"/>
  <c r="Q13" i="28"/>
  <c r="Q103" i="28" s="1"/>
  <c r="P13" i="28"/>
  <c r="P103" i="28" s="1"/>
  <c r="O13" i="28"/>
  <c r="O103" i="28" s="1"/>
  <c r="N13" i="28"/>
  <c r="N103" i="28" s="1"/>
  <c r="M13" i="28"/>
  <c r="L13" i="28"/>
  <c r="L103" i="28" s="1"/>
  <c r="K13" i="28"/>
  <c r="J13" i="28"/>
  <c r="J103" i="28" s="1"/>
  <c r="I13" i="28"/>
  <c r="I103" i="28" s="1"/>
  <c r="H13" i="28"/>
  <c r="H103" i="28" s="1"/>
  <c r="G13" i="28"/>
  <c r="G103" i="28" s="1"/>
  <c r="F13" i="28"/>
  <c r="F103" i="28" s="1"/>
  <c r="AC12" i="28"/>
  <c r="W12" i="28"/>
  <c r="T12" i="28"/>
  <c r="S12" i="28"/>
  <c r="S102" i="28" s="1"/>
  <c r="P12" i="28"/>
  <c r="P102" i="28" s="1"/>
  <c r="O12" i="28"/>
  <c r="O102" i="28" s="1"/>
  <c r="N12" i="28"/>
  <c r="N102" i="28" s="1"/>
  <c r="M12" i="28"/>
  <c r="K12" i="28"/>
  <c r="K102" i="28" s="1"/>
  <c r="I12" i="28"/>
  <c r="I102" i="28" s="1"/>
  <c r="H12" i="28"/>
  <c r="H102" i="28" s="1"/>
  <c r="G12" i="28"/>
  <c r="F12" i="28"/>
  <c r="F102" i="28" s="1"/>
  <c r="X11" i="28"/>
  <c r="X146" i="28" s="1"/>
  <c r="W11" i="28"/>
  <c r="W101" i="28" s="1"/>
  <c r="V11" i="28"/>
  <c r="U11" i="28"/>
  <c r="U101" i="28" s="1"/>
  <c r="T11" i="28"/>
  <c r="T146" i="28" s="1"/>
  <c r="R11" i="28"/>
  <c r="Q11" i="28"/>
  <c r="Q101" i="28" s="1"/>
  <c r="P11" i="28"/>
  <c r="O11" i="28"/>
  <c r="O101" i="28" s="1"/>
  <c r="N11" i="28"/>
  <c r="M11" i="28"/>
  <c r="M101" i="28" s="1"/>
  <c r="L11" i="28"/>
  <c r="L101" i="28" s="1"/>
  <c r="I11" i="28"/>
  <c r="I101" i="28" s="1"/>
  <c r="H11" i="28"/>
  <c r="H101" i="28" s="1"/>
  <c r="G11" i="28"/>
  <c r="G101" i="28" s="1"/>
  <c r="X10" i="28"/>
  <c r="X100" i="28" s="1"/>
  <c r="W10" i="28"/>
  <c r="W100" i="28" s="1"/>
  <c r="V10" i="28"/>
  <c r="V145" i="28" s="1"/>
  <c r="S10" i="28"/>
  <c r="P10" i="28"/>
  <c r="P6" i="28" s="1"/>
  <c r="O10" i="28"/>
  <c r="O145" i="28" s="1"/>
  <c r="R32" i="20" s="1"/>
  <c r="M10" i="28"/>
  <c r="L10" i="28"/>
  <c r="L100" i="28" s="1"/>
  <c r="J10" i="28"/>
  <c r="H10" i="28"/>
  <c r="G10" i="28"/>
  <c r="G6" i="28" s="1"/>
  <c r="X9" i="28"/>
  <c r="X99" i="28" s="1"/>
  <c r="W9" i="28"/>
  <c r="W99" i="28" s="1"/>
  <c r="V9" i="28"/>
  <c r="V99" i="28" s="1"/>
  <c r="U9" i="28"/>
  <c r="U99" i="28" s="1"/>
  <c r="T9" i="28"/>
  <c r="S9" i="28"/>
  <c r="S99" i="28" s="1"/>
  <c r="R9" i="28"/>
  <c r="R99" i="28" s="1"/>
  <c r="Q9" i="28"/>
  <c r="Q99" i="28" s="1"/>
  <c r="P9" i="28"/>
  <c r="O9" i="28"/>
  <c r="O99" i="28" s="1"/>
  <c r="N9" i="28"/>
  <c r="N99" i="28" s="1"/>
  <c r="M9" i="28"/>
  <c r="M99" i="28" s="1"/>
  <c r="L9" i="28"/>
  <c r="K9" i="28"/>
  <c r="K99" i="28" s="1"/>
  <c r="J9" i="28"/>
  <c r="J99" i="28" s="1"/>
  <c r="I9" i="28"/>
  <c r="I99" i="28" s="1"/>
  <c r="H9" i="28"/>
  <c r="H99" i="28" s="1"/>
  <c r="G9" i="28"/>
  <c r="G99" i="28" s="1"/>
  <c r="F9" i="28"/>
  <c r="F99" i="28" s="1"/>
  <c r="X8" i="28"/>
  <c r="X98" i="28" s="1"/>
  <c r="W8" i="28"/>
  <c r="W98" i="28" s="1"/>
  <c r="V8" i="28"/>
  <c r="V98" i="28" s="1"/>
  <c r="U8" i="28"/>
  <c r="U98" i="28" s="1"/>
  <c r="T8" i="28"/>
  <c r="T98" i="28" s="1"/>
  <c r="S8" i="28"/>
  <c r="S98" i="28" s="1"/>
  <c r="R8" i="28"/>
  <c r="Q8" i="28"/>
  <c r="Q98" i="28" s="1"/>
  <c r="P8" i="28"/>
  <c r="P98" i="28" s="1"/>
  <c r="O8" i="28"/>
  <c r="O98" i="28" s="1"/>
  <c r="N8" i="28"/>
  <c r="N98" i="28" s="1"/>
  <c r="M8" i="28"/>
  <c r="L8" i="28"/>
  <c r="L98" i="28" s="1"/>
  <c r="K8" i="28"/>
  <c r="K98" i="28" s="1"/>
  <c r="J8" i="28"/>
  <c r="J98" i="28" s="1"/>
  <c r="I8" i="28"/>
  <c r="I98" i="28" s="1"/>
  <c r="H8" i="28"/>
  <c r="H98" i="28" s="1"/>
  <c r="G8" i="28"/>
  <c r="G98" i="28" s="1"/>
  <c r="F8" i="28"/>
  <c r="F98" i="28" s="1"/>
  <c r="X7" i="28"/>
  <c r="W7" i="28"/>
  <c r="W97" i="28" s="1"/>
  <c r="V7" i="28"/>
  <c r="V97" i="28" s="1"/>
  <c r="U7" i="28"/>
  <c r="U97" i="28" s="1"/>
  <c r="T7" i="28"/>
  <c r="S7" i="28"/>
  <c r="S97" i="28" s="1"/>
  <c r="R7" i="28"/>
  <c r="R97" i="28" s="1"/>
  <c r="Q7" i="28"/>
  <c r="P7" i="28"/>
  <c r="O7" i="28"/>
  <c r="O97" i="28" s="1"/>
  <c r="N7" i="28"/>
  <c r="N97" i="28" s="1"/>
  <c r="M7" i="28"/>
  <c r="M97" i="28" s="1"/>
  <c r="L7" i="28"/>
  <c r="K7" i="28"/>
  <c r="K97" i="28" s="1"/>
  <c r="J7" i="28"/>
  <c r="J97" i="28" s="1"/>
  <c r="I7" i="28"/>
  <c r="I97" i="28" s="1"/>
  <c r="H7" i="28"/>
  <c r="G7" i="28"/>
  <c r="G97" i="28" s="1"/>
  <c r="F7" i="28"/>
  <c r="F97" i="28" s="1"/>
  <c r="O6" i="28"/>
  <c r="X5" i="28"/>
  <c r="X95" i="28" s="1"/>
  <c r="V5" i="28"/>
  <c r="V95" i="28" s="1"/>
  <c r="R5" i="28"/>
  <c r="R95" i="28" s="1"/>
  <c r="N5" i="28"/>
  <c r="N95" i="28" s="1"/>
  <c r="M5" i="28"/>
  <c r="K5" i="28"/>
  <c r="K95" i="28" s="1"/>
  <c r="I5" i="28"/>
  <c r="I95" i="28" s="1"/>
  <c r="F5" i="28"/>
  <c r="F95" i="28" s="1"/>
  <c r="D5" i="28"/>
  <c r="AC117" i="20"/>
  <c r="AC29" i="27"/>
  <c r="O21" i="27"/>
  <c r="Z22" i="27"/>
  <c r="N21" i="27"/>
  <c r="N246" i="27" s="1"/>
  <c r="F21" i="27"/>
  <c r="F22" i="27"/>
  <c r="AC28" i="27"/>
  <c r="M61" i="20"/>
  <c r="M113" i="20" s="1"/>
  <c r="M140" i="20" s="1"/>
  <c r="N61" i="20"/>
  <c r="N113" i="20" s="1"/>
  <c r="AI113" i="20" s="1"/>
  <c r="O61" i="20"/>
  <c r="O113" i="20" s="1"/>
  <c r="AJ113" i="20" s="1"/>
  <c r="V61" i="20"/>
  <c r="V113" i="20" s="1"/>
  <c r="V140" i="20" s="1"/>
  <c r="P74" i="20"/>
  <c r="Z74" i="20"/>
  <c r="Y74" i="20"/>
  <c r="I74" i="20"/>
  <c r="H74" i="20"/>
  <c r="G74" i="20"/>
  <c r="Z46" i="20"/>
  <c r="Y46" i="20"/>
  <c r="V46" i="20"/>
  <c r="I46" i="20"/>
  <c r="H46" i="20"/>
  <c r="G46" i="20"/>
  <c r="Z31" i="20"/>
  <c r="Y31" i="20"/>
  <c r="V31" i="20"/>
  <c r="I31" i="20"/>
  <c r="H31" i="20"/>
  <c r="G31" i="20"/>
  <c r="E31" i="20"/>
  <c r="P201" i="27"/>
  <c r="P202" i="27"/>
  <c r="J201" i="27"/>
  <c r="Y70" i="27"/>
  <c r="AB73" i="27"/>
  <c r="Q12" i="27"/>
  <c r="M27" i="27"/>
  <c r="H22" i="25"/>
  <c r="H21" i="25"/>
  <c r="H22" i="27"/>
  <c r="H21" i="27"/>
  <c r="F190" i="27"/>
  <c r="F186" i="27" s="1"/>
  <c r="Z14" i="20"/>
  <c r="Y14" i="20"/>
  <c r="V14" i="20"/>
  <c r="I14" i="20"/>
  <c r="G14" i="20"/>
  <c r="E14" i="20"/>
  <c r="AC302" i="27"/>
  <c r="AB302" i="27"/>
  <c r="AD301" i="27"/>
  <c r="AD303" i="27" s="1"/>
  <c r="AC301" i="27"/>
  <c r="AC303" i="27" s="1"/>
  <c r="AB301" i="27"/>
  <c r="AD300" i="27"/>
  <c r="AD302" i="27" s="1"/>
  <c r="AC300" i="27"/>
  <c r="AB300" i="27"/>
  <c r="AB303" i="27" s="1"/>
  <c r="AA270" i="27"/>
  <c r="Z270" i="27"/>
  <c r="Y270" i="27"/>
  <c r="AA269" i="27"/>
  <c r="Z269" i="27"/>
  <c r="Y269" i="27"/>
  <c r="AA268" i="27"/>
  <c r="Z268" i="27"/>
  <c r="Y268" i="27"/>
  <c r="AA267" i="27"/>
  <c r="Z267" i="27"/>
  <c r="Y267" i="27"/>
  <c r="AA266" i="27"/>
  <c r="Z266" i="27"/>
  <c r="Y266" i="27"/>
  <c r="AA265" i="27"/>
  <c r="Z265" i="27"/>
  <c r="Y265" i="27"/>
  <c r="AA264" i="27"/>
  <c r="Z264" i="27"/>
  <c r="Y264" i="27"/>
  <c r="AA263" i="27"/>
  <c r="Z263" i="27"/>
  <c r="Y263" i="27"/>
  <c r="AA262" i="27"/>
  <c r="Z262" i="27"/>
  <c r="Y262" i="27"/>
  <c r="AA261" i="27"/>
  <c r="Z261" i="27"/>
  <c r="Y261" i="27"/>
  <c r="AA260" i="27"/>
  <c r="Z260" i="27"/>
  <c r="Y260" i="27"/>
  <c r="X260" i="27"/>
  <c r="W260" i="27"/>
  <c r="V260" i="27"/>
  <c r="U260" i="27"/>
  <c r="T260" i="27"/>
  <c r="S260" i="27"/>
  <c r="R260" i="27"/>
  <c r="Q260" i="27"/>
  <c r="P260" i="27"/>
  <c r="O260" i="27"/>
  <c r="N260" i="27"/>
  <c r="M260" i="27"/>
  <c r="L260" i="27"/>
  <c r="K260" i="27"/>
  <c r="J260" i="27"/>
  <c r="I260" i="27"/>
  <c r="H260" i="27"/>
  <c r="G260" i="27"/>
  <c r="F260" i="27"/>
  <c r="AA259" i="27"/>
  <c r="Z259" i="27"/>
  <c r="Y259" i="27"/>
  <c r="X259" i="27"/>
  <c r="W259" i="27"/>
  <c r="V259" i="27"/>
  <c r="U259" i="27"/>
  <c r="T259" i="27"/>
  <c r="S259" i="27"/>
  <c r="R259" i="27"/>
  <c r="Q259" i="27"/>
  <c r="P259" i="27"/>
  <c r="O259" i="27"/>
  <c r="N259" i="27"/>
  <c r="M259" i="27"/>
  <c r="L259" i="27"/>
  <c r="K259" i="27"/>
  <c r="J259" i="27"/>
  <c r="I259" i="27"/>
  <c r="H259" i="27"/>
  <c r="G259" i="27"/>
  <c r="F259" i="27"/>
  <c r="AA258" i="27"/>
  <c r="Z258" i="27"/>
  <c r="Y258" i="27"/>
  <c r="X258" i="27"/>
  <c r="W258" i="27"/>
  <c r="V258" i="27"/>
  <c r="U258" i="27"/>
  <c r="T258" i="27"/>
  <c r="S258" i="27"/>
  <c r="R258" i="27"/>
  <c r="Q258" i="27"/>
  <c r="P258" i="27"/>
  <c r="O258" i="27"/>
  <c r="N258" i="27"/>
  <c r="M258" i="27"/>
  <c r="L258" i="27"/>
  <c r="K258" i="27"/>
  <c r="J258" i="27"/>
  <c r="I258" i="27"/>
  <c r="H258" i="27"/>
  <c r="G258" i="27"/>
  <c r="F258" i="27"/>
  <c r="AA257" i="27"/>
  <c r="Z257" i="27"/>
  <c r="Y257" i="27"/>
  <c r="X257" i="27"/>
  <c r="W257" i="27"/>
  <c r="V257" i="27"/>
  <c r="U257" i="27"/>
  <c r="T257" i="27"/>
  <c r="S257" i="27"/>
  <c r="R257" i="27"/>
  <c r="Q257" i="27"/>
  <c r="P257" i="27"/>
  <c r="O257" i="27"/>
  <c r="N257" i="27"/>
  <c r="M257" i="27"/>
  <c r="L257" i="27"/>
  <c r="K257" i="27"/>
  <c r="J257" i="27"/>
  <c r="I257" i="27"/>
  <c r="H257" i="27"/>
  <c r="G257" i="27"/>
  <c r="F257" i="27"/>
  <c r="AA256" i="27"/>
  <c r="Z256" i="27"/>
  <c r="Y256" i="27"/>
  <c r="X256" i="27"/>
  <c r="W256" i="27"/>
  <c r="V256" i="27"/>
  <c r="U256" i="27"/>
  <c r="T256" i="27"/>
  <c r="S256" i="27"/>
  <c r="R256" i="27"/>
  <c r="Q256" i="27"/>
  <c r="P256" i="27"/>
  <c r="O256" i="27"/>
  <c r="N256" i="27"/>
  <c r="M256" i="27"/>
  <c r="L256" i="27"/>
  <c r="K256" i="27"/>
  <c r="J256" i="27"/>
  <c r="I256" i="27"/>
  <c r="H256" i="27"/>
  <c r="G256" i="27"/>
  <c r="F256" i="27"/>
  <c r="AA255" i="27"/>
  <c r="Z255" i="27"/>
  <c r="Y255" i="27"/>
  <c r="W255" i="27"/>
  <c r="V255" i="27"/>
  <c r="U255" i="27"/>
  <c r="T255" i="27"/>
  <c r="T238" i="27" s="1"/>
  <c r="S255" i="27"/>
  <c r="R255" i="27"/>
  <c r="Q255" i="27"/>
  <c r="P255" i="27"/>
  <c r="O255" i="27"/>
  <c r="N255" i="27"/>
  <c r="M255" i="27"/>
  <c r="L255" i="27"/>
  <c r="L238" i="27" s="1"/>
  <c r="K255" i="27"/>
  <c r="J255" i="27"/>
  <c r="I255" i="27"/>
  <c r="H255" i="27"/>
  <c r="G255" i="27"/>
  <c r="F255" i="27"/>
  <c r="AA254" i="27"/>
  <c r="Z254" i="27"/>
  <c r="Y254" i="27"/>
  <c r="X254" i="27"/>
  <c r="W254" i="27"/>
  <c r="V254" i="27"/>
  <c r="U254" i="27"/>
  <c r="T254" i="27"/>
  <c r="S254" i="27"/>
  <c r="R254" i="27"/>
  <c r="Q254" i="27"/>
  <c r="P254" i="27"/>
  <c r="O254" i="27"/>
  <c r="N254" i="27"/>
  <c r="M254" i="27"/>
  <c r="K254" i="27"/>
  <c r="J254" i="27"/>
  <c r="I254" i="27"/>
  <c r="H254" i="27"/>
  <c r="G254" i="27"/>
  <c r="F254" i="27"/>
  <c r="AA253" i="27"/>
  <c r="Z253" i="27"/>
  <c r="Y253" i="27"/>
  <c r="S253" i="27"/>
  <c r="P253" i="27"/>
  <c r="O253" i="27"/>
  <c r="O237" i="27" s="1"/>
  <c r="N253" i="27"/>
  <c r="M253" i="27"/>
  <c r="L253" i="27"/>
  <c r="K253" i="27"/>
  <c r="J253" i="27"/>
  <c r="I253" i="27"/>
  <c r="H253" i="27"/>
  <c r="G253" i="27"/>
  <c r="G237" i="27" s="1"/>
  <c r="F253" i="27"/>
  <c r="AA252" i="27"/>
  <c r="Z252" i="27"/>
  <c r="Y252" i="27"/>
  <c r="X252" i="27"/>
  <c r="W252" i="27"/>
  <c r="V252" i="27"/>
  <c r="U252" i="27"/>
  <c r="T252" i="27"/>
  <c r="S252" i="27"/>
  <c r="S237" i="27" s="1"/>
  <c r="R252" i="27"/>
  <c r="Q252" i="27"/>
  <c r="P252" i="27"/>
  <c r="O252" i="27"/>
  <c r="N252" i="27"/>
  <c r="N237" i="27" s="1"/>
  <c r="L252" i="27"/>
  <c r="K252" i="27"/>
  <c r="K237" i="27" s="1"/>
  <c r="I252" i="27"/>
  <c r="H252" i="27"/>
  <c r="G252" i="27"/>
  <c r="F252" i="27"/>
  <c r="F237" i="27" s="1"/>
  <c r="AA251" i="27"/>
  <c r="Z251" i="27"/>
  <c r="Y251" i="27"/>
  <c r="X251" i="27"/>
  <c r="W251" i="27"/>
  <c r="V251" i="27"/>
  <c r="U251" i="27"/>
  <c r="T251" i="27"/>
  <c r="T236" i="27" s="1"/>
  <c r="S251" i="27"/>
  <c r="R251" i="27"/>
  <c r="Q251" i="27"/>
  <c r="P251" i="27"/>
  <c r="O251" i="27"/>
  <c r="N251" i="27"/>
  <c r="M251" i="27"/>
  <c r="L251" i="27"/>
  <c r="L236" i="27" s="1"/>
  <c r="K251" i="27"/>
  <c r="J251" i="27"/>
  <c r="I251" i="27"/>
  <c r="H251" i="27"/>
  <c r="G251" i="27"/>
  <c r="F251" i="27"/>
  <c r="AC250" i="27"/>
  <c r="AA250" i="27"/>
  <c r="Z250" i="27"/>
  <c r="Y250" i="27"/>
  <c r="X250" i="27"/>
  <c r="W250" i="27"/>
  <c r="V250" i="27"/>
  <c r="U250" i="27"/>
  <c r="T250" i="27"/>
  <c r="R250" i="27"/>
  <c r="R236" i="27" s="1"/>
  <c r="Q250" i="27"/>
  <c r="P250" i="27"/>
  <c r="O250" i="27"/>
  <c r="N250" i="27"/>
  <c r="M250" i="27"/>
  <c r="L250" i="27"/>
  <c r="I250" i="27"/>
  <c r="H250" i="27"/>
  <c r="G250" i="27"/>
  <c r="F250" i="27"/>
  <c r="AA249" i="27"/>
  <c r="Z249" i="27"/>
  <c r="BB204" i="27" s="1"/>
  <c r="Y249" i="27"/>
  <c r="X249" i="27"/>
  <c r="X236" i="27" s="1"/>
  <c r="W249" i="27"/>
  <c r="V249" i="27"/>
  <c r="U249" i="27"/>
  <c r="T249" i="27"/>
  <c r="S249" i="27"/>
  <c r="R249" i="27"/>
  <c r="Q249" i="27"/>
  <c r="Q236" i="27" s="1"/>
  <c r="P249" i="27"/>
  <c r="P236" i="27" s="1"/>
  <c r="O249" i="27"/>
  <c r="M249" i="27"/>
  <c r="L249" i="27"/>
  <c r="I249" i="27"/>
  <c r="I236" i="27" s="1"/>
  <c r="H249" i="27"/>
  <c r="H236" i="27" s="1"/>
  <c r="G249" i="27"/>
  <c r="AA248" i="27"/>
  <c r="Z248" i="27"/>
  <c r="Y248" i="27"/>
  <c r="X248" i="27"/>
  <c r="W248" i="27"/>
  <c r="V248" i="27"/>
  <c r="V235" i="27" s="1"/>
  <c r="U248" i="27"/>
  <c r="T248" i="27"/>
  <c r="S248" i="27"/>
  <c r="R248" i="27"/>
  <c r="Q248" i="27"/>
  <c r="P248" i="27"/>
  <c r="O248" i="27"/>
  <c r="N248" i="27"/>
  <c r="M248" i="27"/>
  <c r="L248" i="27"/>
  <c r="K248" i="27"/>
  <c r="J248" i="27"/>
  <c r="I248" i="27"/>
  <c r="H248" i="27"/>
  <c r="G248" i="27"/>
  <c r="F248" i="27"/>
  <c r="AA247" i="27"/>
  <c r="Z247" i="27"/>
  <c r="Y247" i="27"/>
  <c r="X247" i="27"/>
  <c r="W247" i="27"/>
  <c r="V247" i="27"/>
  <c r="U247" i="27"/>
  <c r="T247" i="27"/>
  <c r="S247" i="27"/>
  <c r="R247" i="27"/>
  <c r="Q247" i="27"/>
  <c r="O247" i="27"/>
  <c r="N247" i="27"/>
  <c r="M247" i="27"/>
  <c r="L247" i="27"/>
  <c r="K247" i="27"/>
  <c r="J247" i="27"/>
  <c r="I247" i="27"/>
  <c r="AA246" i="27"/>
  <c r="Z246" i="27"/>
  <c r="Y246" i="27"/>
  <c r="V246" i="27"/>
  <c r="S246" i="27"/>
  <c r="S235" i="27" s="1"/>
  <c r="M246" i="27"/>
  <c r="L246" i="27"/>
  <c r="G246" i="27"/>
  <c r="AA245" i="27"/>
  <c r="Z245" i="27"/>
  <c r="Y245" i="27"/>
  <c r="X245" i="27"/>
  <c r="X234" i="27" s="1"/>
  <c r="W245" i="27"/>
  <c r="W234" i="27" s="1"/>
  <c r="V245" i="27"/>
  <c r="V234" i="27" s="1"/>
  <c r="U245" i="27"/>
  <c r="U234" i="27" s="1"/>
  <c r="T245" i="27"/>
  <c r="S245" i="27"/>
  <c r="R245" i="27"/>
  <c r="Q245" i="27"/>
  <c r="Q234" i="27" s="1"/>
  <c r="P245" i="27"/>
  <c r="P234" i="27" s="1"/>
  <c r="O245" i="27"/>
  <c r="O234" i="27" s="1"/>
  <c r="N245" i="27"/>
  <c r="N234" i="27" s="1"/>
  <c r="M245" i="27"/>
  <c r="M234" i="27" s="1"/>
  <c r="L245" i="27"/>
  <c r="K245" i="27"/>
  <c r="J245" i="27"/>
  <c r="I245" i="27"/>
  <c r="I234" i="27" s="1"/>
  <c r="H245" i="27"/>
  <c r="H234" i="27" s="1"/>
  <c r="G245" i="27"/>
  <c r="G234" i="27" s="1"/>
  <c r="F245" i="27"/>
  <c r="F234" i="27" s="1"/>
  <c r="AA244" i="27"/>
  <c r="Z244" i="27"/>
  <c r="Y244" i="27"/>
  <c r="X244" i="27"/>
  <c r="W244" i="27"/>
  <c r="W233" i="27" s="1"/>
  <c r="V244" i="27"/>
  <c r="V233" i="27" s="1"/>
  <c r="U244" i="27"/>
  <c r="T244" i="27"/>
  <c r="S244" i="27"/>
  <c r="R244" i="27"/>
  <c r="Q244" i="27"/>
  <c r="P244" i="27"/>
  <c r="O244" i="27"/>
  <c r="O233" i="27" s="1"/>
  <c r="N244" i="27"/>
  <c r="N233" i="27" s="1"/>
  <c r="M244" i="27"/>
  <c r="L244" i="27"/>
  <c r="K244" i="27"/>
  <c r="J244" i="27"/>
  <c r="I244" i="27"/>
  <c r="H244" i="27"/>
  <c r="G244" i="27"/>
  <c r="G233" i="27" s="1"/>
  <c r="F244" i="27"/>
  <c r="F233" i="27" s="1"/>
  <c r="AA243" i="27"/>
  <c r="Z243" i="27"/>
  <c r="Y243" i="27"/>
  <c r="X243" i="27"/>
  <c r="W243" i="27"/>
  <c r="V243" i="27"/>
  <c r="U243" i="27"/>
  <c r="U233" i="27" s="1"/>
  <c r="T243" i="27"/>
  <c r="T233" i="27" s="1"/>
  <c r="S243" i="27"/>
  <c r="R243" i="27"/>
  <c r="Q243" i="27"/>
  <c r="P243" i="27"/>
  <c r="O243" i="27"/>
  <c r="N243" i="27"/>
  <c r="M243" i="27"/>
  <c r="M233" i="27" s="1"/>
  <c r="Z233" i="27" s="1"/>
  <c r="L243" i="27"/>
  <c r="L233" i="27" s="1"/>
  <c r="K243" i="27"/>
  <c r="J243" i="27"/>
  <c r="I243" i="27"/>
  <c r="H243" i="27"/>
  <c r="G243" i="27"/>
  <c r="F243" i="27"/>
  <c r="AA242" i="27"/>
  <c r="Z242" i="27"/>
  <c r="Y242" i="27"/>
  <c r="X242" i="27"/>
  <c r="W242" i="27"/>
  <c r="V242" i="27"/>
  <c r="U242" i="27"/>
  <c r="T242" i="27"/>
  <c r="S242" i="27"/>
  <c r="R242" i="27"/>
  <c r="Q242" i="27"/>
  <c r="P242" i="27"/>
  <c r="O242" i="27"/>
  <c r="N242" i="27"/>
  <c r="M242" i="27"/>
  <c r="L242" i="27"/>
  <c r="K242" i="27"/>
  <c r="K233" i="27" s="1"/>
  <c r="J242" i="27"/>
  <c r="J233" i="27" s="1"/>
  <c r="I242" i="27"/>
  <c r="H242" i="27"/>
  <c r="G242" i="27"/>
  <c r="F242" i="27"/>
  <c r="AA241" i="27"/>
  <c r="Z241" i="27"/>
  <c r="Y241" i="27"/>
  <c r="X241" i="27"/>
  <c r="X232" i="27" s="1"/>
  <c r="X230" i="27" s="1"/>
  <c r="W241" i="27"/>
  <c r="V241" i="27"/>
  <c r="U241" i="27"/>
  <c r="T241" i="27"/>
  <c r="S241" i="27"/>
  <c r="R241" i="27"/>
  <c r="Q241" i="27"/>
  <c r="Q232" i="27" s="1"/>
  <c r="P241" i="27"/>
  <c r="P232" i="27" s="1"/>
  <c r="P230" i="27" s="1"/>
  <c r="O241" i="27"/>
  <c r="N241" i="27"/>
  <c r="M241" i="27"/>
  <c r="L241" i="27"/>
  <c r="K241" i="27"/>
  <c r="J241" i="27"/>
  <c r="I241" i="27"/>
  <c r="I232" i="27" s="1"/>
  <c r="I230" i="27" s="1"/>
  <c r="H241" i="27"/>
  <c r="H232" i="27" s="1"/>
  <c r="H230" i="27" s="1"/>
  <c r="G241" i="27"/>
  <c r="F241" i="27"/>
  <c r="AA240" i="27"/>
  <c r="Z240" i="27"/>
  <c r="Y240" i="27"/>
  <c r="X240" i="27"/>
  <c r="W240" i="27"/>
  <c r="W232" i="27" s="1"/>
  <c r="W230" i="27" s="1"/>
  <c r="V240" i="27"/>
  <c r="V232" i="27" s="1"/>
  <c r="V230" i="27" s="1"/>
  <c r="U240" i="27"/>
  <c r="T240" i="27"/>
  <c r="S240" i="27"/>
  <c r="R240" i="27"/>
  <c r="Q240" i="27"/>
  <c r="P240" i="27"/>
  <c r="O240" i="27"/>
  <c r="O232" i="27" s="1"/>
  <c r="O230" i="27" s="1"/>
  <c r="N240" i="27"/>
  <c r="N232" i="27" s="1"/>
  <c r="N230" i="27" s="1"/>
  <c r="M240" i="27"/>
  <c r="L240" i="27"/>
  <c r="K240" i="27"/>
  <c r="J240" i="27"/>
  <c r="I240" i="27"/>
  <c r="H240" i="27"/>
  <c r="G240" i="27"/>
  <c r="G232" i="27" s="1"/>
  <c r="G230" i="27" s="1"/>
  <c r="F240" i="27"/>
  <c r="F232" i="27" s="1"/>
  <c r="Y232" i="27" s="1"/>
  <c r="AA239" i="27"/>
  <c r="Z239" i="27"/>
  <c r="Y239" i="27"/>
  <c r="X239" i="27"/>
  <c r="W239" i="27"/>
  <c r="V239" i="27"/>
  <c r="U239" i="27"/>
  <c r="U232" i="27" s="1"/>
  <c r="U230" i="27" s="1"/>
  <c r="T239" i="27"/>
  <c r="T232" i="27" s="1"/>
  <c r="T230" i="27" s="1"/>
  <c r="S239" i="27"/>
  <c r="S232" i="27" s="1"/>
  <c r="R239" i="27"/>
  <c r="Q239" i="27"/>
  <c r="P239" i="27"/>
  <c r="O239" i="27"/>
  <c r="N239" i="27"/>
  <c r="M239" i="27"/>
  <c r="M232" i="27" s="1"/>
  <c r="L239" i="27"/>
  <c r="L232" i="27" s="1"/>
  <c r="K239" i="27"/>
  <c r="K232" i="27" s="1"/>
  <c r="J239" i="27"/>
  <c r="I239" i="27"/>
  <c r="H239" i="27"/>
  <c r="G239" i="27"/>
  <c r="F239" i="27"/>
  <c r="W238" i="27"/>
  <c r="V238" i="27"/>
  <c r="U238" i="27"/>
  <c r="S238" i="27"/>
  <c r="R238" i="27"/>
  <c r="Q238" i="27"/>
  <c r="P238" i="27"/>
  <c r="O238" i="27"/>
  <c r="N238" i="27"/>
  <c r="M238" i="27"/>
  <c r="K238" i="27"/>
  <c r="J238" i="27"/>
  <c r="I238" i="27"/>
  <c r="H238" i="27"/>
  <c r="G238" i="27"/>
  <c r="F238" i="27"/>
  <c r="P237" i="27"/>
  <c r="I237" i="27"/>
  <c r="H237" i="27"/>
  <c r="W236" i="27"/>
  <c r="V236" i="27"/>
  <c r="U236" i="27"/>
  <c r="O236" i="27"/>
  <c r="M236" i="27"/>
  <c r="G236" i="27"/>
  <c r="L235" i="27"/>
  <c r="T234" i="27"/>
  <c r="S234" i="27"/>
  <c r="R234" i="27"/>
  <c r="L234" i="27"/>
  <c r="K234" i="27"/>
  <c r="J234" i="27"/>
  <c r="X233" i="27"/>
  <c r="S233" i="27"/>
  <c r="R233" i="27"/>
  <c r="Q233" i="27"/>
  <c r="P233" i="27"/>
  <c r="I233" i="27"/>
  <c r="H233" i="27"/>
  <c r="AE232" i="27"/>
  <c r="R232" i="27"/>
  <c r="J232" i="27"/>
  <c r="M230" i="27"/>
  <c r="F230" i="27"/>
  <c r="AZ225" i="27"/>
  <c r="AY225" i="27"/>
  <c r="AX225" i="27"/>
  <c r="AW225" i="27"/>
  <c r="AV225" i="27"/>
  <c r="AU225" i="27"/>
  <c r="AT225" i="27"/>
  <c r="AS225" i="27"/>
  <c r="AR225" i="27"/>
  <c r="AQ225" i="27"/>
  <c r="AP225" i="27"/>
  <c r="AO225" i="27"/>
  <c r="AN225" i="27"/>
  <c r="AM225" i="27"/>
  <c r="AL225" i="27"/>
  <c r="AK225" i="27"/>
  <c r="AJ225" i="27"/>
  <c r="AI225" i="27"/>
  <c r="AH225" i="27"/>
  <c r="Z225" i="27"/>
  <c r="BB225" i="27" s="1"/>
  <c r="Y225" i="27"/>
  <c r="AZ224" i="27"/>
  <c r="AY224" i="27"/>
  <c r="AX224" i="27"/>
  <c r="AW224" i="27"/>
  <c r="AV224" i="27"/>
  <c r="AU224" i="27"/>
  <c r="AT224" i="27"/>
  <c r="AS224" i="27"/>
  <c r="AQ224" i="27"/>
  <c r="AP224" i="27"/>
  <c r="AO224" i="27"/>
  <c r="AN224" i="27"/>
  <c r="AM224" i="27"/>
  <c r="AL224" i="27"/>
  <c r="AK224" i="27"/>
  <c r="AJ224" i="27"/>
  <c r="AI224" i="27"/>
  <c r="AH224" i="27"/>
  <c r="Y224" i="27"/>
  <c r="BA224" i="27" s="1"/>
  <c r="AZ223" i="27"/>
  <c r="AY223" i="27"/>
  <c r="AX223" i="27"/>
  <c r="AW223" i="27"/>
  <c r="AV223" i="27"/>
  <c r="AU223" i="27"/>
  <c r="AT223" i="27"/>
  <c r="AS223" i="27"/>
  <c r="AR223" i="27"/>
  <c r="AQ223" i="27"/>
  <c r="AP223" i="27"/>
  <c r="AO223" i="27"/>
  <c r="AN223" i="27"/>
  <c r="AM223" i="27"/>
  <c r="AL223" i="27"/>
  <c r="AK223" i="27"/>
  <c r="AJ223" i="27"/>
  <c r="AI223" i="27"/>
  <c r="AH223" i="27"/>
  <c r="AA223" i="27"/>
  <c r="BC223" i="27" s="1"/>
  <c r="Z223" i="27"/>
  <c r="BB223" i="27" s="1"/>
  <c r="Y223" i="27"/>
  <c r="BA223" i="27" s="1"/>
  <c r="AZ222" i="27"/>
  <c r="AY222" i="27"/>
  <c r="AX222" i="27"/>
  <c r="AW222" i="27"/>
  <c r="AV222" i="27"/>
  <c r="AU222" i="27"/>
  <c r="AT222" i="27"/>
  <c r="AS222" i="27"/>
  <c r="AR222" i="27"/>
  <c r="AQ222" i="27"/>
  <c r="AP222" i="27"/>
  <c r="AO222" i="27"/>
  <c r="AN222" i="27"/>
  <c r="AM222" i="27"/>
  <c r="AL222" i="27"/>
  <c r="AK222" i="27"/>
  <c r="Z222" i="27"/>
  <c r="BB222" i="27" s="1"/>
  <c r="AZ221" i="27"/>
  <c r="AY221" i="27"/>
  <c r="AX221" i="27"/>
  <c r="AW221" i="27"/>
  <c r="AV221" i="27"/>
  <c r="AU221" i="27"/>
  <c r="AT221" i="27"/>
  <c r="AS221" i="27"/>
  <c r="AR221" i="27"/>
  <c r="AQ221" i="27"/>
  <c r="AP221" i="27"/>
  <c r="AO221" i="27"/>
  <c r="AN221" i="27"/>
  <c r="AM221" i="27"/>
  <c r="AL221" i="27"/>
  <c r="AK221" i="27"/>
  <c r="AJ221" i="27"/>
  <c r="AH221" i="27"/>
  <c r="Z221" i="27"/>
  <c r="BB221" i="27" s="1"/>
  <c r="AZ220" i="27"/>
  <c r="AY220" i="27"/>
  <c r="AX220" i="27"/>
  <c r="AW220" i="27"/>
  <c r="AV220" i="27"/>
  <c r="AU220" i="27"/>
  <c r="AT220" i="27"/>
  <c r="AS220" i="27"/>
  <c r="AR220" i="27"/>
  <c r="AQ220" i="27"/>
  <c r="AP220" i="27"/>
  <c r="AO220" i="27"/>
  <c r="AN220" i="27"/>
  <c r="AM220" i="27"/>
  <c r="AL220" i="27"/>
  <c r="AK220" i="27"/>
  <c r="AJ220" i="27"/>
  <c r="AI220" i="27"/>
  <c r="AH220" i="27"/>
  <c r="Z220" i="27"/>
  <c r="BB220" i="27" s="1"/>
  <c r="Y220" i="27"/>
  <c r="BA220" i="27" s="1"/>
  <c r="AY219" i="27"/>
  <c r="AX219" i="27"/>
  <c r="AW219" i="27"/>
  <c r="AV219" i="27"/>
  <c r="AU219" i="27"/>
  <c r="AT219" i="27"/>
  <c r="AP219" i="27"/>
  <c r="AN219" i="27"/>
  <c r="AL219" i="27"/>
  <c r="AJ219" i="27"/>
  <c r="AI219" i="27"/>
  <c r="AH219" i="27"/>
  <c r="AY218" i="27"/>
  <c r="AX218" i="27"/>
  <c r="AU218" i="27"/>
  <c r="AT218" i="27"/>
  <c r="AS218" i="27"/>
  <c r="AR218" i="27"/>
  <c r="AQ218" i="27"/>
  <c r="AP218" i="27"/>
  <c r="AN218" i="27"/>
  <c r="AL218" i="27"/>
  <c r="AK218" i="27"/>
  <c r="AJ218" i="27"/>
  <c r="AI218" i="27"/>
  <c r="AH218" i="27"/>
  <c r="AZ217" i="27"/>
  <c r="AY217" i="27"/>
  <c r="AX217" i="27"/>
  <c r="AW217" i="27"/>
  <c r="AV217" i="27"/>
  <c r="AU217" i="27"/>
  <c r="AS217" i="27"/>
  <c r="AN217" i="27"/>
  <c r="AJ217" i="27"/>
  <c r="AI217" i="27"/>
  <c r="AZ216" i="27"/>
  <c r="AX216" i="27"/>
  <c r="AW216" i="27"/>
  <c r="AV216" i="27"/>
  <c r="AU216" i="27"/>
  <c r="AT216" i="27"/>
  <c r="AS216" i="27"/>
  <c r="AR216" i="27"/>
  <c r="AQ216" i="27"/>
  <c r="AP216" i="27"/>
  <c r="AN216" i="27"/>
  <c r="AM216" i="27"/>
  <c r="AL216" i="27"/>
  <c r="AI216" i="27"/>
  <c r="BB215" i="27"/>
  <c r="AZ215" i="27"/>
  <c r="AY215" i="27"/>
  <c r="AX215" i="27"/>
  <c r="AW215" i="27"/>
  <c r="AV215" i="27"/>
  <c r="AU215" i="27"/>
  <c r="AT215" i="27"/>
  <c r="AS215" i="27"/>
  <c r="AR215" i="27"/>
  <c r="AQ215" i="27"/>
  <c r="AP215" i="27"/>
  <c r="AO215" i="27"/>
  <c r="AN215" i="27"/>
  <c r="AM215" i="27"/>
  <c r="AL215" i="27"/>
  <c r="AK215" i="27"/>
  <c r="AJ215" i="27"/>
  <c r="AI215" i="27"/>
  <c r="AH215" i="27"/>
  <c r="Z215" i="27"/>
  <c r="Y215" i="27"/>
  <c r="AZ214" i="27"/>
  <c r="AY214" i="27"/>
  <c r="AX214" i="27"/>
  <c r="AW214" i="27"/>
  <c r="AV214" i="27"/>
  <c r="AU214" i="27"/>
  <c r="AT214" i="27"/>
  <c r="AS214" i="27"/>
  <c r="AR214" i="27"/>
  <c r="AQ214" i="27"/>
  <c r="AP214" i="27"/>
  <c r="AO214" i="27"/>
  <c r="AN214" i="27"/>
  <c r="AM214" i="27"/>
  <c r="AL214" i="27"/>
  <c r="AK214" i="27"/>
  <c r="AJ214" i="27"/>
  <c r="AI214" i="27"/>
  <c r="AH214" i="27"/>
  <c r="Z214" i="27"/>
  <c r="BB214" i="27" s="1"/>
  <c r="Y214" i="27"/>
  <c r="BA213" i="27"/>
  <c r="AZ213" i="27"/>
  <c r="AY213" i="27"/>
  <c r="AX213" i="27"/>
  <c r="AW213" i="27"/>
  <c r="AV213" i="27"/>
  <c r="AU213" i="27"/>
  <c r="AT213" i="27"/>
  <c r="AS213" i="27"/>
  <c r="AR213" i="27"/>
  <c r="AQ213" i="27"/>
  <c r="AP213" i="27"/>
  <c r="AO213" i="27"/>
  <c r="AN213" i="27"/>
  <c r="AM213" i="27"/>
  <c r="AL213" i="27"/>
  <c r="AK213" i="27"/>
  <c r="AJ213" i="27"/>
  <c r="AI213" i="27"/>
  <c r="AH213" i="27"/>
  <c r="Z213" i="27"/>
  <c r="BB213" i="27" s="1"/>
  <c r="Y213" i="27"/>
  <c r="BB212" i="27"/>
  <c r="BA212" i="27"/>
  <c r="AZ212" i="27"/>
  <c r="AY212" i="27"/>
  <c r="AX212" i="27"/>
  <c r="AW212" i="27"/>
  <c r="AV212" i="27"/>
  <c r="AU212" i="27"/>
  <c r="AT212" i="27"/>
  <c r="AS212" i="27"/>
  <c r="AR212" i="27"/>
  <c r="AQ212" i="27"/>
  <c r="AP212" i="27"/>
  <c r="AO212" i="27"/>
  <c r="AN212" i="27"/>
  <c r="AM212" i="27"/>
  <c r="AL212" i="27"/>
  <c r="AK212" i="27"/>
  <c r="AJ212" i="27"/>
  <c r="AI212" i="27"/>
  <c r="AH212" i="27"/>
  <c r="AA212" i="27"/>
  <c r="BC212" i="27" s="1"/>
  <c r="Z212" i="27"/>
  <c r="Y212" i="27"/>
  <c r="BB211" i="27"/>
  <c r="AZ211" i="27"/>
  <c r="AY211" i="27"/>
  <c r="AX211" i="27"/>
  <c r="AW211" i="27"/>
  <c r="AV211" i="27"/>
  <c r="AU211" i="27"/>
  <c r="AT211" i="27"/>
  <c r="AS211" i="27"/>
  <c r="AR211" i="27"/>
  <c r="AQ211" i="27"/>
  <c r="AP211" i="27"/>
  <c r="AO211" i="27"/>
  <c r="AN211" i="27"/>
  <c r="AM211" i="27"/>
  <c r="AL211" i="27"/>
  <c r="AK211" i="27"/>
  <c r="AJ211" i="27"/>
  <c r="AI211" i="27"/>
  <c r="AH211" i="27"/>
  <c r="Z211" i="27"/>
  <c r="Y211" i="27"/>
  <c r="BA211" i="27" s="1"/>
  <c r="AY210" i="27"/>
  <c r="AX210" i="27"/>
  <c r="AW210" i="27"/>
  <c r="AV210" i="27"/>
  <c r="AU210" i="27"/>
  <c r="AT210" i="27"/>
  <c r="AS210" i="27"/>
  <c r="AR210" i="27"/>
  <c r="AQ210" i="27"/>
  <c r="AP210" i="27"/>
  <c r="AO210" i="27"/>
  <c r="AN210" i="27"/>
  <c r="AM210" i="27"/>
  <c r="AL210" i="27"/>
  <c r="AK210" i="27"/>
  <c r="AJ210" i="27"/>
  <c r="AI210" i="27"/>
  <c r="AH210" i="27"/>
  <c r="Y210" i="27"/>
  <c r="BA210" i="27" s="1"/>
  <c r="BB209" i="27"/>
  <c r="BA209" i="27"/>
  <c r="AZ209" i="27"/>
  <c r="AY209" i="27"/>
  <c r="AX209" i="27"/>
  <c r="AW209" i="27"/>
  <c r="AV209" i="27"/>
  <c r="AU209" i="27"/>
  <c r="AT209" i="27"/>
  <c r="AS209" i="27"/>
  <c r="AR209" i="27"/>
  <c r="AQ209" i="27"/>
  <c r="AP209" i="27"/>
  <c r="AO209" i="27"/>
  <c r="AM209" i="27"/>
  <c r="AL209" i="27"/>
  <c r="AK209" i="27"/>
  <c r="AJ209" i="27"/>
  <c r="AI209" i="27"/>
  <c r="AH209" i="27"/>
  <c r="Z209" i="27"/>
  <c r="Y209" i="27"/>
  <c r="AU208" i="27"/>
  <c r="AR208" i="27"/>
  <c r="AQ208" i="27"/>
  <c r="AP208" i="27"/>
  <c r="AO208" i="27"/>
  <c r="AN208" i="27"/>
  <c r="AM208" i="27"/>
  <c r="AL208" i="27"/>
  <c r="AK208" i="27"/>
  <c r="AJ208" i="27"/>
  <c r="AI208" i="27"/>
  <c r="AH208" i="27"/>
  <c r="Y208" i="27"/>
  <c r="AZ207" i="27"/>
  <c r="AY207" i="27"/>
  <c r="AX207" i="27"/>
  <c r="AW207" i="27"/>
  <c r="AV207" i="27"/>
  <c r="AU207" i="27"/>
  <c r="AT207" i="27"/>
  <c r="AS207" i="27"/>
  <c r="AR207" i="27"/>
  <c r="AQ207" i="27"/>
  <c r="AP207" i="27"/>
  <c r="AN207" i="27"/>
  <c r="AM207" i="27"/>
  <c r="AK207" i="27"/>
  <c r="AJ207" i="27"/>
  <c r="AI207" i="27"/>
  <c r="AH207" i="27"/>
  <c r="BB206" i="27"/>
  <c r="AZ206" i="27"/>
  <c r="AY206" i="27"/>
  <c r="AX206" i="27"/>
  <c r="AW206" i="27"/>
  <c r="AV206" i="27"/>
  <c r="AU206" i="27"/>
  <c r="AT206" i="27"/>
  <c r="AS206" i="27"/>
  <c r="AR206" i="27"/>
  <c r="AQ206" i="27"/>
  <c r="AP206" i="27"/>
  <c r="AO206" i="27"/>
  <c r="AN206" i="27"/>
  <c r="AM206" i="27"/>
  <c r="AL206" i="27"/>
  <c r="AK206" i="27"/>
  <c r="AJ206" i="27"/>
  <c r="AI206" i="27"/>
  <c r="AH206" i="27"/>
  <c r="Z206" i="27"/>
  <c r="Y206" i="27"/>
  <c r="BA206" i="27" s="1"/>
  <c r="AZ205" i="27"/>
  <c r="AY205" i="27"/>
  <c r="AX205" i="27"/>
  <c r="AW205" i="27"/>
  <c r="AT205" i="27"/>
  <c r="AS205" i="27"/>
  <c r="AR205" i="27"/>
  <c r="AQ205" i="27"/>
  <c r="AP205" i="27"/>
  <c r="AO205" i="27"/>
  <c r="AN205" i="27"/>
  <c r="AK205" i="27"/>
  <c r="AJ205" i="27"/>
  <c r="AI205" i="27"/>
  <c r="AH205" i="27"/>
  <c r="X205" i="27"/>
  <c r="V205" i="27"/>
  <c r="T205" i="27"/>
  <c r="AV205" i="27" s="1"/>
  <c r="AZ204" i="27"/>
  <c r="AY204" i="27"/>
  <c r="AX204" i="27"/>
  <c r="AW204" i="27"/>
  <c r="AV204" i="27"/>
  <c r="AU204" i="27"/>
  <c r="AT204" i="27"/>
  <c r="AS204" i="27"/>
  <c r="AR204" i="27"/>
  <c r="AQ204" i="27"/>
  <c r="AO204" i="27"/>
  <c r="AN204" i="27"/>
  <c r="AK204" i="27"/>
  <c r="AJ204" i="27"/>
  <c r="AI204" i="27"/>
  <c r="AH204" i="27"/>
  <c r="Z204" i="27"/>
  <c r="BB203" i="27"/>
  <c r="BA203" i="27"/>
  <c r="AZ203" i="27"/>
  <c r="AY203" i="27"/>
  <c r="AX203" i="27"/>
  <c r="AW203" i="27"/>
  <c r="AV203" i="27"/>
  <c r="AU203" i="27"/>
  <c r="AT203" i="27"/>
  <c r="AS203" i="27"/>
  <c r="AR203" i="27"/>
  <c r="AQ203" i="27"/>
  <c r="AP203" i="27"/>
  <c r="AO203" i="27"/>
  <c r="AN203" i="27"/>
  <c r="AM203" i="27"/>
  <c r="AL203" i="27"/>
  <c r="AK203" i="27"/>
  <c r="AJ203" i="27"/>
  <c r="AI203" i="27"/>
  <c r="AH203" i="27"/>
  <c r="AA203" i="27"/>
  <c r="BC203" i="27" s="1"/>
  <c r="Z203" i="27"/>
  <c r="Y203" i="27"/>
  <c r="AZ202" i="27"/>
  <c r="AY202" i="27"/>
  <c r="AX202" i="27"/>
  <c r="AW202" i="27"/>
  <c r="AV202" i="27"/>
  <c r="AU202" i="27"/>
  <c r="AT202" i="27"/>
  <c r="AS202" i="27"/>
  <c r="AQ202" i="27"/>
  <c r="AP202" i="27"/>
  <c r="AO202" i="27"/>
  <c r="AN202" i="27"/>
  <c r="AM202" i="27"/>
  <c r="AL202" i="27"/>
  <c r="AK202" i="27"/>
  <c r="AX201" i="27"/>
  <c r="AU201" i="27"/>
  <c r="AN201" i="27"/>
  <c r="AI201" i="27"/>
  <c r="V201" i="27"/>
  <c r="M201" i="27"/>
  <c r="AZ200" i="27"/>
  <c r="AY200" i="27"/>
  <c r="AX200" i="27"/>
  <c r="AW200" i="27"/>
  <c r="AV200" i="27"/>
  <c r="AU200" i="27"/>
  <c r="AT200" i="27"/>
  <c r="AS200" i="27"/>
  <c r="AR200" i="27"/>
  <c r="AQ200" i="27"/>
  <c r="AP200" i="27"/>
  <c r="AO200" i="27"/>
  <c r="AN200" i="27"/>
  <c r="AM200" i="27"/>
  <c r="AL200" i="27"/>
  <c r="AK200" i="27"/>
  <c r="AJ200" i="27"/>
  <c r="AI200" i="27"/>
  <c r="AH200" i="27"/>
  <c r="Z200" i="27"/>
  <c r="BB200" i="27" s="1"/>
  <c r="Y200" i="27"/>
  <c r="BA199" i="27"/>
  <c r="AZ199" i="27"/>
  <c r="AY199" i="27"/>
  <c r="AX199" i="27"/>
  <c r="AW199" i="27"/>
  <c r="AV199" i="27"/>
  <c r="AU199" i="27"/>
  <c r="AT199" i="27"/>
  <c r="AS199" i="27"/>
  <c r="AR199" i="27"/>
  <c r="AQ199" i="27"/>
  <c r="AP199" i="27"/>
  <c r="AO199" i="27"/>
  <c r="AN199" i="27"/>
  <c r="AM199" i="27"/>
  <c r="AL199" i="27"/>
  <c r="AK199" i="27"/>
  <c r="AJ199" i="27"/>
  <c r="AI199" i="27"/>
  <c r="AH199" i="27"/>
  <c r="AA199" i="27"/>
  <c r="BC199" i="27" s="1"/>
  <c r="Z199" i="27"/>
  <c r="BB199" i="27" s="1"/>
  <c r="Y199" i="27"/>
  <c r="BA198" i="27"/>
  <c r="AZ198" i="27"/>
  <c r="AY198" i="27"/>
  <c r="AX198" i="27"/>
  <c r="AW198" i="27"/>
  <c r="AV198" i="27"/>
  <c r="AU198" i="27"/>
  <c r="AT198" i="27"/>
  <c r="AS198" i="27"/>
  <c r="AR198" i="27"/>
  <c r="AQ198" i="27"/>
  <c r="AP198" i="27"/>
  <c r="AO198" i="27"/>
  <c r="AN198" i="27"/>
  <c r="AM198" i="27"/>
  <c r="AL198" i="27"/>
  <c r="AK198" i="27"/>
  <c r="AJ198" i="27"/>
  <c r="AI198" i="27"/>
  <c r="AH198" i="27"/>
  <c r="Z198" i="27"/>
  <c r="BB198" i="27" s="1"/>
  <c r="Y198" i="27"/>
  <c r="BB197" i="27"/>
  <c r="AZ197" i="27"/>
  <c r="AY197" i="27"/>
  <c r="AX197" i="27"/>
  <c r="AW197" i="27"/>
  <c r="AV197" i="27"/>
  <c r="AU197" i="27"/>
  <c r="AT197" i="27"/>
  <c r="AS197" i="27"/>
  <c r="AR197" i="27"/>
  <c r="AQ197" i="27"/>
  <c r="AP197" i="27"/>
  <c r="AO197" i="27"/>
  <c r="AN197" i="27"/>
  <c r="AM197" i="27"/>
  <c r="AL197" i="27"/>
  <c r="AK197" i="27"/>
  <c r="AJ197" i="27"/>
  <c r="AI197" i="27"/>
  <c r="AH197" i="27"/>
  <c r="AA197" i="27"/>
  <c r="BC197" i="27" s="1"/>
  <c r="Z197" i="27"/>
  <c r="Y197" i="27"/>
  <c r="BA197" i="27" s="1"/>
  <c r="AZ196" i="27"/>
  <c r="AY196" i="27"/>
  <c r="AX196" i="27"/>
  <c r="AW196" i="27"/>
  <c r="AV196" i="27"/>
  <c r="AU196" i="27"/>
  <c r="AT196" i="27"/>
  <c r="AS196" i="27"/>
  <c r="AR196" i="27"/>
  <c r="AQ196" i="27"/>
  <c r="AP196" i="27"/>
  <c r="AO196" i="27"/>
  <c r="AN196" i="27"/>
  <c r="AM196" i="27"/>
  <c r="AL196" i="27"/>
  <c r="AK196" i="27"/>
  <c r="AJ196" i="27"/>
  <c r="AI196" i="27"/>
  <c r="AH196" i="27"/>
  <c r="Z196" i="27"/>
  <c r="BB196" i="27" s="1"/>
  <c r="Y196" i="27"/>
  <c r="AA196" i="27" s="1"/>
  <c r="BC196" i="27" s="1"/>
  <c r="BA195" i="27"/>
  <c r="AZ195" i="27"/>
  <c r="AY195" i="27"/>
  <c r="AX195" i="27"/>
  <c r="AW195" i="27"/>
  <c r="AV195" i="27"/>
  <c r="AU195" i="27"/>
  <c r="AT195" i="27"/>
  <c r="AS195" i="27"/>
  <c r="AR195" i="27"/>
  <c r="AQ195" i="27"/>
  <c r="AP195" i="27"/>
  <c r="AO195" i="27"/>
  <c r="AN195" i="27"/>
  <c r="AM195" i="27"/>
  <c r="AL195" i="27"/>
  <c r="AK195" i="27"/>
  <c r="AJ195" i="27"/>
  <c r="AI195" i="27"/>
  <c r="AH195" i="27"/>
  <c r="AA195" i="27"/>
  <c r="BC195" i="27" s="1"/>
  <c r="Z195" i="27"/>
  <c r="BB195" i="27" s="1"/>
  <c r="Y195" i="27"/>
  <c r="BB194" i="27"/>
  <c r="BA194" i="27"/>
  <c r="AZ194" i="27"/>
  <c r="AY194" i="27"/>
  <c r="AX194" i="27"/>
  <c r="AW194" i="27"/>
  <c r="AV194" i="27"/>
  <c r="AU194" i="27"/>
  <c r="AT194" i="27"/>
  <c r="AS194" i="27"/>
  <c r="AR194" i="27"/>
  <c r="AQ194" i="27"/>
  <c r="AP194" i="27"/>
  <c r="AO194" i="27"/>
  <c r="AN194" i="27"/>
  <c r="AM194" i="27"/>
  <c r="AL194" i="27"/>
  <c r="AK194" i="27"/>
  <c r="AJ194" i="27"/>
  <c r="AI194" i="27"/>
  <c r="AH194" i="27"/>
  <c r="AA194" i="27"/>
  <c r="BC194" i="27" s="1"/>
  <c r="Z194" i="27"/>
  <c r="Y194" i="27"/>
  <c r="AY193" i="27"/>
  <c r="AX193" i="27"/>
  <c r="AV193" i="27"/>
  <c r="AU193" i="27"/>
  <c r="AQ193" i="27"/>
  <c r="AP193" i="27"/>
  <c r="AN193" i="27"/>
  <c r="AM193" i="27"/>
  <c r="AH193" i="27"/>
  <c r="W193" i="27"/>
  <c r="V193" i="27"/>
  <c r="U193" i="27"/>
  <c r="AW193" i="27" s="1"/>
  <c r="T193" i="27"/>
  <c r="S193" i="27"/>
  <c r="R193" i="27"/>
  <c r="AT193" i="27" s="1"/>
  <c r="Q193" i="27"/>
  <c r="AS193" i="27" s="1"/>
  <c r="P193" i="27"/>
  <c r="AR193" i="27" s="1"/>
  <c r="O193" i="27"/>
  <c r="N193" i="27"/>
  <c r="M193" i="27"/>
  <c r="AO193" i="27" s="1"/>
  <c r="L193" i="27"/>
  <c r="K193" i="27"/>
  <c r="J193" i="27"/>
  <c r="AL193" i="27" s="1"/>
  <c r="I193" i="27"/>
  <c r="AK193" i="27" s="1"/>
  <c r="H193" i="27"/>
  <c r="AJ193" i="27" s="1"/>
  <c r="G193" i="27"/>
  <c r="AI193" i="27" s="1"/>
  <c r="F193" i="27"/>
  <c r="AQ192" i="27"/>
  <c r="AP192" i="27"/>
  <c r="AI192" i="27"/>
  <c r="AH192" i="27"/>
  <c r="S192" i="27"/>
  <c r="AU192" i="27" s="1"/>
  <c r="P192" i="27"/>
  <c r="AR192" i="27" s="1"/>
  <c r="O192" i="27"/>
  <c r="N192" i="27"/>
  <c r="K192" i="27"/>
  <c r="AM192" i="27" s="1"/>
  <c r="I192" i="27"/>
  <c r="AK192" i="27" s="1"/>
  <c r="H192" i="27"/>
  <c r="AJ192" i="27" s="1"/>
  <c r="G192" i="27"/>
  <c r="F192" i="27"/>
  <c r="AZ191" i="27"/>
  <c r="AY191" i="27"/>
  <c r="AX191" i="27"/>
  <c r="AQ191" i="27"/>
  <c r="AN191" i="27"/>
  <c r="AH191" i="27"/>
  <c r="X191" i="27"/>
  <c r="W191" i="27"/>
  <c r="V191" i="27"/>
  <c r="U191" i="27"/>
  <c r="AW191" i="27" s="1"/>
  <c r="T191" i="27"/>
  <c r="AV191" i="27" s="1"/>
  <c r="R191" i="27"/>
  <c r="AT191" i="27" s="1"/>
  <c r="Q191" i="27"/>
  <c r="AS191" i="27" s="1"/>
  <c r="P191" i="27"/>
  <c r="AR191" i="27" s="1"/>
  <c r="O191" i="27"/>
  <c r="N191" i="27"/>
  <c r="M191" i="27"/>
  <c r="AO191" i="27" s="1"/>
  <c r="L191" i="27"/>
  <c r="I191" i="27"/>
  <c r="AK191" i="27" s="1"/>
  <c r="H191" i="27"/>
  <c r="AJ191" i="27" s="1"/>
  <c r="G191" i="27"/>
  <c r="G186" i="27" s="1"/>
  <c r="F191" i="27"/>
  <c r="AX190" i="27"/>
  <c r="AN190" i="27"/>
  <c r="V190" i="27"/>
  <c r="S190" i="27"/>
  <c r="AU190" i="27" s="1"/>
  <c r="O190" i="27"/>
  <c r="R14" i="20" s="1"/>
  <c r="N190" i="27"/>
  <c r="Q14" i="20" s="1"/>
  <c r="L190" i="27"/>
  <c r="J190" i="27"/>
  <c r="H14" i="20" s="1"/>
  <c r="H190" i="27"/>
  <c r="H186" i="27" s="1"/>
  <c r="G190" i="27"/>
  <c r="AY189" i="27"/>
  <c r="AX189" i="27"/>
  <c r="AV189" i="27"/>
  <c r="AU189" i="27"/>
  <c r="AQ189" i="27"/>
  <c r="AP189" i="27"/>
  <c r="AN189" i="27"/>
  <c r="AM189" i="27"/>
  <c r="AH189" i="27"/>
  <c r="X189" i="27"/>
  <c r="AZ189" i="27" s="1"/>
  <c r="W189" i="27"/>
  <c r="V189" i="27"/>
  <c r="U189" i="27"/>
  <c r="AW189" i="27" s="1"/>
  <c r="T189" i="27"/>
  <c r="S189" i="27"/>
  <c r="R189" i="27"/>
  <c r="AT189" i="27" s="1"/>
  <c r="Q189" i="27"/>
  <c r="AS189" i="27" s="1"/>
  <c r="P189" i="27"/>
  <c r="AR189" i="27" s="1"/>
  <c r="O189" i="27"/>
  <c r="N189" i="27"/>
  <c r="M189" i="27"/>
  <c r="AO189" i="27" s="1"/>
  <c r="L189" i="27"/>
  <c r="K189" i="27"/>
  <c r="J189" i="27"/>
  <c r="AL189" i="27" s="1"/>
  <c r="I189" i="27"/>
  <c r="AK189" i="27" s="1"/>
  <c r="H189" i="27"/>
  <c r="AJ189" i="27" s="1"/>
  <c r="G189" i="27"/>
  <c r="AI189" i="27" s="1"/>
  <c r="F189" i="27"/>
  <c r="AZ188" i="27"/>
  <c r="AY188" i="27"/>
  <c r="AX188" i="27"/>
  <c r="AW188" i="27"/>
  <c r="AQ188" i="27"/>
  <c r="AP188" i="27"/>
  <c r="AO188" i="27"/>
  <c r="AN188" i="27"/>
  <c r="AJ188" i="27"/>
  <c r="X188" i="27"/>
  <c r="W188" i="27"/>
  <c r="V188" i="27"/>
  <c r="U188" i="27"/>
  <c r="T188" i="27"/>
  <c r="AV188" i="27" s="1"/>
  <c r="S188" i="27"/>
  <c r="AU188" i="27" s="1"/>
  <c r="R188" i="27"/>
  <c r="AT188" i="27" s="1"/>
  <c r="Q188" i="27"/>
  <c r="AS188" i="27" s="1"/>
  <c r="P188" i="27"/>
  <c r="AR188" i="27" s="1"/>
  <c r="O188" i="27"/>
  <c r="N188" i="27"/>
  <c r="M188" i="27"/>
  <c r="L188" i="27"/>
  <c r="L185" i="27" s="1"/>
  <c r="K188" i="27"/>
  <c r="AM188" i="27" s="1"/>
  <c r="J188" i="27"/>
  <c r="AL188" i="27" s="1"/>
  <c r="I188" i="27"/>
  <c r="AK188" i="27" s="1"/>
  <c r="H188" i="27"/>
  <c r="G188" i="27"/>
  <c r="AI188" i="27" s="1"/>
  <c r="F188" i="27"/>
  <c r="AH188" i="27" s="1"/>
  <c r="AZ187" i="27"/>
  <c r="AV187" i="27"/>
  <c r="AS187" i="27"/>
  <c r="AR187" i="27"/>
  <c r="AN187" i="27"/>
  <c r="AK187" i="27"/>
  <c r="AJ187" i="27"/>
  <c r="X187" i="27"/>
  <c r="W187" i="27"/>
  <c r="AY187" i="27" s="1"/>
  <c r="V187" i="27"/>
  <c r="AX187" i="27" s="1"/>
  <c r="U187" i="27"/>
  <c r="AW187" i="27" s="1"/>
  <c r="T187" i="27"/>
  <c r="S187" i="27"/>
  <c r="AU187" i="27" s="1"/>
  <c r="R187" i="27"/>
  <c r="AT187" i="27" s="1"/>
  <c r="Q187" i="27"/>
  <c r="P187" i="27"/>
  <c r="O187" i="27"/>
  <c r="AQ187" i="27" s="1"/>
  <c r="N187" i="27"/>
  <c r="AP187" i="27" s="1"/>
  <c r="M187" i="27"/>
  <c r="AO187" i="27" s="1"/>
  <c r="L187" i="27"/>
  <c r="K187" i="27"/>
  <c r="AM187" i="27" s="1"/>
  <c r="J187" i="27"/>
  <c r="AL187" i="27" s="1"/>
  <c r="I187" i="27"/>
  <c r="H187" i="27"/>
  <c r="G187" i="27"/>
  <c r="AI187" i="27" s="1"/>
  <c r="F187" i="27"/>
  <c r="AH187" i="27" s="1"/>
  <c r="O186" i="27"/>
  <c r="N186" i="27"/>
  <c r="AZ185" i="27"/>
  <c r="AR185" i="27"/>
  <c r="AJ185" i="27"/>
  <c r="X185" i="27"/>
  <c r="W185" i="27"/>
  <c r="AY185" i="27" s="1"/>
  <c r="V185" i="27"/>
  <c r="AX185" i="27" s="1"/>
  <c r="U185" i="27"/>
  <c r="AW185" i="27" s="1"/>
  <c r="P185" i="27"/>
  <c r="O185" i="27"/>
  <c r="AQ185" i="27" s="1"/>
  <c r="N185" i="27"/>
  <c r="AP185" i="27" s="1"/>
  <c r="M185" i="27"/>
  <c r="AO185" i="27" s="1"/>
  <c r="H185" i="27"/>
  <c r="G185" i="27"/>
  <c r="AI185" i="27" s="1"/>
  <c r="F185" i="27"/>
  <c r="AH185" i="27" s="1"/>
  <c r="BB180" i="27"/>
  <c r="BA180" i="27"/>
  <c r="AZ180" i="27"/>
  <c r="AY180" i="27"/>
  <c r="AX180" i="27"/>
  <c r="AW180" i="27"/>
  <c r="AV180" i="27"/>
  <c r="AU180" i="27"/>
  <c r="AT180" i="27"/>
  <c r="AS180" i="27"/>
  <c r="AR180" i="27"/>
  <c r="AQ180" i="27"/>
  <c r="AP180" i="27"/>
  <c r="AO180" i="27"/>
  <c r="AN180" i="27"/>
  <c r="AM180" i="27"/>
  <c r="AL180" i="27"/>
  <c r="AK180" i="27"/>
  <c r="AJ180" i="27"/>
  <c r="AI180" i="27"/>
  <c r="AH180" i="27"/>
  <c r="Z180" i="27"/>
  <c r="Y180" i="27"/>
  <c r="BA179" i="27"/>
  <c r="AZ179" i="27"/>
  <c r="AY179" i="27"/>
  <c r="AX179" i="27"/>
  <c r="AW179" i="27"/>
  <c r="AV179" i="27"/>
  <c r="AU179" i="27"/>
  <c r="AT179" i="27"/>
  <c r="AS179" i="27"/>
  <c r="AQ179" i="27"/>
  <c r="AP179" i="27"/>
  <c r="AO179" i="27"/>
  <c r="AN179" i="27"/>
  <c r="AM179" i="27"/>
  <c r="AL179" i="27"/>
  <c r="AK179" i="27"/>
  <c r="AJ179" i="27"/>
  <c r="AI179" i="27"/>
  <c r="AH179" i="27"/>
  <c r="Y179" i="27"/>
  <c r="BC178" i="27"/>
  <c r="BB178" i="27"/>
  <c r="BA178" i="27"/>
  <c r="AZ178" i="27"/>
  <c r="AY178" i="27"/>
  <c r="AX178" i="27"/>
  <c r="AW178" i="27"/>
  <c r="AV178" i="27"/>
  <c r="AU178" i="27"/>
  <c r="AT178" i="27"/>
  <c r="AS178" i="27"/>
  <c r="AR178" i="27"/>
  <c r="AQ178" i="27"/>
  <c r="AP178" i="27"/>
  <c r="AO178" i="27"/>
  <c r="AN178" i="27"/>
  <c r="AM178" i="27"/>
  <c r="AL178" i="27"/>
  <c r="AK178" i="27"/>
  <c r="AJ178" i="27"/>
  <c r="AI178" i="27"/>
  <c r="AH178" i="27"/>
  <c r="AA178" i="27"/>
  <c r="Z178" i="27"/>
  <c r="Y178" i="27"/>
  <c r="AZ177" i="27"/>
  <c r="AY177" i="27"/>
  <c r="AX177" i="27"/>
  <c r="AW177" i="27"/>
  <c r="AV177" i="27"/>
  <c r="AU177" i="27"/>
  <c r="AT177" i="27"/>
  <c r="AS177" i="27"/>
  <c r="AR177" i="27"/>
  <c r="AQ177" i="27"/>
  <c r="AP177" i="27"/>
  <c r="AO177" i="27"/>
  <c r="AN177" i="27"/>
  <c r="AM177" i="27"/>
  <c r="AL177" i="27"/>
  <c r="AK177" i="27"/>
  <c r="BB176" i="27"/>
  <c r="AZ176" i="27"/>
  <c r="AY176" i="27"/>
  <c r="AX176" i="27"/>
  <c r="AW176" i="27"/>
  <c r="AV176" i="27"/>
  <c r="AU176" i="27"/>
  <c r="AT176" i="27"/>
  <c r="AS176" i="27"/>
  <c r="AR176" i="27"/>
  <c r="AQ176" i="27"/>
  <c r="AP176" i="27"/>
  <c r="AO176" i="27"/>
  <c r="AN176" i="27"/>
  <c r="AM176" i="27"/>
  <c r="AL176" i="27"/>
  <c r="AK176" i="27"/>
  <c r="AJ176" i="27"/>
  <c r="AH176" i="27"/>
  <c r="Z176" i="27"/>
  <c r="BB175" i="27"/>
  <c r="BA175" i="27"/>
  <c r="AZ175" i="27"/>
  <c r="AY175" i="27"/>
  <c r="AX175" i="27"/>
  <c r="AW175" i="27"/>
  <c r="AV175" i="27"/>
  <c r="AU175" i="27"/>
  <c r="AT175" i="27"/>
  <c r="AS175" i="27"/>
  <c r="AR175" i="27"/>
  <c r="AQ175" i="27"/>
  <c r="AP175" i="27"/>
  <c r="AO175" i="27"/>
  <c r="AN175" i="27"/>
  <c r="AM175" i="27"/>
  <c r="AL175" i="27"/>
  <c r="AK175" i="27"/>
  <c r="AJ175" i="27"/>
  <c r="AI175" i="27"/>
  <c r="AH175" i="27"/>
  <c r="Z175" i="27"/>
  <c r="Y175" i="27"/>
  <c r="AY174" i="27"/>
  <c r="AX174" i="27"/>
  <c r="AW174" i="27"/>
  <c r="AV174" i="27"/>
  <c r="AU174" i="27"/>
  <c r="AT174" i="27"/>
  <c r="AP174" i="27"/>
  <c r="AN174" i="27"/>
  <c r="AL174" i="27"/>
  <c r="AJ174" i="27"/>
  <c r="AI174" i="27"/>
  <c r="AH174" i="27"/>
  <c r="AY173" i="27"/>
  <c r="AX173" i="27"/>
  <c r="AU173" i="27"/>
  <c r="AT173" i="27"/>
  <c r="AS173" i="27"/>
  <c r="AR173" i="27"/>
  <c r="AQ173" i="27"/>
  <c r="AP173" i="27"/>
  <c r="AN173" i="27"/>
  <c r="AL173" i="27"/>
  <c r="AK173" i="27"/>
  <c r="AJ173" i="27"/>
  <c r="AI173" i="27"/>
  <c r="AH173" i="27"/>
  <c r="AZ172" i="27"/>
  <c r="AY172" i="27"/>
  <c r="AX172" i="27"/>
  <c r="AW172" i="27"/>
  <c r="AV172" i="27"/>
  <c r="AU172" i="27"/>
  <c r="AS172" i="27"/>
  <c r="AN172" i="27"/>
  <c r="AJ172" i="27"/>
  <c r="AI172" i="27"/>
  <c r="AZ171" i="27"/>
  <c r="AX171" i="27"/>
  <c r="AW171" i="27"/>
  <c r="AV171" i="27"/>
  <c r="AU171" i="27"/>
  <c r="AT171" i="27"/>
  <c r="AS171" i="27"/>
  <c r="AR171" i="27"/>
  <c r="AQ171" i="27"/>
  <c r="AP171" i="27"/>
  <c r="AN171" i="27"/>
  <c r="AM171" i="27"/>
  <c r="AL171" i="27"/>
  <c r="AI171" i="27"/>
  <c r="BB170" i="27"/>
  <c r="BA170" i="27"/>
  <c r="AZ170" i="27"/>
  <c r="AY170" i="27"/>
  <c r="AX170" i="27"/>
  <c r="AW170" i="27"/>
  <c r="AV170" i="27"/>
  <c r="AU170" i="27"/>
  <c r="AT170" i="27"/>
  <c r="AS170" i="27"/>
  <c r="AR170" i="27"/>
  <c r="AQ170" i="27"/>
  <c r="AP170" i="27"/>
  <c r="AO170" i="27"/>
  <c r="AN170" i="27"/>
  <c r="AM170" i="27"/>
  <c r="AL170" i="27"/>
  <c r="AK170" i="27"/>
  <c r="AJ170" i="27"/>
  <c r="AI170" i="27"/>
  <c r="AH170" i="27"/>
  <c r="Z170" i="27"/>
  <c r="Y170" i="27"/>
  <c r="X170" i="27"/>
  <c r="W170" i="27"/>
  <c r="V170" i="27"/>
  <c r="U170" i="27"/>
  <c r="T170" i="27"/>
  <c r="S170" i="27"/>
  <c r="R170" i="27"/>
  <c r="Q170" i="27"/>
  <c r="P170" i="27"/>
  <c r="O170" i="27"/>
  <c r="N170" i="27"/>
  <c r="M170" i="27"/>
  <c r="L170" i="27"/>
  <c r="K170" i="27"/>
  <c r="J170" i="27"/>
  <c r="I170" i="27"/>
  <c r="H170" i="27"/>
  <c r="G170" i="27"/>
  <c r="F170" i="27"/>
  <c r="BB169" i="27"/>
  <c r="BA169" i="27"/>
  <c r="AZ169" i="27"/>
  <c r="AY169" i="27"/>
  <c r="AX169" i="27"/>
  <c r="AW169" i="27"/>
  <c r="AV169" i="27"/>
  <c r="AU169" i="27"/>
  <c r="AT169" i="27"/>
  <c r="AS169" i="27"/>
  <c r="AR169" i="27"/>
  <c r="AQ169" i="27"/>
  <c r="AP169" i="27"/>
  <c r="AO169" i="27"/>
  <c r="AN169" i="27"/>
  <c r="AM169" i="27"/>
  <c r="AL169" i="27"/>
  <c r="AK169" i="27"/>
  <c r="AJ169" i="27"/>
  <c r="AI169" i="27"/>
  <c r="AH169" i="27"/>
  <c r="Z169" i="27"/>
  <c r="Y169" i="27"/>
  <c r="X169" i="27"/>
  <c r="W169" i="27"/>
  <c r="V169" i="27"/>
  <c r="U169" i="27"/>
  <c r="T169" i="27"/>
  <c r="S169" i="27"/>
  <c r="R169" i="27"/>
  <c r="Q169" i="27"/>
  <c r="P169" i="27"/>
  <c r="O169" i="27"/>
  <c r="N169" i="27"/>
  <c r="M169" i="27"/>
  <c r="L169" i="27"/>
  <c r="K169" i="27"/>
  <c r="J169" i="27"/>
  <c r="I169" i="27"/>
  <c r="H169" i="27"/>
  <c r="G169" i="27"/>
  <c r="F169" i="27"/>
  <c r="BB168" i="27"/>
  <c r="BA168" i="27"/>
  <c r="AZ168" i="27"/>
  <c r="AY168" i="27"/>
  <c r="AX168" i="27"/>
  <c r="AW168" i="27"/>
  <c r="AV168" i="27"/>
  <c r="AU168" i="27"/>
  <c r="AT168" i="27"/>
  <c r="AS168" i="27"/>
  <c r="AR168" i="27"/>
  <c r="AQ168" i="27"/>
  <c r="AP168" i="27"/>
  <c r="AO168" i="27"/>
  <c r="AN168" i="27"/>
  <c r="AM168" i="27"/>
  <c r="AL168" i="27"/>
  <c r="AK168" i="27"/>
  <c r="AJ168" i="27"/>
  <c r="AI168" i="27"/>
  <c r="AH168" i="27"/>
  <c r="Z168" i="27"/>
  <c r="Y168" i="27"/>
  <c r="X168" i="27"/>
  <c r="W168" i="27"/>
  <c r="V168" i="27"/>
  <c r="U168" i="27"/>
  <c r="T168" i="27"/>
  <c r="S168" i="27"/>
  <c r="R168" i="27"/>
  <c r="Q168" i="27"/>
  <c r="P168" i="27"/>
  <c r="O168" i="27"/>
  <c r="N168" i="27"/>
  <c r="M168" i="27"/>
  <c r="L168" i="27"/>
  <c r="K168" i="27"/>
  <c r="J168" i="27"/>
  <c r="I168" i="27"/>
  <c r="H168" i="27"/>
  <c r="G168" i="27"/>
  <c r="F168" i="27"/>
  <c r="BC167" i="27"/>
  <c r="BB167" i="27"/>
  <c r="BA167" i="27"/>
  <c r="AZ167" i="27"/>
  <c r="AY167" i="27"/>
  <c r="AX167" i="27"/>
  <c r="AW167" i="27"/>
  <c r="AV167" i="27"/>
  <c r="AU167" i="27"/>
  <c r="AT167" i="27"/>
  <c r="AS167" i="27"/>
  <c r="AR167" i="27"/>
  <c r="AQ167" i="27"/>
  <c r="AP167" i="27"/>
  <c r="AO167" i="27"/>
  <c r="AN167" i="27"/>
  <c r="AM167" i="27"/>
  <c r="AL167" i="27"/>
  <c r="AK167" i="27"/>
  <c r="AJ167" i="27"/>
  <c r="AI167" i="27"/>
  <c r="AH167" i="27"/>
  <c r="AA167" i="27"/>
  <c r="Z167" i="27"/>
  <c r="Y167" i="27"/>
  <c r="X167" i="27"/>
  <c r="W167" i="27"/>
  <c r="V167" i="27"/>
  <c r="U167" i="27"/>
  <c r="T167" i="27"/>
  <c r="S167" i="27"/>
  <c r="R167" i="27"/>
  <c r="Q167" i="27"/>
  <c r="P167" i="27"/>
  <c r="O167" i="27"/>
  <c r="N167" i="27"/>
  <c r="M167" i="27"/>
  <c r="L167" i="27"/>
  <c r="K167" i="27"/>
  <c r="J167" i="27"/>
  <c r="I167" i="27"/>
  <c r="H167" i="27"/>
  <c r="G167" i="27"/>
  <c r="F167" i="27"/>
  <c r="BB166" i="27"/>
  <c r="BA166" i="27"/>
  <c r="AZ166" i="27"/>
  <c r="AY166" i="27"/>
  <c r="AX166" i="27"/>
  <c r="AW166" i="27"/>
  <c r="AV166" i="27"/>
  <c r="AU166" i="27"/>
  <c r="AT166" i="27"/>
  <c r="AS166" i="27"/>
  <c r="AR166" i="27"/>
  <c r="AQ166" i="27"/>
  <c r="AP166" i="27"/>
  <c r="AO166" i="27"/>
  <c r="AN166" i="27"/>
  <c r="AM166" i="27"/>
  <c r="AL166" i="27"/>
  <c r="AK166" i="27"/>
  <c r="AJ166" i="27"/>
  <c r="AI166" i="27"/>
  <c r="AH166" i="27"/>
  <c r="Z166" i="27"/>
  <c r="Y166" i="27"/>
  <c r="X166" i="27"/>
  <c r="W166" i="27"/>
  <c r="V166" i="27"/>
  <c r="U166" i="27"/>
  <c r="T166" i="27"/>
  <c r="S166" i="27"/>
  <c r="R166" i="27"/>
  <c r="Q166" i="27"/>
  <c r="P166" i="27"/>
  <c r="O166" i="27"/>
  <c r="N166" i="27"/>
  <c r="M166" i="27"/>
  <c r="L166" i="27"/>
  <c r="K166" i="27"/>
  <c r="J166" i="27"/>
  <c r="I166" i="27"/>
  <c r="H166" i="27"/>
  <c r="G166" i="27"/>
  <c r="F166" i="27"/>
  <c r="BA165" i="27"/>
  <c r="AY165" i="27"/>
  <c r="AX165" i="27"/>
  <c r="AW165" i="27"/>
  <c r="AV165" i="27"/>
  <c r="AU165" i="27"/>
  <c r="AT165" i="27"/>
  <c r="AS165" i="27"/>
  <c r="AR165" i="27"/>
  <c r="AQ165" i="27"/>
  <c r="AP165" i="27"/>
  <c r="AO165" i="27"/>
  <c r="AN165" i="27"/>
  <c r="AM165" i="27"/>
  <c r="AL165" i="27"/>
  <c r="AK165" i="27"/>
  <c r="AJ165" i="27"/>
  <c r="AI165" i="27"/>
  <c r="AH165" i="27"/>
  <c r="Y165" i="27"/>
  <c r="W165" i="27"/>
  <c r="V165" i="27"/>
  <c r="U165" i="27"/>
  <c r="T165" i="27"/>
  <c r="S165" i="27"/>
  <c r="R165" i="27"/>
  <c r="Q165" i="27"/>
  <c r="P165" i="27"/>
  <c r="O165" i="27"/>
  <c r="N165" i="27"/>
  <c r="M165" i="27"/>
  <c r="L165" i="27"/>
  <c r="K165" i="27"/>
  <c r="J165" i="27"/>
  <c r="I165" i="27"/>
  <c r="H165" i="27"/>
  <c r="G165" i="27"/>
  <c r="F165" i="27"/>
  <c r="BB164" i="27"/>
  <c r="BA164" i="27"/>
  <c r="AZ164" i="27"/>
  <c r="AY164" i="27"/>
  <c r="AX164" i="27"/>
  <c r="AW164" i="27"/>
  <c r="AV164" i="27"/>
  <c r="AU164" i="27"/>
  <c r="AT164" i="27"/>
  <c r="AS164" i="27"/>
  <c r="AR164" i="27"/>
  <c r="AQ164" i="27"/>
  <c r="AP164" i="27"/>
  <c r="AO164" i="27"/>
  <c r="AM164" i="27"/>
  <c r="AL164" i="27"/>
  <c r="AK164" i="27"/>
  <c r="AJ164" i="27"/>
  <c r="AI164" i="27"/>
  <c r="AH164" i="27"/>
  <c r="Z164" i="27"/>
  <c r="Y164" i="27"/>
  <c r="X164" i="27"/>
  <c r="W164" i="27"/>
  <c r="V164" i="27"/>
  <c r="U164" i="27"/>
  <c r="T164" i="27"/>
  <c r="S164" i="27"/>
  <c r="R164" i="27"/>
  <c r="Q164" i="27"/>
  <c r="P164" i="27"/>
  <c r="O164" i="27"/>
  <c r="N164" i="27"/>
  <c r="M164" i="27"/>
  <c r="K164" i="27"/>
  <c r="J164" i="27"/>
  <c r="I164" i="27"/>
  <c r="H164" i="27"/>
  <c r="G164" i="27"/>
  <c r="F164" i="27"/>
  <c r="BA163" i="27"/>
  <c r="AU163" i="27"/>
  <c r="AR163" i="27"/>
  <c r="AQ163" i="27"/>
  <c r="AP163" i="27"/>
  <c r="AO163" i="27"/>
  <c r="AN163" i="27"/>
  <c r="AM163" i="27"/>
  <c r="AL163" i="27"/>
  <c r="AK163" i="27"/>
  <c r="AJ163" i="27"/>
  <c r="AI163" i="27"/>
  <c r="AH163" i="27"/>
  <c r="Y163" i="27"/>
  <c r="S163" i="27"/>
  <c r="P163" i="27"/>
  <c r="O163" i="27"/>
  <c r="N163" i="27"/>
  <c r="M163" i="27"/>
  <c r="L163" i="27"/>
  <c r="K163" i="27"/>
  <c r="J163" i="27"/>
  <c r="I163" i="27"/>
  <c r="H163" i="27"/>
  <c r="G163" i="27"/>
  <c r="F163" i="27"/>
  <c r="AZ162" i="27"/>
  <c r="AY162" i="27"/>
  <c r="AX162" i="27"/>
  <c r="AW162" i="27"/>
  <c r="AV162" i="27"/>
  <c r="AU162" i="27"/>
  <c r="AT162" i="27"/>
  <c r="AS162" i="27"/>
  <c r="AR162" i="27"/>
  <c r="AQ162" i="27"/>
  <c r="AP162" i="27"/>
  <c r="AN162" i="27"/>
  <c r="AM162" i="27"/>
  <c r="AK162" i="27"/>
  <c r="AJ162" i="27"/>
  <c r="AI162" i="27"/>
  <c r="AH162" i="27"/>
  <c r="X162" i="27"/>
  <c r="W162" i="27"/>
  <c r="V162" i="27"/>
  <c r="U162" i="27"/>
  <c r="T162" i="27"/>
  <c r="S162" i="27"/>
  <c r="R162" i="27"/>
  <c r="Q162" i="27"/>
  <c r="P162" i="27"/>
  <c r="O162" i="27"/>
  <c r="N162" i="27"/>
  <c r="M162" i="27"/>
  <c r="L162" i="27"/>
  <c r="K162" i="27"/>
  <c r="I162" i="27"/>
  <c r="H162" i="27"/>
  <c r="G162" i="27"/>
  <c r="F162" i="27"/>
  <c r="BB161" i="27"/>
  <c r="BA161" i="27"/>
  <c r="AZ161" i="27"/>
  <c r="AY161" i="27"/>
  <c r="AX161" i="27"/>
  <c r="AW161" i="27"/>
  <c r="AV161" i="27"/>
  <c r="AU161" i="27"/>
  <c r="AT161" i="27"/>
  <c r="AS161" i="27"/>
  <c r="AR161" i="27"/>
  <c r="AQ161" i="27"/>
  <c r="AP161" i="27"/>
  <c r="AO161" i="27"/>
  <c r="AN161" i="27"/>
  <c r="AM161" i="27"/>
  <c r="AL161" i="27"/>
  <c r="AK161" i="27"/>
  <c r="AJ161" i="27"/>
  <c r="AI161" i="27"/>
  <c r="AH161" i="27"/>
  <c r="Z161" i="27"/>
  <c r="Y161" i="27"/>
  <c r="X161" i="27"/>
  <c r="W161" i="27"/>
  <c r="V161" i="27"/>
  <c r="U161" i="27"/>
  <c r="T161" i="27"/>
  <c r="S161" i="27"/>
  <c r="R161" i="27"/>
  <c r="Q161" i="27"/>
  <c r="P161" i="27"/>
  <c r="O161" i="27"/>
  <c r="N161" i="27"/>
  <c r="M161" i="27"/>
  <c r="L161" i="27"/>
  <c r="K161" i="27"/>
  <c r="J161" i="27"/>
  <c r="I161" i="27"/>
  <c r="H161" i="27"/>
  <c r="G161" i="27"/>
  <c r="F161" i="27"/>
  <c r="AY160" i="27"/>
  <c r="AX160" i="27"/>
  <c r="AW160" i="27"/>
  <c r="AT160" i="27"/>
  <c r="AS160" i="27"/>
  <c r="AR160" i="27"/>
  <c r="AQ160" i="27"/>
  <c r="AP160" i="27"/>
  <c r="AO160" i="27"/>
  <c r="AN160" i="27"/>
  <c r="AK160" i="27"/>
  <c r="AJ160" i="27"/>
  <c r="AI160" i="27"/>
  <c r="AH160" i="27"/>
  <c r="W160" i="27"/>
  <c r="U160" i="27"/>
  <c r="R160" i="27"/>
  <c r="Q160" i="27"/>
  <c r="P160" i="27"/>
  <c r="O160" i="27"/>
  <c r="N160" i="27"/>
  <c r="M160" i="27"/>
  <c r="L160" i="27"/>
  <c r="I160" i="27"/>
  <c r="H160" i="27"/>
  <c r="G160" i="27"/>
  <c r="F160" i="27"/>
  <c r="AZ159" i="27"/>
  <c r="AY159" i="27"/>
  <c r="AX159" i="27"/>
  <c r="AW159" i="27"/>
  <c r="AV159" i="27"/>
  <c r="AU159" i="27"/>
  <c r="AT159" i="27"/>
  <c r="AS159" i="27"/>
  <c r="AR159" i="27"/>
  <c r="AQ159" i="27"/>
  <c r="AP159" i="27"/>
  <c r="AO159" i="27"/>
  <c r="AN159" i="27"/>
  <c r="AK159" i="27"/>
  <c r="AJ159" i="27"/>
  <c r="AI159" i="27"/>
  <c r="AH159" i="27"/>
  <c r="X159" i="27"/>
  <c r="W159" i="27"/>
  <c r="U159" i="27"/>
  <c r="T159" i="27"/>
  <c r="S159" i="27"/>
  <c r="R159" i="27"/>
  <c r="Q159" i="27"/>
  <c r="P159" i="27"/>
  <c r="O159" i="27"/>
  <c r="M159" i="27"/>
  <c r="L159" i="27"/>
  <c r="I159" i="27"/>
  <c r="H159" i="27"/>
  <c r="G159" i="27"/>
  <c r="BC158" i="27"/>
  <c r="BB158" i="27"/>
  <c r="BA158" i="27"/>
  <c r="AZ158" i="27"/>
  <c r="AY158" i="27"/>
  <c r="AX158" i="27"/>
  <c r="AW158" i="27"/>
  <c r="AV158" i="27"/>
  <c r="AU158" i="27"/>
  <c r="AT158" i="27"/>
  <c r="AS158" i="27"/>
  <c r="AR158" i="27"/>
  <c r="AQ158" i="27"/>
  <c r="AP158" i="27"/>
  <c r="AO158" i="27"/>
  <c r="AN158" i="27"/>
  <c r="AM158" i="27"/>
  <c r="AL158" i="27"/>
  <c r="AK158" i="27"/>
  <c r="AJ158" i="27"/>
  <c r="AI158" i="27"/>
  <c r="AH158" i="27"/>
  <c r="AB158" i="27"/>
  <c r="AA158" i="27"/>
  <c r="Z158" i="27"/>
  <c r="Y158" i="27"/>
  <c r="X158" i="27"/>
  <c r="W158" i="27"/>
  <c r="V158" i="27"/>
  <c r="U158" i="27"/>
  <c r="T158" i="27"/>
  <c r="S158" i="27"/>
  <c r="R158" i="27"/>
  <c r="Q158" i="27"/>
  <c r="P158" i="27"/>
  <c r="O158" i="27"/>
  <c r="N158" i="27"/>
  <c r="M158" i="27"/>
  <c r="L158" i="27"/>
  <c r="K158" i="27"/>
  <c r="J158" i="27"/>
  <c r="I158" i="27"/>
  <c r="H158" i="27"/>
  <c r="G158" i="27"/>
  <c r="F158" i="27"/>
  <c r="AZ157" i="27"/>
  <c r="AY157" i="27"/>
  <c r="AX157" i="27"/>
  <c r="AW157" i="27"/>
  <c r="AV157" i="27"/>
  <c r="AU157" i="27"/>
  <c r="AT157" i="27"/>
  <c r="AS157" i="27"/>
  <c r="AQ157" i="27"/>
  <c r="AP157" i="27"/>
  <c r="AO157" i="27"/>
  <c r="AN157" i="27"/>
  <c r="AM157" i="27"/>
  <c r="AL157" i="27"/>
  <c r="AK157" i="27"/>
  <c r="AB157" i="27"/>
  <c r="X157" i="27"/>
  <c r="W157" i="27"/>
  <c r="V157" i="27"/>
  <c r="U157" i="27"/>
  <c r="T157" i="27"/>
  <c r="S157" i="27"/>
  <c r="R157" i="27"/>
  <c r="Q157" i="27"/>
  <c r="O157" i="27"/>
  <c r="N157" i="27"/>
  <c r="M157" i="27"/>
  <c r="L157" i="27"/>
  <c r="K157" i="27"/>
  <c r="J157" i="27"/>
  <c r="AU156" i="27"/>
  <c r="AP156" i="27"/>
  <c r="AN156" i="27"/>
  <c r="AI156" i="27"/>
  <c r="S156" i="27"/>
  <c r="N156" i="27"/>
  <c r="L156" i="27"/>
  <c r="G156" i="27"/>
  <c r="BB155" i="27"/>
  <c r="BA155" i="27"/>
  <c r="AZ155" i="27"/>
  <c r="AY155" i="27"/>
  <c r="AX155" i="27"/>
  <c r="AW155" i="27"/>
  <c r="AV155" i="27"/>
  <c r="AU155" i="27"/>
  <c r="AT155" i="27"/>
  <c r="AS155" i="27"/>
  <c r="AR155" i="27"/>
  <c r="AQ155" i="27"/>
  <c r="AP155" i="27"/>
  <c r="AO155" i="27"/>
  <c r="AN155" i="27"/>
  <c r="AM155" i="27"/>
  <c r="AL155" i="27"/>
  <c r="AK155" i="27"/>
  <c r="AJ155" i="27"/>
  <c r="AI155" i="27"/>
  <c r="AH155" i="27"/>
  <c r="Z155" i="27"/>
  <c r="Y155" i="27"/>
  <c r="X155" i="27"/>
  <c r="W155" i="27"/>
  <c r="V155" i="27"/>
  <c r="U155" i="27"/>
  <c r="T155" i="27"/>
  <c r="S155" i="27"/>
  <c r="R155" i="27"/>
  <c r="Q155" i="27"/>
  <c r="P155" i="27"/>
  <c r="O155" i="27"/>
  <c r="N155" i="27"/>
  <c r="M155" i="27"/>
  <c r="L155" i="27"/>
  <c r="K155" i="27"/>
  <c r="J155" i="27"/>
  <c r="I155" i="27"/>
  <c r="H155" i="27"/>
  <c r="G155" i="27"/>
  <c r="F155" i="27"/>
  <c r="BC154" i="27"/>
  <c r="BB154" i="27"/>
  <c r="BA154" i="27"/>
  <c r="AZ154" i="27"/>
  <c r="AY154" i="27"/>
  <c r="AX154" i="27"/>
  <c r="AW154" i="27"/>
  <c r="AV154" i="27"/>
  <c r="AU154" i="27"/>
  <c r="AT154" i="27"/>
  <c r="AS154" i="27"/>
  <c r="AR154" i="27"/>
  <c r="AQ154" i="27"/>
  <c r="AP154" i="27"/>
  <c r="AO154" i="27"/>
  <c r="AN154" i="27"/>
  <c r="AM154" i="27"/>
  <c r="AL154" i="27"/>
  <c r="AK154" i="27"/>
  <c r="AJ154" i="27"/>
  <c r="AI154" i="27"/>
  <c r="AH154" i="27"/>
  <c r="AA154" i="27"/>
  <c r="Z154" i="27"/>
  <c r="Y154" i="27"/>
  <c r="X154" i="27"/>
  <c r="W154" i="27"/>
  <c r="V154" i="27"/>
  <c r="U154" i="27"/>
  <c r="T154" i="27"/>
  <c r="S154" i="27"/>
  <c r="R154" i="27"/>
  <c r="Q154" i="27"/>
  <c r="P154" i="27"/>
  <c r="O154" i="27"/>
  <c r="N154" i="27"/>
  <c r="M154" i="27"/>
  <c r="L154" i="27"/>
  <c r="K154" i="27"/>
  <c r="J154" i="27"/>
  <c r="I154" i="27"/>
  <c r="H154" i="27"/>
  <c r="G154" i="27"/>
  <c r="F154" i="27"/>
  <c r="BB153" i="27"/>
  <c r="BA153" i="27"/>
  <c r="AZ153" i="27"/>
  <c r="AY153" i="27"/>
  <c r="AX153" i="27"/>
  <c r="AW153" i="27"/>
  <c r="AV153" i="27"/>
  <c r="AU153" i="27"/>
  <c r="AT153" i="27"/>
  <c r="AS153" i="27"/>
  <c r="AR153" i="27"/>
  <c r="AQ153" i="27"/>
  <c r="AP153" i="27"/>
  <c r="AO153" i="27"/>
  <c r="AN153" i="27"/>
  <c r="AM153" i="27"/>
  <c r="AL153" i="27"/>
  <c r="AK153" i="27"/>
  <c r="AJ153" i="27"/>
  <c r="AI153" i="27"/>
  <c r="AH153" i="27"/>
  <c r="Z153" i="27"/>
  <c r="Y153" i="27"/>
  <c r="X153" i="27"/>
  <c r="W153" i="27"/>
  <c r="V153" i="27"/>
  <c r="U153" i="27"/>
  <c r="T153" i="27"/>
  <c r="S153" i="27"/>
  <c r="R153" i="27"/>
  <c r="Q153" i="27"/>
  <c r="P153" i="27"/>
  <c r="O153" i="27"/>
  <c r="N153" i="27"/>
  <c r="M153" i="27"/>
  <c r="L153" i="27"/>
  <c r="K153" i="27"/>
  <c r="J153" i="27"/>
  <c r="I153" i="27"/>
  <c r="H153" i="27"/>
  <c r="G153" i="27"/>
  <c r="F153" i="27"/>
  <c r="BC152" i="27"/>
  <c r="BB152" i="27"/>
  <c r="BA152" i="27"/>
  <c r="AZ152" i="27"/>
  <c r="AY152" i="27"/>
  <c r="AX152" i="27"/>
  <c r="AW152" i="27"/>
  <c r="AV152" i="27"/>
  <c r="AU152" i="27"/>
  <c r="AT152" i="27"/>
  <c r="AS152" i="27"/>
  <c r="AR152" i="27"/>
  <c r="AQ152" i="27"/>
  <c r="AP152" i="27"/>
  <c r="AO152" i="27"/>
  <c r="AN152" i="27"/>
  <c r="AM152" i="27"/>
  <c r="AL152" i="27"/>
  <c r="AK152" i="27"/>
  <c r="AJ152" i="27"/>
  <c r="AI152" i="27"/>
  <c r="AH152" i="27"/>
  <c r="AA152" i="27"/>
  <c r="Z152" i="27"/>
  <c r="Y152" i="27"/>
  <c r="X152" i="27"/>
  <c r="W152" i="27"/>
  <c r="V152" i="27"/>
  <c r="U152" i="27"/>
  <c r="T152" i="27"/>
  <c r="S152" i="27"/>
  <c r="R152" i="27"/>
  <c r="Q152" i="27"/>
  <c r="P152" i="27"/>
  <c r="O152" i="27"/>
  <c r="N152" i="27"/>
  <c r="M152" i="27"/>
  <c r="L152" i="27"/>
  <c r="K152" i="27"/>
  <c r="J152" i="27"/>
  <c r="I152" i="27"/>
  <c r="H152" i="27"/>
  <c r="G152" i="27"/>
  <c r="F152" i="27"/>
  <c r="BC151" i="27"/>
  <c r="BB151" i="27"/>
  <c r="BA151" i="27"/>
  <c r="AZ151" i="27"/>
  <c r="AY151" i="27"/>
  <c r="AX151" i="27"/>
  <c r="AW151" i="27"/>
  <c r="AV151" i="27"/>
  <c r="AU151" i="27"/>
  <c r="AT151" i="27"/>
  <c r="AS151" i="27"/>
  <c r="AR151" i="27"/>
  <c r="AQ151" i="27"/>
  <c r="AP151" i="27"/>
  <c r="AO151" i="27"/>
  <c r="AN151" i="27"/>
  <c r="AM151" i="27"/>
  <c r="AL151" i="27"/>
  <c r="AK151" i="27"/>
  <c r="AJ151" i="27"/>
  <c r="AI151" i="27"/>
  <c r="AH151" i="27"/>
  <c r="AA151" i="27"/>
  <c r="Z151" i="27"/>
  <c r="Y151" i="27"/>
  <c r="X151" i="27"/>
  <c r="W151" i="27"/>
  <c r="V151" i="27"/>
  <c r="U151" i="27"/>
  <c r="T151" i="27"/>
  <c r="S151" i="27"/>
  <c r="R151" i="27"/>
  <c r="Q151" i="27"/>
  <c r="P151" i="27"/>
  <c r="O151" i="27"/>
  <c r="N151" i="27"/>
  <c r="M151" i="27"/>
  <c r="L151" i="27"/>
  <c r="K151" i="27"/>
  <c r="J151" i="27"/>
  <c r="I151" i="27"/>
  <c r="H151" i="27"/>
  <c r="G151" i="27"/>
  <c r="F151" i="27"/>
  <c r="BC150" i="27"/>
  <c r="BB150" i="27"/>
  <c r="BA150" i="27"/>
  <c r="AZ150" i="27"/>
  <c r="AY150" i="27"/>
  <c r="AX150" i="27"/>
  <c r="AW150" i="27"/>
  <c r="AV150" i="27"/>
  <c r="AU150" i="27"/>
  <c r="AT150" i="27"/>
  <c r="AS150" i="27"/>
  <c r="AR150" i="27"/>
  <c r="AQ150" i="27"/>
  <c r="AP150" i="27"/>
  <c r="AO150" i="27"/>
  <c r="AN150" i="27"/>
  <c r="AM150" i="27"/>
  <c r="AL150" i="27"/>
  <c r="AK150" i="27"/>
  <c r="AJ150" i="27"/>
  <c r="AI150" i="27"/>
  <c r="AH150" i="27"/>
  <c r="AA150" i="27"/>
  <c r="Z150" i="27"/>
  <c r="Y150" i="27"/>
  <c r="X150" i="27"/>
  <c r="W150" i="27"/>
  <c r="V150" i="27"/>
  <c r="U150" i="27"/>
  <c r="T150" i="27"/>
  <c r="S150" i="27"/>
  <c r="R150" i="27"/>
  <c r="Q150" i="27"/>
  <c r="P150" i="27"/>
  <c r="O150" i="27"/>
  <c r="N150" i="27"/>
  <c r="M150" i="27"/>
  <c r="L150" i="27"/>
  <c r="K150" i="27"/>
  <c r="J150" i="27"/>
  <c r="I150" i="27"/>
  <c r="H150" i="27"/>
  <c r="G150" i="27"/>
  <c r="F150" i="27"/>
  <c r="BC149" i="27"/>
  <c r="BB149" i="27"/>
  <c r="BA149" i="27"/>
  <c r="AZ149" i="27"/>
  <c r="AY149" i="27"/>
  <c r="AX149" i="27"/>
  <c r="AW149" i="27"/>
  <c r="AV149" i="27"/>
  <c r="AU149" i="27"/>
  <c r="AT149" i="27"/>
  <c r="AS149" i="27"/>
  <c r="AR149" i="27"/>
  <c r="AQ149" i="27"/>
  <c r="AP149" i="27"/>
  <c r="AO149" i="27"/>
  <c r="AN149" i="27"/>
  <c r="AM149" i="27"/>
  <c r="AL149" i="27"/>
  <c r="AK149" i="27"/>
  <c r="AJ149" i="27"/>
  <c r="AI149" i="27"/>
  <c r="AH149" i="27"/>
  <c r="AA149" i="27"/>
  <c r="Z149" i="27"/>
  <c r="Y149" i="27"/>
  <c r="X149" i="27"/>
  <c r="W149" i="27"/>
  <c r="V149" i="27"/>
  <c r="U149" i="27"/>
  <c r="T149" i="27"/>
  <c r="S149" i="27"/>
  <c r="R149" i="27"/>
  <c r="Q149" i="27"/>
  <c r="P149" i="27"/>
  <c r="O149" i="27"/>
  <c r="N149" i="27"/>
  <c r="M149" i="27"/>
  <c r="L149" i="27"/>
  <c r="K149" i="27"/>
  <c r="J149" i="27"/>
  <c r="I149" i="27"/>
  <c r="H149" i="27"/>
  <c r="G149" i="27"/>
  <c r="F149" i="27"/>
  <c r="AY148" i="27"/>
  <c r="AX148" i="27"/>
  <c r="AW148" i="27"/>
  <c r="AV148" i="27"/>
  <c r="AU148" i="27"/>
  <c r="AT148" i="27"/>
  <c r="AS148" i="27"/>
  <c r="AR148" i="27"/>
  <c r="AQ148" i="27"/>
  <c r="AP148" i="27"/>
  <c r="AO148" i="27"/>
  <c r="AN148" i="27"/>
  <c r="AM148" i="27"/>
  <c r="AL148" i="27"/>
  <c r="AK148" i="27"/>
  <c r="AJ148" i="27"/>
  <c r="AI148" i="27"/>
  <c r="AH148" i="27"/>
  <c r="W148" i="27"/>
  <c r="V148" i="27"/>
  <c r="U148" i="27"/>
  <c r="T148" i="27"/>
  <c r="S148" i="27"/>
  <c r="R148" i="27"/>
  <c r="Q148" i="27"/>
  <c r="P148" i="27"/>
  <c r="O148" i="27"/>
  <c r="N148" i="27"/>
  <c r="M148" i="27"/>
  <c r="L148" i="27"/>
  <c r="K148" i="27"/>
  <c r="J148" i="27"/>
  <c r="I148" i="27"/>
  <c r="H148" i="27"/>
  <c r="G148" i="27"/>
  <c r="F148" i="27"/>
  <c r="AU147" i="27"/>
  <c r="AR147" i="27"/>
  <c r="AQ147" i="27"/>
  <c r="AP147" i="27"/>
  <c r="AM147" i="27"/>
  <c r="AK147" i="27"/>
  <c r="AJ147" i="27"/>
  <c r="AI147" i="27"/>
  <c r="AH147" i="27"/>
  <c r="S147" i="27"/>
  <c r="P147" i="27"/>
  <c r="O147" i="27"/>
  <c r="N147" i="27"/>
  <c r="K147" i="27"/>
  <c r="I147" i="27"/>
  <c r="H147" i="27"/>
  <c r="G147" i="27"/>
  <c r="F147" i="27"/>
  <c r="AY146" i="27"/>
  <c r="AX146" i="27"/>
  <c r="AW146" i="27"/>
  <c r="AT146" i="27"/>
  <c r="AS146" i="27"/>
  <c r="AR146" i="27"/>
  <c r="AQ146" i="27"/>
  <c r="AO146" i="27"/>
  <c r="AN146" i="27"/>
  <c r="AK146" i="27"/>
  <c r="AJ146" i="27"/>
  <c r="AI146" i="27"/>
  <c r="AH146" i="27"/>
  <c r="W146" i="27"/>
  <c r="V146" i="27"/>
  <c r="U146" i="27"/>
  <c r="R146" i="27"/>
  <c r="Q146" i="27"/>
  <c r="P146" i="27"/>
  <c r="O146" i="27"/>
  <c r="M146" i="27"/>
  <c r="L146" i="27"/>
  <c r="I146" i="27"/>
  <c r="H146" i="27"/>
  <c r="G146" i="27"/>
  <c r="F146" i="27"/>
  <c r="AU145" i="27"/>
  <c r="AN145" i="27"/>
  <c r="S145" i="27"/>
  <c r="L145" i="27"/>
  <c r="AZ144" i="27"/>
  <c r="AY144" i="27"/>
  <c r="AX144" i="27"/>
  <c r="AW144" i="27"/>
  <c r="AV144" i="27"/>
  <c r="AU144" i="27"/>
  <c r="AT144" i="27"/>
  <c r="AS144" i="27"/>
  <c r="AR144" i="27"/>
  <c r="AQ144" i="27"/>
  <c r="AP144" i="27"/>
  <c r="AO144" i="27"/>
  <c r="AN144" i="27"/>
  <c r="AM144" i="27"/>
  <c r="AL144" i="27"/>
  <c r="AK144" i="27"/>
  <c r="AJ144" i="27"/>
  <c r="AI144" i="27"/>
  <c r="AH144" i="27"/>
  <c r="X144" i="27"/>
  <c r="W144" i="27"/>
  <c r="V144" i="27"/>
  <c r="U144" i="27"/>
  <c r="T144" i="27"/>
  <c r="S144" i="27"/>
  <c r="R144" i="27"/>
  <c r="Q144" i="27"/>
  <c r="P144" i="27"/>
  <c r="O144" i="27"/>
  <c r="N144" i="27"/>
  <c r="M144" i="27"/>
  <c r="L144" i="27"/>
  <c r="K144" i="27"/>
  <c r="J144" i="27"/>
  <c r="I144" i="27"/>
  <c r="H144" i="27"/>
  <c r="G144" i="27"/>
  <c r="F144" i="27"/>
  <c r="AZ143" i="27"/>
  <c r="AY143" i="27"/>
  <c r="AX143" i="27"/>
  <c r="AW143" i="27"/>
  <c r="AV143" i="27"/>
  <c r="AU143" i="27"/>
  <c r="AT143" i="27"/>
  <c r="AS143" i="27"/>
  <c r="AR143" i="27"/>
  <c r="AQ143" i="27"/>
  <c r="AP143" i="27"/>
  <c r="AO143" i="27"/>
  <c r="AN143" i="27"/>
  <c r="AM143" i="27"/>
  <c r="AL143" i="27"/>
  <c r="AK143" i="27"/>
  <c r="AJ143" i="27"/>
  <c r="AI143" i="27"/>
  <c r="AH143" i="27"/>
  <c r="X143" i="27"/>
  <c r="W143" i="27"/>
  <c r="V143" i="27"/>
  <c r="U143" i="27"/>
  <c r="T143" i="27"/>
  <c r="S143" i="27"/>
  <c r="R143" i="27"/>
  <c r="Q143" i="27"/>
  <c r="P143" i="27"/>
  <c r="O143" i="27"/>
  <c r="N143" i="27"/>
  <c r="M143" i="27"/>
  <c r="L143" i="27"/>
  <c r="K143" i="27"/>
  <c r="J143" i="27"/>
  <c r="I143" i="27"/>
  <c r="H143" i="27"/>
  <c r="G143" i="27"/>
  <c r="F143" i="27"/>
  <c r="AZ142" i="27"/>
  <c r="AY142" i="27"/>
  <c r="AX142" i="27"/>
  <c r="AW142" i="27"/>
  <c r="AV142" i="27"/>
  <c r="AU142" i="27"/>
  <c r="AT142" i="27"/>
  <c r="AS142" i="27"/>
  <c r="AR142" i="27"/>
  <c r="AQ142" i="27"/>
  <c r="AP142" i="27"/>
  <c r="AO142" i="27"/>
  <c r="AN142" i="27"/>
  <c r="AM142" i="27"/>
  <c r="AL142" i="27"/>
  <c r="AK142" i="27"/>
  <c r="AJ142" i="27"/>
  <c r="AI142" i="27"/>
  <c r="AH142" i="27"/>
  <c r="X142" i="27"/>
  <c r="W142" i="27"/>
  <c r="V142" i="27"/>
  <c r="U142" i="27"/>
  <c r="T142" i="27"/>
  <c r="S142" i="27"/>
  <c r="R142" i="27"/>
  <c r="Q142" i="27"/>
  <c r="P142" i="27"/>
  <c r="O142" i="27"/>
  <c r="N142" i="27"/>
  <c r="M142" i="27"/>
  <c r="L142" i="27"/>
  <c r="K142" i="27"/>
  <c r="J142" i="27"/>
  <c r="I142" i="27"/>
  <c r="H142" i="27"/>
  <c r="G142" i="27"/>
  <c r="F142" i="27"/>
  <c r="AZ140" i="27"/>
  <c r="AY140" i="27"/>
  <c r="AX140" i="27"/>
  <c r="AW140" i="27"/>
  <c r="AR140" i="27"/>
  <c r="AQ140" i="27"/>
  <c r="AP140" i="27"/>
  <c r="AO140" i="27"/>
  <c r="AN140" i="27"/>
  <c r="AJ140" i="27"/>
  <c r="AI140" i="27"/>
  <c r="AH140" i="27"/>
  <c r="X140" i="27"/>
  <c r="W140" i="27"/>
  <c r="V140" i="27"/>
  <c r="U140" i="27"/>
  <c r="P140" i="27"/>
  <c r="O140" i="27"/>
  <c r="N140" i="27"/>
  <c r="M140" i="27"/>
  <c r="L140" i="27"/>
  <c r="H140" i="27"/>
  <c r="G140" i="27"/>
  <c r="F140" i="27"/>
  <c r="N138" i="27"/>
  <c r="X125" i="27"/>
  <c r="W125" i="27"/>
  <c r="V125" i="27"/>
  <c r="U125" i="27"/>
  <c r="T125" i="27"/>
  <c r="S125" i="27"/>
  <c r="R125" i="27"/>
  <c r="Q125" i="27"/>
  <c r="P125" i="27"/>
  <c r="O125" i="27"/>
  <c r="N125" i="27"/>
  <c r="M125" i="27"/>
  <c r="L125" i="27"/>
  <c r="K125" i="27"/>
  <c r="J125" i="27"/>
  <c r="I125" i="27"/>
  <c r="H125" i="27"/>
  <c r="G125" i="27"/>
  <c r="F125" i="27"/>
  <c r="X124" i="27"/>
  <c r="W124" i="27"/>
  <c r="V124" i="27"/>
  <c r="U124" i="27"/>
  <c r="T124" i="27"/>
  <c r="S124" i="27"/>
  <c r="R124" i="27"/>
  <c r="Q124" i="27"/>
  <c r="P124" i="27"/>
  <c r="O124" i="27"/>
  <c r="N124" i="27"/>
  <c r="M124" i="27"/>
  <c r="L124" i="27"/>
  <c r="K124" i="27"/>
  <c r="J124" i="27"/>
  <c r="I124" i="27"/>
  <c r="H124" i="27"/>
  <c r="G124" i="27"/>
  <c r="F124" i="27"/>
  <c r="X123" i="27"/>
  <c r="W123" i="27"/>
  <c r="V123" i="27"/>
  <c r="U123" i="27"/>
  <c r="T123" i="27"/>
  <c r="S123" i="27"/>
  <c r="R123" i="27"/>
  <c r="Q123" i="27"/>
  <c r="P123" i="27"/>
  <c r="O123" i="27"/>
  <c r="N123" i="27"/>
  <c r="M123" i="27"/>
  <c r="L123" i="27"/>
  <c r="K123" i="27"/>
  <c r="J123" i="27"/>
  <c r="I123" i="27"/>
  <c r="H123" i="27"/>
  <c r="G123" i="27"/>
  <c r="F123" i="27"/>
  <c r="X122" i="27"/>
  <c r="W122" i="27"/>
  <c r="V122" i="27"/>
  <c r="U122" i="27"/>
  <c r="T122" i="27"/>
  <c r="S122" i="27"/>
  <c r="R122" i="27"/>
  <c r="Q122" i="27"/>
  <c r="P122" i="27"/>
  <c r="O122" i="27"/>
  <c r="N122" i="27"/>
  <c r="M122" i="27"/>
  <c r="L122" i="27"/>
  <c r="K122" i="27"/>
  <c r="J122" i="27"/>
  <c r="I122" i="27"/>
  <c r="H122" i="27"/>
  <c r="G122" i="27"/>
  <c r="F122" i="27"/>
  <c r="X121" i="27"/>
  <c r="W121" i="27"/>
  <c r="V121" i="27"/>
  <c r="U121" i="27"/>
  <c r="T121" i="27"/>
  <c r="S121" i="27"/>
  <c r="R121" i="27"/>
  <c r="Q121" i="27"/>
  <c r="P121" i="27"/>
  <c r="O121" i="27"/>
  <c r="N121" i="27"/>
  <c r="M121" i="27"/>
  <c r="L121" i="27"/>
  <c r="K121" i="27"/>
  <c r="J121" i="27"/>
  <c r="I121" i="27"/>
  <c r="H121" i="27"/>
  <c r="G121" i="27"/>
  <c r="F121" i="27"/>
  <c r="W120" i="27"/>
  <c r="V120" i="27"/>
  <c r="U120" i="27"/>
  <c r="T120" i="27"/>
  <c r="S120" i="27"/>
  <c r="R120" i="27"/>
  <c r="Q120" i="27"/>
  <c r="P120" i="27"/>
  <c r="O120" i="27"/>
  <c r="N120" i="27"/>
  <c r="M120" i="27"/>
  <c r="L120" i="27"/>
  <c r="K120" i="27"/>
  <c r="J120" i="27"/>
  <c r="I120" i="27"/>
  <c r="H120" i="27"/>
  <c r="G120" i="27"/>
  <c r="F120" i="27"/>
  <c r="X119" i="27"/>
  <c r="W119" i="27"/>
  <c r="V119" i="27"/>
  <c r="U119" i="27"/>
  <c r="T119" i="27"/>
  <c r="S119" i="27"/>
  <c r="R119" i="27"/>
  <c r="Q119" i="27"/>
  <c r="P119" i="27"/>
  <c r="O119" i="27"/>
  <c r="N119" i="27"/>
  <c r="M119" i="27"/>
  <c r="K119" i="27"/>
  <c r="J119" i="27"/>
  <c r="I119" i="27"/>
  <c r="H119" i="27"/>
  <c r="G119" i="27"/>
  <c r="F119" i="27"/>
  <c r="S118" i="27"/>
  <c r="P118" i="27"/>
  <c r="O118" i="27"/>
  <c r="N118" i="27"/>
  <c r="M118" i="27"/>
  <c r="L118" i="27"/>
  <c r="K118" i="27"/>
  <c r="J118" i="27"/>
  <c r="I118" i="27"/>
  <c r="H118" i="27"/>
  <c r="G118" i="27"/>
  <c r="F118" i="27"/>
  <c r="X117" i="27"/>
  <c r="W117" i="27"/>
  <c r="V117" i="27"/>
  <c r="U117" i="27"/>
  <c r="T117" i="27"/>
  <c r="S117" i="27"/>
  <c r="R117" i="27"/>
  <c r="Q117" i="27"/>
  <c r="P117" i="27"/>
  <c r="O117" i="27"/>
  <c r="N117" i="27"/>
  <c r="L117" i="27"/>
  <c r="K117" i="27"/>
  <c r="I117" i="27"/>
  <c r="H117" i="27"/>
  <c r="G117" i="27"/>
  <c r="F117" i="27"/>
  <c r="X116" i="27"/>
  <c r="W116" i="27"/>
  <c r="V116" i="27"/>
  <c r="U116" i="27"/>
  <c r="T116" i="27"/>
  <c r="S116" i="27"/>
  <c r="R116" i="27"/>
  <c r="Q116" i="27"/>
  <c r="P116" i="27"/>
  <c r="O116" i="27"/>
  <c r="N116" i="27"/>
  <c r="M116" i="27"/>
  <c r="L116" i="27"/>
  <c r="K116" i="27"/>
  <c r="J116" i="27"/>
  <c r="I116" i="27"/>
  <c r="H116" i="27"/>
  <c r="G116" i="27"/>
  <c r="F116" i="27"/>
  <c r="W115" i="27"/>
  <c r="U115" i="27"/>
  <c r="R115" i="27"/>
  <c r="Q115" i="27"/>
  <c r="P115" i="27"/>
  <c r="O115" i="27"/>
  <c r="N115" i="27"/>
  <c r="M115" i="27"/>
  <c r="L115" i="27"/>
  <c r="I115" i="27"/>
  <c r="H115" i="27"/>
  <c r="G115" i="27"/>
  <c r="F115" i="27"/>
  <c r="X114" i="27"/>
  <c r="W114" i="27"/>
  <c r="V114" i="27"/>
  <c r="U114" i="27"/>
  <c r="T114" i="27"/>
  <c r="S114" i="27"/>
  <c r="R114" i="27"/>
  <c r="Q114" i="27"/>
  <c r="P114" i="27"/>
  <c r="O114" i="27"/>
  <c r="M114" i="27"/>
  <c r="L114" i="27"/>
  <c r="I114" i="27"/>
  <c r="H114" i="27"/>
  <c r="G114" i="27"/>
  <c r="X113" i="27"/>
  <c r="W113" i="27"/>
  <c r="V113" i="27"/>
  <c r="U113" i="27"/>
  <c r="T113" i="27"/>
  <c r="S113" i="27"/>
  <c r="R113" i="27"/>
  <c r="Q113" i="27"/>
  <c r="P113" i="27"/>
  <c r="O113" i="27"/>
  <c r="N113" i="27"/>
  <c r="M113" i="27"/>
  <c r="L113" i="27"/>
  <c r="K113" i="27"/>
  <c r="J113" i="27"/>
  <c r="I113" i="27"/>
  <c r="H113" i="27"/>
  <c r="G113" i="27"/>
  <c r="F113" i="27"/>
  <c r="X112" i="27"/>
  <c r="W112" i="27"/>
  <c r="V112" i="27"/>
  <c r="U112" i="27"/>
  <c r="T112" i="27"/>
  <c r="S112" i="27"/>
  <c r="R112" i="27"/>
  <c r="Q112" i="27"/>
  <c r="O112" i="27"/>
  <c r="N112" i="27"/>
  <c r="M112" i="27"/>
  <c r="L112" i="27"/>
  <c r="K112" i="27"/>
  <c r="J112" i="27"/>
  <c r="I112" i="27"/>
  <c r="N111" i="27"/>
  <c r="M111" i="27"/>
  <c r="L111" i="27"/>
  <c r="G111" i="27"/>
  <c r="X110" i="27"/>
  <c r="W110" i="27"/>
  <c r="V110" i="27"/>
  <c r="U110" i="27"/>
  <c r="T110" i="27"/>
  <c r="S110" i="27"/>
  <c r="R110" i="27"/>
  <c r="Q110" i="27"/>
  <c r="P110" i="27"/>
  <c r="O110" i="27"/>
  <c r="N110" i="27"/>
  <c r="M110" i="27"/>
  <c r="L110" i="27"/>
  <c r="K110" i="27"/>
  <c r="J110" i="27"/>
  <c r="I110" i="27"/>
  <c r="H110" i="27"/>
  <c r="G110" i="27"/>
  <c r="F110" i="27"/>
  <c r="X109" i="27"/>
  <c r="W109" i="27"/>
  <c r="V109" i="27"/>
  <c r="U109" i="27"/>
  <c r="T109" i="27"/>
  <c r="S109" i="27"/>
  <c r="R109" i="27"/>
  <c r="Q109" i="27"/>
  <c r="P109" i="27"/>
  <c r="O109" i="27"/>
  <c r="N109" i="27"/>
  <c r="M109" i="27"/>
  <c r="L109" i="27"/>
  <c r="K109" i="27"/>
  <c r="J109" i="27"/>
  <c r="I109" i="27"/>
  <c r="H109" i="27"/>
  <c r="G109" i="27"/>
  <c r="F109" i="27"/>
  <c r="X108" i="27"/>
  <c r="W108" i="27"/>
  <c r="V108" i="27"/>
  <c r="U108" i="27"/>
  <c r="T108" i="27"/>
  <c r="S108" i="27"/>
  <c r="R108" i="27"/>
  <c r="Q108" i="27"/>
  <c r="P108" i="27"/>
  <c r="O108" i="27"/>
  <c r="N108" i="27"/>
  <c r="M108" i="27"/>
  <c r="L108" i="27"/>
  <c r="K108" i="27"/>
  <c r="J108" i="27"/>
  <c r="I108" i="27"/>
  <c r="H108" i="27"/>
  <c r="G108" i="27"/>
  <c r="F108" i="27"/>
  <c r="X107" i="27"/>
  <c r="W107" i="27"/>
  <c r="V107" i="27"/>
  <c r="U107" i="27"/>
  <c r="T107" i="27"/>
  <c r="S107" i="27"/>
  <c r="R107" i="27"/>
  <c r="Q107" i="27"/>
  <c r="P107" i="27"/>
  <c r="O107" i="27"/>
  <c r="N107" i="27"/>
  <c r="M107" i="27"/>
  <c r="L107" i="27"/>
  <c r="K107" i="27"/>
  <c r="J107" i="27"/>
  <c r="I107" i="27"/>
  <c r="H107" i="27"/>
  <c r="G107" i="27"/>
  <c r="F107" i="27"/>
  <c r="X106" i="27"/>
  <c r="W106" i="27"/>
  <c r="V106" i="27"/>
  <c r="U106" i="27"/>
  <c r="T106" i="27"/>
  <c r="S106" i="27"/>
  <c r="R106" i="27"/>
  <c r="Q106" i="27"/>
  <c r="P106" i="27"/>
  <c r="O106" i="27"/>
  <c r="N106" i="27"/>
  <c r="M106" i="27"/>
  <c r="L106" i="27"/>
  <c r="K106" i="27"/>
  <c r="J106" i="27"/>
  <c r="I106" i="27"/>
  <c r="H106" i="27"/>
  <c r="G106" i="27"/>
  <c r="F106" i="27"/>
  <c r="X105" i="27"/>
  <c r="W105" i="27"/>
  <c r="V105" i="27"/>
  <c r="U105" i="27"/>
  <c r="T105" i="27"/>
  <c r="S105" i="27"/>
  <c r="R105" i="27"/>
  <c r="Q105" i="27"/>
  <c r="P105" i="27"/>
  <c r="O105" i="27"/>
  <c r="N105" i="27"/>
  <c r="M105" i="27"/>
  <c r="L105" i="27"/>
  <c r="K105" i="27"/>
  <c r="J105" i="27"/>
  <c r="I105" i="27"/>
  <c r="H105" i="27"/>
  <c r="G105" i="27"/>
  <c r="F105" i="27"/>
  <c r="X104" i="27"/>
  <c r="W104" i="27"/>
  <c r="V104" i="27"/>
  <c r="U104" i="27"/>
  <c r="T104" i="27"/>
  <c r="S104" i="27"/>
  <c r="R104" i="27"/>
  <c r="Q104" i="27"/>
  <c r="P104" i="27"/>
  <c r="O104" i="27"/>
  <c r="N104" i="27"/>
  <c r="M104" i="27"/>
  <c r="L104" i="27"/>
  <c r="K104" i="27"/>
  <c r="J104" i="27"/>
  <c r="I104" i="27"/>
  <c r="H104" i="27"/>
  <c r="G104" i="27"/>
  <c r="F104" i="27"/>
  <c r="AA103" i="27"/>
  <c r="Z90" i="27"/>
  <c r="AA90" i="27" s="1"/>
  <c r="Y90" i="27"/>
  <c r="Z89" i="27"/>
  <c r="Y89" i="27"/>
  <c r="AA89" i="27" s="1"/>
  <c r="Z88" i="27"/>
  <c r="Y88" i="27"/>
  <c r="AI177" i="27"/>
  <c r="Z86" i="27"/>
  <c r="Z85" i="27"/>
  <c r="Y85" i="27"/>
  <c r="AA85" i="27" s="1"/>
  <c r="AH82" i="27"/>
  <c r="AI82" i="27" s="1"/>
  <c r="AG82" i="27"/>
  <c r="AP172" i="27"/>
  <c r="AH81" i="27"/>
  <c r="AI81" i="27" s="1"/>
  <c r="AG81" i="27"/>
  <c r="AH80" i="27"/>
  <c r="AI80" i="27" s="1"/>
  <c r="AG80" i="27"/>
  <c r="Z80" i="27"/>
  <c r="Y80" i="27"/>
  <c r="AA80" i="27" s="1"/>
  <c r="AG79" i="27"/>
  <c r="AH79" i="27" s="1"/>
  <c r="Z79" i="27"/>
  <c r="Y79" i="27"/>
  <c r="AA79" i="27" s="1"/>
  <c r="AA78" i="27"/>
  <c r="Z78" i="27"/>
  <c r="Y78" i="27"/>
  <c r="Z77" i="27"/>
  <c r="Y77" i="27"/>
  <c r="AA77" i="27" s="1"/>
  <c r="Z76" i="27"/>
  <c r="Y76" i="27"/>
  <c r="AA76" i="27" s="1"/>
  <c r="Z75" i="27"/>
  <c r="Y75" i="27"/>
  <c r="Z74" i="27"/>
  <c r="Y74" i="27"/>
  <c r="Y73" i="27"/>
  <c r="Y72" i="27"/>
  <c r="Z71" i="27"/>
  <c r="Y71" i="27"/>
  <c r="AA71" i="27" s="1"/>
  <c r="X70" i="27"/>
  <c r="AZ160" i="27" s="1"/>
  <c r="V70" i="27"/>
  <c r="T70" i="27"/>
  <c r="Z69" i="27"/>
  <c r="BB159" i="27" s="1"/>
  <c r="Z68" i="27"/>
  <c r="Y68" i="27"/>
  <c r="AA68" i="27" s="1"/>
  <c r="Y67" i="27"/>
  <c r="P55" i="27"/>
  <c r="H67" i="27"/>
  <c r="G67" i="27"/>
  <c r="F67" i="27"/>
  <c r="V66" i="27"/>
  <c r="AX156" i="27" s="1"/>
  <c r="U66" i="27"/>
  <c r="O66" i="27"/>
  <c r="K66" i="27"/>
  <c r="I66" i="27"/>
  <c r="F66" i="27"/>
  <c r="F55" i="27" s="1"/>
  <c r="AA65" i="27"/>
  <c r="Z65" i="27"/>
  <c r="Y65" i="27"/>
  <c r="Z64" i="27"/>
  <c r="Y64" i="27"/>
  <c r="AA64" i="27" s="1"/>
  <c r="Z63" i="27"/>
  <c r="Y63" i="27"/>
  <c r="AA63" i="27" s="1"/>
  <c r="Z62" i="27"/>
  <c r="Y62" i="27"/>
  <c r="AA62" i="27" s="1"/>
  <c r="Z61" i="27"/>
  <c r="AA61" i="27" s="1"/>
  <c r="Y61" i="27"/>
  <c r="AA60" i="27"/>
  <c r="Z60" i="27"/>
  <c r="Y60" i="27"/>
  <c r="Z59" i="27"/>
  <c r="Y59" i="27"/>
  <c r="AA59" i="27" s="1"/>
  <c r="X58" i="27"/>
  <c r="W58" i="27"/>
  <c r="V58" i="27"/>
  <c r="U58" i="27"/>
  <c r="T58" i="27"/>
  <c r="S58" i="27"/>
  <c r="R58" i="27"/>
  <c r="Q58" i="27"/>
  <c r="P58" i="27"/>
  <c r="Z58" i="27" s="1"/>
  <c r="O58" i="27"/>
  <c r="N58" i="27"/>
  <c r="M58" i="27"/>
  <c r="L58" i="27"/>
  <c r="K58" i="27"/>
  <c r="I58" i="27"/>
  <c r="H58" i="27"/>
  <c r="G58" i="27"/>
  <c r="F58" i="27"/>
  <c r="Y58" i="27" s="1"/>
  <c r="AA57" i="27"/>
  <c r="AA102" i="27" s="1"/>
  <c r="S57" i="27"/>
  <c r="P57" i="27"/>
  <c r="O57" i="27"/>
  <c r="N57" i="27"/>
  <c r="K57" i="27"/>
  <c r="I57" i="27"/>
  <c r="H57" i="27"/>
  <c r="G57" i="27"/>
  <c r="F57" i="27"/>
  <c r="X56" i="27"/>
  <c r="AZ146" i="27" s="1"/>
  <c r="W56" i="27"/>
  <c r="V56" i="27"/>
  <c r="U56" i="27"/>
  <c r="T56" i="27"/>
  <c r="AV146" i="27" s="1"/>
  <c r="S56" i="27"/>
  <c r="R56" i="27"/>
  <c r="Q56" i="27"/>
  <c r="P56" i="27"/>
  <c r="O56" i="27"/>
  <c r="N56" i="27"/>
  <c r="AP146" i="27" s="1"/>
  <c r="M56" i="27"/>
  <c r="L56" i="27"/>
  <c r="I56" i="27"/>
  <c r="H56" i="27"/>
  <c r="G56" i="27"/>
  <c r="X55" i="27"/>
  <c r="W55" i="27"/>
  <c r="U55" i="27"/>
  <c r="T55" i="27"/>
  <c r="S55" i="27"/>
  <c r="R55" i="27"/>
  <c r="Q55" i="27"/>
  <c r="O55" i="27"/>
  <c r="N55" i="27"/>
  <c r="AP145" i="27" s="1"/>
  <c r="M55" i="27"/>
  <c r="L55" i="27"/>
  <c r="K55" i="27"/>
  <c r="H55" i="27"/>
  <c r="AJ145" i="27" s="1"/>
  <c r="G55" i="27"/>
  <c r="AI145" i="27" s="1"/>
  <c r="X54" i="27"/>
  <c r="W54" i="27"/>
  <c r="V54" i="27"/>
  <c r="U54" i="27"/>
  <c r="T54" i="27"/>
  <c r="S54" i="27"/>
  <c r="R54" i="27"/>
  <c r="Q54" i="27"/>
  <c r="P54" i="27"/>
  <c r="O54" i="27"/>
  <c r="N54" i="27"/>
  <c r="M54" i="27"/>
  <c r="Z54" i="27" s="1"/>
  <c r="L54" i="27"/>
  <c r="K54" i="27"/>
  <c r="I54" i="27"/>
  <c r="H54" i="27"/>
  <c r="G54" i="27"/>
  <c r="F54" i="27"/>
  <c r="X53" i="27"/>
  <c r="W53" i="27"/>
  <c r="V53" i="27"/>
  <c r="V50" i="27" s="1"/>
  <c r="U53" i="27"/>
  <c r="T53" i="27"/>
  <c r="S53" i="27"/>
  <c r="R53" i="27"/>
  <c r="Q53" i="27"/>
  <c r="P53" i="27"/>
  <c r="O53" i="27"/>
  <c r="N53" i="27"/>
  <c r="N50" i="27" s="1"/>
  <c r="M53" i="27"/>
  <c r="L53" i="27"/>
  <c r="K53" i="27"/>
  <c r="I53" i="27"/>
  <c r="H53" i="27"/>
  <c r="G53" i="27"/>
  <c r="F53" i="27"/>
  <c r="F50" i="27" s="1"/>
  <c r="X52" i="27"/>
  <c r="W52" i="27"/>
  <c r="W50" i="27" s="1"/>
  <c r="V52" i="27"/>
  <c r="U52" i="27"/>
  <c r="U50" i="27" s="1"/>
  <c r="T52" i="27"/>
  <c r="T50" i="27" s="1"/>
  <c r="S52" i="27"/>
  <c r="R52" i="27"/>
  <c r="Q52" i="27"/>
  <c r="P52" i="27"/>
  <c r="O52" i="27"/>
  <c r="O50" i="27" s="1"/>
  <c r="N52" i="27"/>
  <c r="M52" i="27"/>
  <c r="Z52" i="27" s="1"/>
  <c r="L52" i="27"/>
  <c r="K52" i="27"/>
  <c r="I52" i="27"/>
  <c r="H52" i="27"/>
  <c r="G52" i="27"/>
  <c r="G50" i="27" s="1"/>
  <c r="F52" i="27"/>
  <c r="S51" i="27"/>
  <c r="O51" i="27"/>
  <c r="G51" i="27"/>
  <c r="AI141" i="27" s="1"/>
  <c r="X50" i="27"/>
  <c r="S50" i="27"/>
  <c r="R50" i="27"/>
  <c r="Q50" i="27"/>
  <c r="P50" i="27"/>
  <c r="I50" i="27"/>
  <c r="H50" i="27"/>
  <c r="K47" i="27"/>
  <c r="Z45" i="27"/>
  <c r="Z135" i="27" s="1"/>
  <c r="Y45" i="27"/>
  <c r="AA45" i="27" s="1"/>
  <c r="AA135" i="27" s="1"/>
  <c r="Z44" i="27"/>
  <c r="Z134" i="27" s="1"/>
  <c r="Y44" i="27"/>
  <c r="Y134" i="27" s="1"/>
  <c r="Z43" i="27"/>
  <c r="Z133" i="27" s="1"/>
  <c r="Y43" i="27"/>
  <c r="Y133" i="27" s="1"/>
  <c r="Z41" i="27"/>
  <c r="Z131" i="27" s="1"/>
  <c r="Z40" i="27"/>
  <c r="Z130" i="27" s="1"/>
  <c r="Y40" i="27"/>
  <c r="Y130" i="27" s="1"/>
  <c r="Y38" i="27"/>
  <c r="AA35" i="27"/>
  <c r="AA125" i="27" s="1"/>
  <c r="Z35" i="27"/>
  <c r="Z125" i="27" s="1"/>
  <c r="Y35" i="27"/>
  <c r="Y125" i="27" s="1"/>
  <c r="Z34" i="27"/>
  <c r="Z124" i="27" s="1"/>
  <c r="Y34" i="27"/>
  <c r="Y124" i="27" s="1"/>
  <c r="Z33" i="27"/>
  <c r="Z123" i="27" s="1"/>
  <c r="Y33" i="27"/>
  <c r="Y123" i="27" s="1"/>
  <c r="Z32" i="27"/>
  <c r="Z122" i="27" s="1"/>
  <c r="Y32" i="27"/>
  <c r="Y122" i="27" s="1"/>
  <c r="AH31" i="27"/>
  <c r="Z31" i="27"/>
  <c r="Z121" i="27" s="1"/>
  <c r="Y31" i="27"/>
  <c r="Y121" i="27" s="1"/>
  <c r="Y30" i="27"/>
  <c r="Y120" i="27" s="1"/>
  <c r="X30" i="27"/>
  <c r="Z29" i="27"/>
  <c r="Z119" i="27" s="1"/>
  <c r="Y29" i="27"/>
  <c r="Y119" i="27" s="1"/>
  <c r="Y28" i="27"/>
  <c r="Y118" i="27" s="1"/>
  <c r="W28" i="27"/>
  <c r="V28" i="27"/>
  <c r="V73" i="27" s="1"/>
  <c r="V57" i="27" s="1"/>
  <c r="U73" i="27"/>
  <c r="U57" i="27" s="1"/>
  <c r="U51" i="27" s="1"/>
  <c r="T73" i="27"/>
  <c r="T57" i="27" s="1"/>
  <c r="T51" i="27" s="1"/>
  <c r="R73" i="27"/>
  <c r="R57" i="27" s="1"/>
  <c r="Z27" i="27"/>
  <c r="J27" i="27"/>
  <c r="Y27" i="27" s="1"/>
  <c r="E27" i="27"/>
  <c r="AA26" i="27"/>
  <c r="AA116" i="27" s="1"/>
  <c r="Z26" i="27"/>
  <c r="Z116" i="27" s="1"/>
  <c r="Y26" i="27"/>
  <c r="Y116" i="27" s="1"/>
  <c r="AF25" i="27"/>
  <c r="S115" i="27"/>
  <c r="N114" i="27"/>
  <c r="K11" i="27"/>
  <c r="J69" i="27"/>
  <c r="J56" i="27" s="1"/>
  <c r="F24" i="27"/>
  <c r="F249" i="27" s="1"/>
  <c r="F236" i="27" s="1"/>
  <c r="Z23" i="27"/>
  <c r="Z113" i="27" s="1"/>
  <c r="Y23" i="27"/>
  <c r="Y113" i="27" s="1"/>
  <c r="AG22" i="27"/>
  <c r="AG25" i="27" s="1"/>
  <c r="G22" i="27"/>
  <c r="AI21" i="27"/>
  <c r="X21" i="27"/>
  <c r="W21" i="27"/>
  <c r="U21" i="27"/>
  <c r="U10" i="27" s="1"/>
  <c r="U100" i="27" s="1"/>
  <c r="T21" i="27"/>
  <c r="R21" i="27"/>
  <c r="R10" i="27" s="1"/>
  <c r="Q21" i="27"/>
  <c r="Q10" i="27" s="1"/>
  <c r="Q100" i="27" s="1"/>
  <c r="O111" i="27"/>
  <c r="K21" i="27"/>
  <c r="J21" i="27"/>
  <c r="I21" i="27"/>
  <c r="AI20" i="27"/>
  <c r="AA20" i="27"/>
  <c r="AA110" i="27" s="1"/>
  <c r="Z20" i="27"/>
  <c r="Z110" i="27" s="1"/>
  <c r="Y20" i="27"/>
  <c r="Y110" i="27" s="1"/>
  <c r="AI19" i="27"/>
  <c r="Z19" i="27"/>
  <c r="Z109" i="27" s="1"/>
  <c r="Y19" i="27"/>
  <c r="Y109" i="27" s="1"/>
  <c r="AI18" i="27"/>
  <c r="AA18" i="27"/>
  <c r="AA108" i="27" s="1"/>
  <c r="Z18" i="27"/>
  <c r="Z108" i="27" s="1"/>
  <c r="Y18" i="27"/>
  <c r="Y108" i="27" s="1"/>
  <c r="AI17" i="27"/>
  <c r="Z17" i="27"/>
  <c r="Z107" i="27" s="1"/>
  <c r="Y17" i="27"/>
  <c r="Y107" i="27" s="1"/>
  <c r="Z16" i="27"/>
  <c r="Z106" i="27" s="1"/>
  <c r="Y16" i="27"/>
  <c r="Y106" i="27" s="1"/>
  <c r="Z15" i="27"/>
  <c r="Z105" i="27" s="1"/>
  <c r="Y15" i="27"/>
  <c r="Y105" i="27" s="1"/>
  <c r="Z14" i="27"/>
  <c r="Z104" i="27" s="1"/>
  <c r="Y14" i="27"/>
  <c r="Y104" i="27" s="1"/>
  <c r="W13" i="27"/>
  <c r="W103" i="27" s="1"/>
  <c r="V13" i="27"/>
  <c r="V103" i="27" s="1"/>
  <c r="U13" i="27"/>
  <c r="U103" i="27" s="1"/>
  <c r="T13" i="27"/>
  <c r="T103" i="27" s="1"/>
  <c r="S13" i="27"/>
  <c r="S103" i="27" s="1"/>
  <c r="R13" i="27"/>
  <c r="Q13" i="27"/>
  <c r="Q103" i="27" s="1"/>
  <c r="P13" i="27"/>
  <c r="P103" i="27" s="1"/>
  <c r="O13" i="27"/>
  <c r="O103" i="27" s="1"/>
  <c r="N13" i="27"/>
  <c r="N103" i="27" s="1"/>
  <c r="M13" i="27"/>
  <c r="M103" i="27" s="1"/>
  <c r="L13" i="27"/>
  <c r="L103" i="27" s="1"/>
  <c r="K13" i="27"/>
  <c r="K103" i="27" s="1"/>
  <c r="J13" i="27"/>
  <c r="J103" i="27" s="1"/>
  <c r="I13" i="27"/>
  <c r="I103" i="27" s="1"/>
  <c r="H13" i="27"/>
  <c r="H103" i="27" s="1"/>
  <c r="G13" i="27"/>
  <c r="G103" i="27" s="1"/>
  <c r="F13" i="27"/>
  <c r="F103" i="27" s="1"/>
  <c r="W12" i="27"/>
  <c r="U12" i="27"/>
  <c r="U102" i="27" s="1"/>
  <c r="S12" i="27"/>
  <c r="S102" i="27" s="1"/>
  <c r="R12" i="27"/>
  <c r="P12" i="27"/>
  <c r="P102" i="27" s="1"/>
  <c r="O12" i="27"/>
  <c r="O102" i="27" s="1"/>
  <c r="N12" i="27"/>
  <c r="N102" i="27" s="1"/>
  <c r="M12" i="27"/>
  <c r="K12" i="27"/>
  <c r="K102" i="27" s="1"/>
  <c r="I12" i="27"/>
  <c r="I102" i="27" s="1"/>
  <c r="H12" i="27"/>
  <c r="H102" i="27" s="1"/>
  <c r="G12" i="27"/>
  <c r="G102" i="27" s="1"/>
  <c r="F12" i="27"/>
  <c r="F102" i="27" s="1"/>
  <c r="X11" i="27"/>
  <c r="W11" i="27"/>
  <c r="W101" i="27" s="1"/>
  <c r="V11" i="27"/>
  <c r="V101" i="27" s="1"/>
  <c r="U11" i="27"/>
  <c r="U101" i="27" s="1"/>
  <c r="T11" i="27"/>
  <c r="S11" i="27"/>
  <c r="S101" i="27" s="1"/>
  <c r="R11" i="27"/>
  <c r="R101" i="27" s="1"/>
  <c r="Q11" i="27"/>
  <c r="Q101" i="27" s="1"/>
  <c r="P11" i="27"/>
  <c r="P101" i="27" s="1"/>
  <c r="O11" i="27"/>
  <c r="O101" i="27" s="1"/>
  <c r="N11" i="27"/>
  <c r="N146" i="27" s="1"/>
  <c r="M11" i="27"/>
  <c r="M101" i="27" s="1"/>
  <c r="L11" i="27"/>
  <c r="L101" i="27" s="1"/>
  <c r="J11" i="27"/>
  <c r="I11" i="27"/>
  <c r="I101" i="27" s="1"/>
  <c r="H11" i="27"/>
  <c r="H101" i="27" s="1"/>
  <c r="G11" i="27"/>
  <c r="G101" i="27" s="1"/>
  <c r="F11" i="27"/>
  <c r="F101" i="27" s="1"/>
  <c r="X10" i="27"/>
  <c r="W10" i="27"/>
  <c r="W100" i="27" s="1"/>
  <c r="V10" i="27"/>
  <c r="S10" i="27"/>
  <c r="S100" i="27" s="1"/>
  <c r="O10" i="27"/>
  <c r="N10" i="27"/>
  <c r="M10" i="27"/>
  <c r="L10" i="27"/>
  <c r="L100" i="27" s="1"/>
  <c r="K10" i="27"/>
  <c r="K100" i="27" s="1"/>
  <c r="J10" i="27"/>
  <c r="I10" i="27"/>
  <c r="H10" i="27"/>
  <c r="G10" i="27"/>
  <c r="X9" i="27"/>
  <c r="X99" i="27" s="1"/>
  <c r="W9" i="27"/>
  <c r="W99" i="27" s="1"/>
  <c r="V9" i="27"/>
  <c r="V99" i="27" s="1"/>
  <c r="U9" i="27"/>
  <c r="U99" i="27" s="1"/>
  <c r="T9" i="27"/>
  <c r="T99" i="27" s="1"/>
  <c r="S9" i="27"/>
  <c r="S99" i="27" s="1"/>
  <c r="R9" i="27"/>
  <c r="R99" i="27" s="1"/>
  <c r="Q9" i="27"/>
  <c r="Q99" i="27" s="1"/>
  <c r="P9" i="27"/>
  <c r="P99" i="27" s="1"/>
  <c r="O9" i="27"/>
  <c r="O99" i="27" s="1"/>
  <c r="N9" i="27"/>
  <c r="N99" i="27" s="1"/>
  <c r="M9" i="27"/>
  <c r="M99" i="27" s="1"/>
  <c r="L9" i="27"/>
  <c r="L99" i="27" s="1"/>
  <c r="K9" i="27"/>
  <c r="K99" i="27" s="1"/>
  <c r="J9" i="27"/>
  <c r="J99" i="27" s="1"/>
  <c r="I9" i="27"/>
  <c r="I99" i="27" s="1"/>
  <c r="H9" i="27"/>
  <c r="H99" i="27" s="1"/>
  <c r="G9" i="27"/>
  <c r="G99" i="27" s="1"/>
  <c r="F9" i="27"/>
  <c r="F99" i="27" s="1"/>
  <c r="X8" i="27"/>
  <c r="X98" i="27" s="1"/>
  <c r="W8" i="27"/>
  <c r="W98" i="27" s="1"/>
  <c r="V8" i="27"/>
  <c r="V98" i="27" s="1"/>
  <c r="U8" i="27"/>
  <c r="U98" i="27" s="1"/>
  <c r="T8" i="27"/>
  <c r="T98" i="27" s="1"/>
  <c r="S8" i="27"/>
  <c r="S98" i="27" s="1"/>
  <c r="R8" i="27"/>
  <c r="R98" i="27" s="1"/>
  <c r="Q8" i="27"/>
  <c r="Q98" i="27" s="1"/>
  <c r="P8" i="27"/>
  <c r="P98" i="27" s="1"/>
  <c r="O8" i="27"/>
  <c r="O98" i="27" s="1"/>
  <c r="N8" i="27"/>
  <c r="N98" i="27" s="1"/>
  <c r="M8" i="27"/>
  <c r="Z8" i="27" s="1"/>
  <c r="Z98" i="27" s="1"/>
  <c r="L8" i="27"/>
  <c r="L98" i="27" s="1"/>
  <c r="K8" i="27"/>
  <c r="K98" i="27" s="1"/>
  <c r="J8" i="27"/>
  <c r="J98" i="27" s="1"/>
  <c r="I8" i="27"/>
  <c r="I98" i="27" s="1"/>
  <c r="H8" i="27"/>
  <c r="H98" i="27" s="1"/>
  <c r="G8" i="27"/>
  <c r="G98" i="27" s="1"/>
  <c r="F8" i="27"/>
  <c r="F98" i="27" s="1"/>
  <c r="X7" i="27"/>
  <c r="X97" i="27" s="1"/>
  <c r="W7" i="27"/>
  <c r="W97" i="27" s="1"/>
  <c r="V7" i="27"/>
  <c r="V97" i="27" s="1"/>
  <c r="U7" i="27"/>
  <c r="U97" i="27" s="1"/>
  <c r="T7" i="27"/>
  <c r="T97" i="27" s="1"/>
  <c r="S7" i="27"/>
  <c r="S97" i="27" s="1"/>
  <c r="R7" i="27"/>
  <c r="R97" i="27" s="1"/>
  <c r="Q7" i="27"/>
  <c r="Q97" i="27" s="1"/>
  <c r="P7" i="27"/>
  <c r="P97" i="27" s="1"/>
  <c r="O7" i="27"/>
  <c r="O97" i="27" s="1"/>
  <c r="N7" i="27"/>
  <c r="N97" i="27" s="1"/>
  <c r="M7" i="27"/>
  <c r="M97" i="27" s="1"/>
  <c r="L7" i="27"/>
  <c r="L97" i="27" s="1"/>
  <c r="K7" i="27"/>
  <c r="K97" i="27" s="1"/>
  <c r="J7" i="27"/>
  <c r="J97" i="27" s="1"/>
  <c r="I7" i="27"/>
  <c r="I97" i="27" s="1"/>
  <c r="H7" i="27"/>
  <c r="H97" i="27" s="1"/>
  <c r="G7" i="27"/>
  <c r="G97" i="27" s="1"/>
  <c r="F7" i="27"/>
  <c r="F97" i="27" s="1"/>
  <c r="W6" i="27"/>
  <c r="H6" i="27"/>
  <c r="X5" i="27"/>
  <c r="X95" i="27" s="1"/>
  <c r="V5" i="27"/>
  <c r="V95" i="27" s="1"/>
  <c r="U5" i="27"/>
  <c r="U95" i="27" s="1"/>
  <c r="T5" i="27"/>
  <c r="T95" i="27" s="1"/>
  <c r="S5" i="27"/>
  <c r="S95" i="27" s="1"/>
  <c r="R5" i="27"/>
  <c r="R95" i="27" s="1"/>
  <c r="P5" i="27"/>
  <c r="P95" i="27" s="1"/>
  <c r="N5" i="27"/>
  <c r="N95" i="27" s="1"/>
  <c r="M5" i="27"/>
  <c r="M95" i="27" s="1"/>
  <c r="L5" i="27"/>
  <c r="L95" i="27" s="1"/>
  <c r="K5" i="27"/>
  <c r="K95" i="27" s="1"/>
  <c r="J5" i="27"/>
  <c r="J95" i="27" s="1"/>
  <c r="H5" i="27"/>
  <c r="H95" i="27" s="1"/>
  <c r="F5" i="27"/>
  <c r="F95" i="27" s="1"/>
  <c r="D5" i="27"/>
  <c r="AK93" i="20"/>
  <c r="AM99" i="20"/>
  <c r="AN98" i="20"/>
  <c r="AM98" i="20"/>
  <c r="Y176" i="27" l="1"/>
  <c r="BA176" i="27"/>
  <c r="AI176" i="27"/>
  <c r="AI221" i="27"/>
  <c r="AZ173" i="27"/>
  <c r="Z177" i="27"/>
  <c r="BB177" i="27"/>
  <c r="AA88" i="27"/>
  <c r="AA223" i="28"/>
  <c r="BC223" i="28" s="1"/>
  <c r="AQ172" i="28"/>
  <c r="Z175" i="28"/>
  <c r="AR173" i="28"/>
  <c r="Y179" i="28"/>
  <c r="BA223" i="28"/>
  <c r="AI176" i="28"/>
  <c r="BB222" i="28"/>
  <c r="AJ171" i="28"/>
  <c r="BA179" i="28"/>
  <c r="AR218" i="28"/>
  <c r="AM216" i="28"/>
  <c r="BB175" i="28"/>
  <c r="Z83" i="27"/>
  <c r="AA40" i="27"/>
  <c r="AA130" i="27" s="1"/>
  <c r="H129" i="20"/>
  <c r="O141" i="20"/>
  <c r="AJ114" i="20"/>
  <c r="N141" i="20"/>
  <c r="AI114" i="20"/>
  <c r="AH114" i="20"/>
  <c r="M141" i="20"/>
  <c r="X129" i="20"/>
  <c r="P129" i="20"/>
  <c r="BB202" i="28"/>
  <c r="U129" i="20"/>
  <c r="G129" i="20"/>
  <c r="T129" i="20"/>
  <c r="AG114" i="20"/>
  <c r="L141" i="20"/>
  <c r="J129" i="20"/>
  <c r="I129" i="20"/>
  <c r="F129" i="20"/>
  <c r="W129" i="20"/>
  <c r="AA202" i="28"/>
  <c r="BC202" i="28" s="1"/>
  <c r="AF114" i="20"/>
  <c r="K141" i="20"/>
  <c r="Y114" i="20"/>
  <c r="Y141" i="20" s="1"/>
  <c r="Y159" i="20" s="1"/>
  <c r="Z114" i="20"/>
  <c r="Z141" i="20" s="1"/>
  <c r="Z159" i="20" s="1"/>
  <c r="G114" i="20"/>
  <c r="H114" i="20"/>
  <c r="I114" i="20"/>
  <c r="Z61" i="20"/>
  <c r="Y61" i="20"/>
  <c r="G61" i="20"/>
  <c r="H61" i="20"/>
  <c r="I61" i="20"/>
  <c r="AH113" i="20"/>
  <c r="AK103" i="28"/>
  <c r="AJ106" i="28"/>
  <c r="AJ105" i="28"/>
  <c r="AI105" i="28"/>
  <c r="AI106" i="28"/>
  <c r="AH105" i="28"/>
  <c r="AH106" i="28"/>
  <c r="R51" i="27"/>
  <c r="X100" i="27"/>
  <c r="H51" i="27"/>
  <c r="AJ141" i="27" s="1"/>
  <c r="T38" i="28"/>
  <c r="T10" i="27"/>
  <c r="T100" i="27" s="1"/>
  <c r="Z56" i="27"/>
  <c r="N51" i="27"/>
  <c r="AP141" i="27" s="1"/>
  <c r="K69" i="27"/>
  <c r="U6" i="27"/>
  <c r="Y25" i="27"/>
  <c r="Z56" i="28"/>
  <c r="T101" i="28"/>
  <c r="BB204" i="28"/>
  <c r="M235" i="28"/>
  <c r="M145" i="28"/>
  <c r="AO156" i="28"/>
  <c r="M190" i="28"/>
  <c r="AO201" i="28"/>
  <c r="Y57" i="28"/>
  <c r="J12" i="27"/>
  <c r="J102" i="27" s="1"/>
  <c r="J50" i="27"/>
  <c r="Y50" i="27" s="1"/>
  <c r="AA50" i="27" s="1"/>
  <c r="Y54" i="27"/>
  <c r="AA54" i="27" s="1"/>
  <c r="Y57" i="27"/>
  <c r="Q100" i="28"/>
  <c r="Q6" i="28"/>
  <c r="Y50" i="28"/>
  <c r="T100" i="28"/>
  <c r="T6" i="28"/>
  <c r="G141" i="28"/>
  <c r="G96" i="28"/>
  <c r="U100" i="28"/>
  <c r="U6" i="28"/>
  <c r="M51" i="28"/>
  <c r="O96" i="28"/>
  <c r="F246" i="28"/>
  <c r="F156" i="28"/>
  <c r="F10" i="28"/>
  <c r="AA53" i="28"/>
  <c r="Y83" i="28"/>
  <c r="Y84" i="28"/>
  <c r="K55" i="28"/>
  <c r="J66" i="28"/>
  <c r="Y70" i="28"/>
  <c r="Z72" i="28"/>
  <c r="AA72" i="28" s="1"/>
  <c r="M57" i="28"/>
  <c r="M102" i="28" s="1"/>
  <c r="F111" i="28"/>
  <c r="J5" i="28"/>
  <c r="J95" i="28" s="1"/>
  <c r="S5" i="28"/>
  <c r="S95" i="28" s="1"/>
  <c r="Z8" i="28"/>
  <c r="Z98" i="28" s="1"/>
  <c r="K10" i="28"/>
  <c r="F11" i="28"/>
  <c r="N101" i="28"/>
  <c r="N146" i="28"/>
  <c r="V101" i="28"/>
  <c r="H246" i="28"/>
  <c r="H156" i="28"/>
  <c r="R246" i="28"/>
  <c r="R201" i="28"/>
  <c r="F247" i="28"/>
  <c r="F157" i="28"/>
  <c r="F112" i="28"/>
  <c r="Y122" i="28"/>
  <c r="AA32" i="28"/>
  <c r="AA122" i="28" s="1"/>
  <c r="AA44" i="28"/>
  <c r="V55" i="28"/>
  <c r="AX145" i="28" s="1"/>
  <c r="AR157" i="28"/>
  <c r="Z67" i="28"/>
  <c r="BB157" i="28" s="1"/>
  <c r="Z87" i="28"/>
  <c r="BB177" i="28" s="1"/>
  <c r="K70" i="28"/>
  <c r="L74" i="28"/>
  <c r="AA85" i="28"/>
  <c r="S100" i="28"/>
  <c r="U5" i="28"/>
  <c r="U95" i="28" s="1"/>
  <c r="H6" i="28"/>
  <c r="L5" i="28"/>
  <c r="T97" i="28"/>
  <c r="T5" i="28"/>
  <c r="T95" i="28" s="1"/>
  <c r="Y9" i="28"/>
  <c r="AA17" i="28"/>
  <c r="AA107" i="28" s="1"/>
  <c r="AA19" i="28"/>
  <c r="AA109" i="28" s="1"/>
  <c r="I246" i="28"/>
  <c r="I201" i="28"/>
  <c r="I111" i="28"/>
  <c r="T246" i="28"/>
  <c r="T201" i="28"/>
  <c r="G247" i="28"/>
  <c r="G42" i="28"/>
  <c r="AA23" i="28"/>
  <c r="AA113" i="28" s="1"/>
  <c r="J250" i="28"/>
  <c r="J205" i="28"/>
  <c r="J115" i="28"/>
  <c r="Y25" i="28"/>
  <c r="Q253" i="28"/>
  <c r="Q237" i="28" s="1"/>
  <c r="Q73" i="28"/>
  <c r="Q208" i="28"/>
  <c r="Z28" i="28"/>
  <c r="X255" i="28"/>
  <c r="X238" i="28" s="1"/>
  <c r="Z238" i="28" s="1"/>
  <c r="AA238" i="28" s="1"/>
  <c r="AP145" i="28"/>
  <c r="N51" i="28"/>
  <c r="AP141" i="28" s="1"/>
  <c r="W51" i="28"/>
  <c r="AR156" i="28"/>
  <c r="P55" i="28"/>
  <c r="P51" i="28" s="1"/>
  <c r="P96" i="28" s="1"/>
  <c r="P111" i="28"/>
  <c r="AA77" i="28"/>
  <c r="Y105" i="28"/>
  <c r="H141" i="28"/>
  <c r="X253" i="28"/>
  <c r="X237" i="28" s="1"/>
  <c r="X208" i="28"/>
  <c r="X73" i="28"/>
  <c r="X57" i="28" s="1"/>
  <c r="Z9" i="28"/>
  <c r="Z99" i="28" s="1"/>
  <c r="T102" i="28"/>
  <c r="J246" i="28"/>
  <c r="AL201" i="28" s="1"/>
  <c r="J111" i="28"/>
  <c r="J37" i="28"/>
  <c r="U246" i="28"/>
  <c r="U201" i="28"/>
  <c r="H247" i="28"/>
  <c r="H157" i="28"/>
  <c r="H112" i="28"/>
  <c r="K250" i="28"/>
  <c r="K205" i="28"/>
  <c r="K115" i="28"/>
  <c r="R253" i="28"/>
  <c r="R237" i="28" s="1"/>
  <c r="R208" i="28"/>
  <c r="R73" i="28"/>
  <c r="R57" i="28" s="1"/>
  <c r="R51" i="28" s="1"/>
  <c r="R12" i="28"/>
  <c r="Y38" i="28"/>
  <c r="O51" i="28"/>
  <c r="AQ141" i="28" s="1"/>
  <c r="AQ145" i="28"/>
  <c r="Y86" i="28"/>
  <c r="AA86" i="28" s="1"/>
  <c r="Y120" i="28"/>
  <c r="W5" i="28"/>
  <c r="W95" i="28" s="1"/>
  <c r="K201" i="28"/>
  <c r="K246" i="28"/>
  <c r="K111" i="28"/>
  <c r="W246" i="28"/>
  <c r="W201" i="28"/>
  <c r="W36" i="28"/>
  <c r="P247" i="28"/>
  <c r="P157" i="28"/>
  <c r="P112" i="28"/>
  <c r="Z22" i="28"/>
  <c r="S250" i="28"/>
  <c r="S115" i="28"/>
  <c r="S205" i="28"/>
  <c r="AA40" i="28"/>
  <c r="Y130" i="28"/>
  <c r="Z55" i="28"/>
  <c r="X101" i="28"/>
  <c r="X51" i="28"/>
  <c r="AJ81" i="28"/>
  <c r="AI81" i="28"/>
  <c r="G102" i="28"/>
  <c r="O141" i="28"/>
  <c r="AZ146" i="28"/>
  <c r="J156" i="28"/>
  <c r="X246" i="28"/>
  <c r="X201" i="28"/>
  <c r="J252" i="28"/>
  <c r="J237" i="28" s="1"/>
  <c r="Y237" i="28" s="1"/>
  <c r="J207" i="28"/>
  <c r="J12" i="28"/>
  <c r="J102" i="28" s="1"/>
  <c r="L254" i="28"/>
  <c r="L237" i="28" s="1"/>
  <c r="L209" i="28"/>
  <c r="AA33" i="28"/>
  <c r="AA123" i="28" s="1"/>
  <c r="Z52" i="28"/>
  <c r="Y66" i="28"/>
  <c r="AA66" i="28" s="1"/>
  <c r="AH156" i="28"/>
  <c r="F69" i="28"/>
  <c r="O5" i="28"/>
  <c r="O95" i="28" s="1"/>
  <c r="Y8" i="28"/>
  <c r="Y98" i="28" s="1"/>
  <c r="G100" i="28"/>
  <c r="G145" i="28"/>
  <c r="G5" i="28"/>
  <c r="G95" i="28" s="1"/>
  <c r="P5" i="28"/>
  <c r="P95" i="28" s="1"/>
  <c r="L6" i="28"/>
  <c r="H100" i="28"/>
  <c r="H145" i="28"/>
  <c r="K11" i="28"/>
  <c r="S11" i="28"/>
  <c r="S101" i="28" s="1"/>
  <c r="Y13" i="28"/>
  <c r="Y103" i="28" s="1"/>
  <c r="AA18" i="28"/>
  <c r="AA108" i="28" s="1"/>
  <c r="AA20" i="28"/>
  <c r="AA110" i="28" s="1"/>
  <c r="O246" i="28"/>
  <c r="O156" i="28"/>
  <c r="O39" i="28"/>
  <c r="Y21" i="28"/>
  <c r="N249" i="28"/>
  <c r="N159" i="28"/>
  <c r="M252" i="28"/>
  <c r="M237" i="28" s="1"/>
  <c r="M207" i="28"/>
  <c r="H36" i="28"/>
  <c r="R37" i="28"/>
  <c r="U38" i="28"/>
  <c r="P42" i="28"/>
  <c r="AH177" i="28"/>
  <c r="Y81" i="28"/>
  <c r="AA81" i="28" s="1"/>
  <c r="Z83" i="28"/>
  <c r="AO173" i="28"/>
  <c r="L97" i="28"/>
  <c r="M103" i="28"/>
  <c r="Z7" i="28"/>
  <c r="Z97" i="28" s="1"/>
  <c r="Q246" i="28"/>
  <c r="Q201" i="28"/>
  <c r="Q39" i="28"/>
  <c r="Z114" i="28"/>
  <c r="Z159" i="28"/>
  <c r="P145" i="28"/>
  <c r="S32" i="20" s="1"/>
  <c r="N246" i="28"/>
  <c r="N156" i="28"/>
  <c r="N138" i="28"/>
  <c r="N111" i="28"/>
  <c r="Z21" i="28"/>
  <c r="Z111" i="28" s="1"/>
  <c r="N10" i="28"/>
  <c r="Y22" i="28"/>
  <c r="U208" i="28"/>
  <c r="U253" i="28"/>
  <c r="U73" i="28"/>
  <c r="U57" i="28" s="1"/>
  <c r="U51" i="28" s="1"/>
  <c r="H5" i="28"/>
  <c r="H95" i="28" s="1"/>
  <c r="Q5" i="28"/>
  <c r="Q95" i="28" s="1"/>
  <c r="M6" i="28"/>
  <c r="W6" i="28"/>
  <c r="Y7" i="28"/>
  <c r="Y97" i="28" s="1"/>
  <c r="I10" i="28"/>
  <c r="R10" i="28"/>
  <c r="Z10" i="28" s="1"/>
  <c r="X12" i="28"/>
  <c r="Y24" i="28"/>
  <c r="Y27" i="28"/>
  <c r="W253" i="28"/>
  <c r="W237" i="28" s="1"/>
  <c r="W208" i="28"/>
  <c r="AA31" i="28"/>
  <c r="AA121" i="28" s="1"/>
  <c r="Y52" i="28"/>
  <c r="AA52" i="28" s="1"/>
  <c r="W50" i="28"/>
  <c r="Z58" i="28"/>
  <c r="AI157" i="28"/>
  <c r="AI177" i="28"/>
  <c r="M98" i="28"/>
  <c r="M100" i="28"/>
  <c r="Y106" i="28"/>
  <c r="G112" i="28"/>
  <c r="O138" i="28"/>
  <c r="AR219" i="28"/>
  <c r="AR217" i="28"/>
  <c r="AR201" i="28"/>
  <c r="K204" i="28"/>
  <c r="K249" i="28"/>
  <c r="T253" i="28"/>
  <c r="T237" i="28" s="1"/>
  <c r="T208" i="28"/>
  <c r="L50" i="28"/>
  <c r="H51" i="28"/>
  <c r="AJ141" i="28" s="1"/>
  <c r="AJ157" i="28"/>
  <c r="Y67" i="28"/>
  <c r="AH157" i="28"/>
  <c r="AT140" i="28"/>
  <c r="AT185" i="28"/>
  <c r="R140" i="28"/>
  <c r="M185" i="28"/>
  <c r="Z187" i="28"/>
  <c r="AO187" i="28"/>
  <c r="AW187" i="28"/>
  <c r="U185" i="28"/>
  <c r="Z234" i="28"/>
  <c r="M230" i="28"/>
  <c r="AJ189" i="28"/>
  <c r="H144" i="28"/>
  <c r="AR189" i="28"/>
  <c r="P144" i="28"/>
  <c r="AZ189" i="28"/>
  <c r="X144" i="28"/>
  <c r="X185" i="28"/>
  <c r="P186" i="28"/>
  <c r="AR145" i="28"/>
  <c r="Z54" i="28"/>
  <c r="AA54" i="28" s="1"/>
  <c r="Z70" i="28"/>
  <c r="Z115" i="28" s="1"/>
  <c r="AV160" i="28"/>
  <c r="AH145" i="28"/>
  <c r="F186" i="28"/>
  <c r="F145" i="28"/>
  <c r="D32" i="20" s="1"/>
  <c r="J50" i="28"/>
  <c r="R50" i="28"/>
  <c r="Z50" i="28" s="1"/>
  <c r="T51" i="28"/>
  <c r="AV146" i="28"/>
  <c r="AA89" i="28"/>
  <c r="S185" i="28"/>
  <c r="AL185" i="28"/>
  <c r="Y187" i="28"/>
  <c r="AN188" i="28"/>
  <c r="AX188" i="28"/>
  <c r="Z189" i="28"/>
  <c r="H185" i="28"/>
  <c r="Y185" i="28" s="1"/>
  <c r="T185" i="28"/>
  <c r="AN185" i="28"/>
  <c r="AA189" i="28"/>
  <c r="AX190" i="28"/>
  <c r="AT191" i="28"/>
  <c r="Y201" i="28"/>
  <c r="AH201" i="28"/>
  <c r="BB209" i="28"/>
  <c r="Z164" i="28"/>
  <c r="BB213" i="28"/>
  <c r="AA213" i="28"/>
  <c r="F232" i="28"/>
  <c r="N232" i="28"/>
  <c r="N230" i="28" s="1"/>
  <c r="V232" i="28"/>
  <c r="V230" i="28" s="1"/>
  <c r="H232" i="28"/>
  <c r="H230" i="28" s="1"/>
  <c r="J230" i="28"/>
  <c r="R230" i="28"/>
  <c r="L233" i="28"/>
  <c r="Z188" i="28"/>
  <c r="N185" i="28"/>
  <c r="BA221" i="28"/>
  <c r="AA221" i="28"/>
  <c r="G185" i="28"/>
  <c r="AI188" i="28"/>
  <c r="O185" i="28"/>
  <c r="AQ188" i="28"/>
  <c r="W185" i="28"/>
  <c r="AY188" i="28"/>
  <c r="AN190" i="28"/>
  <c r="BA200" i="28"/>
  <c r="AA200" i="28"/>
  <c r="J190" i="28"/>
  <c r="AV205" i="28"/>
  <c r="BC212" i="28"/>
  <c r="BC167" i="28"/>
  <c r="AQ174" i="28"/>
  <c r="AA225" i="28"/>
  <c r="AT187" i="28"/>
  <c r="Y188" i="28"/>
  <c r="AS188" i="28"/>
  <c r="Y189" i="28"/>
  <c r="AO191" i="28"/>
  <c r="BA206" i="28"/>
  <c r="H142" i="28"/>
  <c r="P142" i="28"/>
  <c r="X142" i="28"/>
  <c r="AH143" i="28"/>
  <c r="AP143" i="28"/>
  <c r="AX143" i="28"/>
  <c r="L145" i="28"/>
  <c r="AL148" i="28"/>
  <c r="AT148" i="28"/>
  <c r="Z168" i="28"/>
  <c r="BA180" i="28"/>
  <c r="P185" i="28"/>
  <c r="AH185" i="28"/>
  <c r="AH188" i="28"/>
  <c r="BA208" i="28"/>
  <c r="Y193" i="28"/>
  <c r="P232" i="28"/>
  <c r="P230" i="28" s="1"/>
  <c r="X232" i="28"/>
  <c r="X230" i="28" s="1"/>
  <c r="F233" i="28"/>
  <c r="Y233" i="28" s="1"/>
  <c r="N233" i="28"/>
  <c r="V233" i="28"/>
  <c r="Y222" i="28"/>
  <c r="AH222" i="28"/>
  <c r="M231" i="28"/>
  <c r="S230" i="28"/>
  <c r="Y234" i="28"/>
  <c r="S236" i="28"/>
  <c r="S231" i="28" s="1"/>
  <c r="U237" i="28"/>
  <c r="BA211" i="28"/>
  <c r="I230" i="28"/>
  <c r="AA194" i="28"/>
  <c r="AA199" i="28"/>
  <c r="AA215" i="28"/>
  <c r="AA220" i="28"/>
  <c r="AB302" i="28"/>
  <c r="AC302" i="28"/>
  <c r="AO218" i="28"/>
  <c r="Z42" i="27"/>
  <c r="N235" i="27"/>
  <c r="AP201" i="27"/>
  <c r="AP217" i="27"/>
  <c r="O140" i="20"/>
  <c r="N140" i="20"/>
  <c r="I128" i="20"/>
  <c r="H128" i="20"/>
  <c r="G128" i="20"/>
  <c r="Y128" i="20"/>
  <c r="Z128" i="20"/>
  <c r="P190" i="27"/>
  <c r="P186" i="27" s="1"/>
  <c r="AQ141" i="27"/>
  <c r="AQ145" i="27"/>
  <c r="F14" i="20"/>
  <c r="K115" i="27"/>
  <c r="AL156" i="27"/>
  <c r="AL145" i="27"/>
  <c r="AL172" i="27"/>
  <c r="AO156" i="27"/>
  <c r="M190" i="27"/>
  <c r="P14" i="20" s="1"/>
  <c r="AO201" i="27"/>
  <c r="M235" i="27"/>
  <c r="M6" i="27"/>
  <c r="Y202" i="27"/>
  <c r="BA157" i="27" s="1"/>
  <c r="Y222" i="27"/>
  <c r="AH157" i="27"/>
  <c r="D14" i="20"/>
  <c r="Y53" i="27"/>
  <c r="K50" i="27"/>
  <c r="P51" i="27"/>
  <c r="Y39" i="27"/>
  <c r="AA27" i="27"/>
  <c r="Y117" i="27"/>
  <c r="R100" i="27"/>
  <c r="R6" i="27"/>
  <c r="AA74" i="27"/>
  <c r="L57" i="27"/>
  <c r="L51" i="27" s="1"/>
  <c r="AH145" i="27"/>
  <c r="Y84" i="27"/>
  <c r="K56" i="27"/>
  <c r="K51" i="27" s="1"/>
  <c r="K6" i="27"/>
  <c r="U96" i="27"/>
  <c r="O6" i="27"/>
  <c r="G145" i="27"/>
  <c r="G100" i="27"/>
  <c r="H141" i="27"/>
  <c r="H96" i="27"/>
  <c r="Z7" i="27"/>
  <c r="Z97" i="27" s="1"/>
  <c r="H145" i="27"/>
  <c r="F31" i="20" s="1"/>
  <c r="H100" i="27"/>
  <c r="P10" i="27"/>
  <c r="Z11" i="27"/>
  <c r="L12" i="27"/>
  <c r="T12" i="27"/>
  <c r="AA14" i="27"/>
  <c r="AA104" i="27" s="1"/>
  <c r="T246" i="27"/>
  <c r="T201" i="27"/>
  <c r="F247" i="27"/>
  <c r="F157" i="27"/>
  <c r="F112" i="27"/>
  <c r="Z24" i="27"/>
  <c r="W253" i="27"/>
  <c r="W237" i="27" s="1"/>
  <c r="W208" i="27"/>
  <c r="W73" i="27"/>
  <c r="W57" i="27" s="1"/>
  <c r="W51" i="27" s="1"/>
  <c r="AA29" i="27"/>
  <c r="L50" i="27"/>
  <c r="Z53" i="27"/>
  <c r="V55" i="27"/>
  <c r="AV160" i="27"/>
  <c r="Z70" i="27"/>
  <c r="R103" i="27"/>
  <c r="O145" i="27"/>
  <c r="R31" i="20" s="1"/>
  <c r="O100" i="27"/>
  <c r="O5" i="27"/>
  <c r="O95" i="27" s="1"/>
  <c r="AA17" i="27"/>
  <c r="AA107" i="27" s="1"/>
  <c r="AA19" i="27"/>
  <c r="AA109" i="27" s="1"/>
  <c r="I201" i="27"/>
  <c r="I246" i="27"/>
  <c r="I111" i="27"/>
  <c r="U246" i="27"/>
  <c r="U201" i="27"/>
  <c r="G247" i="27"/>
  <c r="G157" i="27"/>
  <c r="G112" i="27"/>
  <c r="X208" i="27"/>
  <c r="X253" i="27"/>
  <c r="X237" i="27" s="1"/>
  <c r="X73" i="27"/>
  <c r="X57" i="27" s="1"/>
  <c r="X51" i="27" s="1"/>
  <c r="X255" i="27"/>
  <c r="X238" i="27" s="1"/>
  <c r="Z238" i="27" s="1"/>
  <c r="X210" i="27"/>
  <c r="AA34" i="27"/>
  <c r="AA124" i="27" s="1"/>
  <c r="M50" i="27"/>
  <c r="Z50" i="27" s="1"/>
  <c r="Y52" i="27"/>
  <c r="AA52" i="27" s="1"/>
  <c r="Y11" i="27"/>
  <c r="I6" i="27"/>
  <c r="I96" i="27" s="1"/>
  <c r="Q6" i="27"/>
  <c r="J6" i="27"/>
  <c r="J145" i="27"/>
  <c r="T101" i="27"/>
  <c r="T146" i="27"/>
  <c r="V12" i="27"/>
  <c r="J246" i="27"/>
  <c r="J156" i="27"/>
  <c r="W246" i="27"/>
  <c r="W201" i="27"/>
  <c r="AA23" i="27"/>
  <c r="AA113" i="27" s="1"/>
  <c r="J250" i="27"/>
  <c r="J205" i="27"/>
  <c r="J115" i="27"/>
  <c r="AQ156" i="27"/>
  <c r="AI157" i="27"/>
  <c r="Y86" i="27"/>
  <c r="AA86" i="27" s="1"/>
  <c r="F69" i="27"/>
  <c r="AJ82" i="27"/>
  <c r="G6" i="27"/>
  <c r="G5" i="27"/>
  <c r="G95" i="27" s="1"/>
  <c r="I5" i="27"/>
  <c r="I95" i="27" s="1"/>
  <c r="Q5" i="27"/>
  <c r="Q95" i="27" s="1"/>
  <c r="S6" i="27"/>
  <c r="S96" i="27" s="1"/>
  <c r="Y9" i="27"/>
  <c r="X13" i="27"/>
  <c r="X103" i="27" s="1"/>
  <c r="AA15" i="27"/>
  <c r="AA105" i="27" s="1"/>
  <c r="K201" i="27"/>
  <c r="K246" i="27"/>
  <c r="K111" i="27"/>
  <c r="X246" i="27"/>
  <c r="X201" i="27"/>
  <c r="P247" i="27"/>
  <c r="P157" i="27"/>
  <c r="K205" i="27"/>
  <c r="K250" i="27"/>
  <c r="Q253" i="27"/>
  <c r="Q237" i="27" s="1"/>
  <c r="Q208" i="27"/>
  <c r="Q73" i="27"/>
  <c r="Z28" i="27"/>
  <c r="Z30" i="27"/>
  <c r="AA32" i="27"/>
  <c r="AA122" i="27" s="1"/>
  <c r="AA44" i="27"/>
  <c r="I55" i="27"/>
  <c r="I51" i="27" s="1"/>
  <c r="AR156" i="27"/>
  <c r="AR174" i="27"/>
  <c r="AJ157" i="27"/>
  <c r="AJ177" i="27"/>
  <c r="AA75" i="27"/>
  <c r="Y83" i="27"/>
  <c r="AA83" i="27" s="1"/>
  <c r="M98" i="27"/>
  <c r="Y135" i="27"/>
  <c r="Y8" i="27"/>
  <c r="Y7" i="27"/>
  <c r="W5" i="27"/>
  <c r="W95" i="27" s="1"/>
  <c r="Z9" i="27"/>
  <c r="Z99" i="27" s="1"/>
  <c r="X12" i="27"/>
  <c r="Y13" i="27"/>
  <c r="Y103" i="27" s="1"/>
  <c r="O246" i="27"/>
  <c r="O156" i="27"/>
  <c r="O138" i="27"/>
  <c r="Y21" i="27"/>
  <c r="Y22" i="27"/>
  <c r="J204" i="27"/>
  <c r="J249" i="27"/>
  <c r="S250" i="27"/>
  <c r="S236" i="27" s="1"/>
  <c r="S231" i="27" s="1"/>
  <c r="S205" i="27"/>
  <c r="R253" i="27"/>
  <c r="R237" i="27" s="1"/>
  <c r="R208" i="27"/>
  <c r="Z55" i="27"/>
  <c r="AR157" i="27"/>
  <c r="Z67" i="27"/>
  <c r="AA67" i="27" s="1"/>
  <c r="Z87" i="27"/>
  <c r="N101" i="27"/>
  <c r="P246" i="27"/>
  <c r="AR201" i="27" s="1"/>
  <c r="P156" i="27"/>
  <c r="P111" i="27"/>
  <c r="Z21" i="27"/>
  <c r="K204" i="27"/>
  <c r="K249" i="27"/>
  <c r="K236" i="27" s="1"/>
  <c r="Y115" i="27"/>
  <c r="T253" i="27"/>
  <c r="T237" i="27" s="1"/>
  <c r="T208" i="27"/>
  <c r="AH156" i="27"/>
  <c r="P138" i="27"/>
  <c r="M100" i="27"/>
  <c r="Z112" i="27"/>
  <c r="L254" i="27"/>
  <c r="L237" i="27" s="1"/>
  <c r="J74" i="20" s="1"/>
  <c r="L209" i="27"/>
  <c r="N6" i="27"/>
  <c r="F10" i="27"/>
  <c r="N145" i="27"/>
  <c r="Q31" i="20" s="1"/>
  <c r="N100" i="27"/>
  <c r="V145" i="27"/>
  <c r="V100" i="27"/>
  <c r="X101" i="27"/>
  <c r="X146" i="27"/>
  <c r="R102" i="27"/>
  <c r="AA16" i="27"/>
  <c r="AA106" i="27" s="1"/>
  <c r="Q246" i="27"/>
  <c r="Q201" i="27"/>
  <c r="N249" i="27"/>
  <c r="N159" i="27"/>
  <c r="Z25" i="27"/>
  <c r="Z115" i="27" s="1"/>
  <c r="J252" i="27"/>
  <c r="J237" i="27" s="1"/>
  <c r="J207" i="27"/>
  <c r="U208" i="27"/>
  <c r="U253" i="27"/>
  <c r="AA33" i="27"/>
  <c r="AA123" i="27" s="1"/>
  <c r="AJ156" i="27"/>
  <c r="AJ171" i="27"/>
  <c r="Y66" i="27"/>
  <c r="AJ81" i="27"/>
  <c r="P112" i="27"/>
  <c r="W96" i="27"/>
  <c r="F246" i="27"/>
  <c r="F156" i="27"/>
  <c r="F111" i="27"/>
  <c r="R246" i="27"/>
  <c r="R201" i="27"/>
  <c r="Y24" i="27"/>
  <c r="M252" i="27"/>
  <c r="M237" i="27" s="1"/>
  <c r="M207" i="27"/>
  <c r="V208" i="27"/>
  <c r="V253" i="27"/>
  <c r="AA31" i="27"/>
  <c r="AA121" i="27" s="1"/>
  <c r="AA43" i="27"/>
  <c r="Z66" i="27"/>
  <c r="M72" i="27"/>
  <c r="J111" i="27"/>
  <c r="AO219" i="27"/>
  <c r="AO174" i="27"/>
  <c r="Y237" i="27"/>
  <c r="L61" i="20" s="1"/>
  <c r="AN185" i="27"/>
  <c r="Q230" i="27"/>
  <c r="Z232" i="27"/>
  <c r="AA232" i="27" s="1"/>
  <c r="Y188" i="27"/>
  <c r="L230" i="27"/>
  <c r="Y233" i="27"/>
  <c r="AA233" i="27" s="1"/>
  <c r="Z188" i="27"/>
  <c r="Y189" i="27"/>
  <c r="Y193" i="27"/>
  <c r="AA198" i="27"/>
  <c r="Z202" i="27"/>
  <c r="AA213" i="27"/>
  <c r="U237" i="27"/>
  <c r="Z189" i="27"/>
  <c r="AA225" i="27"/>
  <c r="BA225" i="27"/>
  <c r="V237" i="27"/>
  <c r="V231" i="27" s="1"/>
  <c r="AI191" i="27"/>
  <c r="AA221" i="27"/>
  <c r="BA221" i="27"/>
  <c r="Y238" i="27"/>
  <c r="AA238" i="27" s="1"/>
  <c r="I185" i="27"/>
  <c r="Q185" i="27"/>
  <c r="Y187" i="27"/>
  <c r="AA189" i="27"/>
  <c r="Y201" i="27"/>
  <c r="AA215" i="27"/>
  <c r="BA215" i="27"/>
  <c r="J230" i="27"/>
  <c r="Y230" i="27" s="1"/>
  <c r="G235" i="27"/>
  <c r="E74" i="20" s="1"/>
  <c r="J185" i="27"/>
  <c r="Y185" i="27" s="1"/>
  <c r="R185" i="27"/>
  <c r="Z187" i="27"/>
  <c r="BA196" i="27"/>
  <c r="Z234" i="27"/>
  <c r="K185" i="27"/>
  <c r="S185" i="27"/>
  <c r="AA200" i="27"/>
  <c r="BA200" i="27"/>
  <c r="BA208" i="27"/>
  <c r="AA214" i="27"/>
  <c r="BA214" i="27"/>
  <c r="R230" i="27"/>
  <c r="Z230" i="27" s="1"/>
  <c r="Y234" i="27"/>
  <c r="AA234" i="27" s="1"/>
  <c r="T185" i="27"/>
  <c r="AA220" i="27"/>
  <c r="K230" i="27"/>
  <c r="S230" i="27"/>
  <c r="AA206" i="27"/>
  <c r="AA211" i="27"/>
  <c r="AL122" i="20"/>
  <c r="AL123" i="20" s="1"/>
  <c r="AM97" i="20"/>
  <c r="AM96" i="20"/>
  <c r="AN118" i="20"/>
  <c r="AO118" i="20"/>
  <c r="AN14" i="24"/>
  <c r="AO14" i="24"/>
  <c r="AP14" i="24"/>
  <c r="AQ14" i="24"/>
  <c r="AN15" i="24"/>
  <c r="AO15" i="24"/>
  <c r="AP15" i="24"/>
  <c r="AQ15" i="24"/>
  <c r="AN16" i="24"/>
  <c r="AO16" i="24"/>
  <c r="AN17" i="24"/>
  <c r="AN18" i="24"/>
  <c r="AO18" i="24"/>
  <c r="AN19" i="24"/>
  <c r="AO19" i="24"/>
  <c r="AP19" i="24"/>
  <c r="AQ19" i="24"/>
  <c r="AN20" i="24"/>
  <c r="AO20" i="24"/>
  <c r="AP20" i="24"/>
  <c r="AQ20" i="24"/>
  <c r="AN21" i="24"/>
  <c r="AO21" i="24"/>
  <c r="AP21" i="24"/>
  <c r="AQ21" i="24"/>
  <c r="AN22" i="24"/>
  <c r="AO22" i="24"/>
  <c r="AP22" i="24"/>
  <c r="AQ22" i="24"/>
  <c r="AO13" i="24"/>
  <c r="AP13" i="24"/>
  <c r="AQ13" i="24"/>
  <c r="AN13" i="24"/>
  <c r="AJ22" i="24"/>
  <c r="AK22" i="24"/>
  <c r="AL22" i="24"/>
  <c r="AI22" i="24"/>
  <c r="Z14" i="24"/>
  <c r="AA14" i="24"/>
  <c r="AB14" i="24"/>
  <c r="AC14" i="24"/>
  <c r="AD14" i="24"/>
  <c r="Z15" i="24"/>
  <c r="AA15" i="24"/>
  <c r="AB15" i="24"/>
  <c r="AC15" i="24"/>
  <c r="AD15" i="24"/>
  <c r="Z16" i="24"/>
  <c r="AA16" i="24"/>
  <c r="AB16" i="24"/>
  <c r="AC16" i="24"/>
  <c r="AD16" i="24"/>
  <c r="Z17" i="24"/>
  <c r="AA17" i="24"/>
  <c r="AB17" i="24"/>
  <c r="AC17" i="24"/>
  <c r="AD17" i="24"/>
  <c r="Z18" i="24"/>
  <c r="AA18" i="24"/>
  <c r="AB18" i="24"/>
  <c r="AC18" i="24"/>
  <c r="AD18" i="24"/>
  <c r="Z19" i="24"/>
  <c r="AA19" i="24"/>
  <c r="AB19" i="24"/>
  <c r="AC19" i="24"/>
  <c r="AD19" i="24"/>
  <c r="AA13" i="24"/>
  <c r="AB13" i="24"/>
  <c r="AC13" i="24"/>
  <c r="AD13" i="24"/>
  <c r="Z13" i="24"/>
  <c r="AA178" i="28" l="1"/>
  <c r="BC178" i="28"/>
  <c r="AA83" i="28"/>
  <c r="BA176" i="28"/>
  <c r="H141" i="20"/>
  <c r="H159" i="20" s="1"/>
  <c r="I141" i="20"/>
  <c r="I159" i="20" s="1"/>
  <c r="G141" i="20"/>
  <c r="G159" i="20" s="1"/>
  <c r="L113" i="20"/>
  <c r="G113" i="20"/>
  <c r="Y113" i="20"/>
  <c r="Y87" i="20"/>
  <c r="H113" i="20"/>
  <c r="Z113" i="20"/>
  <c r="Z87" i="20"/>
  <c r="I113" i="20"/>
  <c r="AK106" i="28"/>
  <c r="AK105" i="28"/>
  <c r="R96" i="27"/>
  <c r="BA202" i="27"/>
  <c r="AH222" i="27"/>
  <c r="Z39" i="27"/>
  <c r="AA39" i="27" s="1"/>
  <c r="Z201" i="28"/>
  <c r="AA201" i="28" s="1"/>
  <c r="Z38" i="27"/>
  <c r="Z128" i="27" s="1"/>
  <c r="Z201" i="27"/>
  <c r="AA201" i="27" s="1"/>
  <c r="Z10" i="27"/>
  <c r="Z100" i="27" s="1"/>
  <c r="P235" i="28"/>
  <c r="P231" i="28" s="1"/>
  <c r="AR186" i="28" s="1"/>
  <c r="Z101" i="27"/>
  <c r="J236" i="27"/>
  <c r="Y236" i="27" s="1"/>
  <c r="AO190" i="28"/>
  <c r="AO145" i="28"/>
  <c r="Z100" i="28"/>
  <c r="R102" i="28"/>
  <c r="Y12" i="27"/>
  <c r="Y102" i="27" s="1"/>
  <c r="J51" i="27"/>
  <c r="J96" i="27" s="1"/>
  <c r="Y82" i="27"/>
  <c r="AR202" i="27"/>
  <c r="AA119" i="27"/>
  <c r="L231" i="28"/>
  <c r="BA185" i="28"/>
  <c r="BA140" i="28"/>
  <c r="Y140" i="28"/>
  <c r="AO172" i="28"/>
  <c r="AO217" i="28"/>
  <c r="BA188" i="28"/>
  <c r="Y143" i="28"/>
  <c r="BA143" i="28"/>
  <c r="AH171" i="28"/>
  <c r="AU185" i="28"/>
  <c r="AU140" i="28"/>
  <c r="S140" i="28"/>
  <c r="W96" i="28"/>
  <c r="AA234" i="28"/>
  <c r="BA148" i="28"/>
  <c r="BA193" i="28"/>
  <c r="Y148" i="28"/>
  <c r="AR185" i="28"/>
  <c r="P140" i="28"/>
  <c r="AR140" i="28"/>
  <c r="AP185" i="28"/>
  <c r="AP140" i="28"/>
  <c r="N140" i="28"/>
  <c r="AH172" i="28"/>
  <c r="AR141" i="28"/>
  <c r="P141" i="28"/>
  <c r="K236" i="28"/>
  <c r="Y41" i="28"/>
  <c r="Y176" i="28" s="1"/>
  <c r="AA27" i="28"/>
  <c r="AA117" i="28" s="1"/>
  <c r="Y117" i="28"/>
  <c r="M96" i="28"/>
  <c r="AP217" i="28"/>
  <c r="N235" i="28"/>
  <c r="AP201" i="28"/>
  <c r="Z219" i="28"/>
  <c r="AS201" i="28"/>
  <c r="Q190" i="28"/>
  <c r="AS156" i="28"/>
  <c r="M192" i="28"/>
  <c r="AO162" i="28"/>
  <c r="AO207" i="28"/>
  <c r="Z207" i="28"/>
  <c r="AM201" i="28"/>
  <c r="K190" i="28"/>
  <c r="AM156" i="28"/>
  <c r="U235" i="28"/>
  <c r="U231" i="28" s="1"/>
  <c r="L95" i="28"/>
  <c r="BC194" i="28"/>
  <c r="AA149" i="28"/>
  <c r="BC149" i="28"/>
  <c r="AA155" i="28"/>
  <c r="BC200" i="28"/>
  <c r="BC155" i="28"/>
  <c r="Z232" i="28"/>
  <c r="AA188" i="28"/>
  <c r="AA170" i="28"/>
  <c r="BC215" i="28"/>
  <c r="BC170" i="28"/>
  <c r="BC189" i="28"/>
  <c r="AA144" i="28"/>
  <c r="BC144" i="28"/>
  <c r="Z185" i="28"/>
  <c r="AO185" i="28"/>
  <c r="M140" i="28"/>
  <c r="AO140" i="28"/>
  <c r="V253" i="28"/>
  <c r="V237" i="28" s="1"/>
  <c r="V231" i="28" s="1"/>
  <c r="V208" i="28"/>
  <c r="Z208" i="28" s="1"/>
  <c r="V12" i="28"/>
  <c r="Z12" i="28" s="1"/>
  <c r="V73" i="28"/>
  <c r="V57" i="28" s="1"/>
  <c r="V51" i="28" s="1"/>
  <c r="AQ219" i="28"/>
  <c r="AQ217" i="28"/>
  <c r="O235" i="28"/>
  <c r="AQ201" i="28"/>
  <c r="AA8" i="28"/>
  <c r="AA98" i="28" s="1"/>
  <c r="X235" i="28"/>
  <c r="X231" i="28" s="1"/>
  <c r="Z112" i="28"/>
  <c r="Z157" i="28"/>
  <c r="K235" i="28"/>
  <c r="AW201" i="28"/>
  <c r="U190" i="28"/>
  <c r="AW156" i="28"/>
  <c r="X192" i="28"/>
  <c r="AZ208" i="28"/>
  <c r="AZ163" i="28"/>
  <c r="Y115" i="28"/>
  <c r="AA25" i="28"/>
  <c r="AA115" i="28" s="1"/>
  <c r="T235" i="28"/>
  <c r="T231" i="28" s="1"/>
  <c r="H235" i="28"/>
  <c r="AJ216" i="28"/>
  <c r="AJ201" i="28"/>
  <c r="F6" i="28"/>
  <c r="F141" i="28" s="1"/>
  <c r="Y10" i="28"/>
  <c r="F100" i="28"/>
  <c r="AR202" i="28"/>
  <c r="AR224" i="28"/>
  <c r="Z224" i="28"/>
  <c r="AR179" i="28"/>
  <c r="AH202" i="28"/>
  <c r="Z233" i="28"/>
  <c r="AA233" i="28" s="1"/>
  <c r="BA189" i="28"/>
  <c r="BA144" i="28"/>
  <c r="Y144" i="28"/>
  <c r="W140" i="28"/>
  <c r="AY185" i="28"/>
  <c r="AY140" i="28"/>
  <c r="BB188" i="28"/>
  <c r="Z143" i="28"/>
  <c r="BB143" i="28"/>
  <c r="F230" i="28"/>
  <c r="Y230" i="28" s="1"/>
  <c r="Y232" i="28"/>
  <c r="BB189" i="28"/>
  <c r="BB144" i="28"/>
  <c r="Z144" i="28"/>
  <c r="Z230" i="28"/>
  <c r="AM204" i="28"/>
  <c r="K191" i="28"/>
  <c r="AA24" i="28"/>
  <c r="AA114" i="28" s="1"/>
  <c r="AW208" i="28"/>
  <c r="U192" i="28"/>
  <c r="AW163" i="28"/>
  <c r="P100" i="28"/>
  <c r="Q235" i="28"/>
  <c r="Q231" i="28" s="1"/>
  <c r="Y87" i="28"/>
  <c r="AA87" i="28" s="1"/>
  <c r="Y5" i="28"/>
  <c r="Y95" i="28" s="1"/>
  <c r="AA209" i="28"/>
  <c r="AN164" i="28"/>
  <c r="AN209" i="28"/>
  <c r="L192" i="28"/>
  <c r="AM205" i="28"/>
  <c r="AM160" i="28"/>
  <c r="AR172" i="28"/>
  <c r="Z82" i="28"/>
  <c r="AZ210" i="28"/>
  <c r="X193" i="28"/>
  <c r="AZ165" i="28"/>
  <c r="Z210" i="28"/>
  <c r="Y205" i="28"/>
  <c r="AL205" i="28"/>
  <c r="AL160" i="28"/>
  <c r="Y216" i="28"/>
  <c r="AK201" i="28"/>
  <c r="I190" i="28"/>
  <c r="AK156" i="28"/>
  <c r="H96" i="28"/>
  <c r="Y42" i="28"/>
  <c r="Y177" i="28" s="1"/>
  <c r="AH217" i="28"/>
  <c r="AH216" i="28"/>
  <c r="F235" i="28"/>
  <c r="U102" i="28"/>
  <c r="J145" i="28"/>
  <c r="AL145" i="28"/>
  <c r="BA201" i="28"/>
  <c r="Y156" i="28"/>
  <c r="BA156" i="28"/>
  <c r="AV185" i="28"/>
  <c r="AV140" i="28"/>
  <c r="T140" i="28"/>
  <c r="AZ185" i="28"/>
  <c r="X140" i="28"/>
  <c r="AZ140" i="28"/>
  <c r="Z38" i="28"/>
  <c r="Z128" i="28" s="1"/>
  <c r="X102" i="28"/>
  <c r="X6" i="28"/>
  <c r="X96" i="28" s="1"/>
  <c r="Y157" i="28"/>
  <c r="Y112" i="28"/>
  <c r="AA22" i="28"/>
  <c r="Y82" i="28"/>
  <c r="Y128" i="28"/>
  <c r="I235" i="28"/>
  <c r="I231" i="28" s="1"/>
  <c r="V100" i="28"/>
  <c r="T96" i="28"/>
  <c r="BC199" i="28"/>
  <c r="AA154" i="28"/>
  <c r="BC154" i="28"/>
  <c r="AA180" i="28"/>
  <c r="BC225" i="28"/>
  <c r="BC180" i="28"/>
  <c r="O140" i="28"/>
  <c r="AQ185" i="28"/>
  <c r="AQ140" i="28"/>
  <c r="AW140" i="28"/>
  <c r="U140" i="28"/>
  <c r="AW185" i="28"/>
  <c r="Y37" i="28"/>
  <c r="N145" i="28"/>
  <c r="N100" i="28"/>
  <c r="N6" i="28"/>
  <c r="Z42" i="28"/>
  <c r="Z132" i="28" s="1"/>
  <c r="AP204" i="28"/>
  <c r="N236" i="28"/>
  <c r="F56" i="28"/>
  <c r="AU205" i="28"/>
  <c r="Z205" i="28"/>
  <c r="S191" i="28"/>
  <c r="AU160" i="28"/>
  <c r="Z36" i="28"/>
  <c r="Z126" i="28" s="1"/>
  <c r="AL217" i="28"/>
  <c r="J235" i="28"/>
  <c r="AL190" i="28" s="1"/>
  <c r="AA28" i="28"/>
  <c r="AA134" i="28"/>
  <c r="L230" i="28"/>
  <c r="AA230" i="28" s="1"/>
  <c r="Y12" i="28"/>
  <c r="Z5" i="28"/>
  <c r="Z95" i="28" s="1"/>
  <c r="AS208" i="28"/>
  <c r="Q192" i="28"/>
  <c r="AS163" i="28"/>
  <c r="Z39" i="28"/>
  <c r="AT201" i="28"/>
  <c r="R190" i="28"/>
  <c r="AT156" i="28"/>
  <c r="F101" i="28"/>
  <c r="S6" i="28"/>
  <c r="S96" i="28" s="1"/>
  <c r="AA7" i="28"/>
  <c r="AA97" i="28" s="1"/>
  <c r="AJ185" i="28"/>
  <c r="H140" i="28"/>
  <c r="AJ140" i="28"/>
  <c r="BC220" i="28"/>
  <c r="BC175" i="28"/>
  <c r="AA175" i="28"/>
  <c r="AA50" i="28"/>
  <c r="I100" i="28"/>
  <c r="I6" i="28"/>
  <c r="I96" i="28" s="1"/>
  <c r="AA130" i="28"/>
  <c r="W235" i="28"/>
  <c r="W231" i="28" s="1"/>
  <c r="Z73" i="28"/>
  <c r="AA73" i="28" s="1"/>
  <c r="Q57" i="28"/>
  <c r="Z57" i="28" s="1"/>
  <c r="AI222" i="28"/>
  <c r="G235" i="28"/>
  <c r="AI202" i="28"/>
  <c r="Y99" i="28"/>
  <c r="AA9" i="28"/>
  <c r="AA99" i="28" s="1"/>
  <c r="L57" i="28"/>
  <c r="AA74" i="28"/>
  <c r="AA119" i="28" s="1"/>
  <c r="R235" i="28"/>
  <c r="R231" i="28" s="1"/>
  <c r="K100" i="28"/>
  <c r="K6" i="28"/>
  <c r="AL156" i="28"/>
  <c r="J55" i="28"/>
  <c r="AL172" i="28"/>
  <c r="BC213" i="28"/>
  <c r="AA168" i="28"/>
  <c r="BC168" i="28"/>
  <c r="BA157" i="28"/>
  <c r="AA67" i="28"/>
  <c r="BC157" i="28" s="1"/>
  <c r="R100" i="28"/>
  <c r="R6" i="28"/>
  <c r="R96" i="28" s="1"/>
  <c r="Y111" i="28"/>
  <c r="AA21" i="28"/>
  <c r="AA111" i="28" s="1"/>
  <c r="Z11" i="28"/>
  <c r="Z101" i="28" s="1"/>
  <c r="AL207" i="28"/>
  <c r="Y207" i="28"/>
  <c r="AL162" i="28"/>
  <c r="W190" i="28"/>
  <c r="AY201" i="28"/>
  <c r="AY156" i="28"/>
  <c r="AO174" i="28"/>
  <c r="AO219" i="28"/>
  <c r="G140" i="28"/>
  <c r="AI185" i="28"/>
  <c r="AI140" i="28"/>
  <c r="BA187" i="28"/>
  <c r="BA142" i="28"/>
  <c r="AA187" i="28"/>
  <c r="Y142" i="28"/>
  <c r="U96" i="28"/>
  <c r="Z216" i="28"/>
  <c r="AO216" i="28"/>
  <c r="AO171" i="28"/>
  <c r="AA222" i="28"/>
  <c r="BA222" i="28"/>
  <c r="BC176" i="28"/>
  <c r="BC221" i="28"/>
  <c r="BB142" i="28"/>
  <c r="BB187" i="28"/>
  <c r="Z142" i="28"/>
  <c r="AV208" i="28"/>
  <c r="T192" i="28"/>
  <c r="AV163" i="28"/>
  <c r="AY208" i="28"/>
  <c r="W192" i="28"/>
  <c r="AY163" i="28"/>
  <c r="Y36" i="28"/>
  <c r="X190" i="28"/>
  <c r="AA15" i="20" s="1"/>
  <c r="AZ201" i="28"/>
  <c r="AZ156" i="28"/>
  <c r="Y39" i="28"/>
  <c r="J249" i="28"/>
  <c r="J236" i="28" s="1"/>
  <c r="J204" i="28"/>
  <c r="J69" i="28"/>
  <c r="J11" i="28"/>
  <c r="AT208" i="28"/>
  <c r="R192" i="28"/>
  <c r="AT163" i="28"/>
  <c r="AJ222" i="28"/>
  <c r="AJ202" i="28"/>
  <c r="AR174" i="28"/>
  <c r="Z84" i="28"/>
  <c r="AA84" i="28" s="1"/>
  <c r="Z37" i="28"/>
  <c r="AV201" i="28"/>
  <c r="AV156" i="28"/>
  <c r="T190" i="28"/>
  <c r="Z117" i="28"/>
  <c r="Z37" i="27"/>
  <c r="AP190" i="27"/>
  <c r="Q46" i="20" s="1"/>
  <c r="Q74" i="20"/>
  <c r="AH202" i="27"/>
  <c r="M231" i="27"/>
  <c r="AR141" i="27"/>
  <c r="AR145" i="27"/>
  <c r="S14" i="20"/>
  <c r="K114" i="27"/>
  <c r="K96" i="27"/>
  <c r="K101" i="27"/>
  <c r="J100" i="27"/>
  <c r="AO190" i="27"/>
  <c r="P46" i="20" s="1"/>
  <c r="M145" i="27"/>
  <c r="P31" i="20" s="1"/>
  <c r="AO145" i="27"/>
  <c r="AA53" i="27"/>
  <c r="BA185" i="27"/>
  <c r="Y140" i="27"/>
  <c r="BA140" i="27"/>
  <c r="AO171" i="27"/>
  <c r="AO216" i="27"/>
  <c r="BC220" i="27"/>
  <c r="AA175" i="27"/>
  <c r="BC175" i="27"/>
  <c r="AH172" i="27"/>
  <c r="G231" i="27"/>
  <c r="AI186" i="27" s="1"/>
  <c r="AI190" i="27"/>
  <c r="E46" i="20" s="1"/>
  <c r="AA176" i="27"/>
  <c r="BC221" i="27"/>
  <c r="BC176" i="27"/>
  <c r="AR224" i="27"/>
  <c r="Z224" i="27"/>
  <c r="AR179" i="27"/>
  <c r="AA25" i="27"/>
  <c r="AA115" i="27" s="1"/>
  <c r="N236" i="27"/>
  <c r="AP204" i="27"/>
  <c r="P235" i="27"/>
  <c r="S74" i="20" s="1"/>
  <c r="AR219" i="27"/>
  <c r="AR217" i="27"/>
  <c r="Y157" i="27"/>
  <c r="Y112" i="27"/>
  <c r="AA22" i="27"/>
  <c r="AA112" i="27" s="1"/>
  <c r="Z5" i="27"/>
  <c r="Z95" i="27" s="1"/>
  <c r="J235" i="27"/>
  <c r="AL201" i="27"/>
  <c r="AL217" i="27"/>
  <c r="AZ208" i="27"/>
  <c r="X192" i="27"/>
  <c r="AZ163" i="27"/>
  <c r="AK201" i="27"/>
  <c r="I190" i="27"/>
  <c r="AK156" i="27"/>
  <c r="J101" i="27"/>
  <c r="AA169" i="27"/>
  <c r="BC169" i="27"/>
  <c r="BC214" i="27"/>
  <c r="BC200" i="27"/>
  <c r="AA155" i="27"/>
  <c r="BC155" i="27"/>
  <c r="BC189" i="27"/>
  <c r="BC144" i="27"/>
  <c r="AA144" i="27"/>
  <c r="BB189" i="27"/>
  <c r="Z144" i="27"/>
  <c r="BB144" i="27"/>
  <c r="BB157" i="27"/>
  <c r="BB202" i="27"/>
  <c r="Z157" i="27"/>
  <c r="AA24" i="27"/>
  <c r="AA114" i="27" s="1"/>
  <c r="AS201" i="27"/>
  <c r="Q190" i="27"/>
  <c r="T14" i="20" s="1"/>
  <c r="AS156" i="27"/>
  <c r="AA21" i="27"/>
  <c r="Y111" i="27"/>
  <c r="K235" i="27"/>
  <c r="K231" i="27" s="1"/>
  <c r="Y5" i="27"/>
  <c r="Y69" i="27"/>
  <c r="Y114" i="27" s="1"/>
  <c r="F56" i="27"/>
  <c r="Y205" i="27"/>
  <c r="AL205" i="27"/>
  <c r="AL160" i="27"/>
  <c r="V102" i="27"/>
  <c r="V6" i="27"/>
  <c r="AA11" i="27"/>
  <c r="Y37" i="27"/>
  <c r="AV201" i="27"/>
  <c r="T190" i="27"/>
  <c r="W14" i="20" s="1"/>
  <c r="AV156" i="27"/>
  <c r="P145" i="27"/>
  <c r="S31" i="20" s="1"/>
  <c r="P100" i="27"/>
  <c r="P6" i="27"/>
  <c r="O141" i="27"/>
  <c r="O96" i="27"/>
  <c r="AR172" i="27"/>
  <c r="AV185" i="27"/>
  <c r="AV140" i="27"/>
  <c r="T140" i="27"/>
  <c r="BA187" i="27"/>
  <c r="Y142" i="27"/>
  <c r="BA142" i="27"/>
  <c r="BC198" i="27"/>
  <c r="AA153" i="27"/>
  <c r="BC153" i="27"/>
  <c r="AT201" i="27"/>
  <c r="R190" i="27"/>
  <c r="U14" i="20" s="1"/>
  <c r="Z217" i="27"/>
  <c r="AT156" i="27"/>
  <c r="Q235" i="27"/>
  <c r="AT208" i="27"/>
  <c r="AT163" i="27"/>
  <c r="R192" i="27"/>
  <c r="Y97" i="27"/>
  <c r="AA7" i="27"/>
  <c r="AA97" i="27" s="1"/>
  <c r="Z36" i="27"/>
  <c r="Z126" i="27" s="1"/>
  <c r="AM205" i="27"/>
  <c r="AM160" i="27"/>
  <c r="AM201" i="27"/>
  <c r="K190" i="27"/>
  <c r="AM156" i="27"/>
  <c r="T235" i="27"/>
  <c r="Y55" i="27"/>
  <c r="AA55" i="27" s="1"/>
  <c r="BC211" i="27"/>
  <c r="AA166" i="27"/>
  <c r="BC166" i="27"/>
  <c r="AU185" i="27"/>
  <c r="AU140" i="27"/>
  <c r="S140" i="27"/>
  <c r="BB187" i="27"/>
  <c r="Z142" i="27"/>
  <c r="BB142" i="27"/>
  <c r="BA193" i="27"/>
  <c r="Y148" i="27"/>
  <c r="BA148" i="27"/>
  <c r="BA188" i="27"/>
  <c r="AA188" i="27"/>
  <c r="BA143" i="27"/>
  <c r="Y143" i="27"/>
  <c r="R235" i="27"/>
  <c r="AA66" i="27"/>
  <c r="AW208" i="27"/>
  <c r="U192" i="27"/>
  <c r="AW163" i="27"/>
  <c r="F145" i="27"/>
  <c r="D31" i="20" s="1"/>
  <c r="F100" i="27"/>
  <c r="F6" i="27"/>
  <c r="Y10" i="27"/>
  <c r="AH177" i="27"/>
  <c r="Y87" i="27"/>
  <c r="AA87" i="27" s="1"/>
  <c r="Y98" i="27"/>
  <c r="AA8" i="27"/>
  <c r="AA98" i="27" s="1"/>
  <c r="AI222" i="27"/>
  <c r="AI202" i="27"/>
  <c r="AX145" i="27"/>
  <c r="V51" i="27"/>
  <c r="AY208" i="27"/>
  <c r="W192" i="27"/>
  <c r="AY163" i="27"/>
  <c r="H246" i="27"/>
  <c r="H156" i="27"/>
  <c r="H111" i="27"/>
  <c r="AM185" i="27"/>
  <c r="AM140" i="27"/>
  <c r="K140" i="27"/>
  <c r="AL207" i="27"/>
  <c r="J192" i="27"/>
  <c r="Y207" i="27"/>
  <c r="AL162" i="27"/>
  <c r="N141" i="27"/>
  <c r="N96" i="27"/>
  <c r="Y81" i="27"/>
  <c r="AA81" i="27" s="1"/>
  <c r="AM204" i="27"/>
  <c r="K191" i="27"/>
  <c r="AM159" i="27"/>
  <c r="Z205" i="27"/>
  <c r="AU205" i="27"/>
  <c r="S191" i="27"/>
  <c r="AU160" i="27"/>
  <c r="AQ219" i="27"/>
  <c r="AQ217" i="27"/>
  <c r="O235" i="27"/>
  <c r="R74" i="20" s="1"/>
  <c r="AQ201" i="27"/>
  <c r="Z120" i="27"/>
  <c r="AA30" i="27"/>
  <c r="AA120" i="27" s="1"/>
  <c r="H247" i="27"/>
  <c r="H157" i="27"/>
  <c r="H112" i="27"/>
  <c r="Z210" i="27"/>
  <c r="AZ165" i="27"/>
  <c r="AZ210" i="27"/>
  <c r="X193" i="27"/>
  <c r="U190" i="27"/>
  <c r="X14" i="20" s="1"/>
  <c r="AW201" i="27"/>
  <c r="AW156" i="27"/>
  <c r="BC206" i="27"/>
  <c r="BC161" i="27"/>
  <c r="AA161" i="27"/>
  <c r="BB201" i="27"/>
  <c r="Z156" i="27"/>
  <c r="Z185" i="27"/>
  <c r="AA185" i="27" s="1"/>
  <c r="BC215" i="27"/>
  <c r="AA170" i="27"/>
  <c r="BC170" i="27"/>
  <c r="AS185" i="27"/>
  <c r="Q140" i="27"/>
  <c r="AS140" i="27"/>
  <c r="AA230" i="27"/>
  <c r="L231" i="27"/>
  <c r="AO173" i="27"/>
  <c r="AO218" i="27"/>
  <c r="AT185" i="27"/>
  <c r="R140" i="27"/>
  <c r="AT140" i="27"/>
  <c r="BA201" i="27"/>
  <c r="Y156" i="27"/>
  <c r="BA156" i="27"/>
  <c r="AK185" i="27"/>
  <c r="I140" i="27"/>
  <c r="AK140" i="27"/>
  <c r="BC225" i="27"/>
  <c r="AA180" i="27"/>
  <c r="BC180" i="27"/>
  <c r="BA222" i="27"/>
  <c r="AA222" i="27"/>
  <c r="Z72" i="27"/>
  <c r="M57" i="27"/>
  <c r="AX208" i="27"/>
  <c r="V192" i="27"/>
  <c r="AX163" i="27"/>
  <c r="AA209" i="27"/>
  <c r="AN209" i="27"/>
  <c r="L192" i="27"/>
  <c r="J14" i="20" s="1"/>
  <c r="AN164" i="27"/>
  <c r="Z111" i="27"/>
  <c r="AA28" i="27"/>
  <c r="W102" i="27"/>
  <c r="G141" i="27"/>
  <c r="G96" i="27"/>
  <c r="AQ172" i="27"/>
  <c r="Z82" i="27"/>
  <c r="W190" i="27"/>
  <c r="AY201" i="27"/>
  <c r="AY156" i="27"/>
  <c r="U235" i="27"/>
  <c r="Z159" i="27"/>
  <c r="Z114" i="27"/>
  <c r="T102" i="27"/>
  <c r="T6" i="27"/>
  <c r="T96" i="27" s="1"/>
  <c r="Z13" i="27"/>
  <c r="Z103" i="27" s="1"/>
  <c r="Z12" i="27"/>
  <c r="AO217" i="27"/>
  <c r="AO172" i="27"/>
  <c r="AL185" i="27"/>
  <c r="J140" i="27"/>
  <c r="AL140" i="27"/>
  <c r="Y216" i="27"/>
  <c r="AH171" i="27"/>
  <c r="BC213" i="27"/>
  <c r="AA168" i="27"/>
  <c r="BC168" i="27"/>
  <c r="BA189" i="27"/>
  <c r="Y144" i="27"/>
  <c r="BA144" i="27"/>
  <c r="AO207" i="27"/>
  <c r="M192" i="27"/>
  <c r="AO162" i="27"/>
  <c r="Z207" i="27"/>
  <c r="F235" i="27"/>
  <c r="D74" i="20" s="1"/>
  <c r="AH217" i="27"/>
  <c r="AH216" i="27"/>
  <c r="AH201" i="27"/>
  <c r="X102" i="27"/>
  <c r="X6" i="27"/>
  <c r="X96" i="27" s="1"/>
  <c r="AA134" i="27"/>
  <c r="Z73" i="27"/>
  <c r="AA73" i="27" s="1"/>
  <c r="Q57" i="27"/>
  <c r="AZ201" i="27"/>
  <c r="X190" i="27"/>
  <c r="AA14" i="20" s="1"/>
  <c r="AZ156" i="27"/>
  <c r="W235" i="27"/>
  <c r="W231" i="27" s="1"/>
  <c r="L102" i="27"/>
  <c r="L6" i="27"/>
  <c r="I100" i="27"/>
  <c r="Y129" i="27"/>
  <c r="Z132" i="27"/>
  <c r="AA202" i="27"/>
  <c r="BB188" i="27"/>
  <c r="Z143" i="27"/>
  <c r="BB143" i="27"/>
  <c r="AA187" i="27"/>
  <c r="AA133" i="27"/>
  <c r="Z237" i="27"/>
  <c r="AV163" i="27"/>
  <c r="AV208" i="27"/>
  <c r="T192" i="27"/>
  <c r="Y204" i="27"/>
  <c r="AL204" i="27"/>
  <c r="J191" i="27"/>
  <c r="AL159" i="27"/>
  <c r="AS208" i="27"/>
  <c r="Z208" i="27"/>
  <c r="AS163" i="27"/>
  <c r="Q192" i="27"/>
  <c r="X235" i="27"/>
  <c r="Y99" i="27"/>
  <c r="AA9" i="27"/>
  <c r="AA99" i="27" s="1"/>
  <c r="AQ174" i="27"/>
  <c r="Z84" i="27"/>
  <c r="AA84" i="27" s="1"/>
  <c r="I235" i="27"/>
  <c r="I231" i="27" s="1"/>
  <c r="Y128" i="27"/>
  <c r="Z20" i="24"/>
  <c r="AA20" i="24"/>
  <c r="AB20" i="24"/>
  <c r="AC20" i="24"/>
  <c r="AD20" i="24"/>
  <c r="L60" i="20"/>
  <c r="BA177" i="27" l="1"/>
  <c r="AA38" i="27"/>
  <c r="BB156" i="28"/>
  <c r="BB201" i="28"/>
  <c r="Z156" i="28"/>
  <c r="Y140" i="20"/>
  <c r="Y158" i="20" s="1"/>
  <c r="I140" i="20"/>
  <c r="I158" i="20" s="1"/>
  <c r="Z140" i="20"/>
  <c r="Z158" i="20" s="1"/>
  <c r="L140" i="20"/>
  <c r="H140" i="20"/>
  <c r="H158" i="20" s="1"/>
  <c r="G140" i="20"/>
  <c r="G158" i="20" s="1"/>
  <c r="E114" i="20"/>
  <c r="E141" i="20" s="1"/>
  <c r="E159" i="20" s="1"/>
  <c r="AG113" i="20"/>
  <c r="Q61" i="20"/>
  <c r="Q114" i="20"/>
  <c r="Q141" i="20" s="1"/>
  <c r="Q159" i="20" s="1"/>
  <c r="P61" i="20"/>
  <c r="P114" i="20"/>
  <c r="P141" i="20" s="1"/>
  <c r="P159" i="20" s="1"/>
  <c r="P128" i="20"/>
  <c r="X231" i="27"/>
  <c r="AA74" i="20"/>
  <c r="U231" i="27"/>
  <c r="X74" i="20"/>
  <c r="BB156" i="27"/>
  <c r="R231" i="27"/>
  <c r="U74" i="20"/>
  <c r="Q231" i="27"/>
  <c r="T74" i="20"/>
  <c r="T231" i="27"/>
  <c r="W74" i="20"/>
  <c r="AR190" i="28"/>
  <c r="S47" i="20" s="1"/>
  <c r="S129" i="20" s="1"/>
  <c r="AA38" i="28"/>
  <c r="AA128" i="28" s="1"/>
  <c r="Z129" i="28"/>
  <c r="Z127" i="28"/>
  <c r="AA82" i="28"/>
  <c r="Z237" i="28"/>
  <c r="AA237" i="28" s="1"/>
  <c r="AA12" i="27"/>
  <c r="AA82" i="27"/>
  <c r="AA237" i="27"/>
  <c r="K61" i="20"/>
  <c r="E61" i="20"/>
  <c r="E128" i="20"/>
  <c r="BB174" i="28"/>
  <c r="BB219" i="28"/>
  <c r="Z174" i="28"/>
  <c r="BA171" i="28"/>
  <c r="AA216" i="28"/>
  <c r="Y171" i="28"/>
  <c r="BA216" i="28"/>
  <c r="Z102" i="28"/>
  <c r="AV218" i="28"/>
  <c r="AV173" i="28"/>
  <c r="Z218" i="28"/>
  <c r="AA205" i="28"/>
  <c r="BA205" i="28"/>
  <c r="BA160" i="28"/>
  <c r="Y160" i="28"/>
  <c r="AA210" i="28"/>
  <c r="BB210" i="28"/>
  <c r="BB165" i="28"/>
  <c r="AM191" i="28"/>
  <c r="K146" i="28"/>
  <c r="L102" i="28"/>
  <c r="L51" i="28"/>
  <c r="S186" i="28"/>
  <c r="AU191" i="28"/>
  <c r="AU146" i="28"/>
  <c r="S146" i="28"/>
  <c r="Z191" i="28"/>
  <c r="Y129" i="28"/>
  <c r="AA39" i="28"/>
  <c r="BC187" i="28"/>
  <c r="BC142" i="28"/>
  <c r="AA142" i="28"/>
  <c r="BA207" i="28"/>
  <c r="AA207" i="28"/>
  <c r="Y162" i="28"/>
  <c r="BA162" i="28"/>
  <c r="G231" i="28"/>
  <c r="AI186" i="28" s="1"/>
  <c r="AI190" i="28"/>
  <c r="R186" i="28"/>
  <c r="AT145" i="28"/>
  <c r="AT190" i="28"/>
  <c r="R145" i="28"/>
  <c r="O231" i="28"/>
  <c r="AQ186" i="28" s="1"/>
  <c r="AQ190" i="28"/>
  <c r="R47" i="20" s="1"/>
  <c r="R129" i="20" s="1"/>
  <c r="AY192" i="28"/>
  <c r="AY147" i="28"/>
  <c r="W147" i="28"/>
  <c r="Y102" i="28"/>
  <c r="AA12" i="28"/>
  <c r="Z236" i="28"/>
  <c r="AP191" i="28"/>
  <c r="Y127" i="28"/>
  <c r="AA37" i="28"/>
  <c r="BC201" i="28"/>
  <c r="BC156" i="28"/>
  <c r="AA156" i="28"/>
  <c r="AZ192" i="28"/>
  <c r="AZ147" i="28"/>
  <c r="X147" i="28"/>
  <c r="AA143" i="28"/>
  <c r="BC188" i="28"/>
  <c r="BC143" i="28"/>
  <c r="AS190" i="28"/>
  <c r="Q186" i="28"/>
  <c r="AS145" i="28"/>
  <c r="Q145" i="28"/>
  <c r="Z190" i="28"/>
  <c r="AC15" i="20" s="1"/>
  <c r="BB140" i="28"/>
  <c r="BB185" i="28"/>
  <c r="Z140" i="28"/>
  <c r="AA185" i="28"/>
  <c r="AM172" i="28"/>
  <c r="AM217" i="28"/>
  <c r="AS219" i="28"/>
  <c r="AS174" i="28"/>
  <c r="Y131" i="28"/>
  <c r="AA41" i="28"/>
  <c r="AA176" i="28" s="1"/>
  <c r="AT192" i="28"/>
  <c r="AT147" i="28"/>
  <c r="R147" i="28"/>
  <c r="BB216" i="28"/>
  <c r="Z171" i="28"/>
  <c r="BB171" i="28"/>
  <c r="Q102" i="28"/>
  <c r="Q51" i="28"/>
  <c r="H231" i="28"/>
  <c r="AJ186" i="28" s="1"/>
  <c r="AJ190" i="28"/>
  <c r="I186" i="28"/>
  <c r="AK190" i="28"/>
  <c r="I145" i="28"/>
  <c r="AK145" i="28"/>
  <c r="Y190" i="28"/>
  <c r="AB15" i="20" s="1"/>
  <c r="AV192" i="28"/>
  <c r="T147" i="28"/>
  <c r="AV147" i="28"/>
  <c r="Y235" i="28"/>
  <c r="AH190" i="28"/>
  <c r="D47" i="20" s="1"/>
  <c r="D129" i="20" s="1"/>
  <c r="V102" i="28"/>
  <c r="BB207" i="28"/>
  <c r="Z162" i="28"/>
  <c r="BB162" i="28"/>
  <c r="AZ219" i="28"/>
  <c r="AZ174" i="28"/>
  <c r="AY216" i="28"/>
  <c r="AY171" i="28"/>
  <c r="J100" i="28"/>
  <c r="Y55" i="28"/>
  <c r="AA55" i="28" s="1"/>
  <c r="AS192" i="28"/>
  <c r="AS147" i="28"/>
  <c r="Q147" i="28"/>
  <c r="Z160" i="28"/>
  <c r="BB160" i="28"/>
  <c r="BB205" i="28"/>
  <c r="AK219" i="28"/>
  <c r="Y219" i="28"/>
  <c r="AK174" i="28"/>
  <c r="AL204" i="28"/>
  <c r="Y204" i="28"/>
  <c r="AL159" i="28"/>
  <c r="J191" i="28"/>
  <c r="Y126" i="28"/>
  <c r="AA36" i="28"/>
  <c r="BA177" i="28"/>
  <c r="Z118" i="28"/>
  <c r="AA10" i="28"/>
  <c r="K231" i="28"/>
  <c r="AM219" i="28"/>
  <c r="AM174" i="28"/>
  <c r="BB224" i="28"/>
  <c r="AA224" i="28"/>
  <c r="Z179" i="28"/>
  <c r="BB179" i="28"/>
  <c r="BB208" i="28"/>
  <c r="BB163" i="28"/>
  <c r="Z163" i="28"/>
  <c r="AA208" i="28"/>
  <c r="AA232" i="28"/>
  <c r="AW218" i="28"/>
  <c r="AW173" i="28"/>
  <c r="J6" i="28"/>
  <c r="Y6" i="28" s="1"/>
  <c r="AZ190" i="28"/>
  <c r="AA47" i="20" s="1"/>
  <c r="AZ145" i="28"/>
  <c r="X145" i="28"/>
  <c r="AA32" i="20" s="1"/>
  <c r="X186" i="28"/>
  <c r="AY190" i="28"/>
  <c r="W186" i="28"/>
  <c r="W145" i="28"/>
  <c r="AY145" i="28"/>
  <c r="Y11" i="28"/>
  <c r="AA112" i="28"/>
  <c r="AA157" i="28"/>
  <c r="AK217" i="28"/>
  <c r="AK172" i="28"/>
  <c r="L147" i="28"/>
  <c r="AN192" i="28"/>
  <c r="L186" i="28"/>
  <c r="AN147" i="28"/>
  <c r="AW190" i="28"/>
  <c r="U186" i="28"/>
  <c r="AW145" i="28"/>
  <c r="U145" i="28"/>
  <c r="AM218" i="28"/>
  <c r="Y218" i="28"/>
  <c r="AM173" i="28"/>
  <c r="J56" i="28"/>
  <c r="J101" i="28" s="1"/>
  <c r="AA118" i="28"/>
  <c r="N141" i="28"/>
  <c r="N96" i="28"/>
  <c r="AZ193" i="28"/>
  <c r="X148" i="28"/>
  <c r="AZ148" i="28"/>
  <c r="Z193" i="28"/>
  <c r="V192" i="28"/>
  <c r="Z192" i="28" s="1"/>
  <c r="AX208" i="28"/>
  <c r="AX163" i="28"/>
  <c r="N231" i="28"/>
  <c r="AP190" i="28"/>
  <c r="Z235" i="28"/>
  <c r="Y217" i="28"/>
  <c r="AV190" i="28"/>
  <c r="T145" i="28"/>
  <c r="T186" i="28"/>
  <c r="AV145" i="28"/>
  <c r="Y236" i="28"/>
  <c r="BC222" i="28"/>
  <c r="BC177" i="28"/>
  <c r="AL192" i="28"/>
  <c r="Y192" i="28"/>
  <c r="J147" i="28"/>
  <c r="AL147" i="28"/>
  <c r="AT217" i="28"/>
  <c r="AT172" i="28"/>
  <c r="J231" i="28"/>
  <c r="F51" i="28"/>
  <c r="Y132" i="28"/>
  <c r="AA42" i="28"/>
  <c r="AA177" i="28" s="1"/>
  <c r="AK171" i="28"/>
  <c r="AK216" i="28"/>
  <c r="BC209" i="28"/>
  <c r="BC164" i="28"/>
  <c r="AA164" i="28"/>
  <c r="AW147" i="28"/>
  <c r="AW192" i="28"/>
  <c r="U147" i="28"/>
  <c r="F96" i="28"/>
  <c r="AA5" i="28"/>
  <c r="AA95" i="28" s="1"/>
  <c r="K186" i="28"/>
  <c r="K145" i="28"/>
  <c r="AM190" i="28"/>
  <c r="AM145" i="28"/>
  <c r="AO192" i="28"/>
  <c r="AO147" i="28"/>
  <c r="M147" i="28"/>
  <c r="M186" i="28"/>
  <c r="Z217" i="28"/>
  <c r="Q128" i="20"/>
  <c r="BC185" i="27"/>
  <c r="BC140" i="27"/>
  <c r="AA140" i="27"/>
  <c r="BC187" i="27"/>
  <c r="BC142" i="27"/>
  <c r="AA142" i="27"/>
  <c r="AA129" i="27"/>
  <c r="F231" i="27"/>
  <c r="AH190" i="27"/>
  <c r="D46" i="20" s="1"/>
  <c r="AY216" i="27"/>
  <c r="AY171" i="27"/>
  <c r="AA118" i="27"/>
  <c r="AA72" i="27"/>
  <c r="AA117" i="27" s="1"/>
  <c r="Z117" i="27"/>
  <c r="O231" i="27"/>
  <c r="AQ186" i="27" s="1"/>
  <c r="AQ190" i="27"/>
  <c r="R46" i="20" s="1"/>
  <c r="Z235" i="27"/>
  <c r="AC74" i="20" s="1"/>
  <c r="AM191" i="27"/>
  <c r="AM146" i="27"/>
  <c r="K146" i="27"/>
  <c r="AW192" i="27"/>
  <c r="U147" i="27"/>
  <c r="AW147" i="27"/>
  <c r="BC188" i="27"/>
  <c r="AA143" i="27"/>
  <c r="BC143" i="27"/>
  <c r="AM219" i="27"/>
  <c r="AM174" i="27"/>
  <c r="AT172" i="27"/>
  <c r="AT217" i="27"/>
  <c r="Z127" i="27"/>
  <c r="AL191" i="27"/>
  <c r="J186" i="27"/>
  <c r="J146" i="27"/>
  <c r="AL146" i="27"/>
  <c r="Y191" i="27"/>
  <c r="BB207" i="27"/>
  <c r="Z162" i="27"/>
  <c r="BB162" i="27"/>
  <c r="Z118" i="27"/>
  <c r="AY192" i="27"/>
  <c r="AY147" i="27"/>
  <c r="W147" i="27"/>
  <c r="AT190" i="27"/>
  <c r="U46" i="20" s="1"/>
  <c r="R186" i="27"/>
  <c r="R145" i="27"/>
  <c r="U31" i="20" s="1"/>
  <c r="AT145" i="27"/>
  <c r="AV218" i="27"/>
  <c r="AV173" i="27"/>
  <c r="AK216" i="27"/>
  <c r="AK171" i="27"/>
  <c r="AP191" i="27"/>
  <c r="N231" i="27"/>
  <c r="Z236" i="27"/>
  <c r="AA236" i="27" s="1"/>
  <c r="AS192" i="27"/>
  <c r="AS147" i="27"/>
  <c r="Q147" i="27"/>
  <c r="W186" i="27"/>
  <c r="AY190" i="27"/>
  <c r="AY145" i="27"/>
  <c r="W145" i="27"/>
  <c r="U186" i="27"/>
  <c r="AW190" i="27"/>
  <c r="X46" i="20" s="1"/>
  <c r="U145" i="27"/>
  <c r="X31" i="20" s="1"/>
  <c r="AW145" i="27"/>
  <c r="AM218" i="27"/>
  <c r="Y218" i="27"/>
  <c r="AM173" i="27"/>
  <c r="AT192" i="27"/>
  <c r="R147" i="27"/>
  <c r="AT147" i="27"/>
  <c r="AA37" i="27"/>
  <c r="Y127" i="27"/>
  <c r="BA205" i="27"/>
  <c r="AA205" i="27"/>
  <c r="Y160" i="27"/>
  <c r="BA160" i="27"/>
  <c r="Z129" i="27"/>
  <c r="AA128" i="27"/>
  <c r="M186" i="27"/>
  <c r="AO192" i="27"/>
  <c r="Z192" i="27"/>
  <c r="M147" i="27"/>
  <c r="AO147" i="27"/>
  <c r="BB172" i="27"/>
  <c r="Z172" i="27"/>
  <c r="BB217" i="27"/>
  <c r="BC222" i="27"/>
  <c r="BC177" i="27"/>
  <c r="AW173" i="27"/>
  <c r="AW218" i="27"/>
  <c r="Y100" i="27"/>
  <c r="AA10" i="27"/>
  <c r="AB39" i="27" s="1"/>
  <c r="AM217" i="27"/>
  <c r="AM172" i="27"/>
  <c r="P141" i="27"/>
  <c r="P96" i="27"/>
  <c r="Y56" i="27"/>
  <c r="F51" i="27"/>
  <c r="AA111" i="27"/>
  <c r="AZ192" i="27"/>
  <c r="AZ147" i="27"/>
  <c r="X147" i="27"/>
  <c r="Y41" i="27"/>
  <c r="Z6" i="27"/>
  <c r="AV192" i="27"/>
  <c r="T147" i="27"/>
  <c r="AV147" i="27"/>
  <c r="X186" i="27"/>
  <c r="AZ190" i="27"/>
  <c r="AA46" i="20" s="1"/>
  <c r="AZ145" i="27"/>
  <c r="X145" i="27"/>
  <c r="AA31" i="20" s="1"/>
  <c r="BA216" i="27"/>
  <c r="BA171" i="27"/>
  <c r="L186" i="27"/>
  <c r="AN192" i="27"/>
  <c r="J46" i="20" s="1"/>
  <c r="L147" i="27"/>
  <c r="J31" i="20" s="1"/>
  <c r="AN147" i="27"/>
  <c r="AZ193" i="27"/>
  <c r="X148" i="27"/>
  <c r="AZ148" i="27"/>
  <c r="Z193" i="27"/>
  <c r="AJ222" i="27"/>
  <c r="AJ202" i="27"/>
  <c r="AU191" i="27"/>
  <c r="S186" i="27"/>
  <c r="AU146" i="27"/>
  <c r="S146" i="27"/>
  <c r="Z191" i="27"/>
  <c r="Y36" i="27"/>
  <c r="Y171" i="27" s="1"/>
  <c r="F141" i="27"/>
  <c r="F96" i="27"/>
  <c r="Y6" i="27"/>
  <c r="BA204" i="27"/>
  <c r="AA204" i="27"/>
  <c r="Y159" i="27"/>
  <c r="BA159" i="27"/>
  <c r="V186" i="27"/>
  <c r="AX192" i="27"/>
  <c r="V147" i="27"/>
  <c r="AX147" i="27"/>
  <c r="BC201" i="27"/>
  <c r="AA156" i="27"/>
  <c r="BC156" i="27"/>
  <c r="Z218" i="27"/>
  <c r="Y95" i="27"/>
  <c r="AA5" i="27"/>
  <c r="AA95" i="27" s="1"/>
  <c r="AS190" i="27"/>
  <c r="T46" i="20" s="1"/>
  <c r="Z190" i="27"/>
  <c r="AC14" i="20" s="1"/>
  <c r="Q186" i="27"/>
  <c r="AS145" i="27"/>
  <c r="Q145" i="27"/>
  <c r="T31" i="20" s="1"/>
  <c r="AK190" i="27"/>
  <c r="I186" i="27"/>
  <c r="AK145" i="27"/>
  <c r="I145" i="27"/>
  <c r="Y190" i="27"/>
  <c r="AB14" i="20" s="1"/>
  <c r="BB208" i="27"/>
  <c r="Z163" i="27"/>
  <c r="BB163" i="27"/>
  <c r="AA208" i="27"/>
  <c r="L96" i="27"/>
  <c r="BC209" i="27"/>
  <c r="AA164" i="27"/>
  <c r="BC164" i="27"/>
  <c r="BB185" i="27"/>
  <c r="Z140" i="27"/>
  <c r="BB140" i="27"/>
  <c r="BB205" i="27"/>
  <c r="Z160" i="27"/>
  <c r="BB160" i="27"/>
  <c r="AA207" i="27"/>
  <c r="BA207" i="27"/>
  <c r="BA162" i="27"/>
  <c r="Y162" i="27"/>
  <c r="V96" i="27"/>
  <c r="AK217" i="27"/>
  <c r="AK172" i="27"/>
  <c r="Y217" i="27"/>
  <c r="Z216" i="27"/>
  <c r="AA216" i="27" s="1"/>
  <c r="BC202" i="27"/>
  <c r="AA157" i="27"/>
  <c r="BC157" i="27"/>
  <c r="AZ219" i="27"/>
  <c r="AZ174" i="27"/>
  <c r="Q51" i="27"/>
  <c r="Q96" i="27" s="1"/>
  <c r="Q102" i="27"/>
  <c r="M51" i="27"/>
  <c r="Z57" i="27"/>
  <c r="Z102" i="27" s="1"/>
  <c r="M102" i="27"/>
  <c r="BB210" i="27"/>
  <c r="Z165" i="27"/>
  <c r="BB165" i="27"/>
  <c r="AA210" i="27"/>
  <c r="AL192" i="27"/>
  <c r="J147" i="27"/>
  <c r="AL147" i="27"/>
  <c r="Y192" i="27"/>
  <c r="H235" i="27"/>
  <c r="F74" i="20" s="1"/>
  <c r="AJ201" i="27"/>
  <c r="AJ216" i="27"/>
  <c r="K186" i="27"/>
  <c r="AM190" i="27"/>
  <c r="K145" i="27"/>
  <c r="AM145" i="27"/>
  <c r="Y42" i="27"/>
  <c r="T186" i="27"/>
  <c r="AV190" i="27"/>
  <c r="W46" i="20" s="1"/>
  <c r="T145" i="27"/>
  <c r="W31" i="20" s="1"/>
  <c r="AV145" i="27"/>
  <c r="AS219" i="27"/>
  <c r="AS174" i="27"/>
  <c r="Z219" i="27"/>
  <c r="AK219" i="27"/>
  <c r="Y219" i="27"/>
  <c r="AK174" i="27"/>
  <c r="J231" i="27"/>
  <c r="AL190" i="27"/>
  <c r="P231" i="27"/>
  <c r="AR186" i="27" s="1"/>
  <c r="AR190" i="27"/>
  <c r="S46" i="20" s="1"/>
  <c r="BB224" i="27"/>
  <c r="AA224" i="27"/>
  <c r="Z179" i="27"/>
  <c r="BB179" i="27"/>
  <c r="AD23" i="24"/>
  <c r="M245" i="20"/>
  <c r="J245" i="20"/>
  <c r="I245" i="20"/>
  <c r="H245" i="20"/>
  <c r="AF4" i="24"/>
  <c r="AF5" i="24"/>
  <c r="AF7" i="24"/>
  <c r="AF8" i="24"/>
  <c r="AF3" i="24"/>
  <c r="AE10" i="24"/>
  <c r="AF9" i="24" s="1"/>
  <c r="J201" i="25"/>
  <c r="N249" i="25"/>
  <c r="AP204" i="25" s="1"/>
  <c r="K25" i="25"/>
  <c r="S25" i="25"/>
  <c r="S115" i="25" s="1"/>
  <c r="J201" i="21"/>
  <c r="J201" i="19"/>
  <c r="S13" i="20"/>
  <c r="O21" i="25"/>
  <c r="AA9" i="24"/>
  <c r="Z9" i="24"/>
  <c r="Z73" i="20"/>
  <c r="Y73" i="20"/>
  <c r="Q73" i="20"/>
  <c r="I73" i="20"/>
  <c r="H73" i="20"/>
  <c r="L112" i="20"/>
  <c r="L118" i="20" s="1"/>
  <c r="AG118" i="20" s="1"/>
  <c r="V60" i="20"/>
  <c r="Z45" i="20"/>
  <c r="Y45" i="20"/>
  <c r="V45" i="20"/>
  <c r="Q45" i="20"/>
  <c r="I45" i="20"/>
  <c r="Z30" i="20"/>
  <c r="Y30" i="20"/>
  <c r="V30" i="20"/>
  <c r="Q30" i="20"/>
  <c r="I30" i="20"/>
  <c r="G30" i="20"/>
  <c r="E30" i="20"/>
  <c r="Z13" i="20"/>
  <c r="Y13" i="20"/>
  <c r="V13" i="20"/>
  <c r="R13" i="20"/>
  <c r="Q13" i="20"/>
  <c r="I13" i="20"/>
  <c r="G13" i="20"/>
  <c r="E13" i="20"/>
  <c r="AD5" i="24"/>
  <c r="AD6" i="24"/>
  <c r="AD3" i="24"/>
  <c r="AC10" i="24"/>
  <c r="AD7" i="24" s="1"/>
  <c r="J21" i="25"/>
  <c r="J24" i="25" s="1"/>
  <c r="J69" i="25" s="1"/>
  <c r="K21" i="25"/>
  <c r="I21" i="25"/>
  <c r="F22" i="25"/>
  <c r="F21" i="25"/>
  <c r="P202" i="25"/>
  <c r="P201" i="25"/>
  <c r="AA7" i="24"/>
  <c r="AA6" i="24"/>
  <c r="AA5" i="24"/>
  <c r="AA4" i="24"/>
  <c r="Z8" i="24"/>
  <c r="AI21" i="25"/>
  <c r="AI20" i="25"/>
  <c r="AI19" i="25"/>
  <c r="AI18" i="25"/>
  <c r="AI17" i="25"/>
  <c r="W73" i="25"/>
  <c r="T73" i="25"/>
  <c r="R73" i="25"/>
  <c r="R57" i="25" s="1"/>
  <c r="L74" i="25"/>
  <c r="Q73" i="25"/>
  <c r="Q57" i="25" s="1"/>
  <c r="U28" i="25"/>
  <c r="U73" i="25" s="1"/>
  <c r="U57" i="25" s="1"/>
  <c r="T28" i="25"/>
  <c r="R28" i="25"/>
  <c r="S12" i="25"/>
  <c r="S102" i="25" s="1"/>
  <c r="V28" i="25"/>
  <c r="V73" i="25" s="1"/>
  <c r="X28" i="25"/>
  <c r="X73" i="25" s="1"/>
  <c r="X57" i="25" s="1"/>
  <c r="W28" i="25"/>
  <c r="M72" i="25"/>
  <c r="AD301" i="25"/>
  <c r="AC301" i="25"/>
  <c r="AB301" i="25"/>
  <c r="AD300" i="25"/>
  <c r="AD303" i="25" s="1"/>
  <c r="AC300" i="25"/>
  <c r="AC303" i="25" s="1"/>
  <c r="AB300" i="25"/>
  <c r="AB303" i="25" s="1"/>
  <c r="AA270" i="25"/>
  <c r="Z270" i="25"/>
  <c r="Y270" i="25"/>
  <c r="AA269" i="25"/>
  <c r="Z269" i="25"/>
  <c r="Y269" i="25"/>
  <c r="AA268" i="25"/>
  <c r="Z268" i="25"/>
  <c r="Y268" i="25"/>
  <c r="AA267" i="25"/>
  <c r="Z267" i="25"/>
  <c r="Y267" i="25"/>
  <c r="AA266" i="25"/>
  <c r="Z266" i="25"/>
  <c r="Y266" i="25"/>
  <c r="AA265" i="25"/>
  <c r="Z265" i="25"/>
  <c r="Y265" i="25"/>
  <c r="AA264" i="25"/>
  <c r="Z264" i="25"/>
  <c r="Y264" i="25"/>
  <c r="AA263" i="25"/>
  <c r="Z263" i="25"/>
  <c r="Y263" i="25"/>
  <c r="AA262" i="25"/>
  <c r="Z262" i="25"/>
  <c r="Y262" i="25"/>
  <c r="AA261" i="25"/>
  <c r="Z261" i="25"/>
  <c r="Y261" i="25"/>
  <c r="AA260" i="25"/>
  <c r="Z260" i="25"/>
  <c r="Y260" i="25"/>
  <c r="X260" i="25"/>
  <c r="W260" i="25"/>
  <c r="V260" i="25"/>
  <c r="U260" i="25"/>
  <c r="T260" i="25"/>
  <c r="S260" i="25"/>
  <c r="R260" i="25"/>
  <c r="Q260" i="25"/>
  <c r="P260" i="25"/>
  <c r="O260" i="25"/>
  <c r="N260" i="25"/>
  <c r="M260" i="25"/>
  <c r="L260" i="25"/>
  <c r="K260" i="25"/>
  <c r="J260" i="25"/>
  <c r="I260" i="25"/>
  <c r="H260" i="25"/>
  <c r="G260" i="25"/>
  <c r="F260" i="25"/>
  <c r="AA259" i="25"/>
  <c r="Z259" i="25"/>
  <c r="Y259" i="25"/>
  <c r="X259" i="25"/>
  <c r="W259" i="25"/>
  <c r="V259" i="25"/>
  <c r="U259" i="25"/>
  <c r="T259" i="25"/>
  <c r="S259" i="25"/>
  <c r="R259" i="25"/>
  <c r="Q259" i="25"/>
  <c r="P259" i="25"/>
  <c r="O259" i="25"/>
  <c r="N259" i="25"/>
  <c r="M259" i="25"/>
  <c r="L259" i="25"/>
  <c r="K259" i="25"/>
  <c r="J259" i="25"/>
  <c r="I259" i="25"/>
  <c r="H259" i="25"/>
  <c r="G259" i="25"/>
  <c r="F259" i="25"/>
  <c r="AA258" i="25"/>
  <c r="Z258" i="25"/>
  <c r="Y258" i="25"/>
  <c r="X258" i="25"/>
  <c r="W258" i="25"/>
  <c r="V258" i="25"/>
  <c r="U258" i="25"/>
  <c r="T258" i="25"/>
  <c r="S258" i="25"/>
  <c r="R258" i="25"/>
  <c r="Q258" i="25"/>
  <c r="P258" i="25"/>
  <c r="O258" i="25"/>
  <c r="N258" i="25"/>
  <c r="M258" i="25"/>
  <c r="L258" i="25"/>
  <c r="K258" i="25"/>
  <c r="J258" i="25"/>
  <c r="I258" i="25"/>
  <c r="H258" i="25"/>
  <c r="G258" i="25"/>
  <c r="F258" i="25"/>
  <c r="AA257" i="25"/>
  <c r="Z257" i="25"/>
  <c r="Y257" i="25"/>
  <c r="X257" i="25"/>
  <c r="W257" i="25"/>
  <c r="V257" i="25"/>
  <c r="U257" i="25"/>
  <c r="T257" i="25"/>
  <c r="S257" i="25"/>
  <c r="R257" i="25"/>
  <c r="Q257" i="25"/>
  <c r="P257" i="25"/>
  <c r="O257" i="25"/>
  <c r="N257" i="25"/>
  <c r="M257" i="25"/>
  <c r="L257" i="25"/>
  <c r="K257" i="25"/>
  <c r="J257" i="25"/>
  <c r="I257" i="25"/>
  <c r="H257" i="25"/>
  <c r="G257" i="25"/>
  <c r="F257" i="25"/>
  <c r="AA256" i="25"/>
  <c r="Z256" i="25"/>
  <c r="Y256" i="25"/>
  <c r="X256" i="25"/>
  <c r="W256" i="25"/>
  <c r="V256" i="25"/>
  <c r="U256" i="25"/>
  <c r="T256" i="25"/>
  <c r="S256" i="25"/>
  <c r="R256" i="25"/>
  <c r="Q256" i="25"/>
  <c r="P256" i="25"/>
  <c r="O256" i="25"/>
  <c r="N256" i="25"/>
  <c r="M256" i="25"/>
  <c r="L256" i="25"/>
  <c r="K256" i="25"/>
  <c r="J256" i="25"/>
  <c r="I256" i="25"/>
  <c r="H256" i="25"/>
  <c r="G256" i="25"/>
  <c r="F256" i="25"/>
  <c r="AA255" i="25"/>
  <c r="Z255" i="25"/>
  <c r="Y255" i="25"/>
  <c r="W255" i="25"/>
  <c r="W238" i="25" s="1"/>
  <c r="V255" i="25"/>
  <c r="U255" i="25"/>
  <c r="T255" i="25"/>
  <c r="S255" i="25"/>
  <c r="R255" i="25"/>
  <c r="Q255" i="25"/>
  <c r="P255" i="25"/>
  <c r="P238" i="25" s="1"/>
  <c r="O255" i="25"/>
  <c r="O238" i="25" s="1"/>
  <c r="N255" i="25"/>
  <c r="M255" i="25"/>
  <c r="L255" i="25"/>
  <c r="K255" i="25"/>
  <c r="J255" i="25"/>
  <c r="I255" i="25"/>
  <c r="H255" i="25"/>
  <c r="H238" i="25" s="1"/>
  <c r="G255" i="25"/>
  <c r="G238" i="25" s="1"/>
  <c r="F255" i="25"/>
  <c r="AA254" i="25"/>
  <c r="Z254" i="25"/>
  <c r="Y254" i="25"/>
  <c r="X254" i="25"/>
  <c r="W254" i="25"/>
  <c r="V254" i="25"/>
  <c r="U254" i="25"/>
  <c r="T254" i="25"/>
  <c r="S254" i="25"/>
  <c r="R254" i="25"/>
  <c r="Q254" i="25"/>
  <c r="P254" i="25"/>
  <c r="O254" i="25"/>
  <c r="N254" i="25"/>
  <c r="M254" i="25"/>
  <c r="K254" i="25"/>
  <c r="J254" i="25"/>
  <c r="I254" i="25"/>
  <c r="H254" i="25"/>
  <c r="G254" i="25"/>
  <c r="F254" i="25"/>
  <c r="AA253" i="25"/>
  <c r="Z253" i="25"/>
  <c r="Y253" i="25"/>
  <c r="S253" i="25"/>
  <c r="P253" i="25"/>
  <c r="O253" i="25"/>
  <c r="O237" i="25" s="1"/>
  <c r="N253" i="25"/>
  <c r="M253" i="25"/>
  <c r="L253" i="25"/>
  <c r="K253" i="25"/>
  <c r="K237" i="25" s="1"/>
  <c r="J253" i="25"/>
  <c r="I253" i="25"/>
  <c r="H253" i="25"/>
  <c r="G253" i="25"/>
  <c r="F253" i="25"/>
  <c r="AA252" i="25"/>
  <c r="Z252" i="25"/>
  <c r="Y252" i="25"/>
  <c r="X252" i="25"/>
  <c r="W252" i="25"/>
  <c r="V252" i="25"/>
  <c r="U252" i="25"/>
  <c r="T252" i="25"/>
  <c r="S252" i="25"/>
  <c r="R252" i="25"/>
  <c r="Q252" i="25"/>
  <c r="P252" i="25"/>
  <c r="O252" i="25"/>
  <c r="N252" i="25"/>
  <c r="L252" i="25"/>
  <c r="K252" i="25"/>
  <c r="I252" i="25"/>
  <c r="H252" i="25"/>
  <c r="H237" i="25" s="1"/>
  <c r="G252" i="25"/>
  <c r="F252" i="25"/>
  <c r="AA251" i="25"/>
  <c r="Z251" i="25"/>
  <c r="Y251" i="25"/>
  <c r="X251" i="25"/>
  <c r="W251" i="25"/>
  <c r="V251" i="25"/>
  <c r="V236" i="25" s="1"/>
  <c r="U251" i="25"/>
  <c r="T251" i="25"/>
  <c r="S251" i="25"/>
  <c r="R251" i="25"/>
  <c r="Q251" i="25"/>
  <c r="P251" i="25"/>
  <c r="O251" i="25"/>
  <c r="N251" i="25"/>
  <c r="M251" i="25"/>
  <c r="L251" i="25"/>
  <c r="K251" i="25"/>
  <c r="J251" i="25"/>
  <c r="I251" i="25"/>
  <c r="H251" i="25"/>
  <c r="G251" i="25"/>
  <c r="F251" i="25"/>
  <c r="AC250" i="25"/>
  <c r="AA250" i="25"/>
  <c r="Z250" i="25"/>
  <c r="Y250" i="25"/>
  <c r="X250" i="25"/>
  <c r="W250" i="25"/>
  <c r="V250" i="25"/>
  <c r="U250" i="25"/>
  <c r="T250" i="25"/>
  <c r="S250" i="25"/>
  <c r="R250" i="25"/>
  <c r="Q250" i="25"/>
  <c r="P250" i="25"/>
  <c r="O250" i="25"/>
  <c r="N250" i="25"/>
  <c r="M250" i="25"/>
  <c r="L250" i="25"/>
  <c r="L236" i="25" s="1"/>
  <c r="I250" i="25"/>
  <c r="H250" i="25"/>
  <c r="G250" i="25"/>
  <c r="F250" i="25"/>
  <c r="AA249" i="25"/>
  <c r="Z249" i="25"/>
  <c r="Y249" i="25"/>
  <c r="X249" i="25"/>
  <c r="X236" i="25" s="1"/>
  <c r="W249" i="25"/>
  <c r="W236" i="25" s="1"/>
  <c r="V249" i="25"/>
  <c r="U249" i="25"/>
  <c r="T249" i="25"/>
  <c r="S249" i="25"/>
  <c r="R249" i="25"/>
  <c r="Q249" i="25"/>
  <c r="Q236" i="25" s="1"/>
  <c r="P249" i="25"/>
  <c r="P236" i="25" s="1"/>
  <c r="O249" i="25"/>
  <c r="M249" i="25"/>
  <c r="L249" i="25"/>
  <c r="I249" i="25"/>
  <c r="H249" i="25"/>
  <c r="H236" i="25" s="1"/>
  <c r="G249" i="25"/>
  <c r="G236" i="25" s="1"/>
  <c r="AA248" i="25"/>
  <c r="Z248" i="25"/>
  <c r="Y248" i="25"/>
  <c r="X248" i="25"/>
  <c r="W248" i="25"/>
  <c r="V248" i="25"/>
  <c r="U248" i="25"/>
  <c r="T248" i="25"/>
  <c r="S248" i="25"/>
  <c r="R248" i="25"/>
  <c r="Q248" i="25"/>
  <c r="P248" i="25"/>
  <c r="O248" i="25"/>
  <c r="N248" i="25"/>
  <c r="M248" i="25"/>
  <c r="L248" i="25"/>
  <c r="K248" i="25"/>
  <c r="J248" i="25"/>
  <c r="I248" i="25"/>
  <c r="H248" i="25"/>
  <c r="G248" i="25"/>
  <c r="F248" i="25"/>
  <c r="AA247" i="25"/>
  <c r="Z247" i="25"/>
  <c r="Y247" i="25"/>
  <c r="X247" i="25"/>
  <c r="W247" i="25"/>
  <c r="V247" i="25"/>
  <c r="U247" i="25"/>
  <c r="T247" i="25"/>
  <c r="S247" i="25"/>
  <c r="R247" i="25"/>
  <c r="Q247" i="25"/>
  <c r="O247" i="25"/>
  <c r="N247" i="25"/>
  <c r="M247" i="25"/>
  <c r="L247" i="25"/>
  <c r="K247" i="25"/>
  <c r="J247" i="25"/>
  <c r="I247" i="25"/>
  <c r="AA246" i="25"/>
  <c r="Z246" i="25"/>
  <c r="Y246" i="25"/>
  <c r="V246" i="25"/>
  <c r="S246" i="25"/>
  <c r="S235" i="25" s="1"/>
  <c r="N246" i="25"/>
  <c r="M246" i="25"/>
  <c r="L246" i="25"/>
  <c r="G246" i="25"/>
  <c r="AA245" i="25"/>
  <c r="Z245" i="25"/>
  <c r="Y245" i="25"/>
  <c r="X245" i="25"/>
  <c r="X234" i="25" s="1"/>
  <c r="W245" i="25"/>
  <c r="V245" i="25"/>
  <c r="V234" i="25" s="1"/>
  <c r="U245" i="25"/>
  <c r="U234" i="25" s="1"/>
  <c r="T245" i="25"/>
  <c r="T234" i="25" s="1"/>
  <c r="S245" i="25"/>
  <c r="S234" i="25" s="1"/>
  <c r="R245" i="25"/>
  <c r="Q245" i="25"/>
  <c r="P245" i="25"/>
  <c r="P234" i="25" s="1"/>
  <c r="O245" i="25"/>
  <c r="N245" i="25"/>
  <c r="N234" i="25" s="1"/>
  <c r="M245" i="25"/>
  <c r="M234" i="25" s="1"/>
  <c r="L245" i="25"/>
  <c r="L234" i="25" s="1"/>
  <c r="K245" i="25"/>
  <c r="K234" i="25" s="1"/>
  <c r="J245" i="25"/>
  <c r="I245" i="25"/>
  <c r="H245" i="25"/>
  <c r="H234" i="25" s="1"/>
  <c r="G245" i="25"/>
  <c r="F245" i="25"/>
  <c r="AA244" i="25"/>
  <c r="Z244" i="25"/>
  <c r="Y244" i="25"/>
  <c r="X244" i="25"/>
  <c r="W244" i="25"/>
  <c r="V244" i="25"/>
  <c r="U244" i="25"/>
  <c r="T244" i="25"/>
  <c r="S244" i="25"/>
  <c r="S233" i="25" s="1"/>
  <c r="R244" i="25"/>
  <c r="Q244" i="25"/>
  <c r="P244" i="25"/>
  <c r="O244" i="25"/>
  <c r="N244" i="25"/>
  <c r="M244" i="25"/>
  <c r="L244" i="25"/>
  <c r="K244" i="25"/>
  <c r="K233" i="25" s="1"/>
  <c r="J244" i="25"/>
  <c r="I244" i="25"/>
  <c r="H244" i="25"/>
  <c r="G244" i="25"/>
  <c r="F244" i="25"/>
  <c r="AA243" i="25"/>
  <c r="Z243" i="25"/>
  <c r="Y243" i="25"/>
  <c r="X243" i="25"/>
  <c r="W243" i="25"/>
  <c r="V243" i="25"/>
  <c r="U243" i="25"/>
  <c r="T243" i="25"/>
  <c r="S243" i="25"/>
  <c r="R243" i="25"/>
  <c r="Q243" i="25"/>
  <c r="P243" i="25"/>
  <c r="O243" i="25"/>
  <c r="N243" i="25"/>
  <c r="M243" i="25"/>
  <c r="L243" i="25"/>
  <c r="K243" i="25"/>
  <c r="J243" i="25"/>
  <c r="I243" i="25"/>
  <c r="H243" i="25"/>
  <c r="G243" i="25"/>
  <c r="F243" i="25"/>
  <c r="AA242" i="25"/>
  <c r="Z242" i="25"/>
  <c r="Y242" i="25"/>
  <c r="X242" i="25"/>
  <c r="X233" i="25" s="1"/>
  <c r="W242" i="25"/>
  <c r="V242" i="25"/>
  <c r="U242" i="25"/>
  <c r="U233" i="25" s="1"/>
  <c r="T242" i="25"/>
  <c r="S242" i="25"/>
  <c r="R242" i="25"/>
  <c r="Q242" i="25"/>
  <c r="P242" i="25"/>
  <c r="P233" i="25" s="1"/>
  <c r="O242" i="25"/>
  <c r="N242" i="25"/>
  <c r="M242" i="25"/>
  <c r="M233" i="25" s="1"/>
  <c r="L242" i="25"/>
  <c r="K242" i="25"/>
  <c r="J242" i="25"/>
  <c r="I242" i="25"/>
  <c r="H242" i="25"/>
  <c r="H233" i="25" s="1"/>
  <c r="G242" i="25"/>
  <c r="F242" i="25"/>
  <c r="AA241" i="25"/>
  <c r="Z241" i="25"/>
  <c r="Y241" i="25"/>
  <c r="X241" i="25"/>
  <c r="W241" i="25"/>
  <c r="V241" i="25"/>
  <c r="U241" i="25"/>
  <c r="U232" i="25" s="1"/>
  <c r="T241" i="25"/>
  <c r="S241" i="25"/>
  <c r="R241" i="25"/>
  <c r="Q241" i="25"/>
  <c r="P241" i="25"/>
  <c r="O241" i="25"/>
  <c r="N241" i="25"/>
  <c r="M241" i="25"/>
  <c r="M232" i="25" s="1"/>
  <c r="L241" i="25"/>
  <c r="K241" i="25"/>
  <c r="J241" i="25"/>
  <c r="I241" i="25"/>
  <c r="H241" i="25"/>
  <c r="G241" i="25"/>
  <c r="F241" i="25"/>
  <c r="AA240" i="25"/>
  <c r="Z240" i="25"/>
  <c r="Y240" i="25"/>
  <c r="X240" i="25"/>
  <c r="W240" i="25"/>
  <c r="V240" i="25"/>
  <c r="U240" i="25"/>
  <c r="T240" i="25"/>
  <c r="S240" i="25"/>
  <c r="R240" i="25"/>
  <c r="R232" i="25" s="1"/>
  <c r="Q240" i="25"/>
  <c r="P240" i="25"/>
  <c r="O240" i="25"/>
  <c r="N240" i="25"/>
  <c r="M240" i="25"/>
  <c r="L240" i="25"/>
  <c r="K240" i="25"/>
  <c r="J240" i="25"/>
  <c r="I240" i="25"/>
  <c r="H240" i="25"/>
  <c r="G240" i="25"/>
  <c r="F240" i="25"/>
  <c r="AA239" i="25"/>
  <c r="Z239" i="25"/>
  <c r="Y239" i="25"/>
  <c r="X239" i="25"/>
  <c r="W239" i="25"/>
  <c r="W232" i="25" s="1"/>
  <c r="V239" i="25"/>
  <c r="U239" i="25"/>
  <c r="T239" i="25"/>
  <c r="S239" i="25"/>
  <c r="R239" i="25"/>
  <c r="Q239" i="25"/>
  <c r="P239" i="25"/>
  <c r="O239" i="25"/>
  <c r="O232" i="25" s="1"/>
  <c r="N239" i="25"/>
  <c r="M239" i="25"/>
  <c r="L239" i="25"/>
  <c r="K239" i="25"/>
  <c r="J239" i="25"/>
  <c r="J232" i="25" s="1"/>
  <c r="I239" i="25"/>
  <c r="H239" i="25"/>
  <c r="G239" i="25"/>
  <c r="G232" i="25" s="1"/>
  <c r="F239" i="25"/>
  <c r="V238" i="25"/>
  <c r="U238" i="25"/>
  <c r="T238" i="25"/>
  <c r="S238" i="25"/>
  <c r="R238" i="25"/>
  <c r="Q238" i="25"/>
  <c r="N238" i="25"/>
  <c r="M238" i="25"/>
  <c r="L238" i="25"/>
  <c r="K238" i="25"/>
  <c r="J238" i="25"/>
  <c r="I238" i="25"/>
  <c r="F238" i="25"/>
  <c r="P237" i="25"/>
  <c r="N237" i="25"/>
  <c r="I237" i="25"/>
  <c r="F237" i="25"/>
  <c r="O236" i="25"/>
  <c r="I236" i="25"/>
  <c r="W234" i="25"/>
  <c r="R234" i="25"/>
  <c r="Q234" i="25"/>
  <c r="O234" i="25"/>
  <c r="J234" i="25"/>
  <c r="I234" i="25"/>
  <c r="G234" i="25"/>
  <c r="F234" i="25"/>
  <c r="N232" i="25"/>
  <c r="AZ225" i="25"/>
  <c r="AY225" i="25"/>
  <c r="AX225" i="25"/>
  <c r="AW225" i="25"/>
  <c r="AV225" i="25"/>
  <c r="AU225" i="25"/>
  <c r="AT225" i="25"/>
  <c r="AS225" i="25"/>
  <c r="AR225" i="25"/>
  <c r="AQ225" i="25"/>
  <c r="AP225" i="25"/>
  <c r="AO225" i="25"/>
  <c r="AN225" i="25"/>
  <c r="AM225" i="25"/>
  <c r="AL225" i="25"/>
  <c r="AK225" i="25"/>
  <c r="AJ225" i="25"/>
  <c r="AI225" i="25"/>
  <c r="AH225" i="25"/>
  <c r="Z225" i="25"/>
  <c r="BB225" i="25" s="1"/>
  <c r="Y225" i="25"/>
  <c r="Y180" i="25" s="1"/>
  <c r="AZ224" i="25"/>
  <c r="AY224" i="25"/>
  <c r="AX224" i="25"/>
  <c r="AW224" i="25"/>
  <c r="AV224" i="25"/>
  <c r="AU224" i="25"/>
  <c r="AT224" i="25"/>
  <c r="AS224" i="25"/>
  <c r="AQ224" i="25"/>
  <c r="AP224" i="25"/>
  <c r="AO224" i="25"/>
  <c r="AN224" i="25"/>
  <c r="AM224" i="25"/>
  <c r="AL224" i="25"/>
  <c r="AK224" i="25"/>
  <c r="AJ224" i="25"/>
  <c r="AI224" i="25"/>
  <c r="AH224" i="25"/>
  <c r="Y224" i="25"/>
  <c r="BA224" i="25" s="1"/>
  <c r="Z224" i="25"/>
  <c r="BB224" i="25" s="1"/>
  <c r="AZ223" i="25"/>
  <c r="AY223" i="25"/>
  <c r="AX223" i="25"/>
  <c r="AW223" i="25"/>
  <c r="AV223" i="25"/>
  <c r="AU223" i="25"/>
  <c r="AT223" i="25"/>
  <c r="AS223" i="25"/>
  <c r="AR223" i="25"/>
  <c r="AQ223" i="25"/>
  <c r="AP223" i="25"/>
  <c r="AO223" i="25"/>
  <c r="AN223" i="25"/>
  <c r="AM223" i="25"/>
  <c r="AL223" i="25"/>
  <c r="AK223" i="25"/>
  <c r="AJ223" i="25"/>
  <c r="AI223" i="25"/>
  <c r="AH223" i="25"/>
  <c r="Z223" i="25"/>
  <c r="BB223" i="25" s="1"/>
  <c r="Y223" i="25"/>
  <c r="BA178" i="25" s="1"/>
  <c r="AZ222" i="25"/>
  <c r="AY222" i="25"/>
  <c r="AX222" i="25"/>
  <c r="AW222" i="25"/>
  <c r="AV222" i="25"/>
  <c r="AU222" i="25"/>
  <c r="AT222" i="25"/>
  <c r="AS222" i="25"/>
  <c r="AR222" i="25"/>
  <c r="AQ222" i="25"/>
  <c r="AP222" i="25"/>
  <c r="AO222" i="25"/>
  <c r="AN222" i="25"/>
  <c r="AM222" i="25"/>
  <c r="AL222" i="25"/>
  <c r="AK222" i="25"/>
  <c r="Z222" i="25"/>
  <c r="BB222" i="25" s="1"/>
  <c r="AZ221" i="25"/>
  <c r="AY221" i="25"/>
  <c r="AX221" i="25"/>
  <c r="AW221" i="25"/>
  <c r="AV221" i="25"/>
  <c r="AU221" i="25"/>
  <c r="AT221" i="25"/>
  <c r="AS221" i="25"/>
  <c r="AR221" i="25"/>
  <c r="AQ221" i="25"/>
  <c r="AP221" i="25"/>
  <c r="AO221" i="25"/>
  <c r="AN221" i="25"/>
  <c r="AM221" i="25"/>
  <c r="AL221" i="25"/>
  <c r="AK221" i="25"/>
  <c r="AJ221" i="25"/>
  <c r="AI221" i="25"/>
  <c r="AH221" i="25"/>
  <c r="Z221" i="25"/>
  <c r="BB221" i="25" s="1"/>
  <c r="Y221" i="25"/>
  <c r="BA176" i="25" s="1"/>
  <c r="AZ220" i="25"/>
  <c r="AY220" i="25"/>
  <c r="AX220" i="25"/>
  <c r="AW220" i="25"/>
  <c r="AV220" i="25"/>
  <c r="AU220" i="25"/>
  <c r="AT220" i="25"/>
  <c r="AS220" i="25"/>
  <c r="AR220" i="25"/>
  <c r="AQ220" i="25"/>
  <c r="AP220" i="25"/>
  <c r="AO220" i="25"/>
  <c r="AN220" i="25"/>
  <c r="AM220" i="25"/>
  <c r="AL220" i="25"/>
  <c r="AK220" i="25"/>
  <c r="AJ220" i="25"/>
  <c r="AI220" i="25"/>
  <c r="AH220" i="25"/>
  <c r="Z220" i="25"/>
  <c r="Y220" i="25"/>
  <c r="BA220" i="25" s="1"/>
  <c r="AY219" i="25"/>
  <c r="AX219" i="25"/>
  <c r="AW219" i="25"/>
  <c r="AV219" i="25"/>
  <c r="AU219" i="25"/>
  <c r="AT219" i="25"/>
  <c r="AP219" i="25"/>
  <c r="AN219" i="25"/>
  <c r="AL219" i="25"/>
  <c r="AJ219" i="25"/>
  <c r="AI219" i="25"/>
  <c r="AH219" i="25"/>
  <c r="AZ218" i="25"/>
  <c r="AY218" i="25"/>
  <c r="AX218" i="25"/>
  <c r="AU218" i="25"/>
  <c r="AT218" i="25"/>
  <c r="AS218" i="25"/>
  <c r="AR218" i="25"/>
  <c r="AQ218" i="25"/>
  <c r="AP218" i="25"/>
  <c r="AN218" i="25"/>
  <c r="AL218" i="25"/>
  <c r="AK218" i="25"/>
  <c r="AJ218" i="25"/>
  <c r="AI218" i="25"/>
  <c r="AH218" i="25"/>
  <c r="AZ217" i="25"/>
  <c r="AY217" i="25"/>
  <c r="AX217" i="25"/>
  <c r="AW217" i="25"/>
  <c r="AV217" i="25"/>
  <c r="AU217" i="25"/>
  <c r="AS217" i="25"/>
  <c r="AN217" i="25"/>
  <c r="AJ217" i="25"/>
  <c r="AI217" i="25"/>
  <c r="AP217" i="25"/>
  <c r="AZ216" i="25"/>
  <c r="AX216" i="25"/>
  <c r="AW216" i="25"/>
  <c r="AV216" i="25"/>
  <c r="AU216" i="25"/>
  <c r="AT216" i="25"/>
  <c r="AS216" i="25"/>
  <c r="AR216" i="25"/>
  <c r="AQ216" i="25"/>
  <c r="AP216" i="25"/>
  <c r="AN216" i="25"/>
  <c r="AM216" i="25"/>
  <c r="AL216" i="25"/>
  <c r="AI216" i="25"/>
  <c r="AZ215" i="25"/>
  <c r="AY215" i="25"/>
  <c r="AX215" i="25"/>
  <c r="AW215" i="25"/>
  <c r="AV215" i="25"/>
  <c r="AU215" i="25"/>
  <c r="AT215" i="25"/>
  <c r="AS215" i="25"/>
  <c r="AR215" i="25"/>
  <c r="AQ215" i="25"/>
  <c r="AP215" i="25"/>
  <c r="AO215" i="25"/>
  <c r="AN215" i="25"/>
  <c r="AM215" i="25"/>
  <c r="AL215" i="25"/>
  <c r="AK215" i="25"/>
  <c r="AJ215" i="25"/>
  <c r="AI215" i="25"/>
  <c r="AH215" i="25"/>
  <c r="Z215" i="25"/>
  <c r="BB215" i="25" s="1"/>
  <c r="Y215" i="25"/>
  <c r="BA215" i="25" s="1"/>
  <c r="AZ214" i="25"/>
  <c r="AY214" i="25"/>
  <c r="AX214" i="25"/>
  <c r="AW214" i="25"/>
  <c r="AV214" i="25"/>
  <c r="AU214" i="25"/>
  <c r="AT214" i="25"/>
  <c r="AS214" i="25"/>
  <c r="AR214" i="25"/>
  <c r="AQ214" i="25"/>
  <c r="AP214" i="25"/>
  <c r="AO214" i="25"/>
  <c r="AN214" i="25"/>
  <c r="AM214" i="25"/>
  <c r="AL214" i="25"/>
  <c r="AK214" i="25"/>
  <c r="AJ214" i="25"/>
  <c r="AI214" i="25"/>
  <c r="AH214" i="25"/>
  <c r="Z214" i="25"/>
  <c r="BB214" i="25" s="1"/>
  <c r="Y214" i="25"/>
  <c r="AZ213" i="25"/>
  <c r="AY213" i="25"/>
  <c r="AX213" i="25"/>
  <c r="AW213" i="25"/>
  <c r="AV213" i="25"/>
  <c r="AU213" i="25"/>
  <c r="AT213" i="25"/>
  <c r="AS213" i="25"/>
  <c r="AR213" i="25"/>
  <c r="AQ213" i="25"/>
  <c r="AP213" i="25"/>
  <c r="AO213" i="25"/>
  <c r="AN213" i="25"/>
  <c r="AM213" i="25"/>
  <c r="AL213" i="25"/>
  <c r="AK213" i="25"/>
  <c r="AJ213" i="25"/>
  <c r="AI213" i="25"/>
  <c r="AH213" i="25"/>
  <c r="Z213" i="25"/>
  <c r="Y213" i="25"/>
  <c r="BA213" i="25" s="1"/>
  <c r="AZ212" i="25"/>
  <c r="AY212" i="25"/>
  <c r="AX212" i="25"/>
  <c r="AW212" i="25"/>
  <c r="AV212" i="25"/>
  <c r="AU212" i="25"/>
  <c r="AT212" i="25"/>
  <c r="AS212" i="25"/>
  <c r="AR212" i="25"/>
  <c r="AQ212" i="25"/>
  <c r="AP212" i="25"/>
  <c r="AO212" i="25"/>
  <c r="AN212" i="25"/>
  <c r="AM212" i="25"/>
  <c r="AL212" i="25"/>
  <c r="AK212" i="25"/>
  <c r="AJ212" i="25"/>
  <c r="AI212" i="25"/>
  <c r="AH212" i="25"/>
  <c r="Z212" i="25"/>
  <c r="BB212" i="25" s="1"/>
  <c r="Y212" i="25"/>
  <c r="BA212" i="25" s="1"/>
  <c r="AZ211" i="25"/>
  <c r="AY211" i="25"/>
  <c r="AX211" i="25"/>
  <c r="AW211" i="25"/>
  <c r="AV211" i="25"/>
  <c r="AU211" i="25"/>
  <c r="AT211" i="25"/>
  <c r="AS211" i="25"/>
  <c r="AR211" i="25"/>
  <c r="AQ211" i="25"/>
  <c r="AP211" i="25"/>
  <c r="AO211" i="25"/>
  <c r="AN211" i="25"/>
  <c r="AM211" i="25"/>
  <c r="AL211" i="25"/>
  <c r="AK211" i="25"/>
  <c r="AJ211" i="25"/>
  <c r="AI211" i="25"/>
  <c r="AH211" i="25"/>
  <c r="Z211" i="25"/>
  <c r="BB211" i="25" s="1"/>
  <c r="Y211" i="25"/>
  <c r="BA210" i="25"/>
  <c r="AY210" i="25"/>
  <c r="AX210" i="25"/>
  <c r="AW210" i="25"/>
  <c r="AV210" i="25"/>
  <c r="AU210" i="25"/>
  <c r="AT210" i="25"/>
  <c r="AS210" i="25"/>
  <c r="AR210" i="25"/>
  <c r="AQ210" i="25"/>
  <c r="AP210" i="25"/>
  <c r="AO210" i="25"/>
  <c r="AN210" i="25"/>
  <c r="AM210" i="25"/>
  <c r="AL210" i="25"/>
  <c r="AK210" i="25"/>
  <c r="AJ210" i="25"/>
  <c r="AI210" i="25"/>
  <c r="AH210" i="25"/>
  <c r="Y210" i="25"/>
  <c r="AZ209" i="25"/>
  <c r="AY209" i="25"/>
  <c r="AX209" i="25"/>
  <c r="AW209" i="25"/>
  <c r="AV209" i="25"/>
  <c r="AU209" i="25"/>
  <c r="AT209" i="25"/>
  <c r="AS209" i="25"/>
  <c r="AR209" i="25"/>
  <c r="AQ209" i="25"/>
  <c r="AP209" i="25"/>
  <c r="AO209" i="25"/>
  <c r="AM209" i="25"/>
  <c r="AL209" i="25"/>
  <c r="AK209" i="25"/>
  <c r="AJ209" i="25"/>
  <c r="AI209" i="25"/>
  <c r="AH209" i="25"/>
  <c r="Z209" i="25"/>
  <c r="BB209" i="25" s="1"/>
  <c r="Y209" i="25"/>
  <c r="BA209" i="25" s="1"/>
  <c r="AU208" i="25"/>
  <c r="AR208" i="25"/>
  <c r="AQ208" i="25"/>
  <c r="AP208" i="25"/>
  <c r="AO208" i="25"/>
  <c r="AN208" i="25"/>
  <c r="AM208" i="25"/>
  <c r="AL208" i="25"/>
  <c r="AK208" i="25"/>
  <c r="AJ208" i="25"/>
  <c r="AI208" i="25"/>
  <c r="AH208" i="25"/>
  <c r="Y208" i="25"/>
  <c r="AZ207" i="25"/>
  <c r="AY207" i="25"/>
  <c r="AX207" i="25"/>
  <c r="AW207" i="25"/>
  <c r="AV207" i="25"/>
  <c r="AU207" i="25"/>
  <c r="AT207" i="25"/>
  <c r="AS207" i="25"/>
  <c r="AR207" i="25"/>
  <c r="AQ207" i="25"/>
  <c r="AP207" i="25"/>
  <c r="AN207" i="25"/>
  <c r="AM207" i="25"/>
  <c r="AK207" i="25"/>
  <c r="AJ207" i="25"/>
  <c r="AI207" i="25"/>
  <c r="AH207" i="25"/>
  <c r="AZ206" i="25"/>
  <c r="AY206" i="25"/>
  <c r="AX206" i="25"/>
  <c r="AW206" i="25"/>
  <c r="AV206" i="25"/>
  <c r="AU206" i="25"/>
  <c r="AT206" i="25"/>
  <c r="AS206" i="25"/>
  <c r="AR206" i="25"/>
  <c r="AQ206" i="25"/>
  <c r="AP206" i="25"/>
  <c r="AO206" i="25"/>
  <c r="AN206" i="25"/>
  <c r="AM206" i="25"/>
  <c r="AL206" i="25"/>
  <c r="AK206" i="25"/>
  <c r="AJ206" i="25"/>
  <c r="AI206" i="25"/>
  <c r="AH206" i="25"/>
  <c r="Z206" i="25"/>
  <c r="BB206" i="25" s="1"/>
  <c r="Y206" i="25"/>
  <c r="AY205" i="25"/>
  <c r="AW205" i="25"/>
  <c r="AT205" i="25"/>
  <c r="AS205" i="25"/>
  <c r="AR205" i="25"/>
  <c r="AQ205" i="25"/>
  <c r="AP205" i="25"/>
  <c r="AO205" i="25"/>
  <c r="AN205" i="25"/>
  <c r="AK205" i="25"/>
  <c r="AJ205" i="25"/>
  <c r="AI205" i="25"/>
  <c r="AH205" i="25"/>
  <c r="X205" i="25"/>
  <c r="AZ205" i="25" s="1"/>
  <c r="V205" i="25"/>
  <c r="AX205" i="25" s="1"/>
  <c r="T205" i="25"/>
  <c r="T191" i="25" s="1"/>
  <c r="S205" i="25"/>
  <c r="AZ204" i="25"/>
  <c r="AY204" i="25"/>
  <c r="AX204" i="25"/>
  <c r="AW204" i="25"/>
  <c r="AV204" i="25"/>
  <c r="AU204" i="25"/>
  <c r="AT204" i="25"/>
  <c r="AS204" i="25"/>
  <c r="AR204" i="25"/>
  <c r="AQ204" i="25"/>
  <c r="AO204" i="25"/>
  <c r="AN204" i="25"/>
  <c r="AK204" i="25"/>
  <c r="AJ204" i="25"/>
  <c r="AI204" i="25"/>
  <c r="AH204" i="25"/>
  <c r="Z204" i="25"/>
  <c r="AZ203" i="25"/>
  <c r="AY203" i="25"/>
  <c r="AX203" i="25"/>
  <c r="AW203" i="25"/>
  <c r="AV203" i="25"/>
  <c r="AU203" i="25"/>
  <c r="AT203" i="25"/>
  <c r="AS203" i="25"/>
  <c r="AR203" i="25"/>
  <c r="AQ203" i="25"/>
  <c r="AP203" i="25"/>
  <c r="AO203" i="25"/>
  <c r="AN203" i="25"/>
  <c r="AM203" i="25"/>
  <c r="AL203" i="25"/>
  <c r="AK203" i="25"/>
  <c r="AJ203" i="25"/>
  <c r="AI203" i="25"/>
  <c r="AH203" i="25"/>
  <c r="Z203" i="25"/>
  <c r="BB203" i="25" s="1"/>
  <c r="Y203" i="25"/>
  <c r="AA203" i="25" s="1"/>
  <c r="AZ202" i="25"/>
  <c r="AY202" i="25"/>
  <c r="AX202" i="25"/>
  <c r="AW202" i="25"/>
  <c r="AV202" i="25"/>
  <c r="AU202" i="25"/>
  <c r="AT202" i="25"/>
  <c r="AS202" i="25"/>
  <c r="AQ202" i="25"/>
  <c r="AP202" i="25"/>
  <c r="AO202" i="25"/>
  <c r="AN202" i="25"/>
  <c r="AM202" i="25"/>
  <c r="AL202" i="25"/>
  <c r="AK202" i="25"/>
  <c r="Z202" i="25"/>
  <c r="AU201" i="25"/>
  <c r="AP201" i="25"/>
  <c r="AN201" i="25"/>
  <c r="AI201" i="25"/>
  <c r="V201" i="25"/>
  <c r="AX201" i="25" s="1"/>
  <c r="M201" i="25"/>
  <c r="AZ200" i="25"/>
  <c r="AY200" i="25"/>
  <c r="AX200" i="25"/>
  <c r="AW200" i="25"/>
  <c r="AV200" i="25"/>
  <c r="AU200" i="25"/>
  <c r="AT200" i="25"/>
  <c r="AS200" i="25"/>
  <c r="AR200" i="25"/>
  <c r="AQ200" i="25"/>
  <c r="AP200" i="25"/>
  <c r="AO200" i="25"/>
  <c r="AN200" i="25"/>
  <c r="AM200" i="25"/>
  <c r="AL200" i="25"/>
  <c r="AK200" i="25"/>
  <c r="AJ200" i="25"/>
  <c r="AI200" i="25"/>
  <c r="AH200" i="25"/>
  <c r="Z200" i="25"/>
  <c r="BB200" i="25" s="1"/>
  <c r="Y200" i="25"/>
  <c r="AZ199" i="25"/>
  <c r="AY199" i="25"/>
  <c r="AX199" i="25"/>
  <c r="AW199" i="25"/>
  <c r="AV199" i="25"/>
  <c r="AU199" i="25"/>
  <c r="AT199" i="25"/>
  <c r="AS199" i="25"/>
  <c r="AR199" i="25"/>
  <c r="AQ199" i="25"/>
  <c r="AP199" i="25"/>
  <c r="AO199" i="25"/>
  <c r="AN199" i="25"/>
  <c r="AM199" i="25"/>
  <c r="AL199" i="25"/>
  <c r="AK199" i="25"/>
  <c r="AJ199" i="25"/>
  <c r="AI199" i="25"/>
  <c r="AH199" i="25"/>
  <c r="Z199" i="25"/>
  <c r="BB154" i="25" s="1"/>
  <c r="Y199" i="25"/>
  <c r="BA199" i="25" s="1"/>
  <c r="AZ198" i="25"/>
  <c r="AY198" i="25"/>
  <c r="AX198" i="25"/>
  <c r="AW198" i="25"/>
  <c r="AV198" i="25"/>
  <c r="AU198" i="25"/>
  <c r="AT198" i="25"/>
  <c r="AS198" i="25"/>
  <c r="AR198" i="25"/>
  <c r="AQ198" i="25"/>
  <c r="AP198" i="25"/>
  <c r="AO198" i="25"/>
  <c r="AN198" i="25"/>
  <c r="AM198" i="25"/>
  <c r="AL198" i="25"/>
  <c r="AK198" i="25"/>
  <c r="AJ198" i="25"/>
  <c r="AI198" i="25"/>
  <c r="AH198" i="25"/>
  <c r="Z198" i="25"/>
  <c r="BB198" i="25" s="1"/>
  <c r="Y198" i="25"/>
  <c r="BA198" i="25" s="1"/>
  <c r="AZ197" i="25"/>
  <c r="AY197" i="25"/>
  <c r="AX197" i="25"/>
  <c r="AW197" i="25"/>
  <c r="AV197" i="25"/>
  <c r="AU197" i="25"/>
  <c r="AT197" i="25"/>
  <c r="AS197" i="25"/>
  <c r="AR197" i="25"/>
  <c r="AQ197" i="25"/>
  <c r="AP197" i="25"/>
  <c r="AO197" i="25"/>
  <c r="AN197" i="25"/>
  <c r="AM197" i="25"/>
  <c r="AL197" i="25"/>
  <c r="AK197" i="25"/>
  <c r="AJ197" i="25"/>
  <c r="AI197" i="25"/>
  <c r="AH197" i="25"/>
  <c r="Z197" i="25"/>
  <c r="BB197" i="25" s="1"/>
  <c r="Y197" i="25"/>
  <c r="AZ196" i="25"/>
  <c r="AY196" i="25"/>
  <c r="AX196" i="25"/>
  <c r="AW196" i="25"/>
  <c r="AV196" i="25"/>
  <c r="AU196" i="25"/>
  <c r="AT196" i="25"/>
  <c r="AS196" i="25"/>
  <c r="AR196" i="25"/>
  <c r="AQ196" i="25"/>
  <c r="AP196" i="25"/>
  <c r="AO196" i="25"/>
  <c r="AN196" i="25"/>
  <c r="AM196" i="25"/>
  <c r="AL196" i="25"/>
  <c r="AK196" i="25"/>
  <c r="AJ196" i="25"/>
  <c r="AI196" i="25"/>
  <c r="AH196" i="25"/>
  <c r="Z196" i="25"/>
  <c r="Y196" i="25"/>
  <c r="BA196" i="25" s="1"/>
  <c r="BA195" i="25"/>
  <c r="AZ195" i="25"/>
  <c r="AY195" i="25"/>
  <c r="AX195" i="25"/>
  <c r="AW195" i="25"/>
  <c r="AV195" i="25"/>
  <c r="AU195" i="25"/>
  <c r="AT195" i="25"/>
  <c r="AS195" i="25"/>
  <c r="AR195" i="25"/>
  <c r="AQ195" i="25"/>
  <c r="AP195" i="25"/>
  <c r="AO195" i="25"/>
  <c r="AN195" i="25"/>
  <c r="AM195" i="25"/>
  <c r="AL195" i="25"/>
  <c r="AK195" i="25"/>
  <c r="AJ195" i="25"/>
  <c r="AI195" i="25"/>
  <c r="AH195" i="25"/>
  <c r="AA195" i="25"/>
  <c r="BC195" i="25" s="1"/>
  <c r="Z195" i="25"/>
  <c r="BB195" i="25" s="1"/>
  <c r="Y195" i="25"/>
  <c r="BA194" i="25"/>
  <c r="AZ194" i="25"/>
  <c r="AY194" i="25"/>
  <c r="AX194" i="25"/>
  <c r="AW194" i="25"/>
  <c r="AV194" i="25"/>
  <c r="AU194" i="25"/>
  <c r="AT194" i="25"/>
  <c r="AS194" i="25"/>
  <c r="AR194" i="25"/>
  <c r="AQ194" i="25"/>
  <c r="AP194" i="25"/>
  <c r="AO194" i="25"/>
  <c r="AN194" i="25"/>
  <c r="AM194" i="25"/>
  <c r="AL194" i="25"/>
  <c r="AK194" i="25"/>
  <c r="AJ194" i="25"/>
  <c r="AI194" i="25"/>
  <c r="AH194" i="25"/>
  <c r="Z194" i="25"/>
  <c r="BB194" i="25" s="1"/>
  <c r="Y194" i="25"/>
  <c r="AQ193" i="25"/>
  <c r="AN193" i="25"/>
  <c r="AM193" i="25"/>
  <c r="W193" i="25"/>
  <c r="AY193" i="25" s="1"/>
  <c r="V193" i="25"/>
  <c r="AX193" i="25" s="1"/>
  <c r="U193" i="25"/>
  <c r="AW193" i="25" s="1"/>
  <c r="T193" i="25"/>
  <c r="AV193" i="25" s="1"/>
  <c r="S193" i="25"/>
  <c r="AU193" i="25" s="1"/>
  <c r="R193" i="25"/>
  <c r="AT148" i="25" s="1"/>
  <c r="Q193" i="25"/>
  <c r="AS193" i="25" s="1"/>
  <c r="P193" i="25"/>
  <c r="O193" i="25"/>
  <c r="N193" i="25"/>
  <c r="AP193" i="25" s="1"/>
  <c r="M193" i="25"/>
  <c r="L193" i="25"/>
  <c r="K193" i="25"/>
  <c r="J193" i="25"/>
  <c r="AL148" i="25" s="1"/>
  <c r="I193" i="25"/>
  <c r="AK193" i="25" s="1"/>
  <c r="H193" i="25"/>
  <c r="G193" i="25"/>
  <c r="AI193" i="25" s="1"/>
  <c r="F193" i="25"/>
  <c r="AR192" i="25"/>
  <c r="AQ192" i="25"/>
  <c r="AP192" i="25"/>
  <c r="S192" i="25"/>
  <c r="AU192" i="25" s="1"/>
  <c r="P192" i="25"/>
  <c r="O192" i="25"/>
  <c r="N192" i="25"/>
  <c r="K192" i="25"/>
  <c r="AM147" i="25" s="1"/>
  <c r="I192" i="25"/>
  <c r="AK192" i="25" s="1"/>
  <c r="H192" i="25"/>
  <c r="AJ192" i="25" s="1"/>
  <c r="G192" i="25"/>
  <c r="AI192" i="25" s="1"/>
  <c r="F192" i="25"/>
  <c r="AR191" i="25"/>
  <c r="AQ191" i="25"/>
  <c r="AI191" i="25"/>
  <c r="X191" i="25"/>
  <c r="W191" i="25"/>
  <c r="AY191" i="25" s="1"/>
  <c r="U191" i="25"/>
  <c r="AW191" i="25" s="1"/>
  <c r="R191" i="25"/>
  <c r="AT191" i="25" s="1"/>
  <c r="Q191" i="25"/>
  <c r="AS191" i="25" s="1"/>
  <c r="P191" i="25"/>
  <c r="O191" i="25"/>
  <c r="N191" i="25"/>
  <c r="M191" i="25"/>
  <c r="AO191" i="25" s="1"/>
  <c r="L191" i="25"/>
  <c r="AN191" i="25" s="1"/>
  <c r="I191" i="25"/>
  <c r="AK191" i="25" s="1"/>
  <c r="H191" i="25"/>
  <c r="AJ191" i="25" s="1"/>
  <c r="G191" i="25"/>
  <c r="F191" i="25"/>
  <c r="AH191" i="25" s="1"/>
  <c r="V190" i="25"/>
  <c r="S190" i="25"/>
  <c r="AU190" i="25" s="1"/>
  <c r="P190" i="25"/>
  <c r="O190" i="25"/>
  <c r="O186" i="25" s="1"/>
  <c r="N190" i="25"/>
  <c r="M190" i="25"/>
  <c r="P13" i="20" s="1"/>
  <c r="L190" i="25"/>
  <c r="AN190" i="25" s="1"/>
  <c r="J190" i="25"/>
  <c r="H13" i="20" s="1"/>
  <c r="G190" i="25"/>
  <c r="G186" i="25" s="1"/>
  <c r="AY189" i="25"/>
  <c r="AI189" i="25"/>
  <c r="X189" i="25"/>
  <c r="W189" i="25"/>
  <c r="V189" i="25"/>
  <c r="AX189" i="25" s="1"/>
  <c r="U189" i="25"/>
  <c r="AW189" i="25" s="1"/>
  <c r="T189" i="25"/>
  <c r="AV189" i="25" s="1"/>
  <c r="S189" i="25"/>
  <c r="AU189" i="25" s="1"/>
  <c r="R189" i="25"/>
  <c r="AT189" i="25" s="1"/>
  <c r="Q189" i="25"/>
  <c r="AS189" i="25" s="1"/>
  <c r="P189" i="25"/>
  <c r="O189" i="25"/>
  <c r="AQ189" i="25" s="1"/>
  <c r="N189" i="25"/>
  <c r="AP189" i="25" s="1"/>
  <c r="M189" i="25"/>
  <c r="AO189" i="25" s="1"/>
  <c r="L189" i="25"/>
  <c r="AN189" i="25" s="1"/>
  <c r="K189" i="25"/>
  <c r="AM189" i="25" s="1"/>
  <c r="J189" i="25"/>
  <c r="AL189" i="25" s="1"/>
  <c r="I189" i="25"/>
  <c r="AK189" i="25" s="1"/>
  <c r="H189" i="25"/>
  <c r="G189" i="25"/>
  <c r="F189" i="25"/>
  <c r="AH189" i="25" s="1"/>
  <c r="AY188" i="25"/>
  <c r="AR188" i="25"/>
  <c r="AP188" i="25"/>
  <c r="AI188" i="25"/>
  <c r="AH188" i="25"/>
  <c r="X188" i="25"/>
  <c r="AZ188" i="25" s="1"/>
  <c r="W188" i="25"/>
  <c r="V188" i="25"/>
  <c r="AX188" i="25" s="1"/>
  <c r="U188" i="25"/>
  <c r="AW188" i="25" s="1"/>
  <c r="T188" i="25"/>
  <c r="S188" i="25"/>
  <c r="R188" i="25"/>
  <c r="AT188" i="25" s="1"/>
  <c r="Q188" i="25"/>
  <c r="Q143" i="25" s="1"/>
  <c r="P188" i="25"/>
  <c r="O188" i="25"/>
  <c r="AQ188" i="25" s="1"/>
  <c r="N188" i="25"/>
  <c r="M188" i="25"/>
  <c r="AO188" i="25" s="1"/>
  <c r="L188" i="25"/>
  <c r="K188" i="25"/>
  <c r="J188" i="25"/>
  <c r="AL188" i="25" s="1"/>
  <c r="I188" i="25"/>
  <c r="I143" i="25" s="1"/>
  <c r="H188" i="25"/>
  <c r="AJ188" i="25" s="1"/>
  <c r="G188" i="25"/>
  <c r="F188" i="25"/>
  <c r="X187" i="25"/>
  <c r="W187" i="25"/>
  <c r="AY187" i="25" s="1"/>
  <c r="V187" i="25"/>
  <c r="AX187" i="25" s="1"/>
  <c r="U187" i="25"/>
  <c r="AW187" i="25" s="1"/>
  <c r="T187" i="25"/>
  <c r="AV187" i="25" s="1"/>
  <c r="S187" i="25"/>
  <c r="AU187" i="25" s="1"/>
  <c r="R187" i="25"/>
  <c r="AT187" i="25" s="1"/>
  <c r="Q187" i="25"/>
  <c r="AS187" i="25" s="1"/>
  <c r="P187" i="25"/>
  <c r="P185" i="25" s="1"/>
  <c r="O187" i="25"/>
  <c r="N187" i="25"/>
  <c r="AP187" i="25" s="1"/>
  <c r="M187" i="25"/>
  <c r="L187" i="25"/>
  <c r="K187" i="25"/>
  <c r="AM187" i="25" s="1"/>
  <c r="J187" i="25"/>
  <c r="AL187" i="25" s="1"/>
  <c r="I187" i="25"/>
  <c r="AK187" i="25" s="1"/>
  <c r="H187" i="25"/>
  <c r="G187" i="25"/>
  <c r="F187" i="25"/>
  <c r="AH187" i="25" s="1"/>
  <c r="M185" i="25"/>
  <c r="BB180" i="25"/>
  <c r="BA180" i="25"/>
  <c r="AZ180" i="25"/>
  <c r="AY180" i="25"/>
  <c r="AX180" i="25"/>
  <c r="AW180" i="25"/>
  <c r="AV180" i="25"/>
  <c r="AU180" i="25"/>
  <c r="AT180" i="25"/>
  <c r="AS180" i="25"/>
  <c r="AR180" i="25"/>
  <c r="AQ180" i="25"/>
  <c r="AP180" i="25"/>
  <c r="AO180" i="25"/>
  <c r="AN180" i="25"/>
  <c r="AM180" i="25"/>
  <c r="AL180" i="25"/>
  <c r="AK180" i="25"/>
  <c r="AJ180" i="25"/>
  <c r="AI180" i="25"/>
  <c r="AH180" i="25"/>
  <c r="Z180" i="25"/>
  <c r="BA179" i="25"/>
  <c r="AZ179" i="25"/>
  <c r="AY179" i="25"/>
  <c r="AX179" i="25"/>
  <c r="AW179" i="25"/>
  <c r="AV179" i="25"/>
  <c r="AU179" i="25"/>
  <c r="AT179" i="25"/>
  <c r="AS179" i="25"/>
  <c r="AR179" i="25"/>
  <c r="AQ179" i="25"/>
  <c r="AP179" i="25"/>
  <c r="AO179" i="25"/>
  <c r="AN179" i="25"/>
  <c r="AM179" i="25"/>
  <c r="AL179" i="25"/>
  <c r="AK179" i="25"/>
  <c r="AJ179" i="25"/>
  <c r="AI179" i="25"/>
  <c r="AH179" i="25"/>
  <c r="Y179" i="25"/>
  <c r="BB178" i="25"/>
  <c r="AZ178" i="25"/>
  <c r="AY178" i="25"/>
  <c r="AX178" i="25"/>
  <c r="AW178" i="25"/>
  <c r="AV178" i="25"/>
  <c r="AU178" i="25"/>
  <c r="AT178" i="25"/>
  <c r="AS178" i="25"/>
  <c r="AR178" i="25"/>
  <c r="AQ178" i="25"/>
  <c r="AP178" i="25"/>
  <c r="AO178" i="25"/>
  <c r="AN178" i="25"/>
  <c r="AM178" i="25"/>
  <c r="AL178" i="25"/>
  <c r="AK178" i="25"/>
  <c r="AJ178" i="25"/>
  <c r="AI178" i="25"/>
  <c r="AH178" i="25"/>
  <c r="Z178" i="25"/>
  <c r="Y178" i="25"/>
  <c r="BB177" i="25"/>
  <c r="AZ177" i="25"/>
  <c r="AY177" i="25"/>
  <c r="AX177" i="25"/>
  <c r="AW177" i="25"/>
  <c r="AV177" i="25"/>
  <c r="AU177" i="25"/>
  <c r="AT177" i="25"/>
  <c r="AS177" i="25"/>
  <c r="AR177" i="25"/>
  <c r="AQ177" i="25"/>
  <c r="AP177" i="25"/>
  <c r="AO177" i="25"/>
  <c r="AN177" i="25"/>
  <c r="AM177" i="25"/>
  <c r="AL177" i="25"/>
  <c r="AK177" i="25"/>
  <c r="Z177" i="25"/>
  <c r="BB176" i="25"/>
  <c r="AZ176" i="25"/>
  <c r="AY176" i="25"/>
  <c r="AX176" i="25"/>
  <c r="AW176" i="25"/>
  <c r="AV176" i="25"/>
  <c r="AU176" i="25"/>
  <c r="AT176" i="25"/>
  <c r="AS176" i="25"/>
  <c r="AR176" i="25"/>
  <c r="AQ176" i="25"/>
  <c r="AP176" i="25"/>
  <c r="AO176" i="25"/>
  <c r="AN176" i="25"/>
  <c r="AM176" i="25"/>
  <c r="AL176" i="25"/>
  <c r="AK176" i="25"/>
  <c r="AJ176" i="25"/>
  <c r="AI176" i="25"/>
  <c r="AH176" i="25"/>
  <c r="Z176" i="25"/>
  <c r="Y176" i="25"/>
  <c r="AZ175" i="25"/>
  <c r="AY175" i="25"/>
  <c r="AX175" i="25"/>
  <c r="AW175" i="25"/>
  <c r="AV175" i="25"/>
  <c r="AU175" i="25"/>
  <c r="AT175" i="25"/>
  <c r="AS175" i="25"/>
  <c r="AR175" i="25"/>
  <c r="AQ175" i="25"/>
  <c r="AP175" i="25"/>
  <c r="AO175" i="25"/>
  <c r="AN175" i="25"/>
  <c r="AM175" i="25"/>
  <c r="AL175" i="25"/>
  <c r="AK175" i="25"/>
  <c r="AJ175" i="25"/>
  <c r="AI175" i="25"/>
  <c r="AH175" i="25"/>
  <c r="AY174" i="25"/>
  <c r="AX174" i="25"/>
  <c r="AW174" i="25"/>
  <c r="AV174" i="25"/>
  <c r="AU174" i="25"/>
  <c r="AT174" i="25"/>
  <c r="AP174" i="25"/>
  <c r="AN174" i="25"/>
  <c r="AL174" i="25"/>
  <c r="AJ174" i="25"/>
  <c r="AI174" i="25"/>
  <c r="AH174" i="25"/>
  <c r="AZ173" i="25"/>
  <c r="AY173" i="25"/>
  <c r="AX173" i="25"/>
  <c r="AU173" i="25"/>
  <c r="AT173" i="25"/>
  <c r="AS173" i="25"/>
  <c r="AR173" i="25"/>
  <c r="AQ173" i="25"/>
  <c r="AP173" i="25"/>
  <c r="AN173" i="25"/>
  <c r="AL173" i="25"/>
  <c r="AK173" i="25"/>
  <c r="AJ173" i="25"/>
  <c r="AI173" i="25"/>
  <c r="AH173" i="25"/>
  <c r="AZ172" i="25"/>
  <c r="AY172" i="25"/>
  <c r="AX172" i="25"/>
  <c r="AW172" i="25"/>
  <c r="AV172" i="25"/>
  <c r="AU172" i="25"/>
  <c r="AS172" i="25"/>
  <c r="AN172" i="25"/>
  <c r="AJ172" i="25"/>
  <c r="AI172" i="25"/>
  <c r="AZ171" i="25"/>
  <c r="AX171" i="25"/>
  <c r="AW171" i="25"/>
  <c r="AV171" i="25"/>
  <c r="AU171" i="25"/>
  <c r="AT171" i="25"/>
  <c r="AS171" i="25"/>
  <c r="AR171" i="25"/>
  <c r="AQ171" i="25"/>
  <c r="AP171" i="25"/>
  <c r="AN171" i="25"/>
  <c r="AM171" i="25"/>
  <c r="AL171" i="25"/>
  <c r="AI171" i="25"/>
  <c r="BB170" i="25"/>
  <c r="BA170" i="25"/>
  <c r="AZ170" i="25"/>
  <c r="AY170" i="25"/>
  <c r="AX170" i="25"/>
  <c r="AW170" i="25"/>
  <c r="AV170" i="25"/>
  <c r="AU170" i="25"/>
  <c r="AT170" i="25"/>
  <c r="AS170" i="25"/>
  <c r="AR170" i="25"/>
  <c r="AQ170" i="25"/>
  <c r="AP170" i="25"/>
  <c r="AO170" i="25"/>
  <c r="AN170" i="25"/>
  <c r="AM170" i="25"/>
  <c r="AL170" i="25"/>
  <c r="AK170" i="25"/>
  <c r="AJ170" i="25"/>
  <c r="AI170" i="25"/>
  <c r="AH170" i="25"/>
  <c r="Z170" i="25"/>
  <c r="Y170" i="25"/>
  <c r="X170" i="25"/>
  <c r="W170" i="25"/>
  <c r="V170" i="25"/>
  <c r="U170" i="25"/>
  <c r="T170" i="25"/>
  <c r="S170" i="25"/>
  <c r="R170" i="25"/>
  <c r="Q170" i="25"/>
  <c r="P170" i="25"/>
  <c r="O170" i="25"/>
  <c r="N170" i="25"/>
  <c r="M170" i="25"/>
  <c r="L170" i="25"/>
  <c r="K170" i="25"/>
  <c r="J170" i="25"/>
  <c r="I170" i="25"/>
  <c r="H170" i="25"/>
  <c r="G170" i="25"/>
  <c r="F170" i="25"/>
  <c r="BB169" i="25"/>
  <c r="BA169" i="25"/>
  <c r="AZ169" i="25"/>
  <c r="AY169" i="25"/>
  <c r="AX169" i="25"/>
  <c r="AW169" i="25"/>
  <c r="AV169" i="25"/>
  <c r="AU169" i="25"/>
  <c r="AT169" i="25"/>
  <c r="AS169" i="25"/>
  <c r="AR169" i="25"/>
  <c r="AQ169" i="25"/>
  <c r="AP169" i="25"/>
  <c r="AO169" i="25"/>
  <c r="AN169" i="25"/>
  <c r="AM169" i="25"/>
  <c r="AL169" i="25"/>
  <c r="AK169" i="25"/>
  <c r="AJ169" i="25"/>
  <c r="AI169" i="25"/>
  <c r="AH169" i="25"/>
  <c r="Z169" i="25"/>
  <c r="X169" i="25"/>
  <c r="W169" i="25"/>
  <c r="V169" i="25"/>
  <c r="U169" i="25"/>
  <c r="T169" i="25"/>
  <c r="S169" i="25"/>
  <c r="R169" i="25"/>
  <c r="Q169" i="25"/>
  <c r="P169" i="25"/>
  <c r="O169" i="25"/>
  <c r="N169" i="25"/>
  <c r="M169" i="25"/>
  <c r="L169" i="25"/>
  <c r="K169" i="25"/>
  <c r="J169" i="25"/>
  <c r="I169" i="25"/>
  <c r="H169" i="25"/>
  <c r="G169" i="25"/>
  <c r="F169" i="25"/>
  <c r="BB168" i="25"/>
  <c r="BA168" i="25"/>
  <c r="AZ168" i="25"/>
  <c r="AY168" i="25"/>
  <c r="AX168" i="25"/>
  <c r="AW168" i="25"/>
  <c r="AV168" i="25"/>
  <c r="AU168" i="25"/>
  <c r="AT168" i="25"/>
  <c r="AS168" i="25"/>
  <c r="AR168" i="25"/>
  <c r="AQ168" i="25"/>
  <c r="AP168" i="25"/>
  <c r="AO168" i="25"/>
  <c r="AN168" i="25"/>
  <c r="AM168" i="25"/>
  <c r="AL168" i="25"/>
  <c r="AK168" i="25"/>
  <c r="AJ168" i="25"/>
  <c r="AI168" i="25"/>
  <c r="AH168" i="25"/>
  <c r="Z168" i="25"/>
  <c r="Y168" i="25"/>
  <c r="X168" i="25"/>
  <c r="W168" i="25"/>
  <c r="V168" i="25"/>
  <c r="U168" i="25"/>
  <c r="T168" i="25"/>
  <c r="S168" i="25"/>
  <c r="R168" i="25"/>
  <c r="Q168" i="25"/>
  <c r="P168" i="25"/>
  <c r="O168" i="25"/>
  <c r="N168" i="25"/>
  <c r="M168" i="25"/>
  <c r="L168" i="25"/>
  <c r="K168" i="25"/>
  <c r="J168" i="25"/>
  <c r="I168" i="25"/>
  <c r="H168" i="25"/>
  <c r="G168" i="25"/>
  <c r="F168" i="25"/>
  <c r="BB167" i="25"/>
  <c r="BA167" i="25"/>
  <c r="AZ167" i="25"/>
  <c r="AY167" i="25"/>
  <c r="AX167" i="25"/>
  <c r="AW167" i="25"/>
  <c r="AV167" i="25"/>
  <c r="AU167" i="25"/>
  <c r="AT167" i="25"/>
  <c r="AS167" i="25"/>
  <c r="AR167" i="25"/>
  <c r="AQ167" i="25"/>
  <c r="AP167" i="25"/>
  <c r="AO167" i="25"/>
  <c r="AN167" i="25"/>
  <c r="AM167" i="25"/>
  <c r="AL167" i="25"/>
  <c r="AK167" i="25"/>
  <c r="AJ167" i="25"/>
  <c r="AI167" i="25"/>
  <c r="AH167" i="25"/>
  <c r="Y167" i="25"/>
  <c r="X167" i="25"/>
  <c r="W167" i="25"/>
  <c r="V167" i="25"/>
  <c r="U167" i="25"/>
  <c r="T167" i="25"/>
  <c r="S167" i="25"/>
  <c r="R167" i="25"/>
  <c r="Q167" i="25"/>
  <c r="P167" i="25"/>
  <c r="O167" i="25"/>
  <c r="N167" i="25"/>
  <c r="M167" i="25"/>
  <c r="L167" i="25"/>
  <c r="K167" i="25"/>
  <c r="J167" i="25"/>
  <c r="I167" i="25"/>
  <c r="H167" i="25"/>
  <c r="G167" i="25"/>
  <c r="F167" i="25"/>
  <c r="BB166" i="25"/>
  <c r="BA166" i="25"/>
  <c r="AZ166" i="25"/>
  <c r="AY166" i="25"/>
  <c r="AX166" i="25"/>
  <c r="AW166" i="25"/>
  <c r="AV166" i="25"/>
  <c r="AU166" i="25"/>
  <c r="AT166" i="25"/>
  <c r="AS166" i="25"/>
  <c r="AR166" i="25"/>
  <c r="AQ166" i="25"/>
  <c r="AP166" i="25"/>
  <c r="AO166" i="25"/>
  <c r="AN166" i="25"/>
  <c r="AM166" i="25"/>
  <c r="AL166" i="25"/>
  <c r="AK166" i="25"/>
  <c r="AJ166" i="25"/>
  <c r="AI166" i="25"/>
  <c r="AH166" i="25"/>
  <c r="Z166" i="25"/>
  <c r="Y166" i="25"/>
  <c r="X166" i="25"/>
  <c r="W166" i="25"/>
  <c r="V166" i="25"/>
  <c r="U166" i="25"/>
  <c r="T166" i="25"/>
  <c r="S166" i="25"/>
  <c r="R166" i="25"/>
  <c r="Q166" i="25"/>
  <c r="P166" i="25"/>
  <c r="O166" i="25"/>
  <c r="N166" i="25"/>
  <c r="M166" i="25"/>
  <c r="L166" i="25"/>
  <c r="K166" i="25"/>
  <c r="J166" i="25"/>
  <c r="I166" i="25"/>
  <c r="H166" i="25"/>
  <c r="G166" i="25"/>
  <c r="F166" i="25"/>
  <c r="BA165" i="25"/>
  <c r="AY165" i="25"/>
  <c r="AX165" i="25"/>
  <c r="AW165" i="25"/>
  <c r="AV165" i="25"/>
  <c r="AU165" i="25"/>
  <c r="AT165" i="25"/>
  <c r="AS165" i="25"/>
  <c r="AR165" i="25"/>
  <c r="AQ165" i="25"/>
  <c r="AP165" i="25"/>
  <c r="AO165" i="25"/>
  <c r="AN165" i="25"/>
  <c r="AM165" i="25"/>
  <c r="AL165" i="25"/>
  <c r="AK165" i="25"/>
  <c r="AJ165" i="25"/>
  <c r="AI165" i="25"/>
  <c r="AH165" i="25"/>
  <c r="Y165" i="25"/>
  <c r="W165" i="25"/>
  <c r="V165" i="25"/>
  <c r="U165" i="25"/>
  <c r="T165" i="25"/>
  <c r="S165" i="25"/>
  <c r="R165" i="25"/>
  <c r="Q165" i="25"/>
  <c r="P165" i="25"/>
  <c r="O165" i="25"/>
  <c r="N165" i="25"/>
  <c r="M165" i="25"/>
  <c r="L165" i="25"/>
  <c r="K165" i="25"/>
  <c r="J165" i="25"/>
  <c r="I165" i="25"/>
  <c r="H165" i="25"/>
  <c r="G165" i="25"/>
  <c r="F165" i="25"/>
  <c r="BB164" i="25"/>
  <c r="AZ164" i="25"/>
  <c r="AY164" i="25"/>
  <c r="AX164" i="25"/>
  <c r="AW164" i="25"/>
  <c r="AV164" i="25"/>
  <c r="AU164" i="25"/>
  <c r="AT164" i="25"/>
  <c r="AS164" i="25"/>
  <c r="AR164" i="25"/>
  <c r="AQ164" i="25"/>
  <c r="AP164" i="25"/>
  <c r="AO164" i="25"/>
  <c r="AM164" i="25"/>
  <c r="AL164" i="25"/>
  <c r="AK164" i="25"/>
  <c r="AJ164" i="25"/>
  <c r="AI164" i="25"/>
  <c r="AH164" i="25"/>
  <c r="Z164" i="25"/>
  <c r="Y164" i="25"/>
  <c r="X164" i="25"/>
  <c r="W164" i="25"/>
  <c r="V164" i="25"/>
  <c r="U164" i="25"/>
  <c r="T164" i="25"/>
  <c r="S164" i="25"/>
  <c r="R164" i="25"/>
  <c r="Q164" i="25"/>
  <c r="P164" i="25"/>
  <c r="O164" i="25"/>
  <c r="N164" i="25"/>
  <c r="M164" i="25"/>
  <c r="K164" i="25"/>
  <c r="J164" i="25"/>
  <c r="I164" i="25"/>
  <c r="H164" i="25"/>
  <c r="G164" i="25"/>
  <c r="F164" i="25"/>
  <c r="BA163" i="25"/>
  <c r="AU163" i="25"/>
  <c r="AR163" i="25"/>
  <c r="AQ163" i="25"/>
  <c r="AP163" i="25"/>
  <c r="AO163" i="25"/>
  <c r="AN163" i="25"/>
  <c r="AM163" i="25"/>
  <c r="AL163" i="25"/>
  <c r="AK163" i="25"/>
  <c r="AJ163" i="25"/>
  <c r="AI163" i="25"/>
  <c r="AH163" i="25"/>
  <c r="Y163" i="25"/>
  <c r="S163" i="25"/>
  <c r="P163" i="25"/>
  <c r="O163" i="25"/>
  <c r="N163" i="25"/>
  <c r="M163" i="25"/>
  <c r="L163" i="25"/>
  <c r="K163" i="25"/>
  <c r="J163" i="25"/>
  <c r="I163" i="25"/>
  <c r="H163" i="25"/>
  <c r="G163" i="25"/>
  <c r="F163" i="25"/>
  <c r="AZ162" i="25"/>
  <c r="AY162" i="25"/>
  <c r="AX162" i="25"/>
  <c r="AW162" i="25"/>
  <c r="AV162" i="25"/>
  <c r="AU162" i="25"/>
  <c r="AT162" i="25"/>
  <c r="AS162" i="25"/>
  <c r="AR162" i="25"/>
  <c r="AQ162" i="25"/>
  <c r="AP162" i="25"/>
  <c r="AN162" i="25"/>
  <c r="AM162" i="25"/>
  <c r="AK162" i="25"/>
  <c r="AJ162" i="25"/>
  <c r="AI162" i="25"/>
  <c r="AH162" i="25"/>
  <c r="X162" i="25"/>
  <c r="W162" i="25"/>
  <c r="V162" i="25"/>
  <c r="U162" i="25"/>
  <c r="T162" i="25"/>
  <c r="S162" i="25"/>
  <c r="R162" i="25"/>
  <c r="Q162" i="25"/>
  <c r="P162" i="25"/>
  <c r="O162" i="25"/>
  <c r="N162" i="25"/>
  <c r="M162" i="25"/>
  <c r="L162" i="25"/>
  <c r="K162" i="25"/>
  <c r="I162" i="25"/>
  <c r="H162" i="25"/>
  <c r="G162" i="25"/>
  <c r="F162" i="25"/>
  <c r="BB161" i="25"/>
  <c r="AZ161" i="25"/>
  <c r="AY161" i="25"/>
  <c r="AX161" i="25"/>
  <c r="AW161" i="25"/>
  <c r="AV161" i="25"/>
  <c r="AU161" i="25"/>
  <c r="AT161" i="25"/>
  <c r="AS161" i="25"/>
  <c r="AR161" i="25"/>
  <c r="AQ161" i="25"/>
  <c r="AP161" i="25"/>
  <c r="AO161" i="25"/>
  <c r="AN161" i="25"/>
  <c r="AM161" i="25"/>
  <c r="AL161" i="25"/>
  <c r="AK161" i="25"/>
  <c r="AJ161" i="25"/>
  <c r="AI161" i="25"/>
  <c r="AH161" i="25"/>
  <c r="Z161" i="25"/>
  <c r="X161" i="25"/>
  <c r="W161" i="25"/>
  <c r="V161" i="25"/>
  <c r="U161" i="25"/>
  <c r="T161" i="25"/>
  <c r="S161" i="25"/>
  <c r="R161" i="25"/>
  <c r="Q161" i="25"/>
  <c r="P161" i="25"/>
  <c r="O161" i="25"/>
  <c r="N161" i="25"/>
  <c r="M161" i="25"/>
  <c r="L161" i="25"/>
  <c r="K161" i="25"/>
  <c r="J161" i="25"/>
  <c r="I161" i="25"/>
  <c r="H161" i="25"/>
  <c r="G161" i="25"/>
  <c r="F161" i="25"/>
  <c r="AY160" i="25"/>
  <c r="AW160" i="25"/>
  <c r="AT160" i="25"/>
  <c r="AS160" i="25"/>
  <c r="AR160" i="25"/>
  <c r="AQ160" i="25"/>
  <c r="AP160" i="25"/>
  <c r="AO160" i="25"/>
  <c r="AN160" i="25"/>
  <c r="AK160" i="25"/>
  <c r="AJ160" i="25"/>
  <c r="AI160" i="25"/>
  <c r="AH160" i="25"/>
  <c r="W160" i="25"/>
  <c r="U160" i="25"/>
  <c r="R160" i="25"/>
  <c r="Q160" i="25"/>
  <c r="P160" i="25"/>
  <c r="O160" i="25"/>
  <c r="N160" i="25"/>
  <c r="M160" i="25"/>
  <c r="L160" i="25"/>
  <c r="I160" i="25"/>
  <c r="H160" i="25"/>
  <c r="G160" i="25"/>
  <c r="F160" i="25"/>
  <c r="AZ159" i="25"/>
  <c r="AY159" i="25"/>
  <c r="AX159" i="25"/>
  <c r="AW159" i="25"/>
  <c r="AV159" i="25"/>
  <c r="AU159" i="25"/>
  <c r="AT159" i="25"/>
  <c r="AS159" i="25"/>
  <c r="AR159" i="25"/>
  <c r="AQ159" i="25"/>
  <c r="AP159" i="25"/>
  <c r="AO159" i="25"/>
  <c r="AN159" i="25"/>
  <c r="AK159" i="25"/>
  <c r="AJ159" i="25"/>
  <c r="AI159" i="25"/>
  <c r="AH159" i="25"/>
  <c r="X159" i="25"/>
  <c r="W159" i="25"/>
  <c r="U159" i="25"/>
  <c r="T159" i="25"/>
  <c r="S159" i="25"/>
  <c r="R159" i="25"/>
  <c r="Q159" i="25"/>
  <c r="P159" i="25"/>
  <c r="O159" i="25"/>
  <c r="N159" i="25"/>
  <c r="M159" i="25"/>
  <c r="L159" i="25"/>
  <c r="I159" i="25"/>
  <c r="H159" i="25"/>
  <c r="G159" i="25"/>
  <c r="BB158" i="25"/>
  <c r="AZ158" i="25"/>
  <c r="AY158" i="25"/>
  <c r="AX158" i="25"/>
  <c r="AW158" i="25"/>
  <c r="AV158" i="25"/>
  <c r="AU158" i="25"/>
  <c r="AT158" i="25"/>
  <c r="AS158" i="25"/>
  <c r="AR158" i="25"/>
  <c r="AQ158" i="25"/>
  <c r="AP158" i="25"/>
  <c r="AO158" i="25"/>
  <c r="AN158" i="25"/>
  <c r="AM158" i="25"/>
  <c r="AL158" i="25"/>
  <c r="AK158" i="25"/>
  <c r="AJ158" i="25"/>
  <c r="AI158" i="25"/>
  <c r="AH158" i="25"/>
  <c r="AB158" i="25"/>
  <c r="Z158" i="25"/>
  <c r="X158" i="25"/>
  <c r="W158" i="25"/>
  <c r="V158" i="25"/>
  <c r="U158" i="25"/>
  <c r="T158" i="25"/>
  <c r="S158" i="25"/>
  <c r="R158" i="25"/>
  <c r="Q158" i="25"/>
  <c r="P158" i="25"/>
  <c r="O158" i="25"/>
  <c r="N158" i="25"/>
  <c r="M158" i="25"/>
  <c r="L158" i="25"/>
  <c r="K158" i="25"/>
  <c r="J158" i="25"/>
  <c r="I158" i="25"/>
  <c r="H158" i="25"/>
  <c r="G158" i="25"/>
  <c r="F158" i="25"/>
  <c r="AZ157" i="25"/>
  <c r="AY157" i="25"/>
  <c r="AX157" i="25"/>
  <c r="AW157" i="25"/>
  <c r="AV157" i="25"/>
  <c r="AU157" i="25"/>
  <c r="AT157" i="25"/>
  <c r="AS157" i="25"/>
  <c r="AR157" i="25"/>
  <c r="AQ157" i="25"/>
  <c r="AP157" i="25"/>
  <c r="AO157" i="25"/>
  <c r="AN157" i="25"/>
  <c r="AM157" i="25"/>
  <c r="AL157" i="25"/>
  <c r="AK157" i="25"/>
  <c r="AB157" i="25"/>
  <c r="X157" i="25"/>
  <c r="W157" i="25"/>
  <c r="V157" i="25"/>
  <c r="U157" i="25"/>
  <c r="T157" i="25"/>
  <c r="S157" i="25"/>
  <c r="R157" i="25"/>
  <c r="Q157" i="25"/>
  <c r="O157" i="25"/>
  <c r="N157" i="25"/>
  <c r="M157" i="25"/>
  <c r="L157" i="25"/>
  <c r="K157" i="25"/>
  <c r="J157" i="25"/>
  <c r="AU156" i="25"/>
  <c r="AP156" i="25"/>
  <c r="AO156" i="25"/>
  <c r="AN156" i="25"/>
  <c r="AI156" i="25"/>
  <c r="S156" i="25"/>
  <c r="N156" i="25"/>
  <c r="L156" i="25"/>
  <c r="G156" i="25"/>
  <c r="BB155" i="25"/>
  <c r="BA155" i="25"/>
  <c r="AZ155" i="25"/>
  <c r="AY155" i="25"/>
  <c r="AX155" i="25"/>
  <c r="AW155" i="25"/>
  <c r="AV155" i="25"/>
  <c r="AU155" i="25"/>
  <c r="AT155" i="25"/>
  <c r="AS155" i="25"/>
  <c r="AR155" i="25"/>
  <c r="AQ155" i="25"/>
  <c r="AP155" i="25"/>
  <c r="AO155" i="25"/>
  <c r="AN155" i="25"/>
  <c r="AM155" i="25"/>
  <c r="AL155" i="25"/>
  <c r="AK155" i="25"/>
  <c r="AJ155" i="25"/>
  <c r="AI155" i="25"/>
  <c r="AH155" i="25"/>
  <c r="Z155" i="25"/>
  <c r="Y155" i="25"/>
  <c r="X155" i="25"/>
  <c r="W155" i="25"/>
  <c r="V155" i="25"/>
  <c r="U155" i="25"/>
  <c r="T155" i="25"/>
  <c r="S155" i="25"/>
  <c r="R155" i="25"/>
  <c r="Q155" i="25"/>
  <c r="P155" i="25"/>
  <c r="O155" i="25"/>
  <c r="N155" i="25"/>
  <c r="M155" i="25"/>
  <c r="L155" i="25"/>
  <c r="K155" i="25"/>
  <c r="J155" i="25"/>
  <c r="I155" i="25"/>
  <c r="H155" i="25"/>
  <c r="G155" i="25"/>
  <c r="F155" i="25"/>
  <c r="AZ154" i="25"/>
  <c r="AY154" i="25"/>
  <c r="AX154" i="25"/>
  <c r="AW154" i="25"/>
  <c r="AV154" i="25"/>
  <c r="AU154" i="25"/>
  <c r="AT154" i="25"/>
  <c r="AS154" i="25"/>
  <c r="AR154" i="25"/>
  <c r="AQ154" i="25"/>
  <c r="AP154" i="25"/>
  <c r="AO154" i="25"/>
  <c r="AN154" i="25"/>
  <c r="AM154" i="25"/>
  <c r="AL154" i="25"/>
  <c r="AK154" i="25"/>
  <c r="AJ154" i="25"/>
  <c r="AI154" i="25"/>
  <c r="AH154" i="25"/>
  <c r="Z154" i="25"/>
  <c r="X154" i="25"/>
  <c r="W154" i="25"/>
  <c r="V154" i="25"/>
  <c r="U154" i="25"/>
  <c r="T154" i="25"/>
  <c r="S154" i="25"/>
  <c r="R154" i="25"/>
  <c r="Q154" i="25"/>
  <c r="P154" i="25"/>
  <c r="O154" i="25"/>
  <c r="N154" i="25"/>
  <c r="M154" i="25"/>
  <c r="L154" i="25"/>
  <c r="K154" i="25"/>
  <c r="J154" i="25"/>
  <c r="I154" i="25"/>
  <c r="H154" i="25"/>
  <c r="G154" i="25"/>
  <c r="F154" i="25"/>
  <c r="BB153" i="25"/>
  <c r="BA153" i="25"/>
  <c r="AZ153" i="25"/>
  <c r="AY153" i="25"/>
  <c r="AX153" i="25"/>
  <c r="AW153" i="25"/>
  <c r="AV153" i="25"/>
  <c r="AU153" i="25"/>
  <c r="AT153" i="25"/>
  <c r="AS153" i="25"/>
  <c r="AR153" i="25"/>
  <c r="AQ153" i="25"/>
  <c r="AP153" i="25"/>
  <c r="AO153" i="25"/>
  <c r="AN153" i="25"/>
  <c r="AM153" i="25"/>
  <c r="AL153" i="25"/>
  <c r="AK153" i="25"/>
  <c r="AJ153" i="25"/>
  <c r="AI153" i="25"/>
  <c r="AH153" i="25"/>
  <c r="Z153" i="25"/>
  <c r="Y153" i="25"/>
  <c r="X153" i="25"/>
  <c r="W153" i="25"/>
  <c r="V153" i="25"/>
  <c r="U153" i="25"/>
  <c r="T153" i="25"/>
  <c r="S153" i="25"/>
  <c r="R153" i="25"/>
  <c r="Q153" i="25"/>
  <c r="P153" i="25"/>
  <c r="O153" i="25"/>
  <c r="N153" i="25"/>
  <c r="M153" i="25"/>
  <c r="L153" i="25"/>
  <c r="K153" i="25"/>
  <c r="J153" i="25"/>
  <c r="I153" i="25"/>
  <c r="H153" i="25"/>
  <c r="G153" i="25"/>
  <c r="F153" i="25"/>
  <c r="BB152" i="25"/>
  <c r="BA152" i="25"/>
  <c r="AZ152" i="25"/>
  <c r="AY152" i="25"/>
  <c r="AX152" i="25"/>
  <c r="AW152" i="25"/>
  <c r="AV152" i="25"/>
  <c r="AU152" i="25"/>
  <c r="AT152" i="25"/>
  <c r="AS152" i="25"/>
  <c r="AR152" i="25"/>
  <c r="AQ152" i="25"/>
  <c r="AP152" i="25"/>
  <c r="AO152" i="25"/>
  <c r="AN152" i="25"/>
  <c r="AM152" i="25"/>
  <c r="AL152" i="25"/>
  <c r="AK152" i="25"/>
  <c r="AJ152" i="25"/>
  <c r="AI152" i="25"/>
  <c r="AH152" i="25"/>
  <c r="Z152" i="25"/>
  <c r="X152" i="25"/>
  <c r="W152" i="25"/>
  <c r="V152" i="25"/>
  <c r="U152" i="25"/>
  <c r="T152" i="25"/>
  <c r="S152" i="25"/>
  <c r="R152" i="25"/>
  <c r="Q152" i="25"/>
  <c r="P152" i="25"/>
  <c r="O152" i="25"/>
  <c r="N152" i="25"/>
  <c r="M152" i="25"/>
  <c r="L152" i="25"/>
  <c r="K152" i="25"/>
  <c r="J152" i="25"/>
  <c r="I152" i="25"/>
  <c r="H152" i="25"/>
  <c r="G152" i="25"/>
  <c r="F152" i="25"/>
  <c r="BB151" i="25"/>
  <c r="BA151" i="25"/>
  <c r="AZ151" i="25"/>
  <c r="AY151" i="25"/>
  <c r="AX151" i="25"/>
  <c r="AW151" i="25"/>
  <c r="AV151" i="25"/>
  <c r="AU151" i="25"/>
  <c r="AT151" i="25"/>
  <c r="AS151" i="25"/>
  <c r="AR151" i="25"/>
  <c r="AQ151" i="25"/>
  <c r="AP151" i="25"/>
  <c r="AO151" i="25"/>
  <c r="AN151" i="25"/>
  <c r="AM151" i="25"/>
  <c r="AL151" i="25"/>
  <c r="AK151" i="25"/>
  <c r="AJ151" i="25"/>
  <c r="AI151" i="25"/>
  <c r="AH151" i="25"/>
  <c r="Z151" i="25"/>
  <c r="Y151" i="25"/>
  <c r="X151" i="25"/>
  <c r="W151" i="25"/>
  <c r="V151" i="25"/>
  <c r="U151" i="25"/>
  <c r="T151" i="25"/>
  <c r="S151" i="25"/>
  <c r="R151" i="25"/>
  <c r="Q151" i="25"/>
  <c r="P151" i="25"/>
  <c r="O151" i="25"/>
  <c r="N151" i="25"/>
  <c r="M151" i="25"/>
  <c r="L151" i="25"/>
  <c r="K151" i="25"/>
  <c r="J151" i="25"/>
  <c r="I151" i="25"/>
  <c r="H151" i="25"/>
  <c r="G151" i="25"/>
  <c r="F151" i="25"/>
  <c r="BB150" i="25"/>
  <c r="BA150" i="25"/>
  <c r="AZ150" i="25"/>
  <c r="AY150" i="25"/>
  <c r="AX150" i="25"/>
  <c r="AW150" i="25"/>
  <c r="AV150" i="25"/>
  <c r="AU150" i="25"/>
  <c r="AT150" i="25"/>
  <c r="AS150" i="25"/>
  <c r="AR150" i="25"/>
  <c r="AQ150" i="25"/>
  <c r="AP150" i="25"/>
  <c r="AO150" i="25"/>
  <c r="AN150" i="25"/>
  <c r="AM150" i="25"/>
  <c r="AL150" i="25"/>
  <c r="AK150" i="25"/>
  <c r="AJ150" i="25"/>
  <c r="AI150" i="25"/>
  <c r="AH150" i="25"/>
  <c r="Z150" i="25"/>
  <c r="Y150" i="25"/>
  <c r="X150" i="25"/>
  <c r="W150" i="25"/>
  <c r="V150" i="25"/>
  <c r="U150" i="25"/>
  <c r="T150" i="25"/>
  <c r="S150" i="25"/>
  <c r="R150" i="25"/>
  <c r="Q150" i="25"/>
  <c r="P150" i="25"/>
  <c r="O150" i="25"/>
  <c r="N150" i="25"/>
  <c r="M150" i="25"/>
  <c r="L150" i="25"/>
  <c r="K150" i="25"/>
  <c r="J150" i="25"/>
  <c r="I150" i="25"/>
  <c r="H150" i="25"/>
  <c r="G150" i="25"/>
  <c r="F150" i="25"/>
  <c r="BA149" i="25"/>
  <c r="AZ149" i="25"/>
  <c r="AY149" i="25"/>
  <c r="AX149" i="25"/>
  <c r="AW149" i="25"/>
  <c r="AV149" i="25"/>
  <c r="AU149" i="25"/>
  <c r="AT149" i="25"/>
  <c r="AS149" i="25"/>
  <c r="AR149" i="25"/>
  <c r="AQ149" i="25"/>
  <c r="AP149" i="25"/>
  <c r="AO149" i="25"/>
  <c r="AN149" i="25"/>
  <c r="AM149" i="25"/>
  <c r="AL149" i="25"/>
  <c r="AK149" i="25"/>
  <c r="AJ149" i="25"/>
  <c r="AI149" i="25"/>
  <c r="AH149" i="25"/>
  <c r="Y149" i="25"/>
  <c r="X149" i="25"/>
  <c r="W149" i="25"/>
  <c r="V149" i="25"/>
  <c r="U149" i="25"/>
  <c r="T149" i="25"/>
  <c r="S149" i="25"/>
  <c r="R149" i="25"/>
  <c r="Q149" i="25"/>
  <c r="P149" i="25"/>
  <c r="O149" i="25"/>
  <c r="N149" i="25"/>
  <c r="M149" i="25"/>
  <c r="L149" i="25"/>
  <c r="K149" i="25"/>
  <c r="J149" i="25"/>
  <c r="I149" i="25"/>
  <c r="H149" i="25"/>
  <c r="G149" i="25"/>
  <c r="F149" i="25"/>
  <c r="AY148" i="25"/>
  <c r="AX148" i="25"/>
  <c r="AW148" i="25"/>
  <c r="AV148" i="25"/>
  <c r="AU148" i="25"/>
  <c r="AS148" i="25"/>
  <c r="AR148" i="25"/>
  <c r="AQ148" i="25"/>
  <c r="AP148" i="25"/>
  <c r="AO148" i="25"/>
  <c r="AN148" i="25"/>
  <c r="AM148" i="25"/>
  <c r="AK148" i="25"/>
  <c r="AJ148" i="25"/>
  <c r="AI148" i="25"/>
  <c r="AH148" i="25"/>
  <c r="W148" i="25"/>
  <c r="V148" i="25"/>
  <c r="U148" i="25"/>
  <c r="T148" i="25"/>
  <c r="S148" i="25"/>
  <c r="Q148" i="25"/>
  <c r="O148" i="25"/>
  <c r="N148" i="25"/>
  <c r="M148" i="25"/>
  <c r="L148" i="25"/>
  <c r="K148" i="25"/>
  <c r="I148" i="25"/>
  <c r="G148" i="25"/>
  <c r="F148" i="25"/>
  <c r="AU147" i="25"/>
  <c r="AR147" i="25"/>
  <c r="AQ147" i="25"/>
  <c r="AP147" i="25"/>
  <c r="AK147" i="25"/>
  <c r="AJ147" i="25"/>
  <c r="AI147" i="25"/>
  <c r="S147" i="25"/>
  <c r="P147" i="25"/>
  <c r="O147" i="25"/>
  <c r="N147" i="25"/>
  <c r="I147" i="25"/>
  <c r="H147" i="25"/>
  <c r="G147" i="25"/>
  <c r="F147" i="25"/>
  <c r="AY146" i="25"/>
  <c r="AW146" i="25"/>
  <c r="AT146" i="25"/>
  <c r="AS146" i="25"/>
  <c r="AR146" i="25"/>
  <c r="AQ146" i="25"/>
  <c r="AO146" i="25"/>
  <c r="AN146" i="25"/>
  <c r="AJ146" i="25"/>
  <c r="AI146" i="25"/>
  <c r="AH146" i="25"/>
  <c r="W146" i="25"/>
  <c r="U146" i="25"/>
  <c r="R146" i="25"/>
  <c r="Q146" i="25"/>
  <c r="O146" i="25"/>
  <c r="M146" i="25"/>
  <c r="L146" i="25"/>
  <c r="H146" i="25"/>
  <c r="G146" i="25"/>
  <c r="F146" i="25"/>
  <c r="AU145" i="25"/>
  <c r="AN145" i="25"/>
  <c r="S145" i="25"/>
  <c r="L145" i="25"/>
  <c r="AY144" i="25"/>
  <c r="AX144" i="25"/>
  <c r="AW144" i="25"/>
  <c r="AV144" i="25"/>
  <c r="AU144" i="25"/>
  <c r="AT144" i="25"/>
  <c r="AS144" i="25"/>
  <c r="AQ144" i="25"/>
  <c r="AP144" i="25"/>
  <c r="AO144" i="25"/>
  <c r="AN144" i="25"/>
  <c r="AM144" i="25"/>
  <c r="AL144" i="25"/>
  <c r="AK144" i="25"/>
  <c r="AI144" i="25"/>
  <c r="AH144" i="25"/>
  <c r="W144" i="25"/>
  <c r="V144" i="25"/>
  <c r="U144" i="25"/>
  <c r="T144" i="25"/>
  <c r="S144" i="25"/>
  <c r="R144" i="25"/>
  <c r="Q144" i="25"/>
  <c r="O144" i="25"/>
  <c r="N144" i="25"/>
  <c r="M144" i="25"/>
  <c r="L144" i="25"/>
  <c r="K144" i="25"/>
  <c r="J144" i="25"/>
  <c r="I144" i="25"/>
  <c r="G144" i="25"/>
  <c r="F144" i="25"/>
  <c r="AZ143" i="25"/>
  <c r="AY143" i="25"/>
  <c r="AX143" i="25"/>
  <c r="AW143" i="25"/>
  <c r="AT143" i="25"/>
  <c r="AR143" i="25"/>
  <c r="AQ143" i="25"/>
  <c r="AP143" i="25"/>
  <c r="AO143" i="25"/>
  <c r="AL143" i="25"/>
  <c r="AK143" i="25"/>
  <c r="AJ143" i="25"/>
  <c r="AI143" i="25"/>
  <c r="AH143" i="25"/>
  <c r="X143" i="25"/>
  <c r="W143" i="25"/>
  <c r="V143" i="25"/>
  <c r="U143" i="25"/>
  <c r="R143" i="25"/>
  <c r="P143" i="25"/>
  <c r="O143" i="25"/>
  <c r="N143" i="25"/>
  <c r="M143" i="25"/>
  <c r="J143" i="25"/>
  <c r="H143" i="25"/>
  <c r="G143" i="25"/>
  <c r="F143" i="25"/>
  <c r="AX142" i="25"/>
  <c r="AW142" i="25"/>
  <c r="AV142" i="25"/>
  <c r="AU142" i="25"/>
  <c r="AT142" i="25"/>
  <c r="AS142" i="25"/>
  <c r="AP142" i="25"/>
  <c r="AO142" i="25"/>
  <c r="AN142" i="25"/>
  <c r="AM142" i="25"/>
  <c r="AL142" i="25"/>
  <c r="AK142" i="25"/>
  <c r="AH142" i="25"/>
  <c r="V142" i="25"/>
  <c r="U142" i="25"/>
  <c r="T142" i="25"/>
  <c r="S142" i="25"/>
  <c r="R142" i="25"/>
  <c r="Q142" i="25"/>
  <c r="N142" i="25"/>
  <c r="M142" i="25"/>
  <c r="L142" i="25"/>
  <c r="K142" i="25"/>
  <c r="J142" i="25"/>
  <c r="I142" i="25"/>
  <c r="F142" i="25"/>
  <c r="AO140" i="25"/>
  <c r="M140" i="25"/>
  <c r="N138" i="25"/>
  <c r="X125" i="25"/>
  <c r="W125" i="25"/>
  <c r="V125" i="25"/>
  <c r="U125" i="25"/>
  <c r="T125" i="25"/>
  <c r="S125" i="25"/>
  <c r="R125" i="25"/>
  <c r="Q125" i="25"/>
  <c r="P125" i="25"/>
  <c r="O125" i="25"/>
  <c r="N125" i="25"/>
  <c r="M125" i="25"/>
  <c r="L125" i="25"/>
  <c r="K125" i="25"/>
  <c r="J125" i="25"/>
  <c r="I125" i="25"/>
  <c r="H125" i="25"/>
  <c r="G125" i="25"/>
  <c r="F125" i="25"/>
  <c r="X124" i="25"/>
  <c r="W124" i="25"/>
  <c r="V124" i="25"/>
  <c r="U124" i="25"/>
  <c r="T124" i="25"/>
  <c r="S124" i="25"/>
  <c r="R124" i="25"/>
  <c r="Q124" i="25"/>
  <c r="P124" i="25"/>
  <c r="O124" i="25"/>
  <c r="N124" i="25"/>
  <c r="M124" i="25"/>
  <c r="L124" i="25"/>
  <c r="K124" i="25"/>
  <c r="J124" i="25"/>
  <c r="I124" i="25"/>
  <c r="H124" i="25"/>
  <c r="G124" i="25"/>
  <c r="F124" i="25"/>
  <c r="X123" i="25"/>
  <c r="W123" i="25"/>
  <c r="V123" i="25"/>
  <c r="U123" i="25"/>
  <c r="T123" i="25"/>
  <c r="S123" i="25"/>
  <c r="R123" i="25"/>
  <c r="Q123" i="25"/>
  <c r="P123" i="25"/>
  <c r="O123" i="25"/>
  <c r="N123" i="25"/>
  <c r="M123" i="25"/>
  <c r="L123" i="25"/>
  <c r="K123" i="25"/>
  <c r="J123" i="25"/>
  <c r="I123" i="25"/>
  <c r="H123" i="25"/>
  <c r="G123" i="25"/>
  <c r="F123" i="25"/>
  <c r="X122" i="25"/>
  <c r="W122" i="25"/>
  <c r="V122" i="25"/>
  <c r="U122" i="25"/>
  <c r="T122" i="25"/>
  <c r="S122" i="25"/>
  <c r="R122" i="25"/>
  <c r="Q122" i="25"/>
  <c r="P122" i="25"/>
  <c r="O122" i="25"/>
  <c r="N122" i="25"/>
  <c r="M122" i="25"/>
  <c r="L122" i="25"/>
  <c r="K122" i="25"/>
  <c r="J122" i="25"/>
  <c r="I122" i="25"/>
  <c r="H122" i="25"/>
  <c r="G122" i="25"/>
  <c r="F122" i="25"/>
  <c r="X121" i="25"/>
  <c r="W121" i="25"/>
  <c r="V121" i="25"/>
  <c r="U121" i="25"/>
  <c r="T121" i="25"/>
  <c r="S121" i="25"/>
  <c r="R121" i="25"/>
  <c r="Q121" i="25"/>
  <c r="P121" i="25"/>
  <c r="O121" i="25"/>
  <c r="N121" i="25"/>
  <c r="M121" i="25"/>
  <c r="L121" i="25"/>
  <c r="K121" i="25"/>
  <c r="J121" i="25"/>
  <c r="I121" i="25"/>
  <c r="H121" i="25"/>
  <c r="G121" i="25"/>
  <c r="F121" i="25"/>
  <c r="W120" i="25"/>
  <c r="V120" i="25"/>
  <c r="U120" i="25"/>
  <c r="T120" i="25"/>
  <c r="S120" i="25"/>
  <c r="R120" i="25"/>
  <c r="Q120" i="25"/>
  <c r="P120" i="25"/>
  <c r="O120" i="25"/>
  <c r="N120" i="25"/>
  <c r="M120" i="25"/>
  <c r="L120" i="25"/>
  <c r="K120" i="25"/>
  <c r="J120" i="25"/>
  <c r="I120" i="25"/>
  <c r="H120" i="25"/>
  <c r="G120" i="25"/>
  <c r="F120" i="25"/>
  <c r="X119" i="25"/>
  <c r="W119" i="25"/>
  <c r="V119" i="25"/>
  <c r="U119" i="25"/>
  <c r="T119" i="25"/>
  <c r="S119" i="25"/>
  <c r="R119" i="25"/>
  <c r="Q119" i="25"/>
  <c r="P119" i="25"/>
  <c r="O119" i="25"/>
  <c r="N119" i="25"/>
  <c r="M119" i="25"/>
  <c r="K119" i="25"/>
  <c r="J119" i="25"/>
  <c r="I119" i="25"/>
  <c r="H119" i="25"/>
  <c r="G119" i="25"/>
  <c r="F119" i="25"/>
  <c r="S118" i="25"/>
  <c r="P118" i="25"/>
  <c r="O118" i="25"/>
  <c r="N118" i="25"/>
  <c r="M118" i="25"/>
  <c r="L118" i="25"/>
  <c r="K118" i="25"/>
  <c r="J118" i="25"/>
  <c r="I118" i="25"/>
  <c r="H118" i="25"/>
  <c r="G118" i="25"/>
  <c r="F118" i="25"/>
  <c r="X117" i="25"/>
  <c r="W117" i="25"/>
  <c r="V117" i="25"/>
  <c r="U117" i="25"/>
  <c r="T117" i="25"/>
  <c r="S117" i="25"/>
  <c r="R117" i="25"/>
  <c r="Q117" i="25"/>
  <c r="P117" i="25"/>
  <c r="O117" i="25"/>
  <c r="N117" i="25"/>
  <c r="L117" i="25"/>
  <c r="K117" i="25"/>
  <c r="I117" i="25"/>
  <c r="H117" i="25"/>
  <c r="G117" i="25"/>
  <c r="F117" i="25"/>
  <c r="X116" i="25"/>
  <c r="W116" i="25"/>
  <c r="V116" i="25"/>
  <c r="U116" i="25"/>
  <c r="T116" i="25"/>
  <c r="S116" i="25"/>
  <c r="R116" i="25"/>
  <c r="Q116" i="25"/>
  <c r="P116" i="25"/>
  <c r="O116" i="25"/>
  <c r="N116" i="25"/>
  <c r="M116" i="25"/>
  <c r="L116" i="25"/>
  <c r="K116" i="25"/>
  <c r="J116" i="25"/>
  <c r="I116" i="25"/>
  <c r="H116" i="25"/>
  <c r="G116" i="25"/>
  <c r="F116" i="25"/>
  <c r="W115" i="25"/>
  <c r="U115" i="25"/>
  <c r="R115" i="25"/>
  <c r="Q115" i="25"/>
  <c r="P115" i="25"/>
  <c r="O115" i="25"/>
  <c r="N115" i="25"/>
  <c r="M115" i="25"/>
  <c r="L115" i="25"/>
  <c r="I115" i="25"/>
  <c r="H115" i="25"/>
  <c r="G115" i="25"/>
  <c r="F115" i="25"/>
  <c r="X114" i="25"/>
  <c r="W114" i="25"/>
  <c r="V114" i="25"/>
  <c r="U114" i="25"/>
  <c r="T114" i="25"/>
  <c r="S114" i="25"/>
  <c r="R114" i="25"/>
  <c r="Q114" i="25"/>
  <c r="P114" i="25"/>
  <c r="O114" i="25"/>
  <c r="N114" i="25"/>
  <c r="M114" i="25"/>
  <c r="L114" i="25"/>
  <c r="I114" i="25"/>
  <c r="H114" i="25"/>
  <c r="G114" i="25"/>
  <c r="Z113" i="25"/>
  <c r="X113" i="25"/>
  <c r="W113" i="25"/>
  <c r="V113" i="25"/>
  <c r="U113" i="25"/>
  <c r="T113" i="25"/>
  <c r="S113" i="25"/>
  <c r="R113" i="25"/>
  <c r="Q113" i="25"/>
  <c r="P113" i="25"/>
  <c r="O113" i="25"/>
  <c r="N113" i="25"/>
  <c r="M113" i="25"/>
  <c r="L113" i="25"/>
  <c r="K113" i="25"/>
  <c r="J113" i="25"/>
  <c r="I113" i="25"/>
  <c r="H113" i="25"/>
  <c r="G113" i="25"/>
  <c r="F113" i="25"/>
  <c r="X112" i="25"/>
  <c r="W112" i="25"/>
  <c r="V112" i="25"/>
  <c r="U112" i="25"/>
  <c r="T112" i="25"/>
  <c r="S112" i="25"/>
  <c r="R112" i="25"/>
  <c r="Q112" i="25"/>
  <c r="O112" i="25"/>
  <c r="N112" i="25"/>
  <c r="M112" i="25"/>
  <c r="L112" i="25"/>
  <c r="K112" i="25"/>
  <c r="J112" i="25"/>
  <c r="I112" i="25"/>
  <c r="N111" i="25"/>
  <c r="M111" i="25"/>
  <c r="L111" i="25"/>
  <c r="G111" i="25"/>
  <c r="Y110" i="25"/>
  <c r="X110" i="25"/>
  <c r="W110" i="25"/>
  <c r="V110" i="25"/>
  <c r="U110" i="25"/>
  <c r="T110" i="25"/>
  <c r="S110" i="25"/>
  <c r="R110" i="25"/>
  <c r="Q110" i="25"/>
  <c r="P110" i="25"/>
  <c r="O110" i="25"/>
  <c r="N110" i="25"/>
  <c r="M110" i="25"/>
  <c r="L110" i="25"/>
  <c r="K110" i="25"/>
  <c r="J110" i="25"/>
  <c r="I110" i="25"/>
  <c r="H110" i="25"/>
  <c r="G110" i="25"/>
  <c r="F110" i="25"/>
  <c r="X109" i="25"/>
  <c r="W109" i="25"/>
  <c r="V109" i="25"/>
  <c r="U109" i="25"/>
  <c r="T109" i="25"/>
  <c r="S109" i="25"/>
  <c r="R109" i="25"/>
  <c r="Q109" i="25"/>
  <c r="P109" i="25"/>
  <c r="O109" i="25"/>
  <c r="N109" i="25"/>
  <c r="M109" i="25"/>
  <c r="L109" i="25"/>
  <c r="K109" i="25"/>
  <c r="J109" i="25"/>
  <c r="I109" i="25"/>
  <c r="H109" i="25"/>
  <c r="G109" i="25"/>
  <c r="F109" i="25"/>
  <c r="X108" i="25"/>
  <c r="W108" i="25"/>
  <c r="V108" i="25"/>
  <c r="U108" i="25"/>
  <c r="T108" i="25"/>
  <c r="S108" i="25"/>
  <c r="R108" i="25"/>
  <c r="Q108" i="25"/>
  <c r="P108" i="25"/>
  <c r="O108" i="25"/>
  <c r="N108" i="25"/>
  <c r="M108" i="25"/>
  <c r="L108" i="25"/>
  <c r="K108" i="25"/>
  <c r="J108" i="25"/>
  <c r="I108" i="25"/>
  <c r="H108" i="25"/>
  <c r="G108" i="25"/>
  <c r="F108" i="25"/>
  <c r="X107" i="25"/>
  <c r="W107" i="25"/>
  <c r="V107" i="25"/>
  <c r="U107" i="25"/>
  <c r="T107" i="25"/>
  <c r="S107" i="25"/>
  <c r="R107" i="25"/>
  <c r="Q107" i="25"/>
  <c r="P107" i="25"/>
  <c r="O107" i="25"/>
  <c r="N107" i="25"/>
  <c r="M107" i="25"/>
  <c r="L107" i="25"/>
  <c r="K107" i="25"/>
  <c r="J107" i="25"/>
  <c r="I107" i="25"/>
  <c r="H107" i="25"/>
  <c r="G107" i="25"/>
  <c r="F107" i="25"/>
  <c r="Y106" i="25"/>
  <c r="X106" i="25"/>
  <c r="W106" i="25"/>
  <c r="V106" i="25"/>
  <c r="U106" i="25"/>
  <c r="T106" i="25"/>
  <c r="S106" i="25"/>
  <c r="R106" i="25"/>
  <c r="Q106" i="25"/>
  <c r="P106" i="25"/>
  <c r="O106" i="25"/>
  <c r="N106" i="25"/>
  <c r="M106" i="25"/>
  <c r="L106" i="25"/>
  <c r="K106" i="25"/>
  <c r="J106" i="25"/>
  <c r="I106" i="25"/>
  <c r="H106" i="25"/>
  <c r="G106" i="25"/>
  <c r="F106" i="25"/>
  <c r="X105" i="25"/>
  <c r="W105" i="25"/>
  <c r="V105" i="25"/>
  <c r="U105" i="25"/>
  <c r="T105" i="25"/>
  <c r="S105" i="25"/>
  <c r="R105" i="25"/>
  <c r="Q105" i="25"/>
  <c r="P105" i="25"/>
  <c r="O105" i="25"/>
  <c r="N105" i="25"/>
  <c r="M105" i="25"/>
  <c r="L105" i="25"/>
  <c r="K105" i="25"/>
  <c r="J105" i="25"/>
  <c r="I105" i="25"/>
  <c r="H105" i="25"/>
  <c r="G105" i="25"/>
  <c r="F105" i="25"/>
  <c r="X104" i="25"/>
  <c r="W104" i="25"/>
  <c r="V104" i="25"/>
  <c r="U104" i="25"/>
  <c r="T104" i="25"/>
  <c r="S104" i="25"/>
  <c r="R104" i="25"/>
  <c r="Q104" i="25"/>
  <c r="P104" i="25"/>
  <c r="O104" i="25"/>
  <c r="N104" i="25"/>
  <c r="M104" i="25"/>
  <c r="L104" i="25"/>
  <c r="K104" i="25"/>
  <c r="J104" i="25"/>
  <c r="I104" i="25"/>
  <c r="H104" i="25"/>
  <c r="G104" i="25"/>
  <c r="F104" i="25"/>
  <c r="AA103" i="25"/>
  <c r="Q103" i="25"/>
  <c r="K102" i="25"/>
  <c r="W99" i="25"/>
  <c r="F98" i="25"/>
  <c r="T97" i="25"/>
  <c r="Z90" i="25"/>
  <c r="Y90" i="25"/>
  <c r="Z89" i="25"/>
  <c r="Y89" i="25"/>
  <c r="Z88" i="25"/>
  <c r="Y88" i="25"/>
  <c r="AA88" i="25" s="1"/>
  <c r="Z87" i="25"/>
  <c r="AH177" i="25"/>
  <c r="Z86" i="25"/>
  <c r="Z85" i="25"/>
  <c r="AA85" i="25" s="1"/>
  <c r="Y85" i="25"/>
  <c r="AR174" i="25"/>
  <c r="AQ174" i="25"/>
  <c r="AO174" i="25"/>
  <c r="AH82" i="25"/>
  <c r="AG82" i="25"/>
  <c r="AP172" i="25"/>
  <c r="AG81" i="25"/>
  <c r="AH81" i="25" s="1"/>
  <c r="AH80" i="25"/>
  <c r="AI80" i="25" s="1"/>
  <c r="AG80" i="25"/>
  <c r="Z80" i="25"/>
  <c r="Y80" i="25"/>
  <c r="AA80" i="25" s="1"/>
  <c r="AG79" i="25"/>
  <c r="AH79" i="25" s="1"/>
  <c r="AA79" i="25"/>
  <c r="Z79" i="25"/>
  <c r="Y79" i="25"/>
  <c r="Z78" i="25"/>
  <c r="Y78" i="25"/>
  <c r="Z77" i="25"/>
  <c r="Y77" i="25"/>
  <c r="AA77" i="25" s="1"/>
  <c r="Z76" i="25"/>
  <c r="AA76" i="25" s="1"/>
  <c r="Y76" i="25"/>
  <c r="Z75" i="25"/>
  <c r="Y75" i="25"/>
  <c r="AA75" i="25" s="1"/>
  <c r="Z74" i="25"/>
  <c r="Y74" i="25"/>
  <c r="Y73" i="25"/>
  <c r="Y72" i="25"/>
  <c r="Z71" i="25"/>
  <c r="Y71" i="25"/>
  <c r="Y70" i="25"/>
  <c r="X70" i="25"/>
  <c r="AZ160" i="25" s="1"/>
  <c r="V70" i="25"/>
  <c r="T70" i="25"/>
  <c r="K70" i="25"/>
  <c r="Z69" i="25"/>
  <c r="F69" i="25"/>
  <c r="Z68" i="25"/>
  <c r="AA68" i="25" s="1"/>
  <c r="Y68" i="25"/>
  <c r="Z67" i="25"/>
  <c r="BB157" i="25" s="1"/>
  <c r="H67" i="25"/>
  <c r="G67" i="25"/>
  <c r="AI157" i="25" s="1"/>
  <c r="F67" i="25"/>
  <c r="AH157" i="25" s="1"/>
  <c r="Z66" i="25"/>
  <c r="V66" i="25"/>
  <c r="AX156" i="25" s="1"/>
  <c r="U66" i="25"/>
  <c r="AR156" i="25"/>
  <c r="O66" i="25"/>
  <c r="AQ156" i="25" s="1"/>
  <c r="K66" i="25"/>
  <c r="I66" i="25"/>
  <c r="AJ156" i="25"/>
  <c r="F66" i="25"/>
  <c r="Z65" i="25"/>
  <c r="AA65" i="25" s="1"/>
  <c r="Y65" i="25"/>
  <c r="Z64" i="25"/>
  <c r="Y64" i="25"/>
  <c r="AA64" i="25" s="1"/>
  <c r="AA63" i="25"/>
  <c r="Z63" i="25"/>
  <c r="Y63" i="25"/>
  <c r="Z62" i="25"/>
  <c r="Y62" i="25"/>
  <c r="AA62" i="25" s="1"/>
  <c r="Z61" i="25"/>
  <c r="Y61" i="25"/>
  <c r="Z60" i="25"/>
  <c r="Y60" i="25"/>
  <c r="Z59" i="25"/>
  <c r="Y59" i="25"/>
  <c r="X58" i="25"/>
  <c r="W58" i="25"/>
  <c r="V58" i="25"/>
  <c r="U58" i="25"/>
  <c r="T58" i="25"/>
  <c r="S58" i="25"/>
  <c r="R58" i="25"/>
  <c r="Q58" i="25"/>
  <c r="P58" i="25"/>
  <c r="O58" i="25"/>
  <c r="N58" i="25"/>
  <c r="M58" i="25"/>
  <c r="L58" i="25"/>
  <c r="K58" i="25"/>
  <c r="J58" i="25"/>
  <c r="I58" i="25"/>
  <c r="H58" i="25"/>
  <c r="G58" i="25"/>
  <c r="F58" i="25"/>
  <c r="W57" i="25"/>
  <c r="T57" i="25"/>
  <c r="S57" i="25"/>
  <c r="P57" i="25"/>
  <c r="O57" i="25"/>
  <c r="N57" i="25"/>
  <c r="L57" i="25"/>
  <c r="K57" i="25"/>
  <c r="J57" i="25"/>
  <c r="I57" i="25"/>
  <c r="H57" i="25"/>
  <c r="G57" i="25"/>
  <c r="F57" i="25"/>
  <c r="AB56" i="25"/>
  <c r="W56" i="25"/>
  <c r="U56" i="25"/>
  <c r="S56" i="25"/>
  <c r="R56" i="25"/>
  <c r="Q56" i="25"/>
  <c r="P56" i="25"/>
  <c r="O56" i="25"/>
  <c r="N56" i="25"/>
  <c r="AP146" i="25" s="1"/>
  <c r="M56" i="25"/>
  <c r="L56" i="25"/>
  <c r="I56" i="25"/>
  <c r="H56" i="25"/>
  <c r="G56" i="25"/>
  <c r="X55" i="25"/>
  <c r="W55" i="25"/>
  <c r="V55" i="25"/>
  <c r="U55" i="25"/>
  <c r="T55" i="25"/>
  <c r="S55" i="25"/>
  <c r="R55" i="25"/>
  <c r="Q55" i="25"/>
  <c r="P55" i="25"/>
  <c r="O55" i="25"/>
  <c r="N55" i="25"/>
  <c r="M55" i="25"/>
  <c r="L55" i="25"/>
  <c r="K55" i="25"/>
  <c r="X54" i="25"/>
  <c r="W54" i="25"/>
  <c r="V54" i="25"/>
  <c r="V50" i="25" s="1"/>
  <c r="U54" i="25"/>
  <c r="U50" i="25" s="1"/>
  <c r="T54" i="25"/>
  <c r="S54" i="25"/>
  <c r="R54" i="25"/>
  <c r="Q54" i="25"/>
  <c r="P54" i="25"/>
  <c r="O54" i="25"/>
  <c r="N54" i="25"/>
  <c r="N50" i="25" s="1"/>
  <c r="M54" i="25"/>
  <c r="Z54" i="25" s="1"/>
  <c r="L54" i="25"/>
  <c r="K54" i="25"/>
  <c r="J54" i="25"/>
  <c r="I54" i="25"/>
  <c r="H54" i="25"/>
  <c r="G54" i="25"/>
  <c r="F54" i="25"/>
  <c r="X53" i="25"/>
  <c r="W53" i="25"/>
  <c r="V53" i="25"/>
  <c r="U53" i="25"/>
  <c r="T53" i="25"/>
  <c r="S53" i="25"/>
  <c r="R53" i="25"/>
  <c r="Q53" i="25"/>
  <c r="P53" i="25"/>
  <c r="P50" i="25" s="1"/>
  <c r="O53" i="25"/>
  <c r="N53" i="25"/>
  <c r="M53" i="25"/>
  <c r="L53" i="25"/>
  <c r="K53" i="25"/>
  <c r="J53" i="25"/>
  <c r="I53" i="25"/>
  <c r="I50" i="25" s="1"/>
  <c r="H53" i="25"/>
  <c r="G53" i="25"/>
  <c r="F53" i="25"/>
  <c r="X52" i="25"/>
  <c r="W52" i="25"/>
  <c r="V52" i="25"/>
  <c r="U52" i="25"/>
  <c r="T52" i="25"/>
  <c r="S52" i="25"/>
  <c r="R52" i="25"/>
  <c r="Q52" i="25"/>
  <c r="P52" i="25"/>
  <c r="O52" i="25"/>
  <c r="N52" i="25"/>
  <c r="M52" i="25"/>
  <c r="L52" i="25"/>
  <c r="K52" i="25"/>
  <c r="J52" i="25"/>
  <c r="I52" i="25"/>
  <c r="H52" i="25"/>
  <c r="G52" i="25"/>
  <c r="G50" i="25" s="1"/>
  <c r="F52" i="25"/>
  <c r="F50" i="25" s="1"/>
  <c r="Q50" i="25"/>
  <c r="M50" i="25"/>
  <c r="K47" i="25"/>
  <c r="AC45" i="25"/>
  <c r="Z45" i="25"/>
  <c r="Z135" i="25" s="1"/>
  <c r="Y45" i="25"/>
  <c r="Z44" i="25"/>
  <c r="Z134" i="25" s="1"/>
  <c r="Y44" i="25"/>
  <c r="Y134" i="25" s="1"/>
  <c r="Z43" i="25"/>
  <c r="Z133" i="25" s="1"/>
  <c r="Y43" i="25"/>
  <c r="Z41" i="25"/>
  <c r="Z131" i="25" s="1"/>
  <c r="Z40" i="25"/>
  <c r="Z130" i="25" s="1"/>
  <c r="Y40" i="25"/>
  <c r="Y130" i="25" s="1"/>
  <c r="Z35" i="25"/>
  <c r="Z125" i="25" s="1"/>
  <c r="Y35" i="25"/>
  <c r="Y125" i="25" s="1"/>
  <c r="Z34" i="25"/>
  <c r="Z124" i="25" s="1"/>
  <c r="Y34" i="25"/>
  <c r="Y124" i="25" s="1"/>
  <c r="Z33" i="25"/>
  <c r="Z123" i="25" s="1"/>
  <c r="Y33" i="25"/>
  <c r="Z32" i="25"/>
  <c r="Z122" i="25" s="1"/>
  <c r="Y32" i="25"/>
  <c r="Y122" i="25" s="1"/>
  <c r="AH31" i="25"/>
  <c r="Z31" i="25"/>
  <c r="Z121" i="25" s="1"/>
  <c r="Y31" i="25"/>
  <c r="Z30" i="25"/>
  <c r="Z120" i="25" s="1"/>
  <c r="Y30" i="25"/>
  <c r="Y120" i="25" s="1"/>
  <c r="X30" i="25"/>
  <c r="Z29" i="25"/>
  <c r="Z119" i="25" s="1"/>
  <c r="Y29" i="25"/>
  <c r="Y119" i="25" s="1"/>
  <c r="Y28" i="25"/>
  <c r="Y118" i="25" s="1"/>
  <c r="W12" i="25"/>
  <c r="U12" i="25"/>
  <c r="Q12" i="25"/>
  <c r="Z27" i="25"/>
  <c r="Y27" i="25"/>
  <c r="Y117" i="25" s="1"/>
  <c r="J27" i="25"/>
  <c r="E27" i="25"/>
  <c r="Z26" i="25"/>
  <c r="Z116" i="25" s="1"/>
  <c r="Y26" i="25"/>
  <c r="Y116" i="25" s="1"/>
  <c r="AG25" i="25"/>
  <c r="AF25" i="25"/>
  <c r="Z25" i="25"/>
  <c r="Z24" i="25"/>
  <c r="F24" i="25"/>
  <c r="F249" i="25" s="1"/>
  <c r="F236" i="25" s="1"/>
  <c r="Z23" i="25"/>
  <c r="Y23" i="25"/>
  <c r="Y113" i="25" s="1"/>
  <c r="AG22" i="25"/>
  <c r="Z42" i="25"/>
  <c r="H112" i="25"/>
  <c r="G22" i="25"/>
  <c r="G10" i="25" s="1"/>
  <c r="G145" i="25" s="1"/>
  <c r="X21" i="25"/>
  <c r="W21" i="25"/>
  <c r="W10" i="25" s="1"/>
  <c r="W100" i="25" s="1"/>
  <c r="U21" i="25"/>
  <c r="U10" i="25" s="1"/>
  <c r="T21" i="25"/>
  <c r="R21" i="25"/>
  <c r="Q21" i="25"/>
  <c r="Z20" i="25"/>
  <c r="Z110" i="25" s="1"/>
  <c r="Y20" i="25"/>
  <c r="Z19" i="25"/>
  <c r="Z109" i="25" s="1"/>
  <c r="Y19" i="25"/>
  <c r="Z18" i="25"/>
  <c r="Z108" i="25" s="1"/>
  <c r="Y18" i="25"/>
  <c r="Y108" i="25" s="1"/>
  <c r="Z17" i="25"/>
  <c r="Z107" i="25" s="1"/>
  <c r="Y17" i="25"/>
  <c r="Y107" i="25" s="1"/>
  <c r="Z16" i="25"/>
  <c r="Z106" i="25" s="1"/>
  <c r="Y16" i="25"/>
  <c r="Z15" i="25"/>
  <c r="Z105" i="25" s="1"/>
  <c r="Y15" i="25"/>
  <c r="Y105" i="25" s="1"/>
  <c r="Z14" i="25"/>
  <c r="AA14" i="25" s="1"/>
  <c r="AA104" i="25" s="1"/>
  <c r="Y14" i="25"/>
  <c r="Y104" i="25" s="1"/>
  <c r="X13" i="25"/>
  <c r="X103" i="25" s="1"/>
  <c r="W13" i="25"/>
  <c r="W103" i="25" s="1"/>
  <c r="V13" i="25"/>
  <c r="V103" i="25" s="1"/>
  <c r="U13" i="25"/>
  <c r="U103" i="25" s="1"/>
  <c r="T13" i="25"/>
  <c r="T103" i="25" s="1"/>
  <c r="S13" i="25"/>
  <c r="S103" i="25" s="1"/>
  <c r="R13" i="25"/>
  <c r="R103" i="25" s="1"/>
  <c r="Q13" i="25"/>
  <c r="P13" i="25"/>
  <c r="P103" i="25" s="1"/>
  <c r="O13" i="25"/>
  <c r="O103" i="25" s="1"/>
  <c r="N13" i="25"/>
  <c r="N103" i="25" s="1"/>
  <c r="M13" i="25"/>
  <c r="M103" i="25" s="1"/>
  <c r="L13" i="25"/>
  <c r="L103" i="25" s="1"/>
  <c r="K13" i="25"/>
  <c r="K103" i="25" s="1"/>
  <c r="J13" i="25"/>
  <c r="J103" i="25" s="1"/>
  <c r="I13" i="25"/>
  <c r="I103" i="25" s="1"/>
  <c r="H13" i="25"/>
  <c r="G13" i="25"/>
  <c r="G103" i="25" s="1"/>
  <c r="F13" i="25"/>
  <c r="F103" i="25" s="1"/>
  <c r="AC12" i="25"/>
  <c r="P12" i="25"/>
  <c r="P102" i="25" s="1"/>
  <c r="O12" i="25"/>
  <c r="O102" i="25" s="1"/>
  <c r="N12" i="25"/>
  <c r="N102" i="25" s="1"/>
  <c r="M12" i="25"/>
  <c r="K12" i="25"/>
  <c r="J12" i="25"/>
  <c r="I12" i="25"/>
  <c r="I102" i="25" s="1"/>
  <c r="H12" i="25"/>
  <c r="H102" i="25" s="1"/>
  <c r="G12" i="25"/>
  <c r="G102" i="25" s="1"/>
  <c r="F12" i="25"/>
  <c r="F102" i="25" s="1"/>
  <c r="X11" i="25"/>
  <c r="W11" i="25"/>
  <c r="W101" i="25" s="1"/>
  <c r="V11" i="25"/>
  <c r="U11" i="25"/>
  <c r="U101" i="25" s="1"/>
  <c r="T11" i="25"/>
  <c r="S11" i="25"/>
  <c r="R11" i="25"/>
  <c r="R101" i="25" s="1"/>
  <c r="Q11" i="25"/>
  <c r="Q101" i="25" s="1"/>
  <c r="P11" i="25"/>
  <c r="P101" i="25" s="1"/>
  <c r="O11" i="25"/>
  <c r="O101" i="25" s="1"/>
  <c r="N11" i="25"/>
  <c r="N146" i="25" s="1"/>
  <c r="M11" i="25"/>
  <c r="M101" i="25" s="1"/>
  <c r="L11" i="25"/>
  <c r="I11" i="25"/>
  <c r="I101" i="25" s="1"/>
  <c r="H11" i="25"/>
  <c r="H101" i="25" s="1"/>
  <c r="G11" i="25"/>
  <c r="G101" i="25" s="1"/>
  <c r="F11" i="25"/>
  <c r="F101" i="25" s="1"/>
  <c r="AE233" i="25"/>
  <c r="V10" i="25"/>
  <c r="S10" i="25"/>
  <c r="O10" i="25"/>
  <c r="N10" i="25"/>
  <c r="M10" i="25"/>
  <c r="L10" i="25"/>
  <c r="L100" i="25" s="1"/>
  <c r="K10" i="25"/>
  <c r="J10" i="25"/>
  <c r="H10" i="25"/>
  <c r="AE232" i="25"/>
  <c r="AE234" i="25" s="1"/>
  <c r="X9" i="25"/>
  <c r="X99" i="25" s="1"/>
  <c r="W9" i="25"/>
  <c r="V9" i="25"/>
  <c r="V99" i="25" s="1"/>
  <c r="U9" i="25"/>
  <c r="U99" i="25" s="1"/>
  <c r="T9" i="25"/>
  <c r="T99" i="25" s="1"/>
  <c r="S9" i="25"/>
  <c r="S99" i="25" s="1"/>
  <c r="R9" i="25"/>
  <c r="R99" i="25" s="1"/>
  <c r="Q9" i="25"/>
  <c r="Q99" i="25" s="1"/>
  <c r="P9" i="25"/>
  <c r="P99" i="25" s="1"/>
  <c r="O9" i="25"/>
  <c r="O99" i="25" s="1"/>
  <c r="N9" i="25"/>
  <c r="N99" i="25" s="1"/>
  <c r="M9" i="25"/>
  <c r="M99" i="25" s="1"/>
  <c r="L9" i="25"/>
  <c r="L99" i="25" s="1"/>
  <c r="K9" i="25"/>
  <c r="K99" i="25" s="1"/>
  <c r="J9" i="25"/>
  <c r="J99" i="25" s="1"/>
  <c r="I9" i="25"/>
  <c r="I99" i="25" s="1"/>
  <c r="H9" i="25"/>
  <c r="H99" i="25" s="1"/>
  <c r="G9" i="25"/>
  <c r="G99" i="25" s="1"/>
  <c r="F9" i="25"/>
  <c r="X8" i="25"/>
  <c r="W8" i="25"/>
  <c r="W98" i="25" s="1"/>
  <c r="V8" i="25"/>
  <c r="V98" i="25" s="1"/>
  <c r="U8" i="25"/>
  <c r="U98" i="25" s="1"/>
  <c r="T8" i="25"/>
  <c r="T98" i="25" s="1"/>
  <c r="S8" i="25"/>
  <c r="S98" i="25" s="1"/>
  <c r="R8" i="25"/>
  <c r="R98" i="25" s="1"/>
  <c r="Q8" i="25"/>
  <c r="Q98" i="25" s="1"/>
  <c r="P8" i="25"/>
  <c r="P98" i="25" s="1"/>
  <c r="O8" i="25"/>
  <c r="O98" i="25" s="1"/>
  <c r="N8" i="25"/>
  <c r="N98" i="25" s="1"/>
  <c r="M8" i="25"/>
  <c r="M98" i="25" s="1"/>
  <c r="L8" i="25"/>
  <c r="L98" i="25" s="1"/>
  <c r="K8" i="25"/>
  <c r="K98" i="25" s="1"/>
  <c r="J8" i="25"/>
  <c r="J98" i="25" s="1"/>
  <c r="I8" i="25"/>
  <c r="I98" i="25" s="1"/>
  <c r="H8" i="25"/>
  <c r="H98" i="25" s="1"/>
  <c r="G8" i="25"/>
  <c r="G98" i="25" s="1"/>
  <c r="F8" i="25"/>
  <c r="X7" i="25"/>
  <c r="X97" i="25" s="1"/>
  <c r="W7" i="25"/>
  <c r="W97" i="25" s="1"/>
  <c r="V7" i="25"/>
  <c r="V5" i="25" s="1"/>
  <c r="V95" i="25" s="1"/>
  <c r="U7" i="25"/>
  <c r="U97" i="25" s="1"/>
  <c r="T7" i="25"/>
  <c r="S7" i="25"/>
  <c r="S5" i="25" s="1"/>
  <c r="S95" i="25" s="1"/>
  <c r="R7" i="25"/>
  <c r="R97" i="25" s="1"/>
  <c r="Q7" i="25"/>
  <c r="P7" i="25"/>
  <c r="P97" i="25" s="1"/>
  <c r="O7" i="25"/>
  <c r="O97" i="25" s="1"/>
  <c r="N7" i="25"/>
  <c r="N5" i="25" s="1"/>
  <c r="M7" i="25"/>
  <c r="M97" i="25" s="1"/>
  <c r="L7" i="25"/>
  <c r="L97" i="25" s="1"/>
  <c r="K7" i="25"/>
  <c r="K97" i="25" s="1"/>
  <c r="J7" i="25"/>
  <c r="J97" i="25" s="1"/>
  <c r="I7" i="25"/>
  <c r="H7" i="25"/>
  <c r="H97" i="25" s="1"/>
  <c r="G7" i="25"/>
  <c r="G97" i="25" s="1"/>
  <c r="F7" i="25"/>
  <c r="Y7" i="25" s="1"/>
  <c r="Y97" i="25" s="1"/>
  <c r="M5" i="25"/>
  <c r="M95" i="25" s="1"/>
  <c r="D5" i="25"/>
  <c r="I91" i="24"/>
  <c r="I90" i="24"/>
  <c r="I89" i="24"/>
  <c r="I88" i="24"/>
  <c r="I87" i="24"/>
  <c r="I86" i="24"/>
  <c r="I85" i="24"/>
  <c r="I84" i="24"/>
  <c r="I83" i="24"/>
  <c r="I82" i="24"/>
  <c r="I81" i="24"/>
  <c r="I80" i="24"/>
  <c r="I79" i="24"/>
  <c r="I78" i="24"/>
  <c r="I77" i="24"/>
  <c r="I76" i="24"/>
  <c r="I75" i="24"/>
  <c r="I74" i="24"/>
  <c r="I73" i="24"/>
  <c r="I72" i="24"/>
  <c r="I71" i="24"/>
  <c r="I70" i="24"/>
  <c r="I69" i="24"/>
  <c r="I68" i="24"/>
  <c r="I67" i="24"/>
  <c r="I66" i="24"/>
  <c r="I65" i="24"/>
  <c r="I64" i="24"/>
  <c r="I63" i="24"/>
  <c r="I62" i="24"/>
  <c r="I61" i="24"/>
  <c r="I60" i="24"/>
  <c r="I59" i="24"/>
  <c r="I58" i="24"/>
  <c r="I57" i="24"/>
  <c r="AA89" i="25" l="1"/>
  <c r="AA129" i="20"/>
  <c r="R114" i="20"/>
  <c r="R141" i="20" s="1"/>
  <c r="R159" i="20" s="1"/>
  <c r="K113" i="20"/>
  <c r="E113" i="20"/>
  <c r="P113" i="20"/>
  <c r="P87" i="20"/>
  <c r="Q113" i="20"/>
  <c r="Q87" i="20"/>
  <c r="T61" i="20"/>
  <c r="T114" i="20"/>
  <c r="U61" i="20"/>
  <c r="U114" i="20"/>
  <c r="U141" i="20" s="1"/>
  <c r="U159" i="20" s="1"/>
  <c r="S61" i="20"/>
  <c r="S114" i="20"/>
  <c r="J61" i="20"/>
  <c r="J114" i="20"/>
  <c r="X61" i="20"/>
  <c r="X114" i="20"/>
  <c r="X141" i="20" s="1"/>
  <c r="X159" i="20" s="1"/>
  <c r="D61" i="20"/>
  <c r="D114" i="20"/>
  <c r="D141" i="20" s="1"/>
  <c r="D159" i="20" s="1"/>
  <c r="W114" i="20"/>
  <c r="W141" i="20" s="1"/>
  <c r="W159" i="20" s="1"/>
  <c r="AA61" i="20"/>
  <c r="AA114" i="20"/>
  <c r="AA141" i="20" s="1"/>
  <c r="AA159" i="20" s="1"/>
  <c r="AA128" i="20"/>
  <c r="X128" i="20"/>
  <c r="J128" i="20"/>
  <c r="U128" i="20"/>
  <c r="T128" i="20"/>
  <c r="W128" i="20"/>
  <c r="BB202" i="25"/>
  <c r="J51" i="28"/>
  <c r="AA74" i="25"/>
  <c r="AA192" i="28"/>
  <c r="AA147" i="28" s="1"/>
  <c r="Z81" i="25"/>
  <c r="AV186" i="28"/>
  <c r="T141" i="28"/>
  <c r="AV141" i="28"/>
  <c r="AW186" i="28"/>
  <c r="AW141" i="28"/>
  <c r="U141" i="28"/>
  <c r="AY186" i="28"/>
  <c r="W141" i="28"/>
  <c r="AY141" i="28"/>
  <c r="AA100" i="28"/>
  <c r="AB43" i="28"/>
  <c r="AB40" i="28"/>
  <c r="AB44" i="28"/>
  <c r="AA204" i="28"/>
  <c r="Y159" i="28"/>
  <c r="BA204" i="28"/>
  <c r="BB217" i="28"/>
  <c r="Z172" i="28"/>
  <c r="BB172" i="28"/>
  <c r="AH141" i="28"/>
  <c r="BA192" i="28"/>
  <c r="BA147" i="28"/>
  <c r="Y147" i="28"/>
  <c r="AX192" i="28"/>
  <c r="AX147" i="28"/>
  <c r="V147" i="28"/>
  <c r="V186" i="28"/>
  <c r="Z186" i="28" s="1"/>
  <c r="Y100" i="28"/>
  <c r="BB190" i="28"/>
  <c r="AC47" i="20" s="1"/>
  <c r="Z145" i="28"/>
  <c r="AC32" i="20" s="1"/>
  <c r="BB145" i="28"/>
  <c r="AA127" i="28"/>
  <c r="AB37" i="28"/>
  <c r="BB148" i="28"/>
  <c r="BB193" i="28"/>
  <c r="AA193" i="28"/>
  <c r="K56" i="28"/>
  <c r="K114" i="28"/>
  <c r="AM159" i="28"/>
  <c r="Y69" i="28"/>
  <c r="Y114" i="28" s="1"/>
  <c r="AZ186" i="28"/>
  <c r="AZ141" i="28"/>
  <c r="X141" i="28"/>
  <c r="BC224" i="28"/>
  <c r="BC179" i="28"/>
  <c r="AA179" i="28"/>
  <c r="Y231" i="28"/>
  <c r="AH186" i="28"/>
  <c r="BB146" i="28"/>
  <c r="BB191" i="28"/>
  <c r="Z146" i="28"/>
  <c r="AA129" i="28"/>
  <c r="AB39" i="28"/>
  <c r="AO186" i="28"/>
  <c r="AO141" i="28"/>
  <c r="M141" i="28"/>
  <c r="AM186" i="28"/>
  <c r="K141" i="28"/>
  <c r="BA217" i="28"/>
  <c r="AA217" i="28"/>
  <c r="BA172" i="28"/>
  <c r="Y172" i="28"/>
  <c r="AB38" i="28"/>
  <c r="BA219" i="28"/>
  <c r="AA219" i="28"/>
  <c r="BA174" i="28"/>
  <c r="Y174" i="28"/>
  <c r="AA235" i="28"/>
  <c r="AK186" i="28"/>
  <c r="I141" i="28"/>
  <c r="AK141" i="28"/>
  <c r="BC207" i="28"/>
  <c r="AA162" i="28"/>
  <c r="BC162" i="28"/>
  <c r="BC205" i="28"/>
  <c r="AA160" i="28"/>
  <c r="BC160" i="28"/>
  <c r="BC216" i="28"/>
  <c r="BC171" i="28"/>
  <c r="AA171" i="28"/>
  <c r="BA218" i="28"/>
  <c r="BA173" i="28"/>
  <c r="AA218" i="28"/>
  <c r="Y173" i="28"/>
  <c r="AN186" i="28"/>
  <c r="L141" i="28"/>
  <c r="AN141" i="28"/>
  <c r="BC208" i="28"/>
  <c r="BC163" i="28"/>
  <c r="AA163" i="28"/>
  <c r="AA126" i="28"/>
  <c r="AB36" i="28"/>
  <c r="AS186" i="28"/>
  <c r="AS141" i="28"/>
  <c r="Q141" i="28"/>
  <c r="BB218" i="28"/>
  <c r="Z173" i="28"/>
  <c r="BB173" i="28"/>
  <c r="AA11" i="28"/>
  <c r="BC185" i="28"/>
  <c r="AA140" i="28"/>
  <c r="BC140" i="28"/>
  <c r="BB192" i="28"/>
  <c r="BB147" i="28"/>
  <c r="Z147" i="28"/>
  <c r="AA236" i="28"/>
  <c r="AP186" i="28"/>
  <c r="Z231" i="28"/>
  <c r="J96" i="28"/>
  <c r="AL191" i="28"/>
  <c r="AL146" i="28"/>
  <c r="J146" i="28"/>
  <c r="Y191" i="28"/>
  <c r="J186" i="28"/>
  <c r="Y186" i="28" s="1"/>
  <c r="Q96" i="28"/>
  <c r="Z51" i="28"/>
  <c r="AA131" i="28"/>
  <c r="AB41" i="28"/>
  <c r="AT186" i="28"/>
  <c r="R141" i="28"/>
  <c r="AT141" i="28"/>
  <c r="S141" i="28"/>
  <c r="AU186" i="28"/>
  <c r="AU141" i="28"/>
  <c r="AA132" i="28"/>
  <c r="AB42" i="28"/>
  <c r="BA190" i="28"/>
  <c r="AB47" i="20" s="1"/>
  <c r="Y145" i="28"/>
  <c r="AB32" i="20" s="1"/>
  <c r="BA145" i="28"/>
  <c r="AA190" i="28"/>
  <c r="AE15" i="20" s="1"/>
  <c r="L96" i="28"/>
  <c r="BC210" i="28"/>
  <c r="BC165" i="28"/>
  <c r="S128" i="20"/>
  <c r="R61" i="20"/>
  <c r="R128" i="20"/>
  <c r="D128" i="20"/>
  <c r="I86" i="20"/>
  <c r="Q86" i="20"/>
  <c r="Y86" i="20"/>
  <c r="Z86" i="20"/>
  <c r="AA6" i="27"/>
  <c r="AB38" i="27"/>
  <c r="BC216" i="27"/>
  <c r="BC171" i="27"/>
  <c r="BB219" i="27"/>
  <c r="BB174" i="27"/>
  <c r="Z174" i="27"/>
  <c r="Y132" i="27"/>
  <c r="AA42" i="27"/>
  <c r="Y177" i="27"/>
  <c r="BA192" i="27"/>
  <c r="BA147" i="27"/>
  <c r="Y147" i="27"/>
  <c r="BC207" i="27"/>
  <c r="AA162" i="27"/>
  <c r="BC162" i="27"/>
  <c r="AS186" i="27"/>
  <c r="AS141" i="27"/>
  <c r="Q141" i="27"/>
  <c r="BC204" i="27"/>
  <c r="AA159" i="27"/>
  <c r="BC159" i="27"/>
  <c r="BB191" i="27"/>
  <c r="Z146" i="27"/>
  <c r="BB146" i="27"/>
  <c r="AT186" i="27"/>
  <c r="R141" i="27"/>
  <c r="AT141" i="27"/>
  <c r="BA145" i="27"/>
  <c r="Y145" i="27"/>
  <c r="AB31" i="20" s="1"/>
  <c r="AA190" i="27"/>
  <c r="AE14" i="20" s="1"/>
  <c r="BB190" i="27"/>
  <c r="AC46" i="20" s="1"/>
  <c r="Z145" i="27"/>
  <c r="AC31" i="20" s="1"/>
  <c r="BB145" i="27"/>
  <c r="AH141" i="27"/>
  <c r="Y51" i="27"/>
  <c r="Y96" i="27" s="1"/>
  <c r="BB192" i="27"/>
  <c r="Z147" i="27"/>
  <c r="BB147" i="27"/>
  <c r="BC205" i="27"/>
  <c r="AA160" i="27"/>
  <c r="BC160" i="27"/>
  <c r="BA218" i="27"/>
  <c r="Y173" i="27"/>
  <c r="AA218" i="27"/>
  <c r="BA173" i="27"/>
  <c r="BA191" i="27"/>
  <c r="Y146" i="27"/>
  <c r="BA146" i="27"/>
  <c r="AA191" i="27"/>
  <c r="Z51" i="27"/>
  <c r="Z96" i="27" s="1"/>
  <c r="M96" i="27"/>
  <c r="AA56" i="27"/>
  <c r="AA101" i="27" s="1"/>
  <c r="Y101" i="27"/>
  <c r="AY186" i="27"/>
  <c r="AY141" i="27"/>
  <c r="W141" i="27"/>
  <c r="BB216" i="27"/>
  <c r="Z171" i="27"/>
  <c r="BB171" i="27"/>
  <c r="AU186" i="27"/>
  <c r="S141" i="27"/>
  <c r="AU141" i="27"/>
  <c r="AO186" i="27"/>
  <c r="Z186" i="27"/>
  <c r="M141" i="27"/>
  <c r="AO141" i="27"/>
  <c r="AM186" i="27"/>
  <c r="K141" i="27"/>
  <c r="AM141" i="27"/>
  <c r="BC210" i="27"/>
  <c r="AA165" i="27"/>
  <c r="BC165" i="27"/>
  <c r="AA217" i="27"/>
  <c r="BA217" i="27"/>
  <c r="BA172" i="27"/>
  <c r="Y172" i="27"/>
  <c r="AK186" i="27"/>
  <c r="AK141" i="27"/>
  <c r="I141" i="27"/>
  <c r="Y186" i="27"/>
  <c r="AX186" i="27"/>
  <c r="V141" i="27"/>
  <c r="AX141" i="27"/>
  <c r="Y131" i="27"/>
  <c r="AA41" i="27"/>
  <c r="AA127" i="27"/>
  <c r="AB37" i="27"/>
  <c r="AL186" i="27"/>
  <c r="J141" i="27"/>
  <c r="AL141" i="27"/>
  <c r="BC163" i="27"/>
  <c r="BC208" i="27"/>
  <c r="AA163" i="27"/>
  <c r="BB218" i="27"/>
  <c r="Z173" i="27"/>
  <c r="BB173" i="27"/>
  <c r="BA219" i="27"/>
  <c r="AA219" i="27"/>
  <c r="BA174" i="27"/>
  <c r="Y174" i="27"/>
  <c r="Y126" i="27"/>
  <c r="AA36" i="27"/>
  <c r="AA192" i="27"/>
  <c r="AW186" i="27"/>
  <c r="U141" i="27"/>
  <c r="AW141" i="27"/>
  <c r="AH186" i="27"/>
  <c r="BC224" i="27"/>
  <c r="AA179" i="27"/>
  <c r="BC179" i="27"/>
  <c r="AV186" i="27"/>
  <c r="AV141" i="27"/>
  <c r="T141" i="27"/>
  <c r="H231" i="27"/>
  <c r="AJ186" i="27" s="1"/>
  <c r="AJ190" i="27"/>
  <c r="F46" i="20" s="1"/>
  <c r="BB193" i="27"/>
  <c r="BB148" i="27"/>
  <c r="Z148" i="27"/>
  <c r="AA193" i="27"/>
  <c r="AN186" i="27"/>
  <c r="AN141" i="27"/>
  <c r="L141" i="27"/>
  <c r="AZ186" i="27"/>
  <c r="AZ141" i="27"/>
  <c r="X141" i="27"/>
  <c r="AA100" i="27"/>
  <c r="AB40" i="27"/>
  <c r="AB44" i="27"/>
  <c r="AB43" i="27"/>
  <c r="AP186" i="27"/>
  <c r="Z231" i="27"/>
  <c r="Y235" i="27"/>
  <c r="T236" i="25"/>
  <c r="M60" i="20"/>
  <c r="M112" i="20" s="1"/>
  <c r="M118" i="20" s="1"/>
  <c r="AD4" i="24"/>
  <c r="AF6" i="24"/>
  <c r="AD10" i="24"/>
  <c r="AD9" i="24"/>
  <c r="AD8" i="24"/>
  <c r="Q60" i="20"/>
  <c r="Q85" i="20" s="1"/>
  <c r="I60" i="20"/>
  <c r="I85" i="20" s="1"/>
  <c r="Y60" i="20"/>
  <c r="Y85" i="20" s="1"/>
  <c r="Z60" i="20"/>
  <c r="Z85" i="20" s="1"/>
  <c r="AH171" i="25"/>
  <c r="F190" i="25"/>
  <c r="D13" i="20" s="1"/>
  <c r="V146" i="25"/>
  <c r="AX160" i="25"/>
  <c r="V191" i="25"/>
  <c r="Z205" i="25"/>
  <c r="AV160" i="25"/>
  <c r="N6" i="25"/>
  <c r="N96" i="25" s="1"/>
  <c r="BB204" i="25"/>
  <c r="N236" i="25"/>
  <c r="AP191" i="25" s="1"/>
  <c r="AU160" i="25"/>
  <c r="AO201" i="25"/>
  <c r="T10" i="25"/>
  <c r="T100" i="25" s="1"/>
  <c r="Z21" i="25"/>
  <c r="Z111" i="25" s="1"/>
  <c r="R51" i="25"/>
  <c r="J145" i="25"/>
  <c r="H30" i="20" s="1"/>
  <c r="BB159" i="25"/>
  <c r="K100" i="25"/>
  <c r="F10" i="25"/>
  <c r="F6" i="25" s="1"/>
  <c r="Z234" i="25"/>
  <c r="X101" i="25"/>
  <c r="K56" i="25"/>
  <c r="K51" i="25" s="1"/>
  <c r="J56" i="25"/>
  <c r="Z72" i="25"/>
  <c r="AA72" i="25" s="1"/>
  <c r="AA117" i="25" s="1"/>
  <c r="M57" i="25"/>
  <c r="AV191" i="25"/>
  <c r="G5" i="25"/>
  <c r="G95" i="25" s="1"/>
  <c r="Y24" i="25"/>
  <c r="AA24" i="25" s="1"/>
  <c r="AA114" i="25" s="1"/>
  <c r="H6" i="25"/>
  <c r="AA32" i="25"/>
  <c r="AA122" i="25" s="1"/>
  <c r="AA35" i="25"/>
  <c r="AA125" i="25" s="1"/>
  <c r="H50" i="25"/>
  <c r="X50" i="25"/>
  <c r="F55" i="25"/>
  <c r="F56" i="25"/>
  <c r="Y58" i="25"/>
  <c r="AA59" i="25"/>
  <c r="AA71" i="25"/>
  <c r="P112" i="25"/>
  <c r="AS143" i="25"/>
  <c r="AK146" i="25"/>
  <c r="Z149" i="25"/>
  <c r="AP190" i="25"/>
  <c r="R236" i="25"/>
  <c r="S237" i="25"/>
  <c r="AB302" i="25"/>
  <c r="F5" i="25"/>
  <c r="F112" i="25"/>
  <c r="AA27" i="25"/>
  <c r="G55" i="25"/>
  <c r="AI145" i="25" s="1"/>
  <c r="G51" i="25"/>
  <c r="AI141" i="25" s="1"/>
  <c r="X56" i="25"/>
  <c r="AZ146" i="25" s="1"/>
  <c r="Y66" i="25"/>
  <c r="AA66" i="25" s="1"/>
  <c r="S97" i="25"/>
  <c r="BA154" i="25"/>
  <c r="AM192" i="25"/>
  <c r="AL193" i="25"/>
  <c r="AA194" i="25"/>
  <c r="AO171" i="25"/>
  <c r="I232" i="25"/>
  <c r="Q232" i="25"/>
  <c r="K232" i="25"/>
  <c r="K230" i="25" s="1"/>
  <c r="S232" i="25"/>
  <c r="U230" i="25"/>
  <c r="G233" i="25"/>
  <c r="G230" i="25" s="1"/>
  <c r="O233" i="25"/>
  <c r="O230" i="25" s="1"/>
  <c r="W233" i="25"/>
  <c r="W230" i="25" s="1"/>
  <c r="I233" i="25"/>
  <c r="Q233" i="25"/>
  <c r="Z233" i="25" s="1"/>
  <c r="AA17" i="25"/>
  <c r="AA107" i="25" s="1"/>
  <c r="AA60" i="25"/>
  <c r="Y83" i="25"/>
  <c r="AA83" i="25" s="1"/>
  <c r="AI177" i="25"/>
  <c r="BB179" i="25"/>
  <c r="BC150" i="25"/>
  <c r="Y175" i="25"/>
  <c r="AV205" i="25"/>
  <c r="AA212" i="25"/>
  <c r="M236" i="25"/>
  <c r="U236" i="25"/>
  <c r="Z104" i="25"/>
  <c r="N230" i="25"/>
  <c r="AA20" i="25"/>
  <c r="AA110" i="25" s="1"/>
  <c r="K111" i="25"/>
  <c r="R148" i="25"/>
  <c r="Y154" i="25"/>
  <c r="Z167" i="25"/>
  <c r="O6" i="25"/>
  <c r="P5" i="25"/>
  <c r="P95" i="25" s="1"/>
  <c r="S101" i="25"/>
  <c r="Z22" i="25"/>
  <c r="Z157" i="25" s="1"/>
  <c r="AA34" i="25"/>
  <c r="AA124" i="25" s="1"/>
  <c r="Z53" i="25"/>
  <c r="T56" i="25"/>
  <c r="AV146" i="25" s="1"/>
  <c r="Y57" i="25"/>
  <c r="AA61" i="25"/>
  <c r="Z70" i="25"/>
  <c r="AA78" i="25"/>
  <c r="AA90" i="25"/>
  <c r="I146" i="25"/>
  <c r="K147" i="25"/>
  <c r="J148" i="25"/>
  <c r="AA150" i="25"/>
  <c r="BA158" i="25"/>
  <c r="U185" i="25"/>
  <c r="U140" i="25" s="1"/>
  <c r="AT193" i="25"/>
  <c r="AA198" i="25"/>
  <c r="N235" i="25"/>
  <c r="V235" i="25"/>
  <c r="AX190" i="25" s="1"/>
  <c r="S236" i="25"/>
  <c r="U102" i="25"/>
  <c r="AA15" i="25"/>
  <c r="AA105" i="25" s="1"/>
  <c r="AA18" i="25"/>
  <c r="AA108" i="25" s="1"/>
  <c r="Y67" i="25"/>
  <c r="Y87" i="25"/>
  <c r="AA87" i="25" s="1"/>
  <c r="BB149" i="25"/>
  <c r="BA164" i="25"/>
  <c r="L232" i="25"/>
  <c r="T232" i="25"/>
  <c r="F232" i="25"/>
  <c r="F230" i="25" s="1"/>
  <c r="V232" i="25"/>
  <c r="V230" i="25" s="1"/>
  <c r="H232" i="25"/>
  <c r="P232" i="25"/>
  <c r="X232" i="25"/>
  <c r="J233" i="25"/>
  <c r="J230" i="25" s="1"/>
  <c r="R233" i="25"/>
  <c r="R230" i="25" s="1"/>
  <c r="L233" i="25"/>
  <c r="T233" i="25"/>
  <c r="F233" i="25"/>
  <c r="N233" i="25"/>
  <c r="V233" i="25"/>
  <c r="L235" i="25"/>
  <c r="G237" i="25"/>
  <c r="U5" i="25"/>
  <c r="U95" i="25" s="1"/>
  <c r="X5" i="25"/>
  <c r="X95" i="25" s="1"/>
  <c r="Y52" i="25"/>
  <c r="O50" i="25"/>
  <c r="W50" i="25"/>
  <c r="L50" i="25"/>
  <c r="T50" i="25"/>
  <c r="AR145" i="25"/>
  <c r="V56" i="25"/>
  <c r="AX146" i="25" s="1"/>
  <c r="J102" i="25"/>
  <c r="S51" i="25"/>
  <c r="Z83" i="25"/>
  <c r="Y86" i="25"/>
  <c r="AA86" i="25" s="1"/>
  <c r="Y158" i="25"/>
  <c r="BA175" i="25"/>
  <c r="BA203" i="25"/>
  <c r="Q102" i="25"/>
  <c r="S6" i="25"/>
  <c r="S96" i="25" s="1"/>
  <c r="X51" i="25"/>
  <c r="U51" i="25"/>
  <c r="Q51" i="25"/>
  <c r="N95" i="25"/>
  <c r="U100" i="25"/>
  <c r="U6" i="25"/>
  <c r="O141" i="25"/>
  <c r="AJ81" i="25"/>
  <c r="AI81" i="25"/>
  <c r="M145" i="25"/>
  <c r="P30" i="20" s="1"/>
  <c r="M100" i="25"/>
  <c r="H5" i="25"/>
  <c r="H95" i="25" s="1"/>
  <c r="R5" i="25"/>
  <c r="R95" i="25" s="1"/>
  <c r="Y8" i="25"/>
  <c r="Y98" i="25" s="1"/>
  <c r="N145" i="25"/>
  <c r="N100" i="25"/>
  <c r="Y13" i="25"/>
  <c r="Y103" i="25" s="1"/>
  <c r="AA16" i="25"/>
  <c r="AA106" i="25" s="1"/>
  <c r="AA19" i="25"/>
  <c r="AA109" i="25" s="1"/>
  <c r="Y109" i="25"/>
  <c r="Y123" i="25"/>
  <c r="AA33" i="25"/>
  <c r="AA123" i="25" s="1"/>
  <c r="Y53" i="25"/>
  <c r="AA53" i="25" s="1"/>
  <c r="AQ145" i="25"/>
  <c r="O51" i="25"/>
  <c r="AQ141" i="25" s="1"/>
  <c r="W51" i="25"/>
  <c r="Z58" i="25"/>
  <c r="Y84" i="25"/>
  <c r="I55" i="25"/>
  <c r="I51" i="25" s="1"/>
  <c r="AA67" i="25"/>
  <c r="F97" i="25"/>
  <c r="V97" i="25"/>
  <c r="AA220" i="25"/>
  <c r="BB220" i="25"/>
  <c r="Z175" i="25"/>
  <c r="BB175" i="25"/>
  <c r="I246" i="25"/>
  <c r="I201" i="25"/>
  <c r="I111" i="25"/>
  <c r="I10" i="25"/>
  <c r="X208" i="25"/>
  <c r="X253" i="25"/>
  <c r="X237" i="25" s="1"/>
  <c r="AP145" i="25"/>
  <c r="N51" i="25"/>
  <c r="Z8" i="25"/>
  <c r="Z98" i="25" s="1"/>
  <c r="O100" i="25"/>
  <c r="O145" i="25"/>
  <c r="R30" i="20" s="1"/>
  <c r="X98" i="25"/>
  <c r="K5" i="25"/>
  <c r="K95" i="25" s="1"/>
  <c r="T5" i="25"/>
  <c r="T95" i="25" s="1"/>
  <c r="G6" i="25"/>
  <c r="X12" i="25"/>
  <c r="X102" i="25" s="1"/>
  <c r="Z159" i="25"/>
  <c r="Z114" i="25"/>
  <c r="Q208" i="25"/>
  <c r="Q253" i="25"/>
  <c r="Q237" i="25" s="1"/>
  <c r="Y121" i="25"/>
  <c r="AA31" i="25"/>
  <c r="AA121" i="25" s="1"/>
  <c r="AA44" i="25"/>
  <c r="N101" i="25"/>
  <c r="F100" i="25"/>
  <c r="AL156" i="25"/>
  <c r="J111" i="25"/>
  <c r="J55" i="25"/>
  <c r="L5" i="25"/>
  <c r="I97" i="25"/>
  <c r="I5" i="25"/>
  <c r="I95" i="25" s="1"/>
  <c r="F99" i="25"/>
  <c r="Y9" i="25"/>
  <c r="Y12" i="25"/>
  <c r="Y102" i="25" s="1"/>
  <c r="P246" i="25"/>
  <c r="P138" i="25"/>
  <c r="P156" i="25"/>
  <c r="P111" i="25"/>
  <c r="P10" i="25"/>
  <c r="J205" i="25"/>
  <c r="J250" i="25"/>
  <c r="N60" i="20" s="1"/>
  <c r="N112" i="20" s="1"/>
  <c r="N118" i="20" s="1"/>
  <c r="J11" i="25"/>
  <c r="J115" i="25"/>
  <c r="AA26" i="25"/>
  <c r="AA116" i="25" s="1"/>
  <c r="R208" i="25"/>
  <c r="R253" i="25"/>
  <c r="R237" i="25" s="1"/>
  <c r="R12" i="25"/>
  <c r="R102" i="25" s="1"/>
  <c r="L209" i="25"/>
  <c r="L254" i="25"/>
  <c r="L237" i="25" s="1"/>
  <c r="AA29" i="25"/>
  <c r="AA119" i="25" s="1"/>
  <c r="L12" i="25"/>
  <c r="L6" i="25" s="1"/>
  <c r="AA40" i="25"/>
  <c r="Z132" i="25"/>
  <c r="P51" i="25"/>
  <c r="J50" i="25"/>
  <c r="Y50" i="25" s="1"/>
  <c r="R50" i="25"/>
  <c r="Z52" i="25"/>
  <c r="AA52" i="25" s="1"/>
  <c r="H55" i="25"/>
  <c r="H51" i="25" s="1"/>
  <c r="H96" i="25" s="1"/>
  <c r="S100" i="25"/>
  <c r="H103" i="25"/>
  <c r="W102" i="25"/>
  <c r="AA30" i="25"/>
  <c r="AA120" i="25" s="1"/>
  <c r="AL172" i="25"/>
  <c r="Z7" i="25"/>
  <c r="Z97" i="25" s="1"/>
  <c r="Q201" i="25"/>
  <c r="Q246" i="25"/>
  <c r="Q10" i="25"/>
  <c r="Y135" i="25"/>
  <c r="AA45" i="25"/>
  <c r="AA135" i="25" s="1"/>
  <c r="S50" i="25"/>
  <c r="Y54" i="25"/>
  <c r="AA54" i="25" s="1"/>
  <c r="N97" i="25"/>
  <c r="AR185" i="25"/>
  <c r="P140" i="25"/>
  <c r="AR140" i="25"/>
  <c r="AJ189" i="25"/>
  <c r="H144" i="25"/>
  <c r="AJ144" i="25"/>
  <c r="Y189" i="25"/>
  <c r="P144" i="25"/>
  <c r="AR144" i="25"/>
  <c r="AR189" i="25"/>
  <c r="AZ189" i="25"/>
  <c r="X144" i="25"/>
  <c r="AZ144" i="25"/>
  <c r="U201" i="25"/>
  <c r="U246" i="25"/>
  <c r="AX145" i="25"/>
  <c r="J5" i="25"/>
  <c r="J95" i="25" s="1"/>
  <c r="AJ171" i="25"/>
  <c r="AJ82" i="25"/>
  <c r="AI82" i="25"/>
  <c r="Q97" i="25"/>
  <c r="Q5" i="25"/>
  <c r="Q95" i="25" s="1"/>
  <c r="F247" i="25"/>
  <c r="AH222" i="25" s="1"/>
  <c r="F157" i="25"/>
  <c r="Y22" i="25"/>
  <c r="K205" i="25"/>
  <c r="K250" i="25"/>
  <c r="K11" i="25"/>
  <c r="K115" i="25"/>
  <c r="T253" i="25"/>
  <c r="T237" i="25" s="1"/>
  <c r="T208" i="25"/>
  <c r="T12" i="25"/>
  <c r="K50" i="25"/>
  <c r="W5" i="25"/>
  <c r="W95" i="25" s="1"/>
  <c r="V145" i="25"/>
  <c r="V100" i="25"/>
  <c r="L101" i="25"/>
  <c r="T146" i="25"/>
  <c r="F246" i="25"/>
  <c r="AH201" i="25" s="1"/>
  <c r="F156" i="25"/>
  <c r="F111" i="25"/>
  <c r="Y21" i="25"/>
  <c r="R201" i="25"/>
  <c r="R246" i="25"/>
  <c r="R10" i="25"/>
  <c r="G247" i="25"/>
  <c r="G157" i="25"/>
  <c r="G112" i="25"/>
  <c r="AA23" i="25"/>
  <c r="AA113" i="25" s="1"/>
  <c r="Y25" i="25"/>
  <c r="Z36" i="25"/>
  <c r="Z126" i="25" s="1"/>
  <c r="L51" i="25"/>
  <c r="G100" i="25"/>
  <c r="Z13" i="25"/>
  <c r="Z103" i="25" s="1"/>
  <c r="F51" i="25"/>
  <c r="F96" i="25" s="1"/>
  <c r="F95" i="25"/>
  <c r="O5" i="25"/>
  <c r="O95" i="25" s="1"/>
  <c r="M6" i="25"/>
  <c r="W6" i="25"/>
  <c r="AA7" i="25"/>
  <c r="AA97" i="25" s="1"/>
  <c r="Z9" i="25"/>
  <c r="Z99" i="25" s="1"/>
  <c r="Z11" i="25"/>
  <c r="H246" i="25"/>
  <c r="AJ201" i="25" s="1"/>
  <c r="H156" i="25"/>
  <c r="H111" i="25"/>
  <c r="T201" i="25"/>
  <c r="T246" i="25"/>
  <c r="H247" i="25"/>
  <c r="X255" i="25"/>
  <c r="X238" i="25" s="1"/>
  <c r="X210" i="25"/>
  <c r="Y37" i="25"/>
  <c r="Y133" i="25"/>
  <c r="AA43" i="25"/>
  <c r="AO145" i="25"/>
  <c r="Z55" i="25"/>
  <c r="AH156" i="25"/>
  <c r="V57" i="25"/>
  <c r="Z73" i="25"/>
  <c r="AA73" i="25" s="1"/>
  <c r="K185" i="25"/>
  <c r="AM188" i="25"/>
  <c r="K143" i="25"/>
  <c r="AM143" i="25"/>
  <c r="S185" i="25"/>
  <c r="S143" i="25"/>
  <c r="AU188" i="25"/>
  <c r="AU143" i="25"/>
  <c r="X10" i="25"/>
  <c r="J156" i="25"/>
  <c r="J246" i="25"/>
  <c r="W246" i="25"/>
  <c r="W201" i="25"/>
  <c r="P247" i="25"/>
  <c r="P157" i="25"/>
  <c r="Z115" i="25"/>
  <c r="J252" i="25"/>
  <c r="J237" i="25" s="1"/>
  <c r="J207" i="25"/>
  <c r="U208" i="25"/>
  <c r="U253" i="25"/>
  <c r="U237" i="25" s="1"/>
  <c r="AQ172" i="25"/>
  <c r="O111" i="25"/>
  <c r="L185" i="25"/>
  <c r="AN188" i="25"/>
  <c r="L143" i="25"/>
  <c r="AN143" i="25"/>
  <c r="T185" i="25"/>
  <c r="T143" i="25"/>
  <c r="AV188" i="25"/>
  <c r="AV143" i="25"/>
  <c r="BB205" i="25"/>
  <c r="AA206" i="25"/>
  <c r="BA206" i="25"/>
  <c r="Y161" i="25"/>
  <c r="BA161" i="25"/>
  <c r="K246" i="25"/>
  <c r="K201" i="25"/>
  <c r="Y201" i="25" s="1"/>
  <c r="X246" i="25"/>
  <c r="X201" i="25"/>
  <c r="J249" i="25"/>
  <c r="J204" i="25"/>
  <c r="M207" i="25"/>
  <c r="M252" i="25"/>
  <c r="M237" i="25" s="1"/>
  <c r="AR172" i="25"/>
  <c r="Z84" i="25"/>
  <c r="AW185" i="25"/>
  <c r="H157" i="25"/>
  <c r="O246" i="25"/>
  <c r="O156" i="25"/>
  <c r="O138" i="25"/>
  <c r="K204" i="25"/>
  <c r="K249" i="25"/>
  <c r="W208" i="25"/>
  <c r="W253" i="25"/>
  <c r="W237" i="25" s="1"/>
  <c r="G142" i="25"/>
  <c r="G185" i="25"/>
  <c r="AI142" i="25"/>
  <c r="AI187" i="25"/>
  <c r="O185" i="25"/>
  <c r="O142" i="25"/>
  <c r="AQ187" i="25"/>
  <c r="AQ142" i="25"/>
  <c r="W142" i="25"/>
  <c r="AY142" i="25"/>
  <c r="W185" i="25"/>
  <c r="AJ187" i="25"/>
  <c r="H142" i="25"/>
  <c r="H185" i="25"/>
  <c r="AJ142" i="25"/>
  <c r="AR187" i="25"/>
  <c r="P142" i="25"/>
  <c r="AR142" i="25"/>
  <c r="AZ187" i="25"/>
  <c r="X142" i="25"/>
  <c r="AZ142" i="25"/>
  <c r="X185" i="25"/>
  <c r="BC198" i="25"/>
  <c r="AA153" i="25"/>
  <c r="BC153" i="25"/>
  <c r="AA197" i="25"/>
  <c r="BA197" i="25"/>
  <c r="Y152" i="25"/>
  <c r="AJ193" i="25"/>
  <c r="H148" i="25"/>
  <c r="AR193" i="25"/>
  <c r="P148" i="25"/>
  <c r="BC203" i="25"/>
  <c r="AA158" i="25"/>
  <c r="BC158" i="25"/>
  <c r="AZ191" i="25"/>
  <c r="X146" i="25"/>
  <c r="AA214" i="25"/>
  <c r="BA214" i="25"/>
  <c r="Y169" i="25"/>
  <c r="P186" i="25"/>
  <c r="P146" i="25"/>
  <c r="AO185" i="25"/>
  <c r="AO187" i="25"/>
  <c r="Z187" i="25"/>
  <c r="AA187" i="25" s="1"/>
  <c r="AK188" i="25"/>
  <c r="I185" i="25"/>
  <c r="AS188" i="25"/>
  <c r="Z188" i="25"/>
  <c r="Q185" i="25"/>
  <c r="Y188" i="25"/>
  <c r="AA188" i="25" s="1"/>
  <c r="AH192" i="25"/>
  <c r="AH147" i="25"/>
  <c r="S230" i="25"/>
  <c r="M230" i="25"/>
  <c r="Z238" i="25"/>
  <c r="AJ157" i="25"/>
  <c r="Y187" i="25"/>
  <c r="Z189" i="25"/>
  <c r="Z179" i="25"/>
  <c r="J185" i="25"/>
  <c r="R185" i="25"/>
  <c r="N186" i="25"/>
  <c r="AN187" i="25"/>
  <c r="BA208" i="25"/>
  <c r="AA213" i="25"/>
  <c r="BB213" i="25"/>
  <c r="AA225" i="25"/>
  <c r="BA225" i="25"/>
  <c r="Y237" i="25"/>
  <c r="AA196" i="25"/>
  <c r="BB196" i="25"/>
  <c r="AA200" i="25"/>
  <c r="BA200" i="25"/>
  <c r="M235" i="25"/>
  <c r="AU205" i="25"/>
  <c r="S191" i="25"/>
  <c r="AA211" i="25"/>
  <c r="BA211" i="25"/>
  <c r="L230" i="25"/>
  <c r="H230" i="25"/>
  <c r="P230" i="25"/>
  <c r="X230" i="25"/>
  <c r="Y233" i="25"/>
  <c r="Y234" i="25"/>
  <c r="AA234" i="25" s="1"/>
  <c r="AX191" i="25"/>
  <c r="AO193" i="25"/>
  <c r="Y202" i="25"/>
  <c r="AJ202" i="25"/>
  <c r="H190" i="25"/>
  <c r="F13" i="20" s="1"/>
  <c r="AA221" i="25"/>
  <c r="BA221" i="25"/>
  <c r="AA224" i="25"/>
  <c r="Z232" i="25"/>
  <c r="F185" i="25"/>
  <c r="N185" i="25"/>
  <c r="V185" i="25"/>
  <c r="Y193" i="25"/>
  <c r="AA199" i="25"/>
  <c r="BB199" i="25"/>
  <c r="AO219" i="25"/>
  <c r="AA223" i="25"/>
  <c r="BA223" i="25"/>
  <c r="Y238" i="25"/>
  <c r="AA238" i="25" s="1"/>
  <c r="AA215" i="25"/>
  <c r="AH193" i="25"/>
  <c r="AC302" i="25"/>
  <c r="AD302" i="25"/>
  <c r="E301" i="20"/>
  <c r="F301" i="20"/>
  <c r="G301" i="20"/>
  <c r="H301" i="20"/>
  <c r="I301" i="20"/>
  <c r="J301" i="20"/>
  <c r="K301" i="20"/>
  <c r="L301" i="20"/>
  <c r="M301" i="20"/>
  <c r="D301" i="20"/>
  <c r="M278" i="20"/>
  <c r="L278" i="20"/>
  <c r="K278" i="20"/>
  <c r="J278" i="20"/>
  <c r="I278" i="20"/>
  <c r="H278" i="20"/>
  <c r="G278" i="20"/>
  <c r="F278" i="20"/>
  <c r="E278" i="20"/>
  <c r="D278" i="20"/>
  <c r="M276" i="20"/>
  <c r="L276" i="20"/>
  <c r="K276" i="20"/>
  <c r="J276" i="20"/>
  <c r="I276" i="20"/>
  <c r="H276" i="20"/>
  <c r="G276" i="20"/>
  <c r="F276" i="20"/>
  <c r="D276" i="20"/>
  <c r="K275" i="20"/>
  <c r="K270" i="20" s="1"/>
  <c r="M270" i="20"/>
  <c r="L270" i="20"/>
  <c r="J270" i="20"/>
  <c r="H270" i="20"/>
  <c r="AD114" i="20" l="1"/>
  <c r="AB129" i="20"/>
  <c r="AC114" i="20"/>
  <c r="T141" i="20"/>
  <c r="T159" i="20" s="1"/>
  <c r="AE114" i="20"/>
  <c r="J141" i="20"/>
  <c r="J159" i="20" s="1"/>
  <c r="S141" i="20"/>
  <c r="S159" i="20" s="1"/>
  <c r="AC129" i="20"/>
  <c r="K140" i="20"/>
  <c r="P140" i="20"/>
  <c r="P158" i="20" s="1"/>
  <c r="Q140" i="20"/>
  <c r="Q158" i="20" s="1"/>
  <c r="E140" i="20"/>
  <c r="E158" i="20" s="1"/>
  <c r="AF113" i="20"/>
  <c r="F114" i="20"/>
  <c r="X113" i="20"/>
  <c r="X87" i="20"/>
  <c r="T113" i="20"/>
  <c r="T87" i="20"/>
  <c r="AA113" i="20"/>
  <c r="AA87" i="20"/>
  <c r="S113" i="20"/>
  <c r="S87" i="20"/>
  <c r="R113" i="20"/>
  <c r="R87" i="20"/>
  <c r="J113" i="20"/>
  <c r="W113" i="20"/>
  <c r="W87" i="20"/>
  <c r="D113" i="20"/>
  <c r="U113" i="20"/>
  <c r="U87" i="20"/>
  <c r="J86" i="20"/>
  <c r="AC61" i="20"/>
  <c r="AC87" i="20" s="1"/>
  <c r="AA86" i="20"/>
  <c r="N231" i="25"/>
  <c r="Z236" i="25"/>
  <c r="K236" i="25"/>
  <c r="O60" i="20"/>
  <c r="O112" i="20" s="1"/>
  <c r="O118" i="20" s="1"/>
  <c r="L231" i="25"/>
  <c r="J73" i="20"/>
  <c r="BC192" i="28"/>
  <c r="BC147" i="28"/>
  <c r="F61" i="20"/>
  <c r="F128" i="20"/>
  <c r="BC219" i="28"/>
  <c r="AA174" i="28"/>
  <c r="BC174" i="28"/>
  <c r="BC217" i="28"/>
  <c r="AA172" i="28"/>
  <c r="BC172" i="28"/>
  <c r="BA186" i="28"/>
  <c r="K101" i="28"/>
  <c r="K51" i="28"/>
  <c r="AM146" i="28"/>
  <c r="Y56" i="28"/>
  <c r="BA159" i="28"/>
  <c r="BC190" i="28"/>
  <c r="AE47" i="20" s="1"/>
  <c r="AA145" i="28"/>
  <c r="AE32" i="20" s="1"/>
  <c r="BC145" i="28"/>
  <c r="AL186" i="28"/>
  <c r="J141" i="28"/>
  <c r="AL141" i="28"/>
  <c r="BC193" i="28"/>
  <c r="BC148" i="28"/>
  <c r="AA148" i="28"/>
  <c r="BA191" i="28"/>
  <c r="Y146" i="28"/>
  <c r="AA191" i="28"/>
  <c r="AA186" i="28"/>
  <c r="BC159" i="28"/>
  <c r="BC204" i="28"/>
  <c r="AA159" i="28"/>
  <c r="BC218" i="28"/>
  <c r="BC173" i="28"/>
  <c r="AA173" i="28"/>
  <c r="AX141" i="28"/>
  <c r="AX186" i="28"/>
  <c r="BB186" i="28"/>
  <c r="BB141" i="28"/>
  <c r="AA231" i="28"/>
  <c r="AC128" i="20"/>
  <c r="AA235" i="27"/>
  <c r="AE74" i="20" s="1"/>
  <c r="AB74" i="20"/>
  <c r="AA186" i="27"/>
  <c r="AA141" i="27" s="1"/>
  <c r="AB42" i="27"/>
  <c r="AA132" i="27"/>
  <c r="AA177" i="27"/>
  <c r="Y231" i="27"/>
  <c r="AA231" i="27" s="1"/>
  <c r="AA145" i="27"/>
  <c r="AE31" i="20" s="1"/>
  <c r="BC145" i="27"/>
  <c r="BC219" i="27"/>
  <c r="AA174" i="27"/>
  <c r="BC174" i="27"/>
  <c r="BC218" i="27"/>
  <c r="AA173" i="27"/>
  <c r="BC173" i="27"/>
  <c r="BC193" i="27"/>
  <c r="BC148" i="27"/>
  <c r="AA148" i="27"/>
  <c r="BA141" i="27"/>
  <c r="Y141" i="27"/>
  <c r="AA172" i="27"/>
  <c r="BC217" i="27"/>
  <c r="BC172" i="27"/>
  <c r="AA51" i="27"/>
  <c r="AA96" i="27" s="1"/>
  <c r="BA190" i="27"/>
  <c r="AB46" i="20" s="1"/>
  <c r="BC192" i="27"/>
  <c r="AA147" i="27"/>
  <c r="BC147" i="27"/>
  <c r="BB186" i="27"/>
  <c r="Z141" i="27"/>
  <c r="BB141" i="27"/>
  <c r="AA126" i="27"/>
  <c r="AB36" i="27"/>
  <c r="BC191" i="27"/>
  <c r="BC146" i="27"/>
  <c r="AA146" i="27"/>
  <c r="AA171" i="27"/>
  <c r="AA131" i="27"/>
  <c r="AB41" i="27"/>
  <c r="M102" i="25"/>
  <c r="M51" i="25"/>
  <c r="AH145" i="25"/>
  <c r="F186" i="25"/>
  <c r="F141" i="25" s="1"/>
  <c r="BB160" i="25"/>
  <c r="Z160" i="25"/>
  <c r="T51" i="25"/>
  <c r="T101" i="25"/>
  <c r="S231" i="25"/>
  <c r="J236" i="25"/>
  <c r="Z82" i="25"/>
  <c r="AO216" i="25"/>
  <c r="AO190" i="25"/>
  <c r="P45" i="20" s="1"/>
  <c r="P73" i="20"/>
  <c r="Z201" i="25"/>
  <c r="BB156" i="25" s="1"/>
  <c r="Z57" i="25"/>
  <c r="AA57" i="25" s="1"/>
  <c r="AA102" i="25" s="1"/>
  <c r="K101" i="25"/>
  <c r="K114" i="25"/>
  <c r="Y56" i="25"/>
  <c r="F145" i="25"/>
  <c r="D30" i="20" s="1"/>
  <c r="Y10" i="25"/>
  <c r="Q230" i="25"/>
  <c r="AH202" i="25"/>
  <c r="Z112" i="25"/>
  <c r="T230" i="25"/>
  <c r="I230" i="25"/>
  <c r="Y230" i="25" s="1"/>
  <c r="AA230" i="25" s="1"/>
  <c r="Y69" i="25"/>
  <c r="Y114" i="25" s="1"/>
  <c r="AA189" i="25"/>
  <c r="BC189" i="25" s="1"/>
  <c r="AA84" i="25"/>
  <c r="V101" i="25"/>
  <c r="Z50" i="25"/>
  <c r="AA50" i="25" s="1"/>
  <c r="Y42" i="25"/>
  <c r="Y132" i="25" s="1"/>
  <c r="Z117" i="25"/>
  <c r="Z56" i="25"/>
  <c r="AA233" i="25"/>
  <c r="Y232" i="25"/>
  <c r="AA232" i="25" s="1"/>
  <c r="AW140" i="25"/>
  <c r="Y5" i="25"/>
  <c r="Y95" i="25" s="1"/>
  <c r="BC194" i="25"/>
  <c r="BC149" i="25"/>
  <c r="AA149" i="25"/>
  <c r="BC212" i="25"/>
  <c r="AA167" i="25"/>
  <c r="BC167" i="25"/>
  <c r="W96" i="25"/>
  <c r="U96" i="25"/>
  <c r="BC188" i="25"/>
  <c r="AA143" i="25"/>
  <c r="BC143" i="25"/>
  <c r="BC187" i="25"/>
  <c r="AA142" i="25"/>
  <c r="BC142" i="25"/>
  <c r="X190" i="25"/>
  <c r="AA13" i="20" s="1"/>
  <c r="AZ201" i="25"/>
  <c r="AZ156" i="25"/>
  <c r="R6" i="25"/>
  <c r="R96" i="25" s="1"/>
  <c r="R100" i="25"/>
  <c r="BC220" i="25"/>
  <c r="AA175" i="25"/>
  <c r="BC175" i="25"/>
  <c r="AO173" i="25"/>
  <c r="AO218" i="25"/>
  <c r="BB188" i="25"/>
  <c r="Z143" i="25"/>
  <c r="BB143" i="25"/>
  <c r="W140" i="25"/>
  <c r="AY140" i="25"/>
  <c r="AY185" i="25"/>
  <c r="X235" i="25"/>
  <c r="AN185" i="25"/>
  <c r="L140" i="25"/>
  <c r="AN140" i="25"/>
  <c r="R235" i="25"/>
  <c r="AL145" i="25"/>
  <c r="J100" i="25"/>
  <c r="J51" i="25"/>
  <c r="Y51" i="25" s="1"/>
  <c r="BC215" i="25"/>
  <c r="AA170" i="25"/>
  <c r="BC170" i="25"/>
  <c r="BC224" i="25"/>
  <c r="AA179" i="25"/>
  <c r="BC179" i="25"/>
  <c r="BC211" i="25"/>
  <c r="BC166" i="25"/>
  <c r="AA166" i="25"/>
  <c r="AA155" i="25"/>
  <c r="BC155" i="25"/>
  <c r="BC200" i="25"/>
  <c r="BC225" i="25"/>
  <c r="AA180" i="25"/>
  <c r="BC180" i="25"/>
  <c r="AP141" i="25"/>
  <c r="AP186" i="25"/>
  <c r="N141" i="25"/>
  <c r="Z230" i="25"/>
  <c r="G140" i="25"/>
  <c r="AI185" i="25"/>
  <c r="AI140" i="25"/>
  <c r="K190" i="25"/>
  <c r="AM201" i="25"/>
  <c r="AM156" i="25"/>
  <c r="X100" i="25"/>
  <c r="X6" i="25"/>
  <c r="X96" i="25" s="1"/>
  <c r="H235" i="25"/>
  <c r="AJ216" i="25"/>
  <c r="R190" i="25"/>
  <c r="U13" i="20" s="1"/>
  <c r="Z217" i="25"/>
  <c r="AT156" i="25"/>
  <c r="AT201" i="25"/>
  <c r="AM205" i="25"/>
  <c r="AM160" i="25"/>
  <c r="J101" i="25"/>
  <c r="J6" i="25"/>
  <c r="P235" i="25"/>
  <c r="S73" i="20" s="1"/>
  <c r="AR219" i="25"/>
  <c r="AR217" i="25"/>
  <c r="AR201" i="25"/>
  <c r="AA8" i="25"/>
  <c r="AA98" i="25" s="1"/>
  <c r="AH185" i="25"/>
  <c r="Y185" i="25"/>
  <c r="F140" i="25"/>
  <c r="AH140" i="25"/>
  <c r="AZ210" i="25"/>
  <c r="Z210" i="25"/>
  <c r="X193" i="25"/>
  <c r="AZ165" i="25"/>
  <c r="BC214" i="25"/>
  <c r="AA169" i="25"/>
  <c r="BC169" i="25"/>
  <c r="L102" i="25"/>
  <c r="Y39" i="25"/>
  <c r="BC199" i="25"/>
  <c r="BC154" i="25"/>
  <c r="AA154" i="25"/>
  <c r="BA202" i="25"/>
  <c r="AA202" i="25"/>
  <c r="Y157" i="25"/>
  <c r="BA157" i="25"/>
  <c r="AU191" i="25"/>
  <c r="AU146" i="25"/>
  <c r="S186" i="25"/>
  <c r="S146" i="25"/>
  <c r="M231" i="25"/>
  <c r="AT140" i="25"/>
  <c r="R140" i="25"/>
  <c r="AT185" i="25"/>
  <c r="Z191" i="25"/>
  <c r="AK140" i="25"/>
  <c r="AK185" i="25"/>
  <c r="I140" i="25"/>
  <c r="AQ219" i="25"/>
  <c r="AQ217" i="25"/>
  <c r="AQ201" i="25"/>
  <c r="O235" i="25"/>
  <c r="R73" i="20" s="1"/>
  <c r="Y38" i="25"/>
  <c r="K235" i="25"/>
  <c r="H100" i="25"/>
  <c r="AM185" i="25"/>
  <c r="K140" i="25"/>
  <c r="AM140" i="25"/>
  <c r="Y55" i="25"/>
  <c r="AA55" i="25" s="1"/>
  <c r="Y36" i="25"/>
  <c r="Y112" i="25"/>
  <c r="AA22" i="25"/>
  <c r="AA112" i="25" s="1"/>
  <c r="Q6" i="25"/>
  <c r="Q96" i="25" s="1"/>
  <c r="Q100" i="25"/>
  <c r="G141" i="25"/>
  <c r="G96" i="25"/>
  <c r="AK201" i="25"/>
  <c r="I190" i="25"/>
  <c r="AK156" i="25"/>
  <c r="AL217" i="25"/>
  <c r="J235" i="25"/>
  <c r="AL201" i="25"/>
  <c r="H186" i="25"/>
  <c r="AJ145" i="25"/>
  <c r="H145" i="25"/>
  <c r="F30" i="20" s="1"/>
  <c r="Y115" i="25"/>
  <c r="AA25" i="25"/>
  <c r="AA115" i="25" s="1"/>
  <c r="BA193" i="25"/>
  <c r="Y148" i="25"/>
  <c r="BA148" i="25"/>
  <c r="BC221" i="25"/>
  <c r="BC176" i="25"/>
  <c r="AA176" i="25"/>
  <c r="BC196" i="25"/>
  <c r="BC151" i="25"/>
  <c r="AA151" i="25"/>
  <c r="BC213" i="25"/>
  <c r="BC168" i="25"/>
  <c r="AA168" i="25"/>
  <c r="AL140" i="25"/>
  <c r="AL185" i="25"/>
  <c r="J140" i="25"/>
  <c r="BB189" i="25"/>
  <c r="BB144" i="25"/>
  <c r="Z144" i="25"/>
  <c r="AR141" i="25"/>
  <c r="AA133" i="25"/>
  <c r="Y41" i="25"/>
  <c r="Y111" i="25"/>
  <c r="AA21" i="25"/>
  <c r="AA111" i="25" s="1"/>
  <c r="T102" i="25"/>
  <c r="T6" i="25"/>
  <c r="T96" i="25" s="1"/>
  <c r="Q235" i="25"/>
  <c r="AA209" i="25"/>
  <c r="AN209" i="25"/>
  <c r="L192" i="25"/>
  <c r="J13" i="20" s="1"/>
  <c r="AN164" i="25"/>
  <c r="Y205" i="25"/>
  <c r="AL205" i="25"/>
  <c r="AL160" i="25"/>
  <c r="Y99" i="25"/>
  <c r="AA9" i="25"/>
  <c r="AA99" i="25" s="1"/>
  <c r="AA134" i="25"/>
  <c r="AS208" i="25"/>
  <c r="Q192" i="25"/>
  <c r="AS163" i="25"/>
  <c r="I235" i="25"/>
  <c r="Y81" i="25"/>
  <c r="AA81" i="25" s="1"/>
  <c r="O96" i="25"/>
  <c r="Z5" i="25"/>
  <c r="Z95" i="25" s="1"/>
  <c r="AO207" i="25"/>
  <c r="Z207" i="25"/>
  <c r="M192" i="25"/>
  <c r="AO162" i="25"/>
  <c r="AR224" i="25"/>
  <c r="AR202" i="25"/>
  <c r="AV208" i="25"/>
  <c r="T192" i="25"/>
  <c r="AV163" i="25"/>
  <c r="AS201" i="25"/>
  <c r="Q190" i="25"/>
  <c r="T13" i="20" s="1"/>
  <c r="AS156" i="25"/>
  <c r="P100" i="25"/>
  <c r="P145" i="25"/>
  <c r="S30" i="20" s="1"/>
  <c r="P6" i="25"/>
  <c r="P96" i="25" s="1"/>
  <c r="AJ222" i="25"/>
  <c r="AJ177" i="25"/>
  <c r="AS140" i="25"/>
  <c r="Q140" i="25"/>
  <c r="AS185" i="25"/>
  <c r="AL207" i="25"/>
  <c r="Y207" i="25"/>
  <c r="J192" i="25"/>
  <c r="AL162" i="25"/>
  <c r="Y82" i="25"/>
  <c r="AH172" i="25"/>
  <c r="L96" i="25"/>
  <c r="U190" i="25"/>
  <c r="X13" i="20" s="1"/>
  <c r="AW156" i="25"/>
  <c r="AW201" i="25"/>
  <c r="L95" i="25"/>
  <c r="AA5" i="25"/>
  <c r="AA95" i="25" s="1"/>
  <c r="BA201" i="25"/>
  <c r="Y156" i="25"/>
  <c r="BA156" i="25"/>
  <c r="Y222" i="25"/>
  <c r="BA142" i="25"/>
  <c r="BA187" i="25"/>
  <c r="Y142" i="25"/>
  <c r="BB142" i="25"/>
  <c r="BB187" i="25"/>
  <c r="Z142" i="25"/>
  <c r="AZ185" i="25"/>
  <c r="X140" i="25"/>
  <c r="AZ140" i="25"/>
  <c r="AJ185" i="25"/>
  <c r="H140" i="25"/>
  <c r="AJ140" i="25"/>
  <c r="AV185" i="25"/>
  <c r="T140" i="25"/>
  <c r="AV140" i="25"/>
  <c r="T235" i="25"/>
  <c r="V51" i="25"/>
  <c r="AO217" i="25"/>
  <c r="AO172" i="25"/>
  <c r="AX185" i="25"/>
  <c r="V140" i="25"/>
  <c r="AX140" i="25"/>
  <c r="AY208" i="25"/>
  <c r="W192" i="25"/>
  <c r="AY163" i="25"/>
  <c r="AL204" i="25"/>
  <c r="J191" i="25"/>
  <c r="AL159" i="25"/>
  <c r="Y204" i="25"/>
  <c r="AY201" i="25"/>
  <c r="W190" i="25"/>
  <c r="AY156" i="25"/>
  <c r="V253" i="25"/>
  <c r="V237" i="25" s="1"/>
  <c r="V231" i="25" s="1"/>
  <c r="V208" i="25"/>
  <c r="Z208" i="25" s="1"/>
  <c r="Z28" i="25"/>
  <c r="V12" i="25"/>
  <c r="AV201" i="25"/>
  <c r="T190" i="25"/>
  <c r="W13" i="20" s="1"/>
  <c r="AV156" i="25"/>
  <c r="Y11" i="25"/>
  <c r="Z38" i="25"/>
  <c r="Z128" i="25" s="1"/>
  <c r="K6" i="25"/>
  <c r="K96" i="25" s="1"/>
  <c r="AA130" i="25"/>
  <c r="X192" i="25"/>
  <c r="AZ163" i="25"/>
  <c r="AZ208" i="25"/>
  <c r="Z10" i="25"/>
  <c r="Z100" i="25" s="1"/>
  <c r="K191" i="25"/>
  <c r="AM204" i="25"/>
  <c r="AM159" i="25"/>
  <c r="BC223" i="25"/>
  <c r="AA178" i="25"/>
  <c r="BC178" i="25"/>
  <c r="AP185" i="25"/>
  <c r="N140" i="25"/>
  <c r="AP140" i="25"/>
  <c r="BA188" i="25"/>
  <c r="Y143" i="25"/>
  <c r="BA143" i="25"/>
  <c r="Z185" i="25"/>
  <c r="BC197" i="25"/>
  <c r="BC152" i="25"/>
  <c r="AA152" i="25"/>
  <c r="AQ185" i="25"/>
  <c r="O140" i="25"/>
  <c r="AQ140" i="25"/>
  <c r="BC206" i="25"/>
  <c r="BC161" i="25"/>
  <c r="AA161" i="25"/>
  <c r="AW208" i="25"/>
  <c r="AW163" i="25"/>
  <c r="U192" i="25"/>
  <c r="W235" i="25"/>
  <c r="W231" i="25" s="1"/>
  <c r="AU185" i="25"/>
  <c r="S140" i="25"/>
  <c r="AU140" i="25"/>
  <c r="M96" i="25"/>
  <c r="AI222" i="25"/>
  <c r="G235" i="25"/>
  <c r="E73" i="20" s="1"/>
  <c r="AI202" i="25"/>
  <c r="F235" i="25"/>
  <c r="D73" i="20" s="1"/>
  <c r="AH217" i="25"/>
  <c r="AH216" i="25"/>
  <c r="U235" i="25"/>
  <c r="BA189" i="25"/>
  <c r="Y144" i="25"/>
  <c r="BA144" i="25"/>
  <c r="Z39" i="25"/>
  <c r="Z129" i="25" s="1"/>
  <c r="AT208" i="25"/>
  <c r="R192" i="25"/>
  <c r="AT163" i="25"/>
  <c r="Z37" i="25"/>
  <c r="I100" i="25"/>
  <c r="I6" i="25"/>
  <c r="N59" i="20"/>
  <c r="M59" i="20"/>
  <c r="L59" i="20"/>
  <c r="K59" i="20"/>
  <c r="AC141" i="20" l="1"/>
  <c r="AC159" i="20" s="1"/>
  <c r="AE129" i="20"/>
  <c r="AB114" i="20"/>
  <c r="AB141" i="20" s="1"/>
  <c r="AB159" i="20" s="1"/>
  <c r="F141" i="20"/>
  <c r="F159" i="20" s="1"/>
  <c r="W140" i="20"/>
  <c r="W158" i="20" s="1"/>
  <c r="D140" i="20"/>
  <c r="D158" i="20" s="1"/>
  <c r="S140" i="20"/>
  <c r="S158" i="20" s="1"/>
  <c r="AE113" i="20"/>
  <c r="AE103" i="20" s="1"/>
  <c r="T140" i="20"/>
  <c r="T158" i="20" s="1"/>
  <c r="AA140" i="20"/>
  <c r="AA158" i="20" s="1"/>
  <c r="U140" i="20"/>
  <c r="U158" i="20" s="1"/>
  <c r="R140" i="20"/>
  <c r="R158" i="20" s="1"/>
  <c r="X140" i="20"/>
  <c r="X158" i="20" s="1"/>
  <c r="J140" i="20"/>
  <c r="J158" i="20" s="1"/>
  <c r="AD113" i="20"/>
  <c r="AD103" i="20" s="1"/>
  <c r="AC113" i="20"/>
  <c r="F113" i="20"/>
  <c r="AB61" i="20"/>
  <c r="AB87" i="20" s="1"/>
  <c r="Z127" i="25"/>
  <c r="X231" i="25"/>
  <c r="AA73" i="20"/>
  <c r="Y236" i="25"/>
  <c r="AA236" i="25" s="1"/>
  <c r="K231" i="25"/>
  <c r="BC186" i="28"/>
  <c r="BC191" i="28"/>
  <c r="AA146" i="28"/>
  <c r="K96" i="28"/>
  <c r="Y51" i="28"/>
  <c r="AM141" i="28"/>
  <c r="AA56" i="28"/>
  <c r="AA101" i="28" s="1"/>
  <c r="Y101" i="28"/>
  <c r="BA146" i="28"/>
  <c r="BC190" i="27"/>
  <c r="AE46" i="20" s="1"/>
  <c r="AB128" i="20"/>
  <c r="Z51" i="25"/>
  <c r="AA51" i="25" s="1"/>
  <c r="P60" i="20"/>
  <c r="P85" i="20" s="1"/>
  <c r="P86" i="20"/>
  <c r="BC141" i="27"/>
  <c r="BC186" i="27"/>
  <c r="BA186" i="27"/>
  <c r="AA82" i="25"/>
  <c r="J96" i="25"/>
  <c r="AH141" i="25"/>
  <c r="AA56" i="25"/>
  <c r="U231" i="25"/>
  <c r="X73" i="20"/>
  <c r="Z156" i="25"/>
  <c r="T231" i="25"/>
  <c r="W73" i="20"/>
  <c r="BB201" i="25"/>
  <c r="AA201" i="25"/>
  <c r="BC156" i="25" s="1"/>
  <c r="R231" i="25"/>
  <c r="U73" i="20"/>
  <c r="Q231" i="25"/>
  <c r="T73" i="20"/>
  <c r="I231" i="25"/>
  <c r="G73" i="20"/>
  <c r="H231" i="25"/>
  <c r="AJ186" i="25" s="1"/>
  <c r="F73" i="20"/>
  <c r="AA42" i="25"/>
  <c r="AA132" i="25" s="1"/>
  <c r="BC144" i="25"/>
  <c r="AA144" i="25"/>
  <c r="Z218" i="25"/>
  <c r="Z173" i="25" s="1"/>
  <c r="Z235" i="25"/>
  <c r="AC73" i="20" s="1"/>
  <c r="AA185" i="25"/>
  <c r="BC185" i="25" s="1"/>
  <c r="Z101" i="25"/>
  <c r="AA140" i="25"/>
  <c r="BC140" i="25"/>
  <c r="AN192" i="25"/>
  <c r="J45" i="20" s="1"/>
  <c r="J60" i="20" s="1"/>
  <c r="J85" i="20" s="1"/>
  <c r="L147" i="25"/>
  <c r="J30" i="20" s="1"/>
  <c r="AN147" i="25"/>
  <c r="L186" i="25"/>
  <c r="BC202" i="25"/>
  <c r="BC157" i="25"/>
  <c r="AA157" i="25"/>
  <c r="AM218" i="25"/>
  <c r="Y218" i="25"/>
  <c r="AM173" i="25"/>
  <c r="V192" i="25"/>
  <c r="Z192" i="25" s="1"/>
  <c r="AX208" i="25"/>
  <c r="AX163" i="25"/>
  <c r="J186" i="25"/>
  <c r="AL191" i="25"/>
  <c r="AL146" i="25"/>
  <c r="J146" i="25"/>
  <c r="Y191" i="25"/>
  <c r="BA222" i="25"/>
  <c r="AA222" i="25"/>
  <c r="Y177" i="25"/>
  <c r="BA177" i="25"/>
  <c r="AL192" i="25"/>
  <c r="AL147" i="25"/>
  <c r="J147" i="25"/>
  <c r="Y192" i="25"/>
  <c r="AS219" i="25"/>
  <c r="AS174" i="25"/>
  <c r="Z219" i="25"/>
  <c r="AK190" i="25"/>
  <c r="G45" i="20" s="1"/>
  <c r="I186" i="25"/>
  <c r="AK145" i="25"/>
  <c r="I145" i="25"/>
  <c r="Y190" i="25"/>
  <c r="AB13" i="20" s="1"/>
  <c r="AZ190" i="25"/>
  <c r="AA45" i="20" s="1"/>
  <c r="AA60" i="20" s="1"/>
  <c r="X186" i="25"/>
  <c r="AZ145" i="25"/>
  <c r="X145" i="25"/>
  <c r="AA30" i="20" s="1"/>
  <c r="AM191" i="25"/>
  <c r="AM146" i="25"/>
  <c r="K146" i="25"/>
  <c r="V102" i="25"/>
  <c r="V6" i="25"/>
  <c r="Z118" i="25"/>
  <c r="AA28" i="25"/>
  <c r="AA118" i="25" s="1"/>
  <c r="BB140" i="25"/>
  <c r="BB185" i="25"/>
  <c r="Z140" i="25"/>
  <c r="AZ192" i="25"/>
  <c r="X147" i="25"/>
  <c r="AZ147" i="25"/>
  <c r="AA207" i="25"/>
  <c r="BA207" i="25"/>
  <c r="BA162" i="25"/>
  <c r="Y162" i="25"/>
  <c r="AO192" i="25"/>
  <c r="M147" i="25"/>
  <c r="AO147" i="25"/>
  <c r="M186" i="25"/>
  <c r="BC209" i="25"/>
  <c r="AA164" i="25"/>
  <c r="BC164" i="25"/>
  <c r="AZ193" i="25"/>
  <c r="X148" i="25"/>
  <c r="AZ148" i="25"/>
  <c r="Z193" i="25"/>
  <c r="AW190" i="25"/>
  <c r="X45" i="20" s="1"/>
  <c r="U186" i="25"/>
  <c r="U145" i="25"/>
  <c r="X30" i="20" s="1"/>
  <c r="AW145" i="25"/>
  <c r="AV192" i="25"/>
  <c r="T147" i="25"/>
  <c r="AV147" i="25"/>
  <c r="BB207" i="25"/>
  <c r="BB162" i="25"/>
  <c r="Z162" i="25"/>
  <c r="Z237" i="25"/>
  <c r="P141" i="25"/>
  <c r="AJ190" i="25"/>
  <c r="F45" i="20" s="1"/>
  <c r="AK216" i="25"/>
  <c r="AK171" i="25"/>
  <c r="Y216" i="25"/>
  <c r="Y128" i="25"/>
  <c r="AA38" i="25"/>
  <c r="S141" i="25"/>
  <c r="AU141" i="25"/>
  <c r="AU186" i="25"/>
  <c r="AA210" i="25"/>
  <c r="BB210" i="25"/>
  <c r="Z165" i="25"/>
  <c r="BB165" i="25"/>
  <c r="G231" i="25"/>
  <c r="AI186" i="25" s="1"/>
  <c r="AI190" i="25"/>
  <c r="E45" i="20" s="1"/>
  <c r="AS190" i="25"/>
  <c r="T45" i="20" s="1"/>
  <c r="AS145" i="25"/>
  <c r="Q186" i="25"/>
  <c r="Q145" i="25"/>
  <c r="T30" i="20" s="1"/>
  <c r="Z190" i="25"/>
  <c r="AC13" i="20" s="1"/>
  <c r="AW173" i="25"/>
  <c r="AW218" i="25"/>
  <c r="AW192" i="25"/>
  <c r="U147" i="25"/>
  <c r="AW147" i="25"/>
  <c r="AA37" i="25"/>
  <c r="Y127" i="25"/>
  <c r="AV190" i="25"/>
  <c r="W45" i="20" s="1"/>
  <c r="T145" i="25"/>
  <c r="W30" i="20" s="1"/>
  <c r="T186" i="25"/>
  <c r="AV145" i="25"/>
  <c r="AY190" i="25"/>
  <c r="W186" i="25"/>
  <c r="W145" i="25"/>
  <c r="AY145" i="25"/>
  <c r="AY192" i="25"/>
  <c r="AY147" i="25"/>
  <c r="W147" i="25"/>
  <c r="H141" i="25"/>
  <c r="AJ141" i="25"/>
  <c r="Y219" i="25"/>
  <c r="AK219" i="25"/>
  <c r="AK174" i="25"/>
  <c r="Z12" i="25"/>
  <c r="BB191" i="25"/>
  <c r="BB146" i="25"/>
  <c r="Z146" i="25"/>
  <c r="AM219" i="25"/>
  <c r="AM174" i="25"/>
  <c r="AA204" i="25"/>
  <c r="BA204" i="25"/>
  <c r="Y159" i="25"/>
  <c r="BA159" i="25"/>
  <c r="Y101" i="25"/>
  <c r="AA11" i="25"/>
  <c r="AT192" i="25"/>
  <c r="AT147" i="25"/>
  <c r="R147" i="25"/>
  <c r="I96" i="25"/>
  <c r="Y6" i="25"/>
  <c r="Y235" i="25"/>
  <c r="AB73" i="20" s="1"/>
  <c r="F231" i="25"/>
  <c r="AH190" i="25"/>
  <c r="D45" i="20" s="1"/>
  <c r="AV218" i="25"/>
  <c r="AV173" i="25"/>
  <c r="AY216" i="25"/>
  <c r="Z216" i="25"/>
  <c r="AY171" i="25"/>
  <c r="BB172" i="25"/>
  <c r="Z172" i="25"/>
  <c r="BB217" i="25"/>
  <c r="AS192" i="25"/>
  <c r="AS147" i="25"/>
  <c r="Q147" i="25"/>
  <c r="AK217" i="25"/>
  <c r="AK172" i="25"/>
  <c r="Y217" i="25"/>
  <c r="O231" i="25"/>
  <c r="AQ186" i="25" s="1"/>
  <c r="AQ190" i="25"/>
  <c r="R45" i="20" s="1"/>
  <c r="Y129" i="25"/>
  <c r="AA39" i="25"/>
  <c r="AT172" i="25"/>
  <c r="AT217" i="25"/>
  <c r="AM217" i="25"/>
  <c r="AM172" i="25"/>
  <c r="AA10" i="25"/>
  <c r="BA205" i="25"/>
  <c r="AA205" i="25"/>
  <c r="BA160" i="25"/>
  <c r="Y160" i="25"/>
  <c r="Y131" i="25"/>
  <c r="AA41" i="25"/>
  <c r="J231" i="25"/>
  <c r="AL190" i="25"/>
  <c r="H45" i="20" s="1"/>
  <c r="P231" i="25"/>
  <c r="AR186" i="25" s="1"/>
  <c r="AR190" i="25"/>
  <c r="S45" i="20" s="1"/>
  <c r="AT190" i="25"/>
  <c r="U45" i="20" s="1"/>
  <c r="R186" i="25"/>
  <c r="AT145" i="25"/>
  <c r="R145" i="25"/>
  <c r="U30" i="20" s="1"/>
  <c r="AZ219" i="25"/>
  <c r="AZ174" i="25"/>
  <c r="Y100" i="25"/>
  <c r="BB208" i="25"/>
  <c r="Z163" i="25"/>
  <c r="BB163" i="25"/>
  <c r="AA208" i="25"/>
  <c r="Y126" i="25"/>
  <c r="AA36" i="25"/>
  <c r="BA140" i="25"/>
  <c r="BA185" i="25"/>
  <c r="Y140" i="25"/>
  <c r="AM190" i="25"/>
  <c r="K186" i="25"/>
  <c r="K145" i="25"/>
  <c r="AM145" i="25"/>
  <c r="AA265" i="20"/>
  <c r="AA266" i="20"/>
  <c r="AA267" i="20"/>
  <c r="AA268" i="20"/>
  <c r="AA269" i="20"/>
  <c r="AA271" i="20"/>
  <c r="AA272" i="20"/>
  <c r="AA273" i="20"/>
  <c r="AA274" i="20"/>
  <c r="AA275" i="20"/>
  <c r="AA277" i="20"/>
  <c r="AA279" i="20"/>
  <c r="R280" i="20"/>
  <c r="S280" i="20"/>
  <c r="T280" i="20"/>
  <c r="U280" i="20"/>
  <c r="V280" i="20"/>
  <c r="W280" i="20"/>
  <c r="X280" i="20"/>
  <c r="Y280" i="20"/>
  <c r="Z280" i="20"/>
  <c r="Q280" i="20"/>
  <c r="J264" i="20"/>
  <c r="L264" i="20"/>
  <c r="M264" i="20"/>
  <c r="D258" i="20"/>
  <c r="D257" i="20"/>
  <c r="D256" i="20"/>
  <c r="K47" i="21"/>
  <c r="AB113" i="20" l="1"/>
  <c r="AB140" i="20" s="1"/>
  <c r="AB158" i="20" s="1"/>
  <c r="AC103" i="20"/>
  <c r="F140" i="20"/>
  <c r="F158" i="20" s="1"/>
  <c r="AC140" i="20"/>
  <c r="AC158" i="20" s="1"/>
  <c r="AE61" i="20"/>
  <c r="AE87" i="20" s="1"/>
  <c r="AA85" i="20"/>
  <c r="AA237" i="25"/>
  <c r="K60" i="20"/>
  <c r="K112" i="20" s="1"/>
  <c r="K118" i="20" s="1"/>
  <c r="AF118" i="20" s="1"/>
  <c r="BC146" i="28"/>
  <c r="Y96" i="28"/>
  <c r="AA51" i="28"/>
  <c r="BA141" i="28"/>
  <c r="AE128" i="20"/>
  <c r="U60" i="20"/>
  <c r="U85" i="20" s="1"/>
  <c r="U86" i="20"/>
  <c r="S60" i="20"/>
  <c r="S85" i="20" s="1"/>
  <c r="S86" i="20"/>
  <c r="R60" i="20"/>
  <c r="R85" i="20" s="1"/>
  <c r="R86" i="20"/>
  <c r="F60" i="20"/>
  <c r="F85" i="20" s="1"/>
  <c r="F86" i="20"/>
  <c r="X60" i="20"/>
  <c r="X85" i="20" s="1"/>
  <c r="X86" i="20"/>
  <c r="H60" i="20"/>
  <c r="H85" i="20" s="1"/>
  <c r="H86" i="20"/>
  <c r="D60" i="20"/>
  <c r="D85" i="20" s="1"/>
  <c r="T60" i="20"/>
  <c r="T85" i="20" s="1"/>
  <c r="T86" i="20"/>
  <c r="G60" i="20"/>
  <c r="G85" i="20" s="1"/>
  <c r="G86" i="20"/>
  <c r="W60" i="20"/>
  <c r="W85" i="20" s="1"/>
  <c r="W86" i="20"/>
  <c r="E60" i="20"/>
  <c r="E85" i="20" s="1"/>
  <c r="E86" i="20"/>
  <c r="BC201" i="25"/>
  <c r="AA101" i="25"/>
  <c r="AA156" i="25"/>
  <c r="BB218" i="25"/>
  <c r="AA235" i="25"/>
  <c r="AE73" i="20" s="1"/>
  <c r="AA280" i="20"/>
  <c r="Z287" i="20" s="1"/>
  <c r="BB173" i="25"/>
  <c r="BB192" i="25"/>
  <c r="BB147" i="25"/>
  <c r="Z147" i="25"/>
  <c r="AA129" i="25"/>
  <c r="AB39" i="25"/>
  <c r="BC205" i="25"/>
  <c r="AA160" i="25"/>
  <c r="BC160" i="25"/>
  <c r="BC204" i="25"/>
  <c r="AA159" i="25"/>
  <c r="BC159" i="25"/>
  <c r="AA128" i="25"/>
  <c r="AB38" i="25"/>
  <c r="BA218" i="25"/>
  <c r="AA218" i="25"/>
  <c r="Y173" i="25"/>
  <c r="BA173" i="25"/>
  <c r="BC207" i="25"/>
  <c r="AA162" i="25"/>
  <c r="BC162" i="25"/>
  <c r="BB219" i="25"/>
  <c r="BB174" i="25"/>
  <c r="Z174" i="25"/>
  <c r="BA217" i="25"/>
  <c r="AA217" i="25"/>
  <c r="BA172" i="25"/>
  <c r="Y172" i="25"/>
  <c r="BB190" i="25"/>
  <c r="AC45" i="20" s="1"/>
  <c r="BB145" i="25"/>
  <c r="Z145" i="25"/>
  <c r="AC30" i="20" s="1"/>
  <c r="AA216" i="25"/>
  <c r="BA216" i="25"/>
  <c r="Y171" i="25"/>
  <c r="BA171" i="25"/>
  <c r="Z148" i="25"/>
  <c r="BB193" i="25"/>
  <c r="BB148" i="25"/>
  <c r="AA193" i="25"/>
  <c r="V96" i="25"/>
  <c r="Z6" i="25"/>
  <c r="Z96" i="25" s="1"/>
  <c r="BA192" i="25"/>
  <c r="BA147" i="25"/>
  <c r="Y147" i="25"/>
  <c r="AO141" i="25"/>
  <c r="AO186" i="25"/>
  <c r="M141" i="25"/>
  <c r="AZ186" i="25"/>
  <c r="X141" i="25"/>
  <c r="AZ141" i="25"/>
  <c r="BC163" i="25"/>
  <c r="BC208" i="25"/>
  <c r="AA163" i="25"/>
  <c r="AA131" i="25"/>
  <c r="AB41" i="25"/>
  <c r="Y231" i="25"/>
  <c r="AH186" i="25"/>
  <c r="AA127" i="25"/>
  <c r="AB37" i="25"/>
  <c r="Z231" i="25"/>
  <c r="AL186" i="25"/>
  <c r="J141" i="25"/>
  <c r="AL141" i="25"/>
  <c r="AV186" i="25"/>
  <c r="T141" i="25"/>
  <c r="AV141" i="25"/>
  <c r="AW141" i="25"/>
  <c r="AW186" i="25"/>
  <c r="U141" i="25"/>
  <c r="AA126" i="25"/>
  <c r="AB36" i="25"/>
  <c r="K141" i="25"/>
  <c r="AM141" i="25"/>
  <c r="AM186" i="25"/>
  <c r="AY186" i="25"/>
  <c r="W141" i="25"/>
  <c r="AY141" i="25"/>
  <c r="AS186" i="25"/>
  <c r="Q141" i="25"/>
  <c r="AS141" i="25"/>
  <c r="BC210" i="25"/>
  <c r="AA165" i="25"/>
  <c r="BC165" i="25"/>
  <c r="BA190" i="25"/>
  <c r="AB45" i="20" s="1"/>
  <c r="BA145" i="25"/>
  <c r="Y145" i="25"/>
  <c r="AB30" i="20" s="1"/>
  <c r="AA190" i="25"/>
  <c r="AE13" i="20" s="1"/>
  <c r="BA191" i="25"/>
  <c r="BA146" i="25"/>
  <c r="Y146" i="25"/>
  <c r="AA191" i="25"/>
  <c r="BA219" i="25"/>
  <c r="BA174" i="25"/>
  <c r="Y174" i="25"/>
  <c r="AA219" i="25"/>
  <c r="AA100" i="25"/>
  <c r="AB40" i="25"/>
  <c r="AB43" i="25"/>
  <c r="AB44" i="25"/>
  <c r="AA192" i="25"/>
  <c r="AT186" i="25"/>
  <c r="R141" i="25"/>
  <c r="AT141" i="25"/>
  <c r="BB216" i="25"/>
  <c r="Z171" i="25"/>
  <c r="BB171" i="25"/>
  <c r="Y96" i="25"/>
  <c r="Z102" i="25"/>
  <c r="AA12" i="25"/>
  <c r="AB42" i="25"/>
  <c r="BC222" i="25"/>
  <c r="AA177" i="25"/>
  <c r="BC177" i="25"/>
  <c r="AN186" i="25"/>
  <c r="L141" i="25"/>
  <c r="AN141" i="25"/>
  <c r="AX192" i="25"/>
  <c r="AX147" i="25"/>
  <c r="V147" i="25"/>
  <c r="V186" i="25"/>
  <c r="Z186" i="25" s="1"/>
  <c r="AK186" i="25"/>
  <c r="I141" i="25"/>
  <c r="AK141" i="25"/>
  <c r="Y186" i="25"/>
  <c r="AB103" i="20" l="1"/>
  <c r="BC141" i="28"/>
  <c r="AC60" i="20"/>
  <c r="AC85" i="20" s="1"/>
  <c r="AC86" i="20"/>
  <c r="AB60" i="20"/>
  <c r="AB85" i="20" s="1"/>
  <c r="AB86" i="20"/>
  <c r="S297" i="20"/>
  <c r="X298" i="20"/>
  <c r="Q295" i="20"/>
  <c r="U290" i="20"/>
  <c r="U296" i="20"/>
  <c r="Z297" i="20"/>
  <c r="V296" i="20"/>
  <c r="Y294" i="20"/>
  <c r="Z294" i="20"/>
  <c r="W291" i="20"/>
  <c r="T292" i="20"/>
  <c r="Z290" i="20"/>
  <c r="Q290" i="20"/>
  <c r="V291" i="20"/>
  <c r="U295" i="20"/>
  <c r="T289" i="20"/>
  <c r="U288" i="20"/>
  <c r="X286" i="20"/>
  <c r="W290" i="20"/>
  <c r="U285" i="20"/>
  <c r="R293" i="20"/>
  <c r="R294" i="20"/>
  <c r="W295" i="20"/>
  <c r="X287" i="20"/>
  <c r="W287" i="20"/>
  <c r="V285" i="20"/>
  <c r="Z292" i="20"/>
  <c r="Y298" i="20"/>
  <c r="V299" i="20"/>
  <c r="W300" i="20"/>
  <c r="V286" i="20"/>
  <c r="R292" i="20"/>
  <c r="R299" i="20"/>
  <c r="Q289" i="20"/>
  <c r="S294" i="20"/>
  <c r="S289" i="20"/>
  <c r="R300" i="20"/>
  <c r="X285" i="20"/>
  <c r="V293" i="20"/>
  <c r="U289" i="20"/>
  <c r="Z285" i="20"/>
  <c r="T299" i="20"/>
  <c r="Y296" i="20"/>
  <c r="X292" i="20"/>
  <c r="W288" i="20"/>
  <c r="Q297" i="20"/>
  <c r="V298" i="20"/>
  <c r="Q296" i="20"/>
  <c r="R287" i="20"/>
  <c r="Y287" i="20"/>
  <c r="S296" i="20"/>
  <c r="X293" i="20"/>
  <c r="S295" i="20"/>
  <c r="T286" i="20"/>
  <c r="W289" i="20"/>
  <c r="Y295" i="20"/>
  <c r="T293" i="20"/>
  <c r="Y289" i="20"/>
  <c r="T287" i="20"/>
  <c r="Z299" i="20"/>
  <c r="R286" i="20"/>
  <c r="Y286" i="20"/>
  <c r="X290" i="20"/>
  <c r="U293" i="20"/>
  <c r="X291" i="20"/>
  <c r="W294" i="20"/>
  <c r="X297" i="20"/>
  <c r="Y300" i="20"/>
  <c r="Q288" i="20"/>
  <c r="R291" i="20"/>
  <c r="T297" i="20"/>
  <c r="T285" i="20"/>
  <c r="S293" i="20"/>
  <c r="Q286" i="20"/>
  <c r="T296" i="20"/>
  <c r="Z289" i="20"/>
  <c r="Q299" i="20"/>
  <c r="W292" i="20"/>
  <c r="S286" i="20"/>
  <c r="R290" i="20"/>
  <c r="S300" i="20"/>
  <c r="Y293" i="20"/>
  <c r="U287" i="20"/>
  <c r="Z296" i="20"/>
  <c r="V290" i="20"/>
  <c r="Q300" i="20"/>
  <c r="W293" i="20"/>
  <c r="S287" i="20"/>
  <c r="X296" i="20"/>
  <c r="T290" i="20"/>
  <c r="Y288" i="20"/>
  <c r="T298" i="20"/>
  <c r="Z291" i="20"/>
  <c r="X299" i="20"/>
  <c r="Q294" i="20"/>
  <c r="R297" i="20"/>
  <c r="Y299" i="20"/>
  <c r="Q287" i="20"/>
  <c r="R285" i="20"/>
  <c r="S288" i="20"/>
  <c r="T291" i="20"/>
  <c r="U294" i="20"/>
  <c r="V297" i="20"/>
  <c r="X295" i="20"/>
  <c r="U300" i="20"/>
  <c r="U292" i="20"/>
  <c r="Q285" i="20"/>
  <c r="V295" i="20"/>
  <c r="R289" i="20"/>
  <c r="S298" i="20"/>
  <c r="Y291" i="20"/>
  <c r="V300" i="20"/>
  <c r="V288" i="20"/>
  <c r="U299" i="20"/>
  <c r="Q293" i="20"/>
  <c r="W286" i="20"/>
  <c r="R296" i="20"/>
  <c r="X289" i="20"/>
  <c r="S299" i="20"/>
  <c r="Y292" i="20"/>
  <c r="U286" i="20"/>
  <c r="Z295" i="20"/>
  <c r="V289" i="20"/>
  <c r="S285" i="20"/>
  <c r="X294" i="20"/>
  <c r="T288" i="20"/>
  <c r="U297" i="20"/>
  <c r="Q291" i="20"/>
  <c r="Z298" i="20"/>
  <c r="Z286" i="20"/>
  <c r="W298" i="20"/>
  <c r="S292" i="20"/>
  <c r="Y285" i="20"/>
  <c r="T295" i="20"/>
  <c r="Z288" i="20"/>
  <c r="U298" i="20"/>
  <c r="Q292" i="20"/>
  <c r="W285" i="20"/>
  <c r="R295" i="20"/>
  <c r="X288" i="20"/>
  <c r="V292" i="20"/>
  <c r="Q298" i="20"/>
  <c r="Y290" i="20"/>
  <c r="T300" i="20"/>
  <c r="Z293" i="20"/>
  <c r="V287" i="20"/>
  <c r="W296" i="20"/>
  <c r="S290" i="20"/>
  <c r="R298" i="20"/>
  <c r="W299" i="20"/>
  <c r="Y297" i="20"/>
  <c r="U291" i="20"/>
  <c r="Z300" i="20"/>
  <c r="V294" i="20"/>
  <c r="R288" i="20"/>
  <c r="W297" i="20"/>
  <c r="S291" i="20"/>
  <c r="X300" i="20"/>
  <c r="T294" i="20"/>
  <c r="AA231" i="25"/>
  <c r="AA6" i="25"/>
  <c r="AA96" i="25" s="1"/>
  <c r="BB186" i="25"/>
  <c r="Z141" i="25"/>
  <c r="BB141" i="25"/>
  <c r="BC190" i="25"/>
  <c r="AE45" i="20" s="1"/>
  <c r="BC145" i="25"/>
  <c r="AA145" i="25"/>
  <c r="AE30" i="20" s="1"/>
  <c r="BC216" i="25"/>
  <c r="AA171" i="25"/>
  <c r="BC171" i="25"/>
  <c r="BC218" i="25"/>
  <c r="AA173" i="25"/>
  <c r="BC173" i="25"/>
  <c r="BC193" i="25"/>
  <c r="BC148" i="25"/>
  <c r="AA148" i="25"/>
  <c r="BA186" i="25"/>
  <c r="Y141" i="25"/>
  <c r="BA141" i="25"/>
  <c r="AA186" i="25"/>
  <c r="BC219" i="25"/>
  <c r="AA174" i="25"/>
  <c r="BC174" i="25"/>
  <c r="BC192" i="25"/>
  <c r="BC147" i="25"/>
  <c r="AA147" i="25"/>
  <c r="BC146" i="25"/>
  <c r="BC191" i="25"/>
  <c r="AA146" i="25"/>
  <c r="AX141" i="25"/>
  <c r="AX186" i="25"/>
  <c r="V141" i="25"/>
  <c r="BC217" i="25"/>
  <c r="AA172" i="25"/>
  <c r="BC172" i="25"/>
  <c r="AE60" i="20" l="1"/>
  <c r="AE85" i="20" s="1"/>
  <c r="AE86" i="20"/>
  <c r="T301" i="20"/>
  <c r="V301" i="20"/>
  <c r="Q301" i="20"/>
  <c r="Z301" i="20"/>
  <c r="AA290" i="20"/>
  <c r="S301" i="20"/>
  <c r="AA293" i="20"/>
  <c r="X301" i="20"/>
  <c r="U301" i="20"/>
  <c r="AA289" i="20"/>
  <c r="AA287" i="20"/>
  <c r="AA286" i="20"/>
  <c r="AA294" i="20"/>
  <c r="AA295" i="20"/>
  <c r="AA288" i="20"/>
  <c r="AA300" i="20"/>
  <c r="AA298" i="20"/>
  <c r="Y301" i="20"/>
  <c r="AA296" i="20"/>
  <c r="W301" i="20"/>
  <c r="AA292" i="20"/>
  <c r="R301" i="20"/>
  <c r="BC186" i="25"/>
  <c r="AA141" i="25"/>
  <c r="BC141" i="25"/>
  <c r="N247" i="20"/>
  <c r="O247" i="20"/>
  <c r="M246" i="20"/>
  <c r="M247" i="20" s="1"/>
  <c r="L246" i="20"/>
  <c r="L247" i="20" s="1"/>
  <c r="K246" i="20"/>
  <c r="K247" i="20" s="1"/>
  <c r="J246" i="20"/>
  <c r="J249" i="20" s="1"/>
  <c r="E273" i="20" s="1"/>
  <c r="I246" i="20"/>
  <c r="I249" i="20" s="1"/>
  <c r="H246" i="20"/>
  <c r="D246" i="20"/>
  <c r="D247" i="20" s="1"/>
  <c r="E246" i="20"/>
  <c r="E247" i="20" s="1"/>
  <c r="F246" i="20"/>
  <c r="F249" i="20" s="1"/>
  <c r="G246" i="20"/>
  <c r="G247" i="20" s="1"/>
  <c r="C246" i="20"/>
  <c r="C247" i="20" s="1"/>
  <c r="F245" i="20"/>
  <c r="E245" i="20"/>
  <c r="D245" i="20"/>
  <c r="G245" i="20"/>
  <c r="K245" i="20"/>
  <c r="L245" i="20"/>
  <c r="C245" i="20"/>
  <c r="H247" i="20" l="1"/>
  <c r="G250" i="20"/>
  <c r="F247" i="20"/>
  <c r="C249" i="20"/>
  <c r="F266" i="20" s="1"/>
  <c r="F264" i="20" s="1"/>
  <c r="E249" i="20"/>
  <c r="K268" i="20" s="1"/>
  <c r="K264" i="20" s="1"/>
  <c r="E269" i="20"/>
  <c r="H269" i="20"/>
  <c r="H264" i="20" s="1"/>
  <c r="G269" i="20"/>
  <c r="G249" i="20"/>
  <c r="L249" i="20"/>
  <c r="D272" i="20"/>
  <c r="D249" i="20"/>
  <c r="E267" i="20" s="1"/>
  <c r="M249" i="20"/>
  <c r="E277" i="20" s="1"/>
  <c r="E276" i="20" s="1"/>
  <c r="K249" i="20"/>
  <c r="J247" i="20"/>
  <c r="I247" i="20"/>
  <c r="H249" i="20"/>
  <c r="D271" i="20" s="1"/>
  <c r="E271" i="20" s="1"/>
  <c r="M204" i="20"/>
  <c r="M203" i="20"/>
  <c r="C206" i="20"/>
  <c r="D206" i="20"/>
  <c r="E268" i="20" l="1"/>
  <c r="I266" i="20"/>
  <c r="I264" i="20" s="1"/>
  <c r="E266" i="20"/>
  <c r="I275" i="20"/>
  <c r="G275" i="20"/>
  <c r="G270" i="20" s="1"/>
  <c r="F275" i="20"/>
  <c r="F270" i="20" s="1"/>
  <c r="D275" i="20"/>
  <c r="E275" i="20"/>
  <c r="D274" i="20"/>
  <c r="I274" i="20"/>
  <c r="E274" i="20"/>
  <c r="E272" i="20"/>
  <c r="G265" i="20"/>
  <c r="G264" i="20" s="1"/>
  <c r="E265" i="20"/>
  <c r="D265" i="20"/>
  <c r="D264" i="20" s="1"/>
  <c r="R194" i="20"/>
  <c r="S194" i="20" s="1"/>
  <c r="R193" i="20"/>
  <c r="S193" i="20" s="1"/>
  <c r="R192" i="20"/>
  <c r="S192" i="20" s="1"/>
  <c r="R191" i="20"/>
  <c r="S191" i="20" s="1"/>
  <c r="R190" i="20"/>
  <c r="S190" i="20" s="1"/>
  <c r="R189" i="20"/>
  <c r="S189" i="20" s="1"/>
  <c r="R188" i="20"/>
  <c r="S188" i="20" s="1"/>
  <c r="R187" i="20"/>
  <c r="S187" i="20" s="1"/>
  <c r="R186" i="20"/>
  <c r="S186" i="20" s="1"/>
  <c r="R185" i="20"/>
  <c r="S185" i="20" s="1"/>
  <c r="R184" i="20"/>
  <c r="S184" i="20" s="1"/>
  <c r="R183" i="20"/>
  <c r="S183" i="20" s="1"/>
  <c r="R182" i="20"/>
  <c r="S182" i="20" s="1"/>
  <c r="R181" i="20"/>
  <c r="S181" i="20" s="1"/>
  <c r="R180" i="20"/>
  <c r="S180" i="20" s="1"/>
  <c r="R179" i="20"/>
  <c r="S179" i="20" s="1"/>
  <c r="R178" i="20"/>
  <c r="S178" i="20" s="1"/>
  <c r="R177" i="20"/>
  <c r="S177" i="20" s="1"/>
  <c r="R176" i="20"/>
  <c r="S176" i="20" s="1"/>
  <c r="R175" i="20"/>
  <c r="S175" i="20" s="1"/>
  <c r="R174" i="20"/>
  <c r="S174" i="20" s="1"/>
  <c r="R173" i="20"/>
  <c r="S173" i="20" s="1"/>
  <c r="M194" i="20"/>
  <c r="M193" i="20"/>
  <c r="M192" i="20"/>
  <c r="M191" i="20"/>
  <c r="M190" i="20"/>
  <c r="M189" i="20"/>
  <c r="M188" i="20"/>
  <c r="M187" i="20"/>
  <c r="M186" i="20"/>
  <c r="M185" i="20"/>
  <c r="M184" i="20"/>
  <c r="M183" i="20"/>
  <c r="M182" i="20"/>
  <c r="M181" i="20"/>
  <c r="M180" i="20"/>
  <c r="M179" i="20"/>
  <c r="M178" i="20"/>
  <c r="M177" i="20"/>
  <c r="M176" i="20"/>
  <c r="M175" i="20"/>
  <c r="M174" i="20"/>
  <c r="M173" i="20"/>
  <c r="E195" i="20"/>
  <c r="F195" i="20"/>
  <c r="G195" i="20"/>
  <c r="I195" i="20"/>
  <c r="J195" i="20"/>
  <c r="K195" i="20"/>
  <c r="L195" i="20"/>
  <c r="N195" i="20"/>
  <c r="O195" i="20"/>
  <c r="P195" i="20"/>
  <c r="Q195" i="20"/>
  <c r="D195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73" i="20"/>
  <c r="O21" i="21"/>
  <c r="P157" i="21"/>
  <c r="P156" i="21"/>
  <c r="O66" i="21"/>
  <c r="K66" i="21"/>
  <c r="J21" i="21"/>
  <c r="K21" i="21"/>
  <c r="K70" i="21"/>
  <c r="K25" i="21"/>
  <c r="J70" i="21"/>
  <c r="J66" i="21"/>
  <c r="J25" i="21"/>
  <c r="H67" i="21"/>
  <c r="H66" i="21"/>
  <c r="H22" i="21"/>
  <c r="H21" i="21"/>
  <c r="G67" i="21"/>
  <c r="H10" i="21"/>
  <c r="D270" i="20" l="1"/>
  <c r="E264" i="20"/>
  <c r="M195" i="20"/>
  <c r="J196" i="20" s="1"/>
  <c r="I270" i="20"/>
  <c r="H195" i="20"/>
  <c r="E196" i="20" s="1"/>
  <c r="E270" i="20"/>
  <c r="R195" i="20"/>
  <c r="P196" i="20" s="1"/>
  <c r="I21" i="21"/>
  <c r="G22" i="21"/>
  <c r="P159" i="21"/>
  <c r="O159" i="21"/>
  <c r="N159" i="21"/>
  <c r="P158" i="21"/>
  <c r="O158" i="21"/>
  <c r="N158" i="21"/>
  <c r="O157" i="21"/>
  <c r="N157" i="21"/>
  <c r="O156" i="21"/>
  <c r="N156" i="21"/>
  <c r="F67" i="21"/>
  <c r="AE11" i="21"/>
  <c r="AE10" i="21"/>
  <c r="AE9" i="21"/>
  <c r="AF120" i="20"/>
  <c r="AG120" i="20"/>
  <c r="AH120" i="20"/>
  <c r="AI120" i="20"/>
  <c r="AJ120" i="20"/>
  <c r="L111" i="20"/>
  <c r="AG111" i="20" s="1"/>
  <c r="M111" i="20"/>
  <c r="AH111" i="20" s="1"/>
  <c r="N111" i="20"/>
  <c r="AI111" i="20" s="1"/>
  <c r="V59" i="20"/>
  <c r="V111" i="20" s="1"/>
  <c r="V138" i="20" s="1"/>
  <c r="D12" i="20"/>
  <c r="D11" i="20"/>
  <c r="Z72" i="20"/>
  <c r="Y72" i="20"/>
  <c r="K111" i="20"/>
  <c r="AF111" i="20" s="1"/>
  <c r="Z44" i="20"/>
  <c r="Y44" i="20"/>
  <c r="Z29" i="20"/>
  <c r="Y29" i="20"/>
  <c r="Z12" i="20"/>
  <c r="Y12" i="20"/>
  <c r="V12" i="20"/>
  <c r="E12" i="20"/>
  <c r="AF112" i="20"/>
  <c r="AG112" i="20"/>
  <c r="AG103" i="20" s="1"/>
  <c r="AH112" i="20"/>
  <c r="AI112" i="20"/>
  <c r="AJ112" i="20"/>
  <c r="V112" i="20"/>
  <c r="V139" i="20" l="1"/>
  <c r="V118" i="20"/>
  <c r="AJ103" i="20"/>
  <c r="AJ118" i="20"/>
  <c r="AI103" i="20"/>
  <c r="AI118" i="20"/>
  <c r="AH103" i="20"/>
  <c r="AH118" i="20"/>
  <c r="AF103" i="20"/>
  <c r="AI93" i="20"/>
  <c r="L196" i="20"/>
  <c r="O196" i="20"/>
  <c r="I196" i="20"/>
  <c r="K196" i="20"/>
  <c r="N196" i="20"/>
  <c r="S195" i="20"/>
  <c r="D196" i="20"/>
  <c r="G196" i="20"/>
  <c r="F196" i="20"/>
  <c r="U127" i="20"/>
  <c r="Y127" i="20"/>
  <c r="I127" i="20"/>
  <c r="Z126" i="20"/>
  <c r="E127" i="20"/>
  <c r="Q196" i="20"/>
  <c r="AA127" i="20"/>
  <c r="P127" i="20"/>
  <c r="Z127" i="20"/>
  <c r="J127" i="20"/>
  <c r="X127" i="20"/>
  <c r="H127" i="20"/>
  <c r="Y126" i="20"/>
  <c r="F127" i="20"/>
  <c r="AB127" i="20"/>
  <c r="T127" i="20"/>
  <c r="D127" i="20"/>
  <c r="N138" i="20"/>
  <c r="M138" i="20"/>
  <c r="O139" i="20"/>
  <c r="L138" i="20"/>
  <c r="N139" i="20"/>
  <c r="K138" i="20"/>
  <c r="M139" i="20"/>
  <c r="L139" i="20"/>
  <c r="K139" i="20"/>
  <c r="W127" i="20"/>
  <c r="G127" i="20"/>
  <c r="Y59" i="20"/>
  <c r="Z59" i="20"/>
  <c r="AM103" i="20" l="1"/>
  <c r="AM118" i="20" s="1"/>
  <c r="H42" i="11"/>
  <c r="H36" i="11"/>
  <c r="S250" i="10"/>
  <c r="V54" i="20" s="1"/>
  <c r="V106" i="20" s="1"/>
  <c r="V133" i="20" s="1"/>
  <c r="S250" i="11"/>
  <c r="V55" i="20"/>
  <c r="V107" i="20" s="1"/>
  <c r="V134" i="20" s="1"/>
  <c r="S250" i="14"/>
  <c r="V56" i="20"/>
  <c r="V108" i="20" s="1"/>
  <c r="V135" i="20" s="1"/>
  <c r="S250" i="16"/>
  <c r="V57" i="20" s="1"/>
  <c r="V109" i="20" s="1"/>
  <c r="V136" i="20" s="1"/>
  <c r="S250" i="19"/>
  <c r="V58" i="20" s="1"/>
  <c r="V110" i="20" s="1"/>
  <c r="V137" i="20" s="1"/>
  <c r="S250" i="5"/>
  <c r="V53" i="20" s="1"/>
  <c r="V105" i="20" s="1"/>
  <c r="V132" i="20" s="1"/>
  <c r="F252" i="5"/>
  <c r="F253" i="5"/>
  <c r="F254" i="5"/>
  <c r="F237" i="5" s="1"/>
  <c r="G252" i="5"/>
  <c r="G253" i="5"/>
  <c r="G254" i="5"/>
  <c r="H252" i="5"/>
  <c r="H253" i="5"/>
  <c r="H254" i="5"/>
  <c r="I252" i="5"/>
  <c r="I253" i="5"/>
  <c r="I254" i="5"/>
  <c r="J27" i="5"/>
  <c r="J252" i="5" s="1"/>
  <c r="J237" i="5" s="1"/>
  <c r="J253" i="5"/>
  <c r="J254" i="5"/>
  <c r="K252" i="5"/>
  <c r="K253" i="5"/>
  <c r="K237" i="5" s="1"/>
  <c r="K254" i="5"/>
  <c r="T250" i="5"/>
  <c r="M53" i="20" s="1"/>
  <c r="M105" i="20" s="1"/>
  <c r="J70" i="5"/>
  <c r="J25" i="5" s="1"/>
  <c r="J250" i="5" s="1"/>
  <c r="N53" i="20" s="1"/>
  <c r="N105" i="20" s="1"/>
  <c r="K249" i="5"/>
  <c r="O53" i="20" s="1"/>
  <c r="O105" i="20" s="1"/>
  <c r="F252" i="10"/>
  <c r="F253" i="10"/>
  <c r="F254" i="10"/>
  <c r="F237" i="10"/>
  <c r="G252" i="10"/>
  <c r="G237" i="10" s="1"/>
  <c r="G253" i="10"/>
  <c r="G254" i="10"/>
  <c r="H252" i="10"/>
  <c r="H253" i="10"/>
  <c r="H254" i="10"/>
  <c r="H237" i="10"/>
  <c r="I252" i="10"/>
  <c r="I253" i="10"/>
  <c r="I254" i="10"/>
  <c r="J27" i="10"/>
  <c r="J252" i="10" s="1"/>
  <c r="J253" i="10"/>
  <c r="J254" i="10"/>
  <c r="K252" i="10"/>
  <c r="K253" i="10"/>
  <c r="K254" i="10"/>
  <c r="K237" i="10" s="1"/>
  <c r="T250" i="10"/>
  <c r="M54" i="20" s="1"/>
  <c r="M106" i="20" s="1"/>
  <c r="J25" i="10"/>
  <c r="J250" i="10" s="1"/>
  <c r="N54" i="20" s="1"/>
  <c r="N106" i="20" s="1"/>
  <c r="K249" i="10"/>
  <c r="O54" i="20" s="1"/>
  <c r="O106" i="20" s="1"/>
  <c r="F252" i="11"/>
  <c r="F253" i="11"/>
  <c r="F254" i="11"/>
  <c r="G252" i="11"/>
  <c r="G253" i="11"/>
  <c r="G237" i="11" s="1"/>
  <c r="G254" i="11"/>
  <c r="H252" i="11"/>
  <c r="H253" i="11"/>
  <c r="H254" i="11"/>
  <c r="I252" i="11"/>
  <c r="I253" i="11"/>
  <c r="I237" i="11" s="1"/>
  <c r="I254" i="11"/>
  <c r="J27" i="11"/>
  <c r="J252" i="11" s="1"/>
  <c r="J237" i="11" s="1"/>
  <c r="J253" i="11"/>
  <c r="J254" i="11"/>
  <c r="K252" i="11"/>
  <c r="K253" i="11"/>
  <c r="K254" i="11"/>
  <c r="T250" i="11"/>
  <c r="M55" i="20"/>
  <c r="M107" i="20" s="1"/>
  <c r="J25" i="11"/>
  <c r="J250" i="11"/>
  <c r="N55" i="20" s="1"/>
  <c r="N107" i="20" s="1"/>
  <c r="K24" i="11"/>
  <c r="K249" i="11" s="1"/>
  <c r="O55" i="20"/>
  <c r="O107" i="20" s="1"/>
  <c r="F252" i="14"/>
  <c r="F253" i="14"/>
  <c r="F254" i="14"/>
  <c r="G252" i="14"/>
  <c r="G253" i="14"/>
  <c r="G254" i="14"/>
  <c r="G237" i="14" s="1"/>
  <c r="H252" i="14"/>
  <c r="H253" i="14"/>
  <c r="H254" i="14"/>
  <c r="I252" i="14"/>
  <c r="I253" i="14"/>
  <c r="I254" i="14"/>
  <c r="J27" i="14"/>
  <c r="J252" i="14" s="1"/>
  <c r="J253" i="14"/>
  <c r="J254" i="14"/>
  <c r="K252" i="14"/>
  <c r="K253" i="14"/>
  <c r="K254" i="14"/>
  <c r="T250" i="14"/>
  <c r="M56" i="20"/>
  <c r="M108" i="20" s="1"/>
  <c r="J250" i="14"/>
  <c r="N56" i="20" s="1"/>
  <c r="N108" i="20" s="1"/>
  <c r="K24" i="14"/>
  <c r="K249" i="14" s="1"/>
  <c r="O56" i="20" s="1"/>
  <c r="O108" i="20" s="1"/>
  <c r="F252" i="16"/>
  <c r="F237" i="16" s="1"/>
  <c r="F253" i="16"/>
  <c r="F254" i="16"/>
  <c r="G252" i="16"/>
  <c r="G253" i="16"/>
  <c r="G254" i="16"/>
  <c r="H252" i="16"/>
  <c r="H237" i="16" s="1"/>
  <c r="H253" i="16"/>
  <c r="H254" i="16"/>
  <c r="I252" i="16"/>
  <c r="I253" i="16"/>
  <c r="I254" i="16"/>
  <c r="J27" i="16"/>
  <c r="J252" i="16" s="1"/>
  <c r="J237" i="16" s="1"/>
  <c r="J253" i="16"/>
  <c r="J254" i="16"/>
  <c r="K252" i="16"/>
  <c r="K253" i="16"/>
  <c r="K254" i="16"/>
  <c r="T250" i="16"/>
  <c r="M57" i="20" s="1"/>
  <c r="M109" i="20" s="1"/>
  <c r="J25" i="16"/>
  <c r="J250" i="16" s="1"/>
  <c r="N57" i="20" s="1"/>
  <c r="N109" i="20" s="1"/>
  <c r="N136" i="20" s="1"/>
  <c r="K249" i="16"/>
  <c r="O57" i="20" s="1"/>
  <c r="O109" i="20" s="1"/>
  <c r="F252" i="19"/>
  <c r="F237" i="19" s="1"/>
  <c r="F253" i="19"/>
  <c r="F254" i="19"/>
  <c r="G252" i="19"/>
  <c r="G253" i="19"/>
  <c r="G254" i="19"/>
  <c r="H252" i="19"/>
  <c r="H253" i="19"/>
  <c r="H254" i="19"/>
  <c r="I252" i="19"/>
  <c r="I253" i="19"/>
  <c r="I254" i="19"/>
  <c r="J72" i="19"/>
  <c r="J27" i="19" s="1"/>
  <c r="J252" i="19" s="1"/>
  <c r="J253" i="19"/>
  <c r="J254" i="19"/>
  <c r="K252" i="19"/>
  <c r="K253" i="19"/>
  <c r="K254" i="19"/>
  <c r="T250" i="19"/>
  <c r="M58" i="20" s="1"/>
  <c r="M110" i="20" s="1"/>
  <c r="J25" i="19"/>
  <c r="J250" i="19" s="1"/>
  <c r="N58" i="20" s="1"/>
  <c r="N110" i="20" s="1"/>
  <c r="K249" i="19"/>
  <c r="O58" i="20" s="1"/>
  <c r="O110" i="20" s="1"/>
  <c r="M27" i="10"/>
  <c r="M252" i="10" s="1"/>
  <c r="M253" i="10"/>
  <c r="M254" i="10"/>
  <c r="N252" i="10"/>
  <c r="N253" i="10"/>
  <c r="N254" i="10"/>
  <c r="N237" i="10" s="1"/>
  <c r="O252" i="10"/>
  <c r="O237" i="10" s="1"/>
  <c r="O253" i="10"/>
  <c r="O254" i="10"/>
  <c r="P252" i="10"/>
  <c r="P253" i="10"/>
  <c r="P254" i="10"/>
  <c r="P237" i="10" s="1"/>
  <c r="Q252" i="10"/>
  <c r="Q28" i="10"/>
  <c r="Q253" i="10" s="1"/>
  <c r="Q254" i="10"/>
  <c r="R252" i="10"/>
  <c r="R28" i="10"/>
  <c r="R253" i="10"/>
  <c r="R254" i="10"/>
  <c r="S252" i="10"/>
  <c r="S253" i="10"/>
  <c r="S237" i="10" s="1"/>
  <c r="S254" i="10"/>
  <c r="T252" i="10"/>
  <c r="T28" i="10"/>
  <c r="T253" i="10" s="1"/>
  <c r="T254" i="10"/>
  <c r="U252" i="10"/>
  <c r="U28" i="10"/>
  <c r="U253" i="10" s="1"/>
  <c r="U254" i="10"/>
  <c r="V252" i="10"/>
  <c r="V73" i="10"/>
  <c r="V28" i="10" s="1"/>
  <c r="V253" i="10"/>
  <c r="V254" i="10"/>
  <c r="W252" i="10"/>
  <c r="W28" i="10"/>
  <c r="W253" i="10" s="1"/>
  <c r="W254" i="10"/>
  <c r="X252" i="10"/>
  <c r="X28" i="10"/>
  <c r="X253" i="10" s="1"/>
  <c r="X237" i="10" s="1"/>
  <c r="X254" i="10"/>
  <c r="M27" i="11"/>
  <c r="M252" i="11" s="1"/>
  <c r="M253" i="11"/>
  <c r="M254" i="11"/>
  <c r="M237" i="11"/>
  <c r="N252" i="11"/>
  <c r="N253" i="11"/>
  <c r="N237" i="11" s="1"/>
  <c r="N254" i="11"/>
  <c r="O252" i="11"/>
  <c r="O253" i="11"/>
  <c r="O254" i="11"/>
  <c r="O237" i="11"/>
  <c r="P252" i="11"/>
  <c r="P253" i="11"/>
  <c r="P237" i="11" s="1"/>
  <c r="P254" i="11"/>
  <c r="Q252" i="11"/>
  <c r="Q28" i="11"/>
  <c r="Q253" i="11" s="1"/>
  <c r="Q254" i="11"/>
  <c r="R252" i="11"/>
  <c r="R28" i="11"/>
  <c r="R253" i="11"/>
  <c r="R237" i="11" s="1"/>
  <c r="R254" i="11"/>
  <c r="S252" i="11"/>
  <c r="S253" i="11"/>
  <c r="S254" i="11"/>
  <c r="T252" i="11"/>
  <c r="T28" i="11"/>
  <c r="T253" i="11" s="1"/>
  <c r="T237" i="11" s="1"/>
  <c r="T254" i="11"/>
  <c r="U252" i="11"/>
  <c r="U237" i="11" s="1"/>
  <c r="U28" i="11"/>
  <c r="U253" i="11" s="1"/>
  <c r="U254" i="11"/>
  <c r="V252" i="11"/>
  <c r="V73" i="11"/>
  <c r="V28" i="11" s="1"/>
  <c r="V253" i="11" s="1"/>
  <c r="V254" i="11"/>
  <c r="W252" i="11"/>
  <c r="W28" i="11"/>
  <c r="W253" i="11" s="1"/>
  <c r="W237" i="11" s="1"/>
  <c r="W254" i="11"/>
  <c r="X252" i="11"/>
  <c r="X28" i="11"/>
  <c r="X253" i="11" s="1"/>
  <c r="X254" i="11"/>
  <c r="M27" i="14"/>
  <c r="M252" i="14" s="1"/>
  <c r="M253" i="14"/>
  <c r="M254" i="14"/>
  <c r="N252" i="14"/>
  <c r="N237" i="14" s="1"/>
  <c r="N253" i="14"/>
  <c r="N254" i="14"/>
  <c r="O252" i="14"/>
  <c r="O253" i="14"/>
  <c r="O254" i="14"/>
  <c r="O237" i="14" s="1"/>
  <c r="P252" i="14"/>
  <c r="P253" i="14"/>
  <c r="P254" i="14"/>
  <c r="Q252" i="14"/>
  <c r="Q28" i="14"/>
  <c r="Q253" i="14" s="1"/>
  <c r="Q254" i="14"/>
  <c r="R252" i="14"/>
  <c r="R28" i="14"/>
  <c r="R253" i="14" s="1"/>
  <c r="R237" i="14" s="1"/>
  <c r="R254" i="14"/>
  <c r="S252" i="14"/>
  <c r="S253" i="14"/>
  <c r="S254" i="14"/>
  <c r="T252" i="14"/>
  <c r="T28" i="14"/>
  <c r="T253" i="14" s="1"/>
  <c r="T254" i="14"/>
  <c r="U252" i="14"/>
  <c r="U237" i="14" s="1"/>
  <c r="U28" i="14"/>
  <c r="U253" i="14" s="1"/>
  <c r="U254" i="14"/>
  <c r="V252" i="14"/>
  <c r="V73" i="14"/>
  <c r="V28" i="14" s="1"/>
  <c r="V253" i="14" s="1"/>
  <c r="V254" i="14"/>
  <c r="W252" i="14"/>
  <c r="W28" i="14"/>
  <c r="W253" i="14" s="1"/>
  <c r="W237" i="14" s="1"/>
  <c r="W254" i="14"/>
  <c r="X252" i="14"/>
  <c r="X28" i="14"/>
  <c r="X253" i="14" s="1"/>
  <c r="X254" i="14"/>
  <c r="M72" i="16"/>
  <c r="M27" i="16" s="1"/>
  <c r="M252" i="16" s="1"/>
  <c r="M253" i="16"/>
  <c r="M254" i="16"/>
  <c r="N252" i="16"/>
  <c r="N253" i="16"/>
  <c r="N254" i="16"/>
  <c r="O252" i="16"/>
  <c r="O253" i="16"/>
  <c r="O254" i="16"/>
  <c r="P252" i="16"/>
  <c r="P253" i="16"/>
  <c r="P254" i="16"/>
  <c r="Q252" i="16"/>
  <c r="Q28" i="16"/>
  <c r="Q253" i="16"/>
  <c r="Q254" i="16"/>
  <c r="R252" i="16"/>
  <c r="R28" i="16"/>
  <c r="R253" i="16" s="1"/>
  <c r="R237" i="16" s="1"/>
  <c r="R254" i="16"/>
  <c r="S252" i="16"/>
  <c r="S237" i="16" s="1"/>
  <c r="S253" i="16"/>
  <c r="S254" i="16"/>
  <c r="T252" i="16"/>
  <c r="T28" i="16"/>
  <c r="T253" i="16" s="1"/>
  <c r="T254" i="16"/>
  <c r="T237" i="16"/>
  <c r="U252" i="16"/>
  <c r="U28" i="16"/>
  <c r="U253" i="16" s="1"/>
  <c r="U254" i="16"/>
  <c r="V252" i="16"/>
  <c r="V73" i="16"/>
  <c r="V28" i="16"/>
  <c r="V253" i="16" s="1"/>
  <c r="V254" i="16"/>
  <c r="W252" i="16"/>
  <c r="W237" i="16" s="1"/>
  <c r="W28" i="16"/>
  <c r="W253" i="16" s="1"/>
  <c r="W254" i="16"/>
  <c r="X252" i="16"/>
  <c r="X28" i="16"/>
  <c r="X253" i="16" s="1"/>
  <c r="X254" i="16"/>
  <c r="M72" i="19"/>
  <c r="M27" i="19" s="1"/>
  <c r="M252" i="19" s="1"/>
  <c r="M253" i="19"/>
  <c r="M254" i="19"/>
  <c r="N252" i="19"/>
  <c r="N253" i="19"/>
  <c r="N237" i="19" s="1"/>
  <c r="N254" i="19"/>
  <c r="O252" i="19"/>
  <c r="O253" i="19"/>
  <c r="O254" i="19"/>
  <c r="P252" i="19"/>
  <c r="P253" i="19"/>
  <c r="P237" i="19" s="1"/>
  <c r="P254" i="19"/>
  <c r="Q252" i="19"/>
  <c r="Q28" i="19"/>
  <c r="Q253" i="19" s="1"/>
  <c r="Q254" i="19"/>
  <c r="R252" i="19"/>
  <c r="R28" i="19"/>
  <c r="R253" i="19" s="1"/>
  <c r="R254" i="19"/>
  <c r="S252" i="19"/>
  <c r="S237" i="19" s="1"/>
  <c r="S253" i="19"/>
  <c r="S254" i="19"/>
  <c r="T252" i="19"/>
  <c r="T28" i="19"/>
  <c r="T253" i="19" s="1"/>
  <c r="T254" i="19"/>
  <c r="U252" i="19"/>
  <c r="U28" i="19"/>
  <c r="U253" i="19" s="1"/>
  <c r="U237" i="19" s="1"/>
  <c r="U254" i="19"/>
  <c r="V252" i="19"/>
  <c r="V73" i="19"/>
  <c r="V28" i="19" s="1"/>
  <c r="V253" i="19" s="1"/>
  <c r="V237" i="19" s="1"/>
  <c r="V254" i="19"/>
  <c r="W252" i="19"/>
  <c r="W28" i="19"/>
  <c r="W253" i="19" s="1"/>
  <c r="W254" i="19"/>
  <c r="X252" i="19"/>
  <c r="X28" i="19"/>
  <c r="X253" i="19" s="1"/>
  <c r="X254" i="19"/>
  <c r="M27" i="5"/>
  <c r="M252" i="5" s="1"/>
  <c r="M253" i="5"/>
  <c r="M254" i="5"/>
  <c r="N252" i="5"/>
  <c r="N253" i="5"/>
  <c r="N254" i="5"/>
  <c r="O252" i="5"/>
  <c r="O253" i="5"/>
  <c r="O254" i="5"/>
  <c r="P252" i="5"/>
  <c r="P253" i="5"/>
  <c r="P254" i="5"/>
  <c r="Q252" i="5"/>
  <c r="Q73" i="5"/>
  <c r="Q28" i="5" s="1"/>
  <c r="Q253" i="5" s="1"/>
  <c r="Q237" i="5" s="1"/>
  <c r="Q254" i="5"/>
  <c r="R252" i="5"/>
  <c r="R73" i="5"/>
  <c r="R28" i="5" s="1"/>
  <c r="R253" i="5" s="1"/>
  <c r="R254" i="5"/>
  <c r="S252" i="5"/>
  <c r="S253" i="5"/>
  <c r="S254" i="5"/>
  <c r="T252" i="5"/>
  <c r="T73" i="5"/>
  <c r="T28" i="5" s="1"/>
  <c r="T253" i="5" s="1"/>
  <c r="T254" i="5"/>
  <c r="U252" i="5"/>
  <c r="U28" i="5"/>
  <c r="U253" i="5" s="1"/>
  <c r="U237" i="5" s="1"/>
  <c r="U254" i="5"/>
  <c r="V252" i="5"/>
  <c r="V73" i="5"/>
  <c r="V28" i="5" s="1"/>
  <c r="V253" i="5" s="1"/>
  <c r="V254" i="5"/>
  <c r="V237" i="5"/>
  <c r="W252" i="5"/>
  <c r="W28" i="5"/>
  <c r="W253" i="5" s="1"/>
  <c r="W237" i="5" s="1"/>
  <c r="W254" i="5"/>
  <c r="X252" i="5"/>
  <c r="X28" i="5"/>
  <c r="X253" i="5" s="1"/>
  <c r="X254" i="5"/>
  <c r="F201" i="5"/>
  <c r="F202" i="5"/>
  <c r="F21" i="5"/>
  <c r="F246" i="5"/>
  <c r="F22" i="5"/>
  <c r="F247" i="5"/>
  <c r="F248" i="5"/>
  <c r="F235" i="5"/>
  <c r="D66" i="20" s="1"/>
  <c r="F201" i="10"/>
  <c r="F202" i="10"/>
  <c r="F21" i="10"/>
  <c r="F246" i="10"/>
  <c r="F22" i="10"/>
  <c r="F247" i="10" s="1"/>
  <c r="F235" i="10" s="1"/>
  <c r="D67" i="20" s="1"/>
  <c r="F248" i="10"/>
  <c r="G190" i="10"/>
  <c r="G246" i="10"/>
  <c r="G247" i="10"/>
  <c r="G235" i="10" s="1"/>
  <c r="E67" i="20" s="1"/>
  <c r="G248" i="10"/>
  <c r="H201" i="10"/>
  <c r="H202" i="10"/>
  <c r="H21" i="10"/>
  <c r="H246" i="10"/>
  <c r="H22" i="10"/>
  <c r="H247" i="10"/>
  <c r="H248" i="10"/>
  <c r="I201" i="10"/>
  <c r="I190" i="10" s="1"/>
  <c r="G7" i="20" s="1"/>
  <c r="I246" i="10"/>
  <c r="I247" i="10"/>
  <c r="I248" i="10"/>
  <c r="J201" i="10"/>
  <c r="J190" i="10" s="1"/>
  <c r="J246" i="10"/>
  <c r="J235" i="10" s="1"/>
  <c r="J247" i="10"/>
  <c r="J248" i="10"/>
  <c r="K201" i="10"/>
  <c r="K190" i="10" s="1"/>
  <c r="K246" i="10"/>
  <c r="K235" i="10" s="1"/>
  <c r="I67" i="20" s="1"/>
  <c r="K247" i="10"/>
  <c r="K248" i="10"/>
  <c r="M201" i="10"/>
  <c r="M190" i="10" s="1"/>
  <c r="M246" i="10"/>
  <c r="M247" i="10"/>
  <c r="M248" i="10"/>
  <c r="P7" i="20"/>
  <c r="N201" i="10"/>
  <c r="N190" i="10" s="1"/>
  <c r="Q7" i="20" s="1"/>
  <c r="N246" i="10"/>
  <c r="N247" i="10"/>
  <c r="N248" i="10"/>
  <c r="O21" i="10"/>
  <c r="O247" i="10"/>
  <c r="O248" i="10"/>
  <c r="P21" i="10"/>
  <c r="P22" i="10"/>
  <c r="P247" i="10" s="1"/>
  <c r="P248" i="10"/>
  <c r="Q21" i="10"/>
  <c r="Q247" i="10"/>
  <c r="Q248" i="10"/>
  <c r="R21" i="10"/>
  <c r="R246" i="10" s="1"/>
  <c r="R201" i="10"/>
  <c r="R190" i="10"/>
  <c r="U7" i="20" s="1"/>
  <c r="R247" i="10"/>
  <c r="R248" i="10"/>
  <c r="T21" i="10"/>
  <c r="T247" i="10"/>
  <c r="T248" i="10"/>
  <c r="U66" i="10"/>
  <c r="U21" i="10" s="1"/>
  <c r="U247" i="10"/>
  <c r="U248" i="10"/>
  <c r="V201" i="10"/>
  <c r="V190" i="10" s="1"/>
  <c r="Y7" i="20" s="1"/>
  <c r="V246" i="10"/>
  <c r="V247" i="10"/>
  <c r="V248" i="10"/>
  <c r="L29" i="10"/>
  <c r="L209" i="10"/>
  <c r="L192" i="10" s="1"/>
  <c r="J7" i="20" s="1"/>
  <c r="L252" i="10"/>
  <c r="L253" i="10"/>
  <c r="L254" i="10"/>
  <c r="F201" i="11"/>
  <c r="F190" i="11" s="1"/>
  <c r="F202" i="11"/>
  <c r="F222" i="11" s="1"/>
  <c r="F21" i="11"/>
  <c r="F22" i="11"/>
  <c r="F247" i="11"/>
  <c r="F267" i="11" s="1"/>
  <c r="F248" i="11"/>
  <c r="G202" i="11"/>
  <c r="G246" i="11"/>
  <c r="G22" i="11"/>
  <c r="G247" i="11" s="1"/>
  <c r="G248" i="11"/>
  <c r="H201" i="11"/>
  <c r="H202" i="11"/>
  <c r="H246" i="11"/>
  <c r="H261" i="11" s="1"/>
  <c r="H247" i="11"/>
  <c r="H248" i="11"/>
  <c r="I201" i="11"/>
  <c r="I246" i="11"/>
  <c r="I247" i="11"/>
  <c r="I235" i="11" s="1"/>
  <c r="G68" i="20" s="1"/>
  <c r="I248" i="11"/>
  <c r="J201" i="11"/>
  <c r="J190" i="11" s="1"/>
  <c r="H8" i="20" s="1"/>
  <c r="J246" i="11"/>
  <c r="J247" i="11"/>
  <c r="J248" i="11"/>
  <c r="K201" i="11"/>
  <c r="K190" i="11" s="1"/>
  <c r="K246" i="11"/>
  <c r="K235" i="11" s="1"/>
  <c r="I68" i="20" s="1"/>
  <c r="K247" i="11"/>
  <c r="K248" i="11"/>
  <c r="M201" i="11"/>
  <c r="M190" i="11"/>
  <c r="P8" i="20" s="1"/>
  <c r="M246" i="11"/>
  <c r="M247" i="11"/>
  <c r="M248" i="11"/>
  <c r="N201" i="11"/>
  <c r="N190" i="11" s="1"/>
  <c r="Q8" i="20" s="1"/>
  <c r="N246" i="11"/>
  <c r="N235" i="11" s="1"/>
  <c r="AP190" i="11" s="1"/>
  <c r="Q40" i="20" s="1"/>
  <c r="N247" i="11"/>
  <c r="N248" i="11"/>
  <c r="O21" i="11"/>
  <c r="O246" i="11" s="1"/>
  <c r="O247" i="11"/>
  <c r="O248" i="11"/>
  <c r="P21" i="11"/>
  <c r="P248" i="11"/>
  <c r="Q21" i="11"/>
  <c r="Q246" i="11" s="1"/>
  <c r="Q235" i="11" s="1"/>
  <c r="Q201" i="11"/>
  <c r="Q190" i="11" s="1"/>
  <c r="Q247" i="11"/>
  <c r="Q248" i="11"/>
  <c r="T8" i="20"/>
  <c r="R21" i="11"/>
  <c r="R246" i="11" s="1"/>
  <c r="R235" i="11" s="1"/>
  <c r="U68" i="20" s="1"/>
  <c r="R201" i="11"/>
  <c r="R190" i="11"/>
  <c r="U8" i="20" s="1"/>
  <c r="R247" i="11"/>
  <c r="R248" i="11"/>
  <c r="T21" i="11"/>
  <c r="T201" i="11"/>
  <c r="T190" i="11" s="1"/>
  <c r="T246" i="11"/>
  <c r="T247" i="11"/>
  <c r="T248" i="11"/>
  <c r="U66" i="11"/>
  <c r="U21" i="11"/>
  <c r="U247" i="11"/>
  <c r="U248" i="11"/>
  <c r="V201" i="11"/>
  <c r="V190" i="11" s="1"/>
  <c r="Y8" i="20" s="1"/>
  <c r="V246" i="11"/>
  <c r="V247" i="11"/>
  <c r="V248" i="11"/>
  <c r="L29" i="11"/>
  <c r="L252" i="11"/>
  <c r="L253" i="11"/>
  <c r="F201" i="14"/>
  <c r="F202" i="14"/>
  <c r="F21" i="14"/>
  <c r="F246" i="14" s="1"/>
  <c r="F22" i="14"/>
  <c r="F247" i="14" s="1"/>
  <c r="F248" i="14"/>
  <c r="G202" i="14"/>
  <c r="G246" i="14"/>
  <c r="G22" i="14"/>
  <c r="G247" i="14"/>
  <c r="G248" i="14"/>
  <c r="H201" i="14"/>
  <c r="H202" i="14"/>
  <c r="H21" i="14"/>
  <c r="H22" i="14"/>
  <c r="H247" i="14"/>
  <c r="H248" i="14"/>
  <c r="I201" i="14"/>
  <c r="I246" i="14"/>
  <c r="I235" i="14" s="1"/>
  <c r="I247" i="14"/>
  <c r="I248" i="14"/>
  <c r="J190" i="14"/>
  <c r="H9" i="20" s="1"/>
  <c r="J246" i="14"/>
  <c r="J247" i="14"/>
  <c r="J248" i="14"/>
  <c r="K201" i="14"/>
  <c r="K190" i="14" s="1"/>
  <c r="K246" i="14"/>
  <c r="K247" i="14"/>
  <c r="K248" i="14"/>
  <c r="I9" i="20"/>
  <c r="M21" i="14"/>
  <c r="M201" i="14" s="1"/>
  <c r="M190" i="14" s="1"/>
  <c r="M247" i="14"/>
  <c r="M248" i="14"/>
  <c r="N190" i="14"/>
  <c r="N21" i="14"/>
  <c r="N246" i="14"/>
  <c r="N247" i="14"/>
  <c r="N248" i="14"/>
  <c r="Q9" i="20"/>
  <c r="O190" i="14"/>
  <c r="R9" i="20" s="1"/>
  <c r="O246" i="14"/>
  <c r="O235" i="14" s="1"/>
  <c r="O247" i="14"/>
  <c r="O248" i="14"/>
  <c r="P190" i="14"/>
  <c r="P246" i="14"/>
  <c r="P247" i="14"/>
  <c r="P248" i="14"/>
  <c r="Q21" i="14"/>
  <c r="Q246" i="14" s="1"/>
  <c r="Q247" i="14"/>
  <c r="Q248" i="14"/>
  <c r="R21" i="14"/>
  <c r="R246" i="14" s="1"/>
  <c r="R247" i="14"/>
  <c r="R248" i="14"/>
  <c r="R235" i="14"/>
  <c r="U69" i="20" s="1"/>
  <c r="T21" i="14"/>
  <c r="T246" i="14" s="1"/>
  <c r="T201" i="14"/>
  <c r="T190" i="14" s="1"/>
  <c r="T247" i="14"/>
  <c r="T248" i="14"/>
  <c r="T235" i="14"/>
  <c r="W69" i="20" s="1"/>
  <c r="U21" i="14"/>
  <c r="U246" i="14" s="1"/>
  <c r="U201" i="14"/>
  <c r="U190" i="14" s="1"/>
  <c r="U247" i="14"/>
  <c r="U248" i="14"/>
  <c r="V201" i="14"/>
  <c r="V190" i="14" s="1"/>
  <c r="V246" i="14"/>
  <c r="V247" i="14"/>
  <c r="V248" i="14"/>
  <c r="L29" i="14"/>
  <c r="L252" i="14"/>
  <c r="L253" i="14"/>
  <c r="F201" i="16"/>
  <c r="F202" i="16"/>
  <c r="F21" i="16"/>
  <c r="F246" i="16" s="1"/>
  <c r="F22" i="16"/>
  <c r="F247" i="16"/>
  <c r="F248" i="16"/>
  <c r="G190" i="16"/>
  <c r="E10" i="20" s="1"/>
  <c r="G246" i="16"/>
  <c r="G248" i="16"/>
  <c r="H202" i="16"/>
  <c r="H21" i="16"/>
  <c r="H22" i="16"/>
  <c r="H248" i="16"/>
  <c r="I201" i="16"/>
  <c r="I246" i="16"/>
  <c r="I247" i="16"/>
  <c r="I248" i="16"/>
  <c r="J201" i="16"/>
  <c r="J246" i="16"/>
  <c r="J247" i="16"/>
  <c r="J248" i="16"/>
  <c r="K201" i="16"/>
  <c r="K190" i="16" s="1"/>
  <c r="I10" i="20" s="1"/>
  <c r="K246" i="16"/>
  <c r="K247" i="16"/>
  <c r="K248" i="16"/>
  <c r="M21" i="16"/>
  <c r="M201" i="16"/>
  <c r="M190" i="16" s="1"/>
  <c r="M246" i="16"/>
  <c r="M235" i="16" s="1"/>
  <c r="M247" i="16"/>
  <c r="M248" i="16"/>
  <c r="N190" i="16"/>
  <c r="N246" i="16"/>
  <c r="N247" i="16"/>
  <c r="N248" i="16"/>
  <c r="Q10" i="20"/>
  <c r="O190" i="16"/>
  <c r="R10" i="20" s="1"/>
  <c r="O246" i="16"/>
  <c r="O247" i="16"/>
  <c r="O235" i="16" s="1"/>
  <c r="R70" i="20" s="1"/>
  <c r="O248" i="16"/>
  <c r="P190" i="16"/>
  <c r="S10" i="20" s="1"/>
  <c r="P246" i="16"/>
  <c r="P247" i="16"/>
  <c r="P248" i="16"/>
  <c r="Q21" i="16"/>
  <c r="Q247" i="16"/>
  <c r="Q248" i="16"/>
  <c r="R21" i="16"/>
  <c r="R246" i="16" s="1"/>
  <c r="R247" i="16"/>
  <c r="R248" i="16"/>
  <c r="T21" i="16"/>
  <c r="T247" i="16"/>
  <c r="T248" i="16"/>
  <c r="U21" i="16"/>
  <c r="U246" i="16" s="1"/>
  <c r="U247" i="16"/>
  <c r="U248" i="16"/>
  <c r="V201" i="16"/>
  <c r="V190" i="16" s="1"/>
  <c r="V246" i="16"/>
  <c r="V247" i="16"/>
  <c r="V248" i="16"/>
  <c r="L29" i="16"/>
  <c r="L209" i="16" s="1"/>
  <c r="L192" i="16" s="1"/>
  <c r="L252" i="16"/>
  <c r="L253" i="16"/>
  <c r="L254" i="16"/>
  <c r="F201" i="19"/>
  <c r="F202" i="19"/>
  <c r="F190" i="19"/>
  <c r="F21" i="19"/>
  <c r="F22" i="19"/>
  <c r="F247" i="19" s="1"/>
  <c r="F248" i="19"/>
  <c r="G190" i="19"/>
  <c r="G246" i="19"/>
  <c r="G247" i="19"/>
  <c r="G248" i="19"/>
  <c r="G235" i="19" s="1"/>
  <c r="E71" i="20" s="1"/>
  <c r="H21" i="19"/>
  <c r="H246" i="19"/>
  <c r="H22" i="19"/>
  <c r="H248" i="19"/>
  <c r="I201" i="19"/>
  <c r="I246" i="19"/>
  <c r="I235" i="19" s="1"/>
  <c r="G71" i="20" s="1"/>
  <c r="I247" i="19"/>
  <c r="I248" i="19"/>
  <c r="J190" i="19"/>
  <c r="J246" i="19"/>
  <c r="J247" i="19"/>
  <c r="J248" i="19"/>
  <c r="K201" i="19"/>
  <c r="K190" i="19"/>
  <c r="I11" i="20" s="1"/>
  <c r="K246" i="19"/>
  <c r="K247" i="19"/>
  <c r="K248" i="19"/>
  <c r="M201" i="19"/>
  <c r="M190" i="19" s="1"/>
  <c r="M246" i="19"/>
  <c r="M247" i="19"/>
  <c r="M248" i="19"/>
  <c r="P11" i="20"/>
  <c r="N190" i="19"/>
  <c r="N246" i="19"/>
  <c r="N247" i="19"/>
  <c r="N248" i="19"/>
  <c r="O190" i="19"/>
  <c r="O246" i="19"/>
  <c r="O247" i="19"/>
  <c r="O248" i="19"/>
  <c r="R11" i="20"/>
  <c r="P190" i="19"/>
  <c r="P186" i="19" s="1"/>
  <c r="P246" i="19"/>
  <c r="P247" i="19"/>
  <c r="P248" i="19"/>
  <c r="Q21" i="19"/>
  <c r="Q246" i="19" s="1"/>
  <c r="Q201" i="19"/>
  <c r="Q190" i="19" s="1"/>
  <c r="T11" i="20" s="1"/>
  <c r="Q247" i="19"/>
  <c r="Q248" i="19"/>
  <c r="R21" i="19"/>
  <c r="R127" i="19" s="1"/>
  <c r="R247" i="19"/>
  <c r="R248" i="19"/>
  <c r="T21" i="19"/>
  <c r="T201" i="19" s="1"/>
  <c r="T190" i="19" s="1"/>
  <c r="T246" i="19"/>
  <c r="T247" i="19"/>
  <c r="T248" i="19"/>
  <c r="W11" i="20"/>
  <c r="U66" i="19"/>
  <c r="U21" i="19"/>
  <c r="U247" i="19"/>
  <c r="U248" i="19"/>
  <c r="V201" i="19"/>
  <c r="V190" i="19" s="1"/>
  <c r="Y11" i="20" s="1"/>
  <c r="V246" i="19"/>
  <c r="V247" i="19"/>
  <c r="V248" i="19"/>
  <c r="L29" i="19"/>
  <c r="L252" i="19"/>
  <c r="L253" i="19"/>
  <c r="L29" i="5"/>
  <c r="L252" i="5"/>
  <c r="L253" i="5"/>
  <c r="M201" i="5"/>
  <c r="M190" i="5" s="1"/>
  <c r="M246" i="5"/>
  <c r="M247" i="5"/>
  <c r="M248" i="5"/>
  <c r="P6" i="20"/>
  <c r="N201" i="5"/>
  <c r="N190" i="5"/>
  <c r="N246" i="5"/>
  <c r="N247" i="5"/>
  <c r="N248" i="5"/>
  <c r="N235" i="5"/>
  <c r="Q66" i="20" s="1"/>
  <c r="O21" i="5"/>
  <c r="O246" i="5" s="1"/>
  <c r="O201" i="5"/>
  <c r="O190" i="5" s="1"/>
  <c r="O247" i="5"/>
  <c r="O248" i="5"/>
  <c r="O235" i="5"/>
  <c r="P21" i="5"/>
  <c r="P247" i="5"/>
  <c r="P248" i="5"/>
  <c r="Q21" i="5"/>
  <c r="Q246" i="5" s="1"/>
  <c r="Q247" i="5"/>
  <c r="Q248" i="5"/>
  <c r="R66" i="5"/>
  <c r="R21" i="5"/>
  <c r="R246" i="5" s="1"/>
  <c r="R201" i="5"/>
  <c r="R190" i="5" s="1"/>
  <c r="U6" i="20" s="1"/>
  <c r="R247" i="5"/>
  <c r="R248" i="5"/>
  <c r="T21" i="5"/>
  <c r="T247" i="5"/>
  <c r="T248" i="5"/>
  <c r="U66" i="5"/>
  <c r="U21" i="5" s="1"/>
  <c r="U247" i="5"/>
  <c r="U248" i="5"/>
  <c r="V201" i="5"/>
  <c r="V190" i="5" s="1"/>
  <c r="Y6" i="20" s="1"/>
  <c r="V246" i="5"/>
  <c r="V247" i="5"/>
  <c r="V248" i="5"/>
  <c r="G190" i="5"/>
  <c r="E6" i="20" s="1"/>
  <c r="G246" i="5"/>
  <c r="G247" i="5"/>
  <c r="G248" i="5"/>
  <c r="H201" i="5"/>
  <c r="H202" i="5"/>
  <c r="H21" i="5"/>
  <c r="H246" i="5" s="1"/>
  <c r="H22" i="5"/>
  <c r="H247" i="5" s="1"/>
  <c r="H248" i="5"/>
  <c r="I201" i="5"/>
  <c r="I190" i="5" s="1"/>
  <c r="G6" i="20" s="1"/>
  <c r="I246" i="5"/>
  <c r="I235" i="5" s="1"/>
  <c r="I247" i="5"/>
  <c r="I248" i="5"/>
  <c r="J201" i="5"/>
  <c r="J190" i="5"/>
  <c r="J21" i="5"/>
  <c r="J246" i="5"/>
  <c r="J247" i="5"/>
  <c r="J248" i="5"/>
  <c r="H6" i="20"/>
  <c r="K201" i="5"/>
  <c r="K190" i="5"/>
  <c r="I6" i="20" s="1"/>
  <c r="K246" i="5"/>
  <c r="K247" i="5"/>
  <c r="K248" i="5"/>
  <c r="X21" i="5"/>
  <c r="X247" i="5"/>
  <c r="X248" i="5"/>
  <c r="X21" i="10"/>
  <c r="X246" i="10" s="1"/>
  <c r="X235" i="10" s="1"/>
  <c r="X247" i="10"/>
  <c r="X248" i="10"/>
  <c r="X21" i="11"/>
  <c r="X201" i="11"/>
  <c r="X190" i="11"/>
  <c r="AA8" i="20" s="1"/>
  <c r="X246" i="11"/>
  <c r="X247" i="11"/>
  <c r="X248" i="11"/>
  <c r="X21" i="14"/>
  <c r="X246" i="14" s="1"/>
  <c r="X201" i="14"/>
  <c r="X247" i="14"/>
  <c r="X248" i="14"/>
  <c r="X21" i="16"/>
  <c r="X246" i="16" s="1"/>
  <c r="X235" i="16" s="1"/>
  <c r="X247" i="16"/>
  <c r="X248" i="16"/>
  <c r="X21" i="19"/>
  <c r="X201" i="19" s="1"/>
  <c r="X247" i="19"/>
  <c r="X248" i="19"/>
  <c r="W66" i="5"/>
  <c r="W21" i="5"/>
  <c r="W246" i="5" s="1"/>
  <c r="W247" i="5"/>
  <c r="W248" i="5"/>
  <c r="W66" i="10"/>
  <c r="W21" i="10"/>
  <c r="W246" i="10" s="1"/>
  <c r="W247" i="10"/>
  <c r="W248" i="10"/>
  <c r="W21" i="11"/>
  <c r="W247" i="11"/>
  <c r="W248" i="11"/>
  <c r="W21" i="14"/>
  <c r="W246" i="14" s="1"/>
  <c r="W201" i="14"/>
  <c r="W190" i="14" s="1"/>
  <c r="Z9" i="20" s="1"/>
  <c r="W247" i="14"/>
  <c r="W248" i="14"/>
  <c r="W21" i="16"/>
  <c r="W246" i="16" s="1"/>
  <c r="W201" i="16"/>
  <c r="W190" i="16" s="1"/>
  <c r="W247" i="16"/>
  <c r="W248" i="16"/>
  <c r="Z10" i="20"/>
  <c r="W21" i="19"/>
  <c r="W246" i="19" s="1"/>
  <c r="W235" i="19" s="1"/>
  <c r="W201" i="19"/>
  <c r="W190" i="19" s="1"/>
  <c r="AY190" i="19" s="1"/>
  <c r="Z43" i="20" s="1"/>
  <c r="W247" i="19"/>
  <c r="W248" i="19"/>
  <c r="M10" i="19"/>
  <c r="M10" i="16"/>
  <c r="M10" i="14"/>
  <c r="M10" i="11"/>
  <c r="M145" i="11"/>
  <c r="P25" i="20" s="1"/>
  <c r="M10" i="10"/>
  <c r="M145" i="10"/>
  <c r="P24" i="20"/>
  <c r="M10" i="5"/>
  <c r="M145" i="5" s="1"/>
  <c r="P23" i="20" s="1"/>
  <c r="R66" i="20"/>
  <c r="S190" i="5"/>
  <c r="S246" i="5"/>
  <c r="S247" i="5"/>
  <c r="S248" i="5"/>
  <c r="L190" i="5"/>
  <c r="L246" i="5"/>
  <c r="L247" i="5"/>
  <c r="L248" i="5"/>
  <c r="H67" i="20"/>
  <c r="S190" i="10"/>
  <c r="S246" i="10"/>
  <c r="S247" i="10"/>
  <c r="S248" i="10"/>
  <c r="L190" i="10"/>
  <c r="L246" i="10"/>
  <c r="L247" i="10"/>
  <c r="L248" i="10"/>
  <c r="Q68" i="20"/>
  <c r="S190" i="11"/>
  <c r="S246" i="11"/>
  <c r="S247" i="11"/>
  <c r="S248" i="11"/>
  <c r="L190" i="11"/>
  <c r="L246" i="11"/>
  <c r="L247" i="11"/>
  <c r="L248" i="11"/>
  <c r="L235" i="11"/>
  <c r="S190" i="14"/>
  <c r="S246" i="14"/>
  <c r="S247" i="14"/>
  <c r="S248" i="14"/>
  <c r="S235" i="14"/>
  <c r="L190" i="14"/>
  <c r="L246" i="14"/>
  <c r="L247" i="14"/>
  <c r="L248" i="14"/>
  <c r="S190" i="16"/>
  <c r="S246" i="16"/>
  <c r="S235" i="16" s="1"/>
  <c r="S247" i="16"/>
  <c r="S248" i="16"/>
  <c r="L190" i="16"/>
  <c r="L246" i="16"/>
  <c r="L247" i="16"/>
  <c r="L248" i="16"/>
  <c r="Z71" i="20"/>
  <c r="S190" i="19"/>
  <c r="S246" i="19"/>
  <c r="S247" i="19"/>
  <c r="S248" i="19"/>
  <c r="L190" i="19"/>
  <c r="L246" i="19"/>
  <c r="L247" i="19"/>
  <c r="L248" i="19"/>
  <c r="I66" i="19"/>
  <c r="I66" i="14"/>
  <c r="I66" i="16"/>
  <c r="W55" i="19"/>
  <c r="W56" i="19"/>
  <c r="W57" i="19"/>
  <c r="W58" i="19"/>
  <c r="F66" i="19"/>
  <c r="F67" i="19"/>
  <c r="F24" i="19"/>
  <c r="F69" i="19" s="1"/>
  <c r="F56" i="19" s="1"/>
  <c r="F57" i="19"/>
  <c r="F58" i="19"/>
  <c r="G67" i="19"/>
  <c r="G56" i="19"/>
  <c r="G57" i="19"/>
  <c r="G58" i="19"/>
  <c r="H56" i="19"/>
  <c r="H57" i="19"/>
  <c r="H58" i="19"/>
  <c r="I55" i="19"/>
  <c r="I56" i="19"/>
  <c r="I57" i="19"/>
  <c r="I58" i="19"/>
  <c r="J55" i="19"/>
  <c r="J24" i="19"/>
  <c r="J69" i="19" s="1"/>
  <c r="J57" i="19"/>
  <c r="J58" i="19"/>
  <c r="K55" i="19"/>
  <c r="K70" i="19"/>
  <c r="K57" i="19"/>
  <c r="K58" i="19"/>
  <c r="L55" i="19"/>
  <c r="L56" i="19"/>
  <c r="L57" i="19"/>
  <c r="L51" i="19" s="1"/>
  <c r="L58" i="19"/>
  <c r="T55" i="19"/>
  <c r="T51" i="19" s="1"/>
  <c r="T70" i="19"/>
  <c r="T56" i="19" s="1"/>
  <c r="T57" i="19"/>
  <c r="T58" i="19"/>
  <c r="N55" i="19"/>
  <c r="N56" i="19"/>
  <c r="N57" i="19"/>
  <c r="N58" i="19"/>
  <c r="O55" i="19"/>
  <c r="O56" i="19"/>
  <c r="O57" i="19"/>
  <c r="O58" i="19"/>
  <c r="P55" i="19"/>
  <c r="P56" i="19"/>
  <c r="P57" i="19"/>
  <c r="P58" i="19"/>
  <c r="Q55" i="19"/>
  <c r="Q56" i="19"/>
  <c r="Q57" i="19"/>
  <c r="Q58" i="19"/>
  <c r="Q51" i="19" s="1"/>
  <c r="R55" i="19"/>
  <c r="R56" i="19"/>
  <c r="R57" i="19"/>
  <c r="R58" i="19"/>
  <c r="U55" i="19"/>
  <c r="U56" i="19"/>
  <c r="U57" i="19"/>
  <c r="U58" i="19"/>
  <c r="U51" i="19"/>
  <c r="X55" i="19"/>
  <c r="X70" i="19"/>
  <c r="X56" i="19" s="1"/>
  <c r="X57" i="19"/>
  <c r="X58" i="19"/>
  <c r="N66" i="14"/>
  <c r="Z224" i="19"/>
  <c r="AR174" i="19"/>
  <c r="AR172" i="19"/>
  <c r="P134" i="19"/>
  <c r="Z84" i="16"/>
  <c r="AA84" i="16" s="1"/>
  <c r="P127" i="19"/>
  <c r="P174" i="14"/>
  <c r="J66" i="14"/>
  <c r="AE19" i="19"/>
  <c r="M18" i="19"/>
  <c r="M66" i="16"/>
  <c r="J70" i="16"/>
  <c r="AD301" i="21"/>
  <c r="AC301" i="21"/>
  <c r="AB301" i="21"/>
  <c r="AD300" i="21"/>
  <c r="AD303" i="21" s="1"/>
  <c r="AC300" i="21"/>
  <c r="AC302" i="21"/>
  <c r="AB300" i="21"/>
  <c r="AB302" i="21" s="1"/>
  <c r="AA270" i="21"/>
  <c r="Z270" i="21"/>
  <c r="Y270" i="21"/>
  <c r="AA269" i="21"/>
  <c r="Z269" i="21"/>
  <c r="Y269" i="21"/>
  <c r="AA268" i="21"/>
  <c r="Z268" i="21"/>
  <c r="Y268" i="21"/>
  <c r="AA267" i="21"/>
  <c r="Z267" i="21"/>
  <c r="Y267" i="21"/>
  <c r="AA266" i="21"/>
  <c r="Z266" i="21"/>
  <c r="Y266" i="21"/>
  <c r="AA265" i="21"/>
  <c r="Z265" i="21"/>
  <c r="Y265" i="21"/>
  <c r="AA264" i="21"/>
  <c r="Z264" i="21"/>
  <c r="Y264" i="21"/>
  <c r="AA263" i="21"/>
  <c r="Z263" i="21"/>
  <c r="Y263" i="21"/>
  <c r="AA262" i="21"/>
  <c r="Z262" i="21"/>
  <c r="Y262" i="21"/>
  <c r="AA261" i="21"/>
  <c r="Z261" i="21"/>
  <c r="Y261" i="21"/>
  <c r="AA260" i="21"/>
  <c r="Z260" i="21"/>
  <c r="Y260" i="21"/>
  <c r="X260" i="21"/>
  <c r="W260" i="21"/>
  <c r="V260" i="21"/>
  <c r="U260" i="21"/>
  <c r="T260" i="21"/>
  <c r="S260" i="21"/>
  <c r="R260" i="21"/>
  <c r="Q260" i="21"/>
  <c r="P260" i="21"/>
  <c r="O260" i="21"/>
  <c r="N260" i="21"/>
  <c r="M260" i="21"/>
  <c r="L260" i="21"/>
  <c r="K260" i="21"/>
  <c r="J260" i="21"/>
  <c r="I260" i="21"/>
  <c r="H260" i="21"/>
  <c r="G260" i="21"/>
  <c r="F260" i="21"/>
  <c r="AA259" i="21"/>
  <c r="Z259" i="21"/>
  <c r="Y259" i="21"/>
  <c r="X259" i="21"/>
  <c r="W259" i="21"/>
  <c r="V259" i="21"/>
  <c r="U259" i="21"/>
  <c r="T259" i="21"/>
  <c r="S259" i="21"/>
  <c r="R259" i="21"/>
  <c r="Q259" i="21"/>
  <c r="P259" i="21"/>
  <c r="O259" i="21"/>
  <c r="N259" i="21"/>
  <c r="M259" i="21"/>
  <c r="L259" i="21"/>
  <c r="K259" i="21"/>
  <c r="J259" i="21"/>
  <c r="I259" i="21"/>
  <c r="H259" i="21"/>
  <c r="G259" i="21"/>
  <c r="F259" i="21"/>
  <c r="AA258" i="21"/>
  <c r="Z258" i="21"/>
  <c r="Y258" i="21"/>
  <c r="X258" i="21"/>
  <c r="W258" i="21"/>
  <c r="V258" i="21"/>
  <c r="U258" i="21"/>
  <c r="T258" i="21"/>
  <c r="S258" i="21"/>
  <c r="R258" i="21"/>
  <c r="Q258" i="21"/>
  <c r="P258" i="21"/>
  <c r="O258" i="21"/>
  <c r="N258" i="21"/>
  <c r="M258" i="21"/>
  <c r="L258" i="21"/>
  <c r="K258" i="21"/>
  <c r="J258" i="21"/>
  <c r="I258" i="21"/>
  <c r="H258" i="21"/>
  <c r="G258" i="21"/>
  <c r="F258" i="21"/>
  <c r="AA257" i="21"/>
  <c r="Z257" i="21"/>
  <c r="Y257" i="21"/>
  <c r="X257" i="21"/>
  <c r="W257" i="21"/>
  <c r="V257" i="21"/>
  <c r="U257" i="21"/>
  <c r="T257" i="21"/>
  <c r="S257" i="21"/>
  <c r="R257" i="21"/>
  <c r="Q257" i="21"/>
  <c r="P257" i="21"/>
  <c r="O257" i="21"/>
  <c r="N257" i="21"/>
  <c r="M257" i="21"/>
  <c r="L257" i="21"/>
  <c r="K257" i="21"/>
  <c r="J257" i="21"/>
  <c r="I257" i="21"/>
  <c r="H257" i="21"/>
  <c r="G257" i="21"/>
  <c r="F257" i="21"/>
  <c r="AA256" i="21"/>
  <c r="Z256" i="21"/>
  <c r="Y256" i="21"/>
  <c r="X256" i="21"/>
  <c r="W256" i="21"/>
  <c r="V256" i="21"/>
  <c r="U256" i="21"/>
  <c r="T256" i="21"/>
  <c r="S256" i="21"/>
  <c r="R256" i="21"/>
  <c r="Q256" i="21"/>
  <c r="P256" i="21"/>
  <c r="O256" i="21"/>
  <c r="N256" i="21"/>
  <c r="M256" i="21"/>
  <c r="L256" i="21"/>
  <c r="K256" i="21"/>
  <c r="J256" i="21"/>
  <c r="I256" i="21"/>
  <c r="H256" i="21"/>
  <c r="G256" i="21"/>
  <c r="F256" i="21"/>
  <c r="AA255" i="21"/>
  <c r="Z255" i="21"/>
  <c r="Y255" i="21"/>
  <c r="W255" i="21"/>
  <c r="W238" i="21" s="1"/>
  <c r="V255" i="21"/>
  <c r="U255" i="21"/>
  <c r="T255" i="21"/>
  <c r="S255" i="21"/>
  <c r="S238" i="21" s="1"/>
  <c r="R255" i="21"/>
  <c r="R238" i="21" s="1"/>
  <c r="Q255" i="21"/>
  <c r="P255" i="21"/>
  <c r="P238" i="21" s="1"/>
  <c r="O255" i="21"/>
  <c r="O238" i="21" s="1"/>
  <c r="N255" i="21"/>
  <c r="M255" i="21"/>
  <c r="L255" i="21"/>
  <c r="K255" i="21"/>
  <c r="K238" i="21" s="1"/>
  <c r="J255" i="21"/>
  <c r="J238" i="21" s="1"/>
  <c r="I255" i="21"/>
  <c r="H255" i="21"/>
  <c r="H238" i="21" s="1"/>
  <c r="G255" i="21"/>
  <c r="G238" i="21" s="1"/>
  <c r="F255" i="21"/>
  <c r="AA254" i="21"/>
  <c r="Z254" i="21"/>
  <c r="Y254" i="21"/>
  <c r="X254" i="21"/>
  <c r="W254" i="21"/>
  <c r="V254" i="21"/>
  <c r="U254" i="21"/>
  <c r="T254" i="21"/>
  <c r="S254" i="21"/>
  <c r="R254" i="21"/>
  <c r="Q254" i="21"/>
  <c r="P254" i="21"/>
  <c r="P237" i="21" s="1"/>
  <c r="O254" i="21"/>
  <c r="N254" i="21"/>
  <c r="M254" i="21"/>
  <c r="K254" i="21"/>
  <c r="J254" i="21"/>
  <c r="I254" i="21"/>
  <c r="H254" i="21"/>
  <c r="G254" i="21"/>
  <c r="G237" i="21" s="1"/>
  <c r="F254" i="21"/>
  <c r="AA253" i="21"/>
  <c r="Z253" i="21"/>
  <c r="Y253" i="21"/>
  <c r="S253" i="21"/>
  <c r="P253" i="21"/>
  <c r="O253" i="21"/>
  <c r="N253" i="21"/>
  <c r="N237" i="21" s="1"/>
  <c r="N252" i="21"/>
  <c r="M253" i="21"/>
  <c r="L253" i="21"/>
  <c r="K253" i="21"/>
  <c r="J253" i="21"/>
  <c r="I253" i="21"/>
  <c r="H253" i="21"/>
  <c r="G253" i="21"/>
  <c r="F253" i="21"/>
  <c r="AA252" i="21"/>
  <c r="Z252" i="21"/>
  <c r="Y252" i="21"/>
  <c r="X252" i="21"/>
  <c r="W252" i="21"/>
  <c r="V252" i="21"/>
  <c r="U252" i="21"/>
  <c r="T252" i="21"/>
  <c r="S252" i="21"/>
  <c r="S237" i="21" s="1"/>
  <c r="R252" i="21"/>
  <c r="Q252" i="21"/>
  <c r="P252" i="21"/>
  <c r="O252" i="21"/>
  <c r="L252" i="21"/>
  <c r="K252" i="21"/>
  <c r="K237" i="21" s="1"/>
  <c r="I252" i="21"/>
  <c r="H252" i="21"/>
  <c r="G252" i="21"/>
  <c r="F252" i="21"/>
  <c r="AA251" i="21"/>
  <c r="Z251" i="21"/>
  <c r="Y251" i="21"/>
  <c r="X251" i="21"/>
  <c r="X236" i="21" s="1"/>
  <c r="AZ191" i="21" s="1"/>
  <c r="W251" i="21"/>
  <c r="V251" i="21"/>
  <c r="U251" i="21"/>
  <c r="T251" i="21"/>
  <c r="S251" i="21"/>
  <c r="R251" i="21"/>
  <c r="Q251" i="21"/>
  <c r="P251" i="21"/>
  <c r="P236" i="21" s="1"/>
  <c r="O251" i="21"/>
  <c r="N251" i="21"/>
  <c r="M251" i="21"/>
  <c r="L251" i="21"/>
  <c r="K251" i="21"/>
  <c r="J251" i="21"/>
  <c r="I251" i="21"/>
  <c r="H251" i="21"/>
  <c r="G251" i="21"/>
  <c r="F251" i="21"/>
  <c r="AC250" i="21"/>
  <c r="AA250" i="21"/>
  <c r="Z250" i="21"/>
  <c r="Y250" i="21"/>
  <c r="X250" i="21"/>
  <c r="W250" i="21"/>
  <c r="V250" i="21"/>
  <c r="U250" i="21"/>
  <c r="T250" i="21"/>
  <c r="S250" i="21"/>
  <c r="R250" i="21"/>
  <c r="Q250" i="21"/>
  <c r="P250" i="21"/>
  <c r="O250" i="21"/>
  <c r="O236" i="21" s="1"/>
  <c r="N250" i="21"/>
  <c r="M250" i="21"/>
  <c r="L250" i="21"/>
  <c r="I250" i="21"/>
  <c r="I236" i="21" s="1"/>
  <c r="H250" i="21"/>
  <c r="G250" i="21"/>
  <c r="F250" i="21"/>
  <c r="AA249" i="21"/>
  <c r="Z249" i="21"/>
  <c r="Y249" i="21"/>
  <c r="X249" i="21"/>
  <c r="W249" i="21"/>
  <c r="V249" i="21"/>
  <c r="U249" i="21"/>
  <c r="T249" i="21"/>
  <c r="S249" i="21"/>
  <c r="R249" i="21"/>
  <c r="Q249" i="21"/>
  <c r="P249" i="21"/>
  <c r="O249" i="21"/>
  <c r="M249" i="21"/>
  <c r="M236" i="21" s="1"/>
  <c r="L249" i="21"/>
  <c r="L236" i="21" s="1"/>
  <c r="I249" i="21"/>
  <c r="H249" i="21"/>
  <c r="G249" i="21"/>
  <c r="AA248" i="21"/>
  <c r="Z248" i="21"/>
  <c r="Y248" i="21"/>
  <c r="X248" i="21"/>
  <c r="W248" i="21"/>
  <c r="V248" i="21"/>
  <c r="U248" i="21"/>
  <c r="T248" i="21"/>
  <c r="S248" i="21"/>
  <c r="R248" i="21"/>
  <c r="Q248" i="21"/>
  <c r="P248" i="21"/>
  <c r="O248" i="21"/>
  <c r="N248" i="21"/>
  <c r="M248" i="21"/>
  <c r="L248" i="21"/>
  <c r="K248" i="21"/>
  <c r="J248" i="21"/>
  <c r="I248" i="21"/>
  <c r="H248" i="21"/>
  <c r="G248" i="21"/>
  <c r="F248" i="21"/>
  <c r="AA247" i="21"/>
  <c r="Z247" i="21"/>
  <c r="Y247" i="21"/>
  <c r="X247" i="21"/>
  <c r="W247" i="21"/>
  <c r="V247" i="21"/>
  <c r="U247" i="21"/>
  <c r="T247" i="21"/>
  <c r="S247" i="21"/>
  <c r="R247" i="21"/>
  <c r="Q247" i="21"/>
  <c r="P247" i="21"/>
  <c r="O247" i="21"/>
  <c r="N247" i="21"/>
  <c r="M247" i="21"/>
  <c r="L247" i="21"/>
  <c r="K247" i="21"/>
  <c r="J247" i="21"/>
  <c r="I247" i="21"/>
  <c r="AA246" i="21"/>
  <c r="Z246" i="21"/>
  <c r="Y246" i="21"/>
  <c r="V246" i="21"/>
  <c r="S246" i="21"/>
  <c r="S235" i="21" s="1"/>
  <c r="P246" i="21"/>
  <c r="O246" i="21"/>
  <c r="N246" i="21"/>
  <c r="L246" i="21"/>
  <c r="K246" i="21"/>
  <c r="J246" i="21"/>
  <c r="I246" i="21"/>
  <c r="G246" i="21"/>
  <c r="AA245" i="21"/>
  <c r="Z245" i="21"/>
  <c r="Y245" i="21"/>
  <c r="X245" i="21"/>
  <c r="X234" i="21" s="1"/>
  <c r="W245" i="21"/>
  <c r="W234" i="21" s="1"/>
  <c r="V245" i="21"/>
  <c r="U245" i="21"/>
  <c r="T245" i="21"/>
  <c r="S245" i="21"/>
  <c r="S234" i="21" s="1"/>
  <c r="R245" i="21"/>
  <c r="Q245" i="21"/>
  <c r="Q234" i="21" s="1"/>
  <c r="P245" i="21"/>
  <c r="P234" i="21" s="1"/>
  <c r="O245" i="21"/>
  <c r="O234" i="21" s="1"/>
  <c r="N245" i="21"/>
  <c r="M245" i="21"/>
  <c r="M234" i="21" s="1"/>
  <c r="L245" i="21"/>
  <c r="L234" i="21" s="1"/>
  <c r="K245" i="21"/>
  <c r="K234" i="21"/>
  <c r="J245" i="21"/>
  <c r="J234" i="21" s="1"/>
  <c r="I245" i="21"/>
  <c r="H245" i="21"/>
  <c r="G245" i="21"/>
  <c r="G234" i="21"/>
  <c r="F245" i="21"/>
  <c r="F234" i="21" s="1"/>
  <c r="AA244" i="21"/>
  <c r="Z244" i="21"/>
  <c r="Y244" i="21"/>
  <c r="X244" i="21"/>
  <c r="W244" i="21"/>
  <c r="V244" i="21"/>
  <c r="U244" i="21"/>
  <c r="T244" i="21"/>
  <c r="S244" i="21"/>
  <c r="R244" i="21"/>
  <c r="Q244" i="21"/>
  <c r="P244" i="21"/>
  <c r="O244" i="21"/>
  <c r="N244" i="21"/>
  <c r="M244" i="21"/>
  <c r="L244" i="21"/>
  <c r="L233" i="21" s="1"/>
  <c r="K244" i="21"/>
  <c r="J244" i="21"/>
  <c r="J233" i="21" s="1"/>
  <c r="J230" i="21" s="1"/>
  <c r="I244" i="21"/>
  <c r="H244" i="21"/>
  <c r="G244" i="21"/>
  <c r="F244" i="21"/>
  <c r="AA243" i="21"/>
  <c r="Z243" i="21"/>
  <c r="Y243" i="21"/>
  <c r="X243" i="21"/>
  <c r="W243" i="21"/>
  <c r="V243" i="21"/>
  <c r="U243" i="21"/>
  <c r="T243" i="21"/>
  <c r="S243" i="21"/>
  <c r="R243" i="21"/>
  <c r="R233" i="21" s="1"/>
  <c r="Q243" i="21"/>
  <c r="P243" i="21"/>
  <c r="O243" i="21"/>
  <c r="N243" i="21"/>
  <c r="M243" i="21"/>
  <c r="L243" i="21"/>
  <c r="K243" i="21"/>
  <c r="K242" i="21"/>
  <c r="J243" i="21"/>
  <c r="I243" i="21"/>
  <c r="H243" i="21"/>
  <c r="G243" i="21"/>
  <c r="F243" i="21"/>
  <c r="AA242" i="21"/>
  <c r="Z242" i="21"/>
  <c r="Y242" i="21"/>
  <c r="X242" i="21"/>
  <c r="W242" i="21"/>
  <c r="V242" i="21"/>
  <c r="U242" i="21"/>
  <c r="T242" i="21"/>
  <c r="S242" i="21"/>
  <c r="R242" i="21"/>
  <c r="Q242" i="21"/>
  <c r="P242" i="21"/>
  <c r="O242" i="21"/>
  <c r="N242" i="21"/>
  <c r="M242" i="21"/>
  <c r="L242" i="21"/>
  <c r="J242" i="21"/>
  <c r="I242" i="21"/>
  <c r="H242" i="21"/>
  <c r="H233" i="21" s="1"/>
  <c r="G242" i="21"/>
  <c r="F242" i="21"/>
  <c r="F233" i="21" s="1"/>
  <c r="AA241" i="21"/>
  <c r="Z241" i="21"/>
  <c r="Y241" i="21"/>
  <c r="X241" i="21"/>
  <c r="W241" i="21"/>
  <c r="V241" i="21"/>
  <c r="U241" i="21"/>
  <c r="T241" i="21"/>
  <c r="S241" i="21"/>
  <c r="R241" i="21"/>
  <c r="Q241" i="21"/>
  <c r="P241" i="21"/>
  <c r="O241" i="21"/>
  <c r="N241" i="21"/>
  <c r="M241" i="21"/>
  <c r="L241" i="21"/>
  <c r="K241" i="21"/>
  <c r="J241" i="21"/>
  <c r="I241" i="21"/>
  <c r="H241" i="21"/>
  <c r="G241" i="21"/>
  <c r="F241" i="21"/>
  <c r="AA240" i="21"/>
  <c r="Z240" i="21"/>
  <c r="Y240" i="21"/>
  <c r="X240" i="21"/>
  <c r="W240" i="21"/>
  <c r="V240" i="21"/>
  <c r="U240" i="21"/>
  <c r="T240" i="21"/>
  <c r="T232" i="21" s="1"/>
  <c r="S240" i="21"/>
  <c r="R240" i="21"/>
  <c r="R232" i="21" s="1"/>
  <c r="Q240" i="21"/>
  <c r="P240" i="21"/>
  <c r="O240" i="21"/>
  <c r="N240" i="21"/>
  <c r="M240" i="21"/>
  <c r="M239" i="21"/>
  <c r="M232" i="21" s="1"/>
  <c r="L240" i="21"/>
  <c r="K240" i="21"/>
  <c r="J240" i="21"/>
  <c r="I240" i="21"/>
  <c r="I239" i="21"/>
  <c r="I232" i="21" s="1"/>
  <c r="H240" i="21"/>
  <c r="G240" i="21"/>
  <c r="F240" i="21"/>
  <c r="AA239" i="21"/>
  <c r="Z239" i="21"/>
  <c r="Y239" i="21"/>
  <c r="X239" i="21"/>
  <c r="X232" i="21" s="1"/>
  <c r="W239" i="21"/>
  <c r="V239" i="21"/>
  <c r="U239" i="21"/>
  <c r="T239" i="21"/>
  <c r="S239" i="21"/>
  <c r="S232" i="21" s="1"/>
  <c r="S230" i="21" s="1"/>
  <c r="R239" i="21"/>
  <c r="Q239" i="21"/>
  <c r="Q232" i="21" s="1"/>
  <c r="P239" i="21"/>
  <c r="P232" i="21" s="1"/>
  <c r="O239" i="21"/>
  <c r="N239" i="21"/>
  <c r="N233" i="21"/>
  <c r="N234" i="21"/>
  <c r="L239" i="21"/>
  <c r="K239" i="21"/>
  <c r="K232" i="21" s="1"/>
  <c r="J239" i="21"/>
  <c r="H239" i="21"/>
  <c r="G239" i="21"/>
  <c r="G232" i="21"/>
  <c r="F239" i="21"/>
  <c r="V238" i="21"/>
  <c r="U238" i="21"/>
  <c r="T238" i="21"/>
  <c r="Q238" i="21"/>
  <c r="N238" i="21"/>
  <c r="M238" i="21"/>
  <c r="L238" i="21"/>
  <c r="I238" i="21"/>
  <c r="F238" i="21"/>
  <c r="I237" i="21"/>
  <c r="U236" i="21"/>
  <c r="T236" i="21"/>
  <c r="V235" i="21"/>
  <c r="L235" i="21"/>
  <c r="V234" i="21"/>
  <c r="U234" i="21"/>
  <c r="T234" i="21"/>
  <c r="R234" i="21"/>
  <c r="P233" i="21"/>
  <c r="P230" i="21" s="1"/>
  <c r="I234" i="21"/>
  <c r="H234" i="21"/>
  <c r="X233" i="21"/>
  <c r="V233" i="21"/>
  <c r="S233" i="21"/>
  <c r="G233" i="21"/>
  <c r="U232" i="21"/>
  <c r="J232" i="21"/>
  <c r="AZ225" i="21"/>
  <c r="AY225" i="21"/>
  <c r="AX225" i="21"/>
  <c r="AW225" i="21"/>
  <c r="AV225" i="21"/>
  <c r="AU225" i="21"/>
  <c r="AT225" i="21"/>
  <c r="AS225" i="21"/>
  <c r="AR225" i="21"/>
  <c r="AQ225" i="21"/>
  <c r="AP225" i="21"/>
  <c r="AO225" i="21"/>
  <c r="AN225" i="21"/>
  <c r="AM225" i="21"/>
  <c r="AL225" i="21"/>
  <c r="AK225" i="21"/>
  <c r="AJ225" i="21"/>
  <c r="AI225" i="21"/>
  <c r="AH225" i="21"/>
  <c r="Z225" i="21"/>
  <c r="BB225" i="21" s="1"/>
  <c r="Y225" i="21"/>
  <c r="Y180" i="21" s="1"/>
  <c r="AZ224" i="21"/>
  <c r="AY224" i="21"/>
  <c r="AX224" i="21"/>
  <c r="AW224" i="21"/>
  <c r="AV224" i="21"/>
  <c r="AU224" i="21"/>
  <c r="AT224" i="21"/>
  <c r="AS224" i="21"/>
  <c r="AQ224" i="21"/>
  <c r="AP224" i="21"/>
  <c r="AO224" i="21"/>
  <c r="AN224" i="21"/>
  <c r="AM224" i="21"/>
  <c r="AL224" i="21"/>
  <c r="AK224" i="21"/>
  <c r="AJ224" i="21"/>
  <c r="AI224" i="21"/>
  <c r="AH224" i="21"/>
  <c r="Y224" i="21"/>
  <c r="BA179" i="21" s="1"/>
  <c r="Z224" i="21"/>
  <c r="AZ223" i="21"/>
  <c r="AY223" i="21"/>
  <c r="AX223" i="21"/>
  <c r="AW223" i="21"/>
  <c r="AV223" i="21"/>
  <c r="AU223" i="21"/>
  <c r="AT223" i="21"/>
  <c r="AS223" i="21"/>
  <c r="AR223" i="21"/>
  <c r="AQ223" i="21"/>
  <c r="AP223" i="21"/>
  <c r="AO223" i="21"/>
  <c r="AN223" i="21"/>
  <c r="AM223" i="21"/>
  <c r="AL223" i="21"/>
  <c r="AK223" i="21"/>
  <c r="AJ223" i="21"/>
  <c r="AI223" i="21"/>
  <c r="AH223" i="21"/>
  <c r="Z223" i="21"/>
  <c r="BB223" i="21" s="1"/>
  <c r="Y223" i="21"/>
  <c r="AA223" i="21" s="1"/>
  <c r="AZ222" i="21"/>
  <c r="AY222" i="21"/>
  <c r="AX222" i="21"/>
  <c r="AW222" i="21"/>
  <c r="AV222" i="21"/>
  <c r="AU222" i="21"/>
  <c r="AT222" i="21"/>
  <c r="AS222" i="21"/>
  <c r="AR222" i="21"/>
  <c r="AQ222" i="21"/>
  <c r="AP222" i="21"/>
  <c r="AO222" i="21"/>
  <c r="AN222" i="21"/>
  <c r="AM222" i="21"/>
  <c r="AL222" i="21"/>
  <c r="AK222" i="21"/>
  <c r="Z222" i="21"/>
  <c r="BB222" i="21" s="1"/>
  <c r="AZ221" i="21"/>
  <c r="AY221" i="21"/>
  <c r="AX221" i="21"/>
  <c r="AW221" i="21"/>
  <c r="AV221" i="21"/>
  <c r="AU221" i="21"/>
  <c r="AT221" i="21"/>
  <c r="AS221" i="21"/>
  <c r="AR221" i="21"/>
  <c r="AQ221" i="21"/>
  <c r="AP221" i="21"/>
  <c r="AO221" i="21"/>
  <c r="AN221" i="21"/>
  <c r="AM221" i="21"/>
  <c r="AL221" i="21"/>
  <c r="AK221" i="21"/>
  <c r="AJ221" i="21"/>
  <c r="AI221" i="21"/>
  <c r="AH221" i="21"/>
  <c r="Z221" i="21"/>
  <c r="BB221" i="21" s="1"/>
  <c r="Y221" i="21"/>
  <c r="AA221" i="21" s="1"/>
  <c r="AZ220" i="21"/>
  <c r="AY220" i="21"/>
  <c r="AX220" i="21"/>
  <c r="AW220" i="21"/>
  <c r="AV220" i="21"/>
  <c r="AU220" i="21"/>
  <c r="AT220" i="21"/>
  <c r="AS220" i="21"/>
  <c r="AR220" i="21"/>
  <c r="AQ220" i="21"/>
  <c r="AP220" i="21"/>
  <c r="AO220" i="21"/>
  <c r="AN220" i="21"/>
  <c r="AM220" i="21"/>
  <c r="AL220" i="21"/>
  <c r="AK220" i="21"/>
  <c r="AJ220" i="21"/>
  <c r="AI220" i="21"/>
  <c r="AH220" i="21"/>
  <c r="Z220" i="21"/>
  <c r="BB220" i="21" s="1"/>
  <c r="Y220" i="21"/>
  <c r="BA220" i="21" s="1"/>
  <c r="AY219" i="21"/>
  <c r="AX219" i="21"/>
  <c r="AW219" i="21"/>
  <c r="AV219" i="21"/>
  <c r="AU219" i="21"/>
  <c r="AT219" i="21"/>
  <c r="AP219" i="21"/>
  <c r="AN219" i="21"/>
  <c r="AL219" i="21"/>
  <c r="AJ219" i="21"/>
  <c r="AI219" i="21"/>
  <c r="AH219" i="21"/>
  <c r="AR219" i="21"/>
  <c r="AZ218" i="21"/>
  <c r="AY218" i="21"/>
  <c r="AX218" i="21"/>
  <c r="AU218" i="21"/>
  <c r="AT218" i="21"/>
  <c r="AS218" i="21"/>
  <c r="AR218" i="21"/>
  <c r="AQ218" i="21"/>
  <c r="AP218" i="21"/>
  <c r="AN218" i="21"/>
  <c r="AL218" i="21"/>
  <c r="AK218" i="21"/>
  <c r="AJ218" i="21"/>
  <c r="AI218" i="21"/>
  <c r="AH218" i="21"/>
  <c r="AZ217" i="21"/>
  <c r="AY217" i="21"/>
  <c r="AX217" i="21"/>
  <c r="AW217" i="21"/>
  <c r="AV217" i="21"/>
  <c r="AU217" i="21"/>
  <c r="AS217" i="21"/>
  <c r="AN217" i="21"/>
  <c r="AJ217" i="21"/>
  <c r="AI217" i="21"/>
  <c r="AZ216" i="21"/>
  <c r="AX216" i="21"/>
  <c r="AW216" i="21"/>
  <c r="AV216" i="21"/>
  <c r="AU216" i="21"/>
  <c r="AT216" i="21"/>
  <c r="AS216" i="21"/>
  <c r="AR216" i="21"/>
  <c r="AQ216" i="21"/>
  <c r="AP216" i="21"/>
  <c r="AN216" i="21"/>
  <c r="AM216" i="21"/>
  <c r="AL216" i="21"/>
  <c r="AI216" i="21"/>
  <c r="AZ215" i="21"/>
  <c r="AY215" i="21"/>
  <c r="AX215" i="21"/>
  <c r="AW215" i="21"/>
  <c r="AV215" i="21"/>
  <c r="AU215" i="21"/>
  <c r="AT215" i="21"/>
  <c r="AS215" i="21"/>
  <c r="AR215" i="21"/>
  <c r="AQ215" i="21"/>
  <c r="AP215" i="21"/>
  <c r="AO215" i="21"/>
  <c r="AN215" i="21"/>
  <c r="AM215" i="21"/>
  <c r="AL215" i="21"/>
  <c r="AK215" i="21"/>
  <c r="AJ215" i="21"/>
  <c r="AI215" i="21"/>
  <c r="AH215" i="21"/>
  <c r="Z215" i="21"/>
  <c r="BB215" i="21" s="1"/>
  <c r="Y215" i="21"/>
  <c r="BA215" i="21"/>
  <c r="AZ214" i="21"/>
  <c r="AY214" i="21"/>
  <c r="AX214" i="21"/>
  <c r="AW214" i="21"/>
  <c r="AV214" i="21"/>
  <c r="AU214" i="21"/>
  <c r="AT214" i="21"/>
  <c r="AS214" i="21"/>
  <c r="AR214" i="21"/>
  <c r="AQ214" i="21"/>
  <c r="AP214" i="21"/>
  <c r="AO214" i="21"/>
  <c r="AN214" i="21"/>
  <c r="AM214" i="21"/>
  <c r="AL214" i="21"/>
  <c r="AK214" i="21"/>
  <c r="AJ214" i="21"/>
  <c r="AI214" i="21"/>
  <c r="AH214" i="21"/>
  <c r="Z214" i="21"/>
  <c r="BB214" i="21"/>
  <c r="Y214" i="21"/>
  <c r="AZ213" i="21"/>
  <c r="AY213" i="21"/>
  <c r="AX213" i="21"/>
  <c r="AW213" i="21"/>
  <c r="AV213" i="21"/>
  <c r="AU213" i="21"/>
  <c r="AT213" i="21"/>
  <c r="AS213" i="21"/>
  <c r="AR213" i="21"/>
  <c r="AQ213" i="21"/>
  <c r="AP213" i="21"/>
  <c r="AO213" i="21"/>
  <c r="AN213" i="21"/>
  <c r="AM213" i="21"/>
  <c r="AL213" i="21"/>
  <c r="AK213" i="21"/>
  <c r="AJ213" i="21"/>
  <c r="AI213" i="21"/>
  <c r="AH213" i="21"/>
  <c r="Z213" i="21"/>
  <c r="BB213" i="21"/>
  <c r="Y213" i="21"/>
  <c r="BA213" i="21"/>
  <c r="AZ212" i="21"/>
  <c r="AY212" i="21"/>
  <c r="AX212" i="21"/>
  <c r="AW212" i="21"/>
  <c r="AV212" i="21"/>
  <c r="AU212" i="21"/>
  <c r="AT212" i="21"/>
  <c r="AS212" i="21"/>
  <c r="AR212" i="21"/>
  <c r="AQ212" i="21"/>
  <c r="AP212" i="21"/>
  <c r="AO212" i="21"/>
  <c r="AN212" i="21"/>
  <c r="AM212" i="21"/>
  <c r="AL212" i="21"/>
  <c r="AK212" i="21"/>
  <c r="AJ212" i="21"/>
  <c r="AI212" i="21"/>
  <c r="AH212" i="21"/>
  <c r="Z212" i="21"/>
  <c r="Y212" i="21"/>
  <c r="BA212" i="21"/>
  <c r="AZ211" i="21"/>
  <c r="AY211" i="21"/>
  <c r="AX211" i="21"/>
  <c r="AW211" i="21"/>
  <c r="AV211" i="21"/>
  <c r="AU211" i="21"/>
  <c r="AT211" i="21"/>
  <c r="AS211" i="21"/>
  <c r="AR211" i="21"/>
  <c r="AQ211" i="21"/>
  <c r="AP211" i="21"/>
  <c r="AO211" i="21"/>
  <c r="AN211" i="21"/>
  <c r="AM211" i="21"/>
  <c r="AL211" i="21"/>
  <c r="AK211" i="21"/>
  <c r="AJ211" i="21"/>
  <c r="AI211" i="21"/>
  <c r="AH211" i="21"/>
  <c r="Z211" i="21"/>
  <c r="BB211" i="21"/>
  <c r="Y211" i="21"/>
  <c r="BA211" i="21" s="1"/>
  <c r="AY210" i="21"/>
  <c r="AX210" i="21"/>
  <c r="AW210" i="21"/>
  <c r="AV210" i="21"/>
  <c r="AU210" i="21"/>
  <c r="AT210" i="21"/>
  <c r="AS210" i="21"/>
  <c r="AR210" i="21"/>
  <c r="AQ210" i="21"/>
  <c r="AP210" i="21"/>
  <c r="AO210" i="21"/>
  <c r="AN210" i="21"/>
  <c r="AM210" i="21"/>
  <c r="AL210" i="21"/>
  <c r="AK210" i="21"/>
  <c r="AJ210" i="21"/>
  <c r="AI210" i="21"/>
  <c r="AH210" i="21"/>
  <c r="Y210" i="21"/>
  <c r="Y165" i="21" s="1"/>
  <c r="AZ209" i="21"/>
  <c r="AY209" i="21"/>
  <c r="AX209" i="21"/>
  <c r="AW209" i="21"/>
  <c r="AV209" i="21"/>
  <c r="AU209" i="21"/>
  <c r="AT209" i="21"/>
  <c r="AS209" i="21"/>
  <c r="AR209" i="21"/>
  <c r="AQ209" i="21"/>
  <c r="AP209" i="21"/>
  <c r="AO209" i="21"/>
  <c r="AM209" i="21"/>
  <c r="AL209" i="21"/>
  <c r="AK209" i="21"/>
  <c r="AJ209" i="21"/>
  <c r="AI209" i="21"/>
  <c r="AH209" i="21"/>
  <c r="Z209" i="21"/>
  <c r="BB209" i="21"/>
  <c r="Y209" i="21"/>
  <c r="BA209" i="21"/>
  <c r="AU208" i="21"/>
  <c r="AR208" i="21"/>
  <c r="AQ208" i="21"/>
  <c r="AP208" i="21"/>
  <c r="AO208" i="21"/>
  <c r="AN208" i="21"/>
  <c r="AM208" i="21"/>
  <c r="AL208" i="21"/>
  <c r="AK208" i="21"/>
  <c r="AJ208" i="21"/>
  <c r="AI208" i="21"/>
  <c r="AH208" i="21"/>
  <c r="Y208" i="21"/>
  <c r="AZ207" i="21"/>
  <c r="AY207" i="21"/>
  <c r="AX207" i="21"/>
  <c r="AW207" i="21"/>
  <c r="AV207" i="21"/>
  <c r="AU207" i="21"/>
  <c r="AT207" i="21"/>
  <c r="AS207" i="21"/>
  <c r="AR207" i="21"/>
  <c r="AQ207" i="21"/>
  <c r="AP207" i="21"/>
  <c r="AN207" i="21"/>
  <c r="AM207" i="21"/>
  <c r="AK207" i="21"/>
  <c r="AJ207" i="21"/>
  <c r="AI207" i="21"/>
  <c r="AH207" i="21"/>
  <c r="AZ206" i="21"/>
  <c r="AY206" i="21"/>
  <c r="AX206" i="21"/>
  <c r="AW206" i="21"/>
  <c r="AV206" i="21"/>
  <c r="AU206" i="21"/>
  <c r="AT206" i="21"/>
  <c r="AS206" i="21"/>
  <c r="AR206" i="21"/>
  <c r="AQ206" i="21"/>
  <c r="AP206" i="21"/>
  <c r="AO206" i="21"/>
  <c r="AN206" i="21"/>
  <c r="AM206" i="21"/>
  <c r="AL206" i="21"/>
  <c r="AK206" i="21"/>
  <c r="AJ206" i="21"/>
  <c r="AI206" i="21"/>
  <c r="AH206" i="21"/>
  <c r="Z206" i="21"/>
  <c r="BB206" i="21" s="1"/>
  <c r="Y206" i="21"/>
  <c r="BA206" i="21" s="1"/>
  <c r="AY205" i="21"/>
  <c r="AW205" i="21"/>
  <c r="AT205" i="21"/>
  <c r="AS205" i="21"/>
  <c r="AR205" i="21"/>
  <c r="AQ205" i="21"/>
  <c r="AP205" i="21"/>
  <c r="AO205" i="21"/>
  <c r="AN205" i="21"/>
  <c r="AK205" i="21"/>
  <c r="AJ205" i="21"/>
  <c r="AI205" i="21"/>
  <c r="AH205" i="21"/>
  <c r="X205" i="21"/>
  <c r="AZ205" i="21" s="1"/>
  <c r="V205" i="21"/>
  <c r="AX205" i="21" s="1"/>
  <c r="T205" i="21"/>
  <c r="AV205" i="21" s="1"/>
  <c r="S205" i="21"/>
  <c r="AZ204" i="21"/>
  <c r="AY204" i="21"/>
  <c r="AX204" i="21"/>
  <c r="AW204" i="21"/>
  <c r="AV204" i="21"/>
  <c r="AU204" i="21"/>
  <c r="AT204" i="21"/>
  <c r="AS204" i="21"/>
  <c r="AR204" i="21"/>
  <c r="AQ204" i="21"/>
  <c r="AO204" i="21"/>
  <c r="AN204" i="21"/>
  <c r="AK204" i="21"/>
  <c r="AJ204" i="21"/>
  <c r="AI204" i="21"/>
  <c r="AH204" i="21"/>
  <c r="Z204" i="21"/>
  <c r="BB204" i="21" s="1"/>
  <c r="AZ203" i="21"/>
  <c r="AY203" i="21"/>
  <c r="AX203" i="21"/>
  <c r="AW203" i="21"/>
  <c r="AV203" i="21"/>
  <c r="AU203" i="21"/>
  <c r="AT203" i="21"/>
  <c r="AS203" i="21"/>
  <c r="AR203" i="21"/>
  <c r="AQ203" i="21"/>
  <c r="AP203" i="21"/>
  <c r="AO203" i="21"/>
  <c r="AN203" i="21"/>
  <c r="AM203" i="21"/>
  <c r="AL203" i="21"/>
  <c r="AK203" i="21"/>
  <c r="AJ203" i="21"/>
  <c r="AI203" i="21"/>
  <c r="AH203" i="21"/>
  <c r="Z203" i="21"/>
  <c r="Y203" i="21"/>
  <c r="BA203" i="21" s="1"/>
  <c r="AZ202" i="21"/>
  <c r="AY202" i="21"/>
  <c r="AX202" i="21"/>
  <c r="AW202" i="21"/>
  <c r="AV202" i="21"/>
  <c r="AU202" i="21"/>
  <c r="AT202" i="21"/>
  <c r="AS202" i="21"/>
  <c r="AR202" i="21"/>
  <c r="AQ202" i="21"/>
  <c r="AP202" i="21"/>
  <c r="AO202" i="21"/>
  <c r="AN202" i="21"/>
  <c r="AM202" i="21"/>
  <c r="AL202" i="21"/>
  <c r="AK202" i="21"/>
  <c r="Z202" i="21"/>
  <c r="F202" i="21"/>
  <c r="AU201" i="21"/>
  <c r="AR201" i="21"/>
  <c r="AQ201" i="21"/>
  <c r="AP201" i="21"/>
  <c r="AN201" i="21"/>
  <c r="I201" i="21"/>
  <c r="AK201" i="21"/>
  <c r="AI201" i="21"/>
  <c r="V201" i="21"/>
  <c r="K201" i="21"/>
  <c r="Y216" i="21"/>
  <c r="BA216" i="21" s="1"/>
  <c r="F201" i="21"/>
  <c r="AZ200" i="21"/>
  <c r="AY200" i="21"/>
  <c r="AX200" i="21"/>
  <c r="AW200" i="21"/>
  <c r="AV200" i="21"/>
  <c r="AU200" i="21"/>
  <c r="AT200" i="21"/>
  <c r="AS200" i="21"/>
  <c r="AR200" i="21"/>
  <c r="AQ200" i="21"/>
  <c r="AP200" i="21"/>
  <c r="AO200" i="21"/>
  <c r="AN200" i="21"/>
  <c r="AM200" i="21"/>
  <c r="AL200" i="21"/>
  <c r="AK200" i="21"/>
  <c r="AJ200" i="21"/>
  <c r="AI200" i="21"/>
  <c r="AH200" i="21"/>
  <c r="Z200" i="21"/>
  <c r="BB200" i="21" s="1"/>
  <c r="Y200" i="21"/>
  <c r="AZ199" i="21"/>
  <c r="AY199" i="21"/>
  <c r="AX199" i="21"/>
  <c r="AW199" i="21"/>
  <c r="AV199" i="21"/>
  <c r="AU199" i="21"/>
  <c r="AT199" i="21"/>
  <c r="AS199" i="21"/>
  <c r="AR199" i="21"/>
  <c r="AQ199" i="21"/>
  <c r="AP199" i="21"/>
  <c r="AO199" i="21"/>
  <c r="AN199" i="21"/>
  <c r="AM199" i="21"/>
  <c r="AL199" i="21"/>
  <c r="AK199" i="21"/>
  <c r="AJ199" i="21"/>
  <c r="AI199" i="21"/>
  <c r="AH199" i="21"/>
  <c r="Z199" i="21"/>
  <c r="Y199" i="21"/>
  <c r="BA199" i="21" s="1"/>
  <c r="AZ198" i="21"/>
  <c r="AY198" i="21"/>
  <c r="AX198" i="21"/>
  <c r="AW198" i="21"/>
  <c r="AV198" i="21"/>
  <c r="AU198" i="21"/>
  <c r="AT198" i="21"/>
  <c r="AS198" i="21"/>
  <c r="AR198" i="21"/>
  <c r="AQ198" i="21"/>
  <c r="AP198" i="21"/>
  <c r="AO198" i="21"/>
  <c r="AN198" i="21"/>
  <c r="AM198" i="21"/>
  <c r="AL198" i="21"/>
  <c r="AK198" i="21"/>
  <c r="AJ198" i="21"/>
  <c r="AI198" i="21"/>
  <c r="AH198" i="21"/>
  <c r="Z198" i="21"/>
  <c r="BB198" i="21" s="1"/>
  <c r="Y198" i="21"/>
  <c r="BA198" i="21" s="1"/>
  <c r="AZ197" i="21"/>
  <c r="AY197" i="21"/>
  <c r="AX197" i="21"/>
  <c r="AW197" i="21"/>
  <c r="AV197" i="21"/>
  <c r="AU197" i="21"/>
  <c r="AT197" i="21"/>
  <c r="AS197" i="21"/>
  <c r="AR197" i="21"/>
  <c r="AQ197" i="21"/>
  <c r="AP197" i="21"/>
  <c r="AO197" i="21"/>
  <c r="AN197" i="21"/>
  <c r="AM197" i="21"/>
  <c r="AL197" i="21"/>
  <c r="AK197" i="21"/>
  <c r="AJ197" i="21"/>
  <c r="AI197" i="21"/>
  <c r="AH197" i="21"/>
  <c r="Z197" i="21"/>
  <c r="BB197" i="21" s="1"/>
  <c r="Y197" i="21"/>
  <c r="BA197" i="21" s="1"/>
  <c r="AZ196" i="21"/>
  <c r="AY196" i="21"/>
  <c r="AX196" i="21"/>
  <c r="AW196" i="21"/>
  <c r="AV196" i="21"/>
  <c r="AU196" i="21"/>
  <c r="AT196" i="21"/>
  <c r="AS196" i="21"/>
  <c r="AR196" i="21"/>
  <c r="AQ196" i="21"/>
  <c r="AP196" i="21"/>
  <c r="AO196" i="21"/>
  <c r="AN196" i="21"/>
  <c r="AM196" i="21"/>
  <c r="AL196" i="21"/>
  <c r="AK196" i="21"/>
  <c r="AJ196" i="21"/>
  <c r="AI196" i="21"/>
  <c r="AH196" i="21"/>
  <c r="Z196" i="21"/>
  <c r="BB196" i="21" s="1"/>
  <c r="Y196" i="21"/>
  <c r="AZ195" i="21"/>
  <c r="AY195" i="21"/>
  <c r="AX195" i="21"/>
  <c r="AW195" i="21"/>
  <c r="AV195" i="21"/>
  <c r="AU195" i="21"/>
  <c r="AT195" i="21"/>
  <c r="AS195" i="21"/>
  <c r="AR195" i="21"/>
  <c r="AQ195" i="21"/>
  <c r="AP195" i="21"/>
  <c r="AO195" i="21"/>
  <c r="AN195" i="21"/>
  <c r="AM195" i="21"/>
  <c r="AL195" i="21"/>
  <c r="AK195" i="21"/>
  <c r="AJ195" i="21"/>
  <c r="AI195" i="21"/>
  <c r="AH195" i="21"/>
  <c r="Z195" i="21"/>
  <c r="Y195" i="21"/>
  <c r="BA195" i="21"/>
  <c r="AZ194" i="21"/>
  <c r="AY194" i="21"/>
  <c r="AX194" i="21"/>
  <c r="AW194" i="21"/>
  <c r="AV194" i="21"/>
  <c r="AU194" i="21"/>
  <c r="AT194" i="21"/>
  <c r="AS194" i="21"/>
  <c r="AR194" i="21"/>
  <c r="AQ194" i="21"/>
  <c r="AP194" i="21"/>
  <c r="AO194" i="21"/>
  <c r="AN194" i="21"/>
  <c r="AM194" i="21"/>
  <c r="AL194" i="21"/>
  <c r="AK194" i="21"/>
  <c r="AJ194" i="21"/>
  <c r="AI194" i="21"/>
  <c r="AH194" i="21"/>
  <c r="Z194" i="21"/>
  <c r="BB194" i="21" s="1"/>
  <c r="Y194" i="21"/>
  <c r="BA194" i="21" s="1"/>
  <c r="W193" i="21"/>
  <c r="AY193" i="21"/>
  <c r="V193" i="21"/>
  <c r="AX193" i="21" s="1"/>
  <c r="U193" i="21"/>
  <c r="T193" i="21"/>
  <c r="AV193" i="21" s="1"/>
  <c r="S193" i="21"/>
  <c r="AU193" i="21" s="1"/>
  <c r="R193" i="21"/>
  <c r="AT193" i="21" s="1"/>
  <c r="Q193" i="21"/>
  <c r="AS193" i="21"/>
  <c r="P193" i="21"/>
  <c r="AR193" i="21" s="1"/>
  <c r="O193" i="21"/>
  <c r="AQ193" i="21"/>
  <c r="N193" i="21"/>
  <c r="AP193" i="21" s="1"/>
  <c r="M193" i="21"/>
  <c r="M148" i="21" s="1"/>
  <c r="L193" i="21"/>
  <c r="K193" i="21"/>
  <c r="AM193" i="21"/>
  <c r="J193" i="21"/>
  <c r="I193" i="21"/>
  <c r="AK193" i="21"/>
  <c r="H193" i="21"/>
  <c r="G193" i="21"/>
  <c r="AI193" i="21"/>
  <c r="F193" i="21"/>
  <c r="S192" i="21"/>
  <c r="AU192" i="21"/>
  <c r="P192" i="21"/>
  <c r="O192" i="21"/>
  <c r="AQ192" i="21" s="1"/>
  <c r="N192" i="21"/>
  <c r="K192" i="21"/>
  <c r="AM192" i="21" s="1"/>
  <c r="I192" i="21"/>
  <c r="H192" i="21"/>
  <c r="AJ192" i="21" s="1"/>
  <c r="G192" i="21"/>
  <c r="F192" i="21"/>
  <c r="AH192" i="21" s="1"/>
  <c r="W191" i="21"/>
  <c r="AY191" i="21" s="1"/>
  <c r="X191" i="21"/>
  <c r="V191" i="21"/>
  <c r="U191" i="21"/>
  <c r="AW191" i="21"/>
  <c r="T191" i="21"/>
  <c r="AV191" i="21" s="1"/>
  <c r="R191" i="21"/>
  <c r="AT191" i="21" s="1"/>
  <c r="Q191" i="21"/>
  <c r="AS191" i="21"/>
  <c r="P191" i="21"/>
  <c r="AR191" i="21"/>
  <c r="O191" i="21"/>
  <c r="AQ191" i="21" s="1"/>
  <c r="N191" i="21"/>
  <c r="M191" i="21"/>
  <c r="L191" i="21"/>
  <c r="I191" i="21"/>
  <c r="AK191" i="21" s="1"/>
  <c r="H191" i="21"/>
  <c r="AJ191" i="21"/>
  <c r="G191" i="21"/>
  <c r="F191" i="21"/>
  <c r="AH191" i="21"/>
  <c r="S190" i="21"/>
  <c r="AU190" i="21"/>
  <c r="V44" i="20" s="1"/>
  <c r="P190" i="21"/>
  <c r="S12" i="20" s="1"/>
  <c r="O190" i="21"/>
  <c r="R12" i="20" s="1"/>
  <c r="N190" i="21"/>
  <c r="Q12" i="20" s="1"/>
  <c r="L190" i="21"/>
  <c r="I190" i="21"/>
  <c r="G12" i="20" s="1"/>
  <c r="H190" i="21"/>
  <c r="F12" i="20" s="1"/>
  <c r="G190" i="21"/>
  <c r="F190" i="21"/>
  <c r="F186" i="21" s="1"/>
  <c r="R189" i="21"/>
  <c r="AT189" i="21" s="1"/>
  <c r="J189" i="21"/>
  <c r="AL189" i="21"/>
  <c r="X189" i="21"/>
  <c r="W189" i="21"/>
  <c r="AY189" i="21"/>
  <c r="V189" i="21"/>
  <c r="U189" i="21"/>
  <c r="T189" i="21"/>
  <c r="T144" i="21" s="1"/>
  <c r="S189" i="21"/>
  <c r="AU189" i="21" s="1"/>
  <c r="Q189" i="21"/>
  <c r="AS189" i="21"/>
  <c r="P189" i="21"/>
  <c r="O189" i="21"/>
  <c r="AQ189" i="21" s="1"/>
  <c r="N189" i="21"/>
  <c r="M189" i="21"/>
  <c r="L189" i="21"/>
  <c r="K189" i="21"/>
  <c r="K144" i="21" s="1"/>
  <c r="I189" i="21"/>
  <c r="AK189" i="21"/>
  <c r="H189" i="21"/>
  <c r="H144" i="21" s="1"/>
  <c r="G189" i="21"/>
  <c r="AI189" i="21"/>
  <c r="F189" i="21"/>
  <c r="W188" i="21"/>
  <c r="AY188" i="21"/>
  <c r="K188" i="21"/>
  <c r="AM188" i="21"/>
  <c r="X188" i="21"/>
  <c r="AZ188" i="21" s="1"/>
  <c r="V188" i="21"/>
  <c r="AX188" i="21"/>
  <c r="U188" i="21"/>
  <c r="AW188" i="21"/>
  <c r="T188" i="21"/>
  <c r="AV188" i="21"/>
  <c r="S188" i="21"/>
  <c r="AU188" i="21" s="1"/>
  <c r="R188" i="21"/>
  <c r="R185" i="21" s="1"/>
  <c r="AT188" i="21"/>
  <c r="Q188" i="21"/>
  <c r="AS188" i="21"/>
  <c r="P188" i="21"/>
  <c r="AR188" i="21"/>
  <c r="O188" i="21"/>
  <c r="AQ188" i="21" s="1"/>
  <c r="N188" i="21"/>
  <c r="AP188" i="21"/>
  <c r="M188" i="21"/>
  <c r="L188" i="21"/>
  <c r="L143" i="21" s="1"/>
  <c r="J188" i="21"/>
  <c r="AL188" i="21"/>
  <c r="I188" i="21"/>
  <c r="AK188" i="21"/>
  <c r="H188" i="21"/>
  <c r="AJ188" i="21"/>
  <c r="G188" i="21"/>
  <c r="AI188" i="21"/>
  <c r="F188" i="21"/>
  <c r="AH188" i="21"/>
  <c r="V187" i="21"/>
  <c r="AX187" i="21" s="1"/>
  <c r="N187" i="21"/>
  <c r="AP187" i="21"/>
  <c r="F187" i="21"/>
  <c r="AH187" i="21"/>
  <c r="X187" i="21"/>
  <c r="AZ187" i="21"/>
  <c r="W187" i="21"/>
  <c r="AY187" i="21" s="1"/>
  <c r="U187" i="21"/>
  <c r="AW187" i="21"/>
  <c r="T187" i="21"/>
  <c r="AV187" i="21"/>
  <c r="S187" i="21"/>
  <c r="AU187" i="21"/>
  <c r="R187" i="21"/>
  <c r="AT187" i="21" s="1"/>
  <c r="Q187" i="21"/>
  <c r="AS187" i="21"/>
  <c r="P187" i="21"/>
  <c r="AR187" i="21"/>
  <c r="O187" i="21"/>
  <c r="O185" i="21" s="1"/>
  <c r="AQ187" i="21"/>
  <c r="M187" i="21"/>
  <c r="L187" i="21"/>
  <c r="K187" i="21"/>
  <c r="AM187" i="21"/>
  <c r="J187" i="21"/>
  <c r="AL187" i="21"/>
  <c r="I187" i="21"/>
  <c r="AK187" i="21"/>
  <c r="H187" i="21"/>
  <c r="AJ187" i="21" s="1"/>
  <c r="G187" i="21"/>
  <c r="AI187" i="21"/>
  <c r="I186" i="21"/>
  <c r="S185" i="21"/>
  <c r="AU185" i="21"/>
  <c r="G185" i="21"/>
  <c r="AI185" i="21"/>
  <c r="BB180" i="21"/>
  <c r="BA180" i="21"/>
  <c r="AZ180" i="21"/>
  <c r="AY180" i="21"/>
  <c r="AX180" i="21"/>
  <c r="AW180" i="21"/>
  <c r="AV180" i="21"/>
  <c r="AU180" i="21"/>
  <c r="AT180" i="21"/>
  <c r="AS180" i="21"/>
  <c r="AR180" i="21"/>
  <c r="AQ180" i="21"/>
  <c r="AP180" i="21"/>
  <c r="AO180" i="21"/>
  <c r="AN180" i="21"/>
  <c r="AM180" i="21"/>
  <c r="AL180" i="21"/>
  <c r="AK180" i="21"/>
  <c r="AJ180" i="21"/>
  <c r="AI180" i="21"/>
  <c r="AH180" i="21"/>
  <c r="Z180" i="21"/>
  <c r="AZ179" i="21"/>
  <c r="AY179" i="21"/>
  <c r="AX179" i="21"/>
  <c r="AW179" i="21"/>
  <c r="AV179" i="21"/>
  <c r="AU179" i="21"/>
  <c r="AT179" i="21"/>
  <c r="AS179" i="21"/>
  <c r="AQ179" i="21"/>
  <c r="AP179" i="21"/>
  <c r="AO179" i="21"/>
  <c r="AN179" i="21"/>
  <c r="AM179" i="21"/>
  <c r="AL179" i="21"/>
  <c r="AK179" i="21"/>
  <c r="AJ179" i="21"/>
  <c r="AI179" i="21"/>
  <c r="AH179" i="21"/>
  <c r="Y179" i="21"/>
  <c r="BB178" i="21"/>
  <c r="BA178" i="21"/>
  <c r="AZ178" i="21"/>
  <c r="AY178" i="21"/>
  <c r="AX178" i="21"/>
  <c r="AW178" i="21"/>
  <c r="AV178" i="21"/>
  <c r="AU178" i="21"/>
  <c r="AT178" i="21"/>
  <c r="AS178" i="21"/>
  <c r="AR178" i="21"/>
  <c r="AQ178" i="21"/>
  <c r="AP178" i="21"/>
  <c r="AO178" i="21"/>
  <c r="AN178" i="21"/>
  <c r="AM178" i="21"/>
  <c r="AL178" i="21"/>
  <c r="AK178" i="21"/>
  <c r="AJ178" i="21"/>
  <c r="AI178" i="21"/>
  <c r="AH178" i="21"/>
  <c r="Z178" i="21"/>
  <c r="AZ177" i="21"/>
  <c r="AY177" i="21"/>
  <c r="AX177" i="21"/>
  <c r="AW177" i="21"/>
  <c r="AV177" i="21"/>
  <c r="AU177" i="21"/>
  <c r="AT177" i="21"/>
  <c r="AS177" i="21"/>
  <c r="AR177" i="21"/>
  <c r="AQ177" i="21"/>
  <c r="AP177" i="21"/>
  <c r="AO177" i="21"/>
  <c r="AN177" i="21"/>
  <c r="AM177" i="21"/>
  <c r="AL177" i="21"/>
  <c r="AK177" i="21"/>
  <c r="BB176" i="21"/>
  <c r="AZ176" i="21"/>
  <c r="AY176" i="21"/>
  <c r="AX176" i="21"/>
  <c r="AW176" i="21"/>
  <c r="AV176" i="21"/>
  <c r="AU176" i="21"/>
  <c r="AT176" i="21"/>
  <c r="AS176" i="21"/>
  <c r="AR176" i="21"/>
  <c r="AQ176" i="21"/>
  <c r="AP176" i="21"/>
  <c r="AO176" i="21"/>
  <c r="AN176" i="21"/>
  <c r="AM176" i="21"/>
  <c r="AL176" i="21"/>
  <c r="AK176" i="21"/>
  <c r="AJ176" i="21"/>
  <c r="AI176" i="21"/>
  <c r="AH176" i="21"/>
  <c r="Z176" i="21"/>
  <c r="BB175" i="21"/>
  <c r="BA175" i="21"/>
  <c r="AZ175" i="21"/>
  <c r="AY175" i="21"/>
  <c r="AX175" i="21"/>
  <c r="AW175" i="21"/>
  <c r="AV175" i="21"/>
  <c r="AU175" i="21"/>
  <c r="AT175" i="21"/>
  <c r="AS175" i="21"/>
  <c r="AR175" i="21"/>
  <c r="AQ175" i="21"/>
  <c r="AP175" i="21"/>
  <c r="AO175" i="21"/>
  <c r="AN175" i="21"/>
  <c r="AM175" i="21"/>
  <c r="AL175" i="21"/>
  <c r="AK175" i="21"/>
  <c r="AJ175" i="21"/>
  <c r="AI175" i="21"/>
  <c r="AH175" i="21"/>
  <c r="Z175" i="21"/>
  <c r="Y175" i="21"/>
  <c r="AY174" i="21"/>
  <c r="AX174" i="21"/>
  <c r="AW174" i="21"/>
  <c r="AV174" i="21"/>
  <c r="AU174" i="21"/>
  <c r="AT174" i="21"/>
  <c r="AP174" i="21"/>
  <c r="AN174" i="21"/>
  <c r="AL174" i="21"/>
  <c r="AJ174" i="21"/>
  <c r="AI174" i="21"/>
  <c r="AH174" i="21"/>
  <c r="AZ173" i="21"/>
  <c r="AY173" i="21"/>
  <c r="AX173" i="21"/>
  <c r="AU173" i="21"/>
  <c r="AT173" i="21"/>
  <c r="AS173" i="21"/>
  <c r="AR173" i="21"/>
  <c r="AQ173" i="21"/>
  <c r="AP173" i="21"/>
  <c r="AN173" i="21"/>
  <c r="AL173" i="21"/>
  <c r="AK173" i="21"/>
  <c r="AJ173" i="21"/>
  <c r="AI173" i="21"/>
  <c r="AH173" i="21"/>
  <c r="AZ172" i="21"/>
  <c r="AY172" i="21"/>
  <c r="AX172" i="21"/>
  <c r="AW172" i="21"/>
  <c r="AV172" i="21"/>
  <c r="AU172" i="21"/>
  <c r="AS172" i="21"/>
  <c r="AN172" i="21"/>
  <c r="AJ172" i="21"/>
  <c r="AI172" i="21"/>
  <c r="AZ171" i="21"/>
  <c r="AX171" i="21"/>
  <c r="AW171" i="21"/>
  <c r="AV171" i="21"/>
  <c r="AU171" i="21"/>
  <c r="AT171" i="21"/>
  <c r="AS171" i="21"/>
  <c r="AR171" i="21"/>
  <c r="AQ171" i="21"/>
  <c r="AP171" i="21"/>
  <c r="AN171" i="21"/>
  <c r="AM171" i="21"/>
  <c r="AL171" i="21"/>
  <c r="AI171" i="21"/>
  <c r="BB170" i="21"/>
  <c r="BA170" i="21"/>
  <c r="AZ170" i="21"/>
  <c r="AY170" i="21"/>
  <c r="AX170" i="21"/>
  <c r="AW170" i="21"/>
  <c r="AV170" i="21"/>
  <c r="AU170" i="21"/>
  <c r="AT170" i="21"/>
  <c r="AS170" i="21"/>
  <c r="AR170" i="21"/>
  <c r="AQ170" i="21"/>
  <c r="AP170" i="21"/>
  <c r="AO170" i="21"/>
  <c r="AN170" i="21"/>
  <c r="AM170" i="21"/>
  <c r="AL170" i="21"/>
  <c r="AK170" i="21"/>
  <c r="AJ170" i="21"/>
  <c r="AI170" i="21"/>
  <c r="AH170" i="21"/>
  <c r="Z170" i="21"/>
  <c r="Y170" i="21"/>
  <c r="X170" i="21"/>
  <c r="W170" i="21"/>
  <c r="V170" i="21"/>
  <c r="U170" i="21"/>
  <c r="T170" i="21"/>
  <c r="S170" i="21"/>
  <c r="R170" i="21"/>
  <c r="Q170" i="21"/>
  <c r="P170" i="21"/>
  <c r="O170" i="21"/>
  <c r="N170" i="21"/>
  <c r="M170" i="21"/>
  <c r="L170" i="21"/>
  <c r="K170" i="21"/>
  <c r="J170" i="21"/>
  <c r="I170" i="21"/>
  <c r="H170" i="21"/>
  <c r="G170" i="21"/>
  <c r="F170" i="21"/>
  <c r="BB169" i="21"/>
  <c r="BA169" i="21"/>
  <c r="AZ169" i="21"/>
  <c r="AY169" i="21"/>
  <c r="AX169" i="21"/>
  <c r="AW169" i="21"/>
  <c r="AV169" i="21"/>
  <c r="AU169" i="21"/>
  <c r="AT169" i="21"/>
  <c r="AS169" i="21"/>
  <c r="AR169" i="21"/>
  <c r="AQ169" i="21"/>
  <c r="AP169" i="21"/>
  <c r="AO169" i="21"/>
  <c r="AN169" i="21"/>
  <c r="AM169" i="21"/>
  <c r="AL169" i="21"/>
  <c r="AK169" i="21"/>
  <c r="AJ169" i="21"/>
  <c r="AI169" i="21"/>
  <c r="AH169" i="21"/>
  <c r="Z169" i="21"/>
  <c r="Y169" i="21"/>
  <c r="X169" i="21"/>
  <c r="W169" i="21"/>
  <c r="V169" i="21"/>
  <c r="U169" i="21"/>
  <c r="T169" i="21"/>
  <c r="S169" i="21"/>
  <c r="R169" i="21"/>
  <c r="Q169" i="21"/>
  <c r="P169" i="21"/>
  <c r="O169" i="21"/>
  <c r="N169" i="21"/>
  <c r="M169" i="21"/>
  <c r="L169" i="21"/>
  <c r="K169" i="21"/>
  <c r="J169" i="21"/>
  <c r="I169" i="21"/>
  <c r="H169" i="21"/>
  <c r="G169" i="21"/>
  <c r="F169" i="21"/>
  <c r="BB168" i="21"/>
  <c r="BA168" i="21"/>
  <c r="AZ168" i="21"/>
  <c r="AY168" i="21"/>
  <c r="AX168" i="21"/>
  <c r="AW168" i="21"/>
  <c r="AV168" i="21"/>
  <c r="AU168" i="21"/>
  <c r="AT168" i="21"/>
  <c r="AS168" i="21"/>
  <c r="AR168" i="21"/>
  <c r="AQ168" i="21"/>
  <c r="AP168" i="21"/>
  <c r="AO168" i="21"/>
  <c r="AN168" i="21"/>
  <c r="AM168" i="21"/>
  <c r="AL168" i="21"/>
  <c r="AK168" i="21"/>
  <c r="AJ168" i="21"/>
  <c r="AI168" i="21"/>
  <c r="AH168" i="21"/>
  <c r="Z168" i="21"/>
  <c r="Y168" i="21"/>
  <c r="X168" i="21"/>
  <c r="W168" i="21"/>
  <c r="V168" i="21"/>
  <c r="U168" i="21"/>
  <c r="T168" i="21"/>
  <c r="S168" i="21"/>
  <c r="R168" i="21"/>
  <c r="Q168" i="21"/>
  <c r="P168" i="21"/>
  <c r="O168" i="21"/>
  <c r="N168" i="21"/>
  <c r="M168" i="21"/>
  <c r="L168" i="21"/>
  <c r="K168" i="21"/>
  <c r="J168" i="21"/>
  <c r="I168" i="21"/>
  <c r="H168" i="21"/>
  <c r="G168" i="21"/>
  <c r="F168" i="21"/>
  <c r="BB167" i="21"/>
  <c r="BA167" i="21"/>
  <c r="AZ167" i="21"/>
  <c r="AY167" i="21"/>
  <c r="AX167" i="21"/>
  <c r="AW167" i="21"/>
  <c r="AV167" i="21"/>
  <c r="AU167" i="21"/>
  <c r="AT167" i="21"/>
  <c r="AS167" i="21"/>
  <c r="AR167" i="21"/>
  <c r="AQ167" i="21"/>
  <c r="AP167" i="21"/>
  <c r="AO167" i="21"/>
  <c r="AN167" i="21"/>
  <c r="AM167" i="21"/>
  <c r="AL167" i="21"/>
  <c r="AK167" i="21"/>
  <c r="AJ167" i="21"/>
  <c r="AI167" i="21"/>
  <c r="AH167" i="21"/>
  <c r="Z167" i="21"/>
  <c r="Y167" i="21"/>
  <c r="X167" i="21"/>
  <c r="W167" i="21"/>
  <c r="V167" i="21"/>
  <c r="U167" i="21"/>
  <c r="T167" i="21"/>
  <c r="S167" i="21"/>
  <c r="R167" i="21"/>
  <c r="Q167" i="21"/>
  <c r="P167" i="21"/>
  <c r="O167" i="21"/>
  <c r="N167" i="21"/>
  <c r="M167" i="21"/>
  <c r="L167" i="21"/>
  <c r="K167" i="21"/>
  <c r="J167" i="21"/>
  <c r="I167" i="21"/>
  <c r="H167" i="21"/>
  <c r="G167" i="21"/>
  <c r="F167" i="21"/>
  <c r="BB166" i="21"/>
  <c r="BA166" i="21"/>
  <c r="AZ166" i="21"/>
  <c r="AY166" i="21"/>
  <c r="AX166" i="21"/>
  <c r="AW166" i="21"/>
  <c r="AV166" i="21"/>
  <c r="AU166" i="21"/>
  <c r="AT166" i="21"/>
  <c r="AS166" i="21"/>
  <c r="AR166" i="21"/>
  <c r="AQ166" i="21"/>
  <c r="AP166" i="21"/>
  <c r="AO166" i="21"/>
  <c r="AN166" i="21"/>
  <c r="AM166" i="21"/>
  <c r="AL166" i="21"/>
  <c r="AK166" i="21"/>
  <c r="AJ166" i="21"/>
  <c r="AI166" i="21"/>
  <c r="AH166" i="21"/>
  <c r="Z166" i="21"/>
  <c r="Y166" i="21"/>
  <c r="X166" i="21"/>
  <c r="W166" i="21"/>
  <c r="V166" i="21"/>
  <c r="U166" i="21"/>
  <c r="T166" i="21"/>
  <c r="S166" i="21"/>
  <c r="R166" i="21"/>
  <c r="Q166" i="21"/>
  <c r="P166" i="21"/>
  <c r="O166" i="21"/>
  <c r="N166" i="21"/>
  <c r="M166" i="21"/>
  <c r="L166" i="21"/>
  <c r="K166" i="21"/>
  <c r="J166" i="21"/>
  <c r="I166" i="21"/>
  <c r="H166" i="21"/>
  <c r="G166" i="21"/>
  <c r="F166" i="21"/>
  <c r="BA165" i="21"/>
  <c r="AY165" i="21"/>
  <c r="AX165" i="21"/>
  <c r="AW165" i="21"/>
  <c r="AV165" i="21"/>
  <c r="AU165" i="21"/>
  <c r="AT165" i="21"/>
  <c r="AS165" i="21"/>
  <c r="AR165" i="21"/>
  <c r="AQ165" i="21"/>
  <c r="AP165" i="21"/>
  <c r="AO165" i="21"/>
  <c r="AN165" i="21"/>
  <c r="AM165" i="21"/>
  <c r="AL165" i="21"/>
  <c r="AK165" i="21"/>
  <c r="AJ165" i="21"/>
  <c r="AI165" i="21"/>
  <c r="AH165" i="21"/>
  <c r="W165" i="21"/>
  <c r="V165" i="21"/>
  <c r="U165" i="21"/>
  <c r="T165" i="21"/>
  <c r="S165" i="21"/>
  <c r="R165" i="21"/>
  <c r="Q165" i="21"/>
  <c r="P165" i="21"/>
  <c r="O165" i="21"/>
  <c r="N165" i="21"/>
  <c r="M165" i="21"/>
  <c r="L165" i="21"/>
  <c r="K165" i="21"/>
  <c r="J165" i="21"/>
  <c r="I165" i="21"/>
  <c r="H165" i="21"/>
  <c r="G165" i="21"/>
  <c r="F165" i="21"/>
  <c r="BB164" i="21"/>
  <c r="BA164" i="21"/>
  <c r="AZ164" i="21"/>
  <c r="AY164" i="21"/>
  <c r="AX164" i="21"/>
  <c r="AW164" i="21"/>
  <c r="AV164" i="21"/>
  <c r="AU164" i="21"/>
  <c r="AT164" i="21"/>
  <c r="AS164" i="21"/>
  <c r="AR164" i="21"/>
  <c r="AQ164" i="21"/>
  <c r="AP164" i="21"/>
  <c r="AO164" i="21"/>
  <c r="AM164" i="21"/>
  <c r="AL164" i="21"/>
  <c r="AK164" i="21"/>
  <c r="AJ164" i="21"/>
  <c r="AI164" i="21"/>
  <c r="AH164" i="21"/>
  <c r="Z164" i="21"/>
  <c r="Y164" i="21"/>
  <c r="X164" i="21"/>
  <c r="W164" i="21"/>
  <c r="V164" i="21"/>
  <c r="U164" i="21"/>
  <c r="T164" i="21"/>
  <c r="S164" i="21"/>
  <c r="R164" i="21"/>
  <c r="Q164" i="21"/>
  <c r="P164" i="21"/>
  <c r="O164" i="21"/>
  <c r="N164" i="21"/>
  <c r="M164" i="21"/>
  <c r="K164" i="21"/>
  <c r="J164" i="21"/>
  <c r="I164" i="21"/>
  <c r="H164" i="21"/>
  <c r="G164" i="21"/>
  <c r="F164" i="21"/>
  <c r="BA163" i="21"/>
  <c r="AU163" i="21"/>
  <c r="AR163" i="21"/>
  <c r="AQ163" i="21"/>
  <c r="AP163" i="21"/>
  <c r="AO163" i="21"/>
  <c r="AN163" i="21"/>
  <c r="AM163" i="21"/>
  <c r="AL163" i="21"/>
  <c r="AK163" i="21"/>
  <c r="AJ163" i="21"/>
  <c r="AI163" i="21"/>
  <c r="AH163" i="21"/>
  <c r="Y163" i="21"/>
  <c r="S163" i="21"/>
  <c r="P163" i="21"/>
  <c r="O163" i="21"/>
  <c r="N163" i="21"/>
  <c r="M163" i="21"/>
  <c r="L163" i="21"/>
  <c r="K163" i="21"/>
  <c r="J163" i="21"/>
  <c r="I163" i="21"/>
  <c r="H163" i="21"/>
  <c r="G163" i="21"/>
  <c r="F163" i="21"/>
  <c r="AZ162" i="21"/>
  <c r="AY162" i="21"/>
  <c r="AX162" i="21"/>
  <c r="AW162" i="21"/>
  <c r="AV162" i="21"/>
  <c r="AU162" i="21"/>
  <c r="AT162" i="21"/>
  <c r="AS162" i="21"/>
  <c r="AR162" i="21"/>
  <c r="AQ162" i="21"/>
  <c r="AP162" i="21"/>
  <c r="AN162" i="21"/>
  <c r="AM162" i="21"/>
  <c r="AK162" i="21"/>
  <c r="AJ162" i="21"/>
  <c r="AI162" i="21"/>
  <c r="AH162" i="21"/>
  <c r="X162" i="21"/>
  <c r="W162" i="21"/>
  <c r="V162" i="21"/>
  <c r="U162" i="21"/>
  <c r="T162" i="21"/>
  <c r="S162" i="21"/>
  <c r="R162" i="21"/>
  <c r="Q162" i="21"/>
  <c r="P162" i="21"/>
  <c r="O162" i="21"/>
  <c r="N162" i="21"/>
  <c r="M162" i="21"/>
  <c r="L162" i="21"/>
  <c r="K162" i="21"/>
  <c r="I162" i="21"/>
  <c r="H162" i="21"/>
  <c r="G162" i="21"/>
  <c r="F162" i="21"/>
  <c r="AZ161" i="21"/>
  <c r="AY161" i="21"/>
  <c r="AX161" i="21"/>
  <c r="AW161" i="21"/>
  <c r="AV161" i="21"/>
  <c r="AU161" i="21"/>
  <c r="AT161" i="21"/>
  <c r="AS161" i="21"/>
  <c r="AR161" i="21"/>
  <c r="AQ161" i="21"/>
  <c r="AP161" i="21"/>
  <c r="AO161" i="21"/>
  <c r="AN161" i="21"/>
  <c r="AM161" i="21"/>
  <c r="AL161" i="21"/>
  <c r="AK161" i="21"/>
  <c r="AJ161" i="21"/>
  <c r="AI161" i="21"/>
  <c r="AH161" i="21"/>
  <c r="Z161" i="21"/>
  <c r="Y161" i="21"/>
  <c r="X161" i="21"/>
  <c r="W161" i="21"/>
  <c r="V161" i="21"/>
  <c r="U161" i="21"/>
  <c r="T161" i="21"/>
  <c r="S161" i="21"/>
  <c r="R161" i="21"/>
  <c r="Q161" i="21"/>
  <c r="P161" i="21"/>
  <c r="O161" i="21"/>
  <c r="N161" i="21"/>
  <c r="M161" i="21"/>
  <c r="L161" i="21"/>
  <c r="K161" i="21"/>
  <c r="J161" i="21"/>
  <c r="I161" i="21"/>
  <c r="H161" i="21"/>
  <c r="G161" i="21"/>
  <c r="F161" i="21"/>
  <c r="AY160" i="21"/>
  <c r="AW160" i="21"/>
  <c r="AU160" i="21"/>
  <c r="AT160" i="21"/>
  <c r="AS160" i="21"/>
  <c r="AR160" i="21"/>
  <c r="AQ160" i="21"/>
  <c r="AP160" i="21"/>
  <c r="AO160" i="21"/>
  <c r="AN160" i="21"/>
  <c r="AK160" i="21"/>
  <c r="AJ160" i="21"/>
  <c r="AI160" i="21"/>
  <c r="AH160" i="21"/>
  <c r="W160" i="21"/>
  <c r="U160" i="21"/>
  <c r="R160" i="21"/>
  <c r="Q160" i="21"/>
  <c r="P160" i="21"/>
  <c r="O160" i="21"/>
  <c r="N160" i="21"/>
  <c r="M160" i="21"/>
  <c r="L160" i="21"/>
  <c r="I160" i="21"/>
  <c r="H160" i="21"/>
  <c r="G160" i="21"/>
  <c r="F160" i="21"/>
  <c r="AZ159" i="21"/>
  <c r="AY159" i="21"/>
  <c r="AX159" i="21"/>
  <c r="AW159" i="21"/>
  <c r="AV159" i="21"/>
  <c r="AU159" i="21"/>
  <c r="AT159" i="21"/>
  <c r="AS159" i="21"/>
  <c r="AR159" i="21"/>
  <c r="AQ159" i="21"/>
  <c r="AP159" i="21"/>
  <c r="AO159" i="21"/>
  <c r="AN159" i="21"/>
  <c r="AK159" i="21"/>
  <c r="AJ159" i="21"/>
  <c r="AI159" i="21"/>
  <c r="AH159" i="21"/>
  <c r="X159" i="21"/>
  <c r="W159" i="21"/>
  <c r="U159" i="21"/>
  <c r="T159" i="21"/>
  <c r="S159" i="21"/>
  <c r="R159" i="21"/>
  <c r="Q159" i="21"/>
  <c r="M159" i="21"/>
  <c r="L159" i="21"/>
  <c r="I159" i="21"/>
  <c r="H159" i="21"/>
  <c r="G159" i="21"/>
  <c r="BA158" i="21"/>
  <c r="AZ158" i="21"/>
  <c r="AY158" i="21"/>
  <c r="AX158" i="21"/>
  <c r="AW158" i="21"/>
  <c r="AV158" i="21"/>
  <c r="AU158" i="21"/>
  <c r="AT158" i="21"/>
  <c r="AS158" i="21"/>
  <c r="AR158" i="21"/>
  <c r="AQ158" i="21"/>
  <c r="AP158" i="21"/>
  <c r="AO158" i="21"/>
  <c r="AN158" i="21"/>
  <c r="AM158" i="21"/>
  <c r="AL158" i="21"/>
  <c r="AK158" i="21"/>
  <c r="AJ158" i="21"/>
  <c r="AI158" i="21"/>
  <c r="AH158" i="21"/>
  <c r="AB158" i="21"/>
  <c r="Y158" i="21"/>
  <c r="X158" i="21"/>
  <c r="W158" i="21"/>
  <c r="V158" i="21"/>
  <c r="U158" i="21"/>
  <c r="T158" i="21"/>
  <c r="S158" i="21"/>
  <c r="R158" i="21"/>
  <c r="Q158" i="21"/>
  <c r="M158" i="21"/>
  <c r="L158" i="21"/>
  <c r="K158" i="21"/>
  <c r="J158" i="21"/>
  <c r="I158" i="21"/>
  <c r="H158" i="21"/>
  <c r="G158" i="21"/>
  <c r="F158" i="21"/>
  <c r="AZ157" i="21"/>
  <c r="AY157" i="21"/>
  <c r="AX157" i="21"/>
  <c r="AW157" i="21"/>
  <c r="AV157" i="21"/>
  <c r="AU157" i="21"/>
  <c r="AT157" i="21"/>
  <c r="AS157" i="21"/>
  <c r="AQ157" i="21"/>
  <c r="AP157" i="21"/>
  <c r="AO157" i="21"/>
  <c r="AN157" i="21"/>
  <c r="AM157" i="21"/>
  <c r="AL157" i="21"/>
  <c r="AK157" i="21"/>
  <c r="AB157" i="21"/>
  <c r="X157" i="21"/>
  <c r="W157" i="21"/>
  <c r="V157" i="21"/>
  <c r="U157" i="21"/>
  <c r="T157" i="21"/>
  <c r="S157" i="21"/>
  <c r="R157" i="21"/>
  <c r="Q157" i="21"/>
  <c r="M157" i="21"/>
  <c r="L157" i="21"/>
  <c r="K157" i="21"/>
  <c r="J157" i="21"/>
  <c r="AU156" i="21"/>
  <c r="AR156" i="21"/>
  <c r="AP156" i="21"/>
  <c r="AN156" i="21"/>
  <c r="I66" i="21"/>
  <c r="AK156" i="21" s="1"/>
  <c r="AI156" i="21"/>
  <c r="S156" i="21"/>
  <c r="P138" i="21"/>
  <c r="O138" i="21"/>
  <c r="N138" i="21"/>
  <c r="L156" i="21"/>
  <c r="J156" i="21"/>
  <c r="G156" i="21"/>
  <c r="BB155" i="21"/>
  <c r="BA155" i="21"/>
  <c r="AZ155" i="21"/>
  <c r="AY155" i="21"/>
  <c r="AX155" i="21"/>
  <c r="AW155" i="21"/>
  <c r="AV155" i="21"/>
  <c r="AU155" i="21"/>
  <c r="AT155" i="21"/>
  <c r="AS155" i="21"/>
  <c r="AR155" i="21"/>
  <c r="AQ155" i="21"/>
  <c r="AP155" i="21"/>
  <c r="AO155" i="21"/>
  <c r="AN155" i="21"/>
  <c r="AM155" i="21"/>
  <c r="AL155" i="21"/>
  <c r="AK155" i="21"/>
  <c r="AJ155" i="21"/>
  <c r="AI155" i="21"/>
  <c r="AH155" i="21"/>
  <c r="Z155" i="21"/>
  <c r="Y155" i="21"/>
  <c r="X155" i="21"/>
  <c r="W155" i="21"/>
  <c r="V155" i="21"/>
  <c r="U155" i="21"/>
  <c r="T155" i="21"/>
  <c r="S155" i="21"/>
  <c r="R155" i="21"/>
  <c r="Q155" i="21"/>
  <c r="P155" i="21"/>
  <c r="O155" i="21"/>
  <c r="N155" i="21"/>
  <c r="M155" i="21"/>
  <c r="L155" i="21"/>
  <c r="K155" i="21"/>
  <c r="J155" i="21"/>
  <c r="I155" i="21"/>
  <c r="H155" i="21"/>
  <c r="G155" i="21"/>
  <c r="F155" i="21"/>
  <c r="BB154" i="21"/>
  <c r="BA154" i="21"/>
  <c r="AZ154" i="21"/>
  <c r="AY154" i="21"/>
  <c r="AX154" i="21"/>
  <c r="AW154" i="21"/>
  <c r="AV154" i="21"/>
  <c r="AU154" i="21"/>
  <c r="AT154" i="21"/>
  <c r="AS154" i="21"/>
  <c r="AR154" i="21"/>
  <c r="AQ154" i="21"/>
  <c r="AP154" i="21"/>
  <c r="AO154" i="21"/>
  <c r="AN154" i="21"/>
  <c r="AM154" i="21"/>
  <c r="AL154" i="21"/>
  <c r="AK154" i="21"/>
  <c r="AJ154" i="21"/>
  <c r="AI154" i="21"/>
  <c r="AH154" i="21"/>
  <c r="Z154" i="21"/>
  <c r="Y154" i="21"/>
  <c r="X154" i="21"/>
  <c r="W154" i="21"/>
  <c r="V154" i="21"/>
  <c r="U154" i="21"/>
  <c r="T154" i="21"/>
  <c r="S154" i="21"/>
  <c r="R154" i="21"/>
  <c r="Q154" i="21"/>
  <c r="P154" i="21"/>
  <c r="O154" i="21"/>
  <c r="N154" i="21"/>
  <c r="M154" i="21"/>
  <c r="L154" i="21"/>
  <c r="K154" i="21"/>
  <c r="J154" i="21"/>
  <c r="I154" i="21"/>
  <c r="H154" i="21"/>
  <c r="G154" i="21"/>
  <c r="F154" i="21"/>
  <c r="BB153" i="21"/>
  <c r="BA153" i="21"/>
  <c r="AZ153" i="21"/>
  <c r="AY153" i="21"/>
  <c r="AX153" i="21"/>
  <c r="AW153" i="21"/>
  <c r="AV153" i="21"/>
  <c r="AU153" i="21"/>
  <c r="AT153" i="21"/>
  <c r="AS153" i="21"/>
  <c r="AR153" i="21"/>
  <c r="AQ153" i="21"/>
  <c r="AP153" i="21"/>
  <c r="AO153" i="21"/>
  <c r="AN153" i="21"/>
  <c r="AM153" i="21"/>
  <c r="AL153" i="21"/>
  <c r="AK153" i="21"/>
  <c r="AJ153" i="21"/>
  <c r="AI153" i="21"/>
  <c r="AH153" i="21"/>
  <c r="Z153" i="21"/>
  <c r="Y153" i="21"/>
  <c r="X153" i="21"/>
  <c r="W153" i="21"/>
  <c r="V153" i="21"/>
  <c r="U153" i="21"/>
  <c r="T153" i="21"/>
  <c r="S153" i="21"/>
  <c r="R153" i="21"/>
  <c r="Q153" i="21"/>
  <c r="P153" i="21"/>
  <c r="O153" i="21"/>
  <c r="N153" i="21"/>
  <c r="M153" i="21"/>
  <c r="L153" i="21"/>
  <c r="K153" i="21"/>
  <c r="J153" i="21"/>
  <c r="I153" i="21"/>
  <c r="H153" i="21"/>
  <c r="G153" i="21"/>
  <c r="F153" i="21"/>
  <c r="BB152" i="21"/>
  <c r="BA152" i="21"/>
  <c r="AZ152" i="21"/>
  <c r="AY152" i="21"/>
  <c r="AX152" i="21"/>
  <c r="AW152" i="21"/>
  <c r="AV152" i="21"/>
  <c r="AU152" i="21"/>
  <c r="AT152" i="21"/>
  <c r="AS152" i="21"/>
  <c r="AR152" i="21"/>
  <c r="AQ152" i="21"/>
  <c r="AP152" i="21"/>
  <c r="AO152" i="21"/>
  <c r="AN152" i="21"/>
  <c r="AM152" i="21"/>
  <c r="AL152" i="21"/>
  <c r="AK152" i="21"/>
  <c r="AJ152" i="21"/>
  <c r="AI152" i="21"/>
  <c r="AH152" i="21"/>
  <c r="Z152" i="21"/>
  <c r="Y152" i="21"/>
  <c r="X152" i="21"/>
  <c r="W152" i="21"/>
  <c r="V152" i="21"/>
  <c r="U152" i="21"/>
  <c r="T152" i="21"/>
  <c r="S152" i="21"/>
  <c r="R152" i="21"/>
  <c r="Q152" i="21"/>
  <c r="P152" i="21"/>
  <c r="O152" i="21"/>
  <c r="N152" i="21"/>
  <c r="M152" i="21"/>
  <c r="L152" i="21"/>
  <c r="K152" i="21"/>
  <c r="J152" i="21"/>
  <c r="I152" i="21"/>
  <c r="H152" i="21"/>
  <c r="G152" i="21"/>
  <c r="F152" i="21"/>
  <c r="BB151" i="21"/>
  <c r="BA151" i="21"/>
  <c r="AZ151" i="21"/>
  <c r="AY151" i="21"/>
  <c r="AX151" i="21"/>
  <c r="AW151" i="21"/>
  <c r="AV151" i="21"/>
  <c r="AU151" i="21"/>
  <c r="AT151" i="21"/>
  <c r="AS151" i="21"/>
  <c r="AR151" i="21"/>
  <c r="AQ151" i="21"/>
  <c r="AP151" i="21"/>
  <c r="AO151" i="21"/>
  <c r="AN151" i="21"/>
  <c r="AM151" i="21"/>
  <c r="AL151" i="21"/>
  <c r="AK151" i="21"/>
  <c r="AJ151" i="21"/>
  <c r="AI151" i="21"/>
  <c r="AH151" i="21"/>
  <c r="Z151" i="21"/>
  <c r="Y151" i="21"/>
  <c r="X151" i="21"/>
  <c r="W151" i="21"/>
  <c r="V151" i="21"/>
  <c r="U151" i="21"/>
  <c r="T151" i="21"/>
  <c r="S151" i="21"/>
  <c r="R151" i="21"/>
  <c r="Q151" i="21"/>
  <c r="P151" i="21"/>
  <c r="O151" i="21"/>
  <c r="N151" i="21"/>
  <c r="M151" i="21"/>
  <c r="L151" i="21"/>
  <c r="K151" i="21"/>
  <c r="J151" i="21"/>
  <c r="I151" i="21"/>
  <c r="H151" i="21"/>
  <c r="G151" i="21"/>
  <c r="F151" i="21"/>
  <c r="BB150" i="21"/>
  <c r="BA150" i="21"/>
  <c r="AZ150" i="21"/>
  <c r="AY150" i="21"/>
  <c r="AX150" i="21"/>
  <c r="AW150" i="21"/>
  <c r="AV150" i="21"/>
  <c r="AU150" i="21"/>
  <c r="AT150" i="21"/>
  <c r="AS150" i="21"/>
  <c r="AR150" i="21"/>
  <c r="AQ150" i="21"/>
  <c r="AP150" i="21"/>
  <c r="AO150" i="21"/>
  <c r="AN150" i="21"/>
  <c r="AM150" i="21"/>
  <c r="AL150" i="21"/>
  <c r="AK150" i="21"/>
  <c r="AJ150" i="21"/>
  <c r="AI150" i="21"/>
  <c r="AH150" i="21"/>
  <c r="Z150" i="21"/>
  <c r="Y150" i="21"/>
  <c r="X150" i="21"/>
  <c r="W150" i="21"/>
  <c r="V150" i="21"/>
  <c r="U150" i="21"/>
  <c r="T150" i="21"/>
  <c r="S150" i="21"/>
  <c r="R150" i="21"/>
  <c r="Q150" i="21"/>
  <c r="P150" i="21"/>
  <c r="O150" i="21"/>
  <c r="N150" i="21"/>
  <c r="M150" i="21"/>
  <c r="L150" i="21"/>
  <c r="K150" i="21"/>
  <c r="J150" i="21"/>
  <c r="I150" i="21"/>
  <c r="H150" i="21"/>
  <c r="G150" i="21"/>
  <c r="F150" i="21"/>
  <c r="BB149" i="21"/>
  <c r="BA149" i="21"/>
  <c r="AZ149" i="21"/>
  <c r="AY149" i="21"/>
  <c r="AX149" i="21"/>
  <c r="AW149" i="21"/>
  <c r="AV149" i="21"/>
  <c r="AU149" i="21"/>
  <c r="AT149" i="21"/>
  <c r="AS149" i="21"/>
  <c r="AR149" i="21"/>
  <c r="AQ149" i="21"/>
  <c r="AP149" i="21"/>
  <c r="AO149" i="21"/>
  <c r="AN149" i="21"/>
  <c r="AM149" i="21"/>
  <c r="AL149" i="21"/>
  <c r="AK149" i="21"/>
  <c r="AJ149" i="21"/>
  <c r="AI149" i="21"/>
  <c r="AH149" i="21"/>
  <c r="Z149" i="21"/>
  <c r="Y149" i="21"/>
  <c r="X149" i="21"/>
  <c r="W149" i="21"/>
  <c r="V149" i="21"/>
  <c r="U149" i="21"/>
  <c r="T149" i="21"/>
  <c r="S149" i="21"/>
  <c r="R149" i="21"/>
  <c r="Q149" i="21"/>
  <c r="P149" i="21"/>
  <c r="O149" i="21"/>
  <c r="N149" i="21"/>
  <c r="M149" i="21"/>
  <c r="L149" i="21"/>
  <c r="K149" i="21"/>
  <c r="J149" i="21"/>
  <c r="I149" i="21"/>
  <c r="H149" i="21"/>
  <c r="G149" i="21"/>
  <c r="F149" i="21"/>
  <c r="AY148" i="21"/>
  <c r="AW148" i="21"/>
  <c r="AV148" i="21"/>
  <c r="AU148" i="21"/>
  <c r="AT148" i="21"/>
  <c r="AS148" i="21"/>
  <c r="AR148" i="21"/>
  <c r="AQ148" i="21"/>
  <c r="AP148" i="21"/>
  <c r="AO148" i="21"/>
  <c r="AN148" i="21"/>
  <c r="AM148" i="21"/>
  <c r="AK148" i="21"/>
  <c r="AI148" i="21"/>
  <c r="W148" i="21"/>
  <c r="T148" i="21"/>
  <c r="S148" i="21"/>
  <c r="R148" i="21"/>
  <c r="Q148" i="21"/>
  <c r="P148" i="21"/>
  <c r="O148" i="21"/>
  <c r="N148" i="21"/>
  <c r="L148" i="21"/>
  <c r="K148" i="21"/>
  <c r="I148" i="21"/>
  <c r="G148" i="21"/>
  <c r="AU147" i="21"/>
  <c r="AQ147" i="21"/>
  <c r="AM147" i="21"/>
  <c r="AJ147" i="21"/>
  <c r="AH147" i="21"/>
  <c r="S147" i="21"/>
  <c r="P147" i="21"/>
  <c r="O147" i="21"/>
  <c r="K147" i="21"/>
  <c r="I147" i="21"/>
  <c r="H147" i="21"/>
  <c r="F147" i="21"/>
  <c r="AY146" i="21"/>
  <c r="AW146" i="21"/>
  <c r="AT146" i="21"/>
  <c r="AS146" i="21"/>
  <c r="AR146" i="21"/>
  <c r="AQ146" i="21"/>
  <c r="AO146" i="21"/>
  <c r="AN146" i="21"/>
  <c r="AK146" i="21"/>
  <c r="AJ146" i="21"/>
  <c r="AH146" i="21"/>
  <c r="W146" i="21"/>
  <c r="U146" i="21"/>
  <c r="R146" i="21"/>
  <c r="Q146" i="21"/>
  <c r="P146" i="21"/>
  <c r="O146" i="21"/>
  <c r="M146" i="21"/>
  <c r="L146" i="21"/>
  <c r="I146" i="21"/>
  <c r="H146" i="21"/>
  <c r="F146" i="21"/>
  <c r="AU145" i="21"/>
  <c r="AN145" i="21"/>
  <c r="S145" i="21"/>
  <c r="V29" i="20" s="1"/>
  <c r="L145" i="21"/>
  <c r="AZ144" i="21"/>
  <c r="AY144" i="21"/>
  <c r="AV144" i="21"/>
  <c r="AU144" i="21"/>
  <c r="AT144" i="21"/>
  <c r="AS144" i="21"/>
  <c r="AR144" i="21"/>
  <c r="AQ144" i="21"/>
  <c r="AN144" i="21"/>
  <c r="AL144" i="21"/>
  <c r="AK144" i="21"/>
  <c r="AJ144" i="21"/>
  <c r="AI144" i="21"/>
  <c r="X144" i="21"/>
  <c r="W144" i="21"/>
  <c r="S144" i="21"/>
  <c r="R144" i="21"/>
  <c r="Q144" i="21"/>
  <c r="P144" i="21"/>
  <c r="O144" i="21"/>
  <c r="L144" i="21"/>
  <c r="J144" i="21"/>
  <c r="I144" i="21"/>
  <c r="G144" i="21"/>
  <c r="AZ143" i="21"/>
  <c r="AY143" i="21"/>
  <c r="AX143" i="21"/>
  <c r="AW143" i="21"/>
  <c r="AV143" i="21"/>
  <c r="AU143" i="21"/>
  <c r="AT143" i="21"/>
  <c r="AS143" i="21"/>
  <c r="AR143" i="21"/>
  <c r="AQ143" i="21"/>
  <c r="AP143" i="21"/>
  <c r="AO143" i="21"/>
  <c r="AN143" i="21"/>
  <c r="AM143" i="21"/>
  <c r="AL143" i="21"/>
  <c r="AK143" i="21"/>
  <c r="AJ143" i="21"/>
  <c r="AI143" i="21"/>
  <c r="AH143" i="21"/>
  <c r="X143" i="21"/>
  <c r="W143" i="21"/>
  <c r="V143" i="21"/>
  <c r="U143" i="21"/>
  <c r="T143" i="21"/>
  <c r="S143" i="21"/>
  <c r="R143" i="21"/>
  <c r="Q143" i="21"/>
  <c r="P143" i="21"/>
  <c r="O143" i="21"/>
  <c r="N143" i="21"/>
  <c r="M143" i="21"/>
  <c r="K143" i="21"/>
  <c r="J143" i="21"/>
  <c r="I143" i="21"/>
  <c r="H143" i="21"/>
  <c r="G143" i="21"/>
  <c r="F143" i="21"/>
  <c r="AZ142" i="21"/>
  <c r="AY142" i="21"/>
  <c r="AX142" i="21"/>
  <c r="AW142" i="21"/>
  <c r="AV142" i="21"/>
  <c r="AU142" i="21"/>
  <c r="AT142" i="21"/>
  <c r="AS142" i="21"/>
  <c r="AR142" i="21"/>
  <c r="AQ142" i="21"/>
  <c r="AP142" i="21"/>
  <c r="AO142" i="21"/>
  <c r="AN142" i="21"/>
  <c r="AM142" i="21"/>
  <c r="AL142" i="21"/>
  <c r="AK142" i="21"/>
  <c r="AJ142" i="21"/>
  <c r="AI142" i="21"/>
  <c r="AH142" i="21"/>
  <c r="X142" i="21"/>
  <c r="W142" i="21"/>
  <c r="V142" i="21"/>
  <c r="U142" i="21"/>
  <c r="T142" i="21"/>
  <c r="S142" i="21"/>
  <c r="R142" i="21"/>
  <c r="Q142" i="21"/>
  <c r="P142" i="21"/>
  <c r="O142" i="21"/>
  <c r="N142" i="21"/>
  <c r="M142" i="21"/>
  <c r="L142" i="21"/>
  <c r="K142" i="21"/>
  <c r="J142" i="21"/>
  <c r="I142" i="21"/>
  <c r="H142" i="21"/>
  <c r="G142" i="21"/>
  <c r="F142" i="21"/>
  <c r="AU140" i="21"/>
  <c r="AQ140" i="21"/>
  <c r="AI140" i="21"/>
  <c r="S140" i="21"/>
  <c r="G140" i="21"/>
  <c r="X135" i="21"/>
  <c r="W135" i="21"/>
  <c r="V135" i="21"/>
  <c r="U135" i="21"/>
  <c r="T135" i="21"/>
  <c r="S135" i="21"/>
  <c r="R135" i="21"/>
  <c r="Q135" i="21"/>
  <c r="P135" i="21"/>
  <c r="O135" i="21"/>
  <c r="N135" i="21"/>
  <c r="M135" i="21"/>
  <c r="L135" i="21"/>
  <c r="K135" i="21"/>
  <c r="J135" i="21"/>
  <c r="I135" i="21"/>
  <c r="H135" i="21"/>
  <c r="G135" i="21"/>
  <c r="F135" i="21"/>
  <c r="X134" i="21"/>
  <c r="W134" i="21"/>
  <c r="V134" i="21"/>
  <c r="U134" i="21"/>
  <c r="T134" i="21"/>
  <c r="S134" i="21"/>
  <c r="R134" i="21"/>
  <c r="Q134" i="21"/>
  <c r="O134" i="21"/>
  <c r="N134" i="21"/>
  <c r="M134" i="21"/>
  <c r="L134" i="21"/>
  <c r="K134" i="21"/>
  <c r="J134" i="21"/>
  <c r="I134" i="21"/>
  <c r="H134" i="21"/>
  <c r="G134" i="21"/>
  <c r="F134" i="21"/>
  <c r="X133" i="21"/>
  <c r="W133" i="21"/>
  <c r="V133" i="21"/>
  <c r="U133" i="21"/>
  <c r="T133" i="21"/>
  <c r="S133" i="21"/>
  <c r="R133" i="21"/>
  <c r="Q133" i="21"/>
  <c r="P133" i="21"/>
  <c r="O133" i="21"/>
  <c r="N133" i="21"/>
  <c r="M133" i="21"/>
  <c r="L133" i="21"/>
  <c r="K133" i="21"/>
  <c r="J133" i="21"/>
  <c r="I133" i="21"/>
  <c r="H133" i="21"/>
  <c r="G133" i="21"/>
  <c r="F133" i="21"/>
  <c r="X132" i="21"/>
  <c r="W132" i="21"/>
  <c r="V132" i="21"/>
  <c r="U132" i="21"/>
  <c r="T132" i="21"/>
  <c r="S132" i="21"/>
  <c r="R132" i="21"/>
  <c r="Q132" i="21"/>
  <c r="P132" i="21"/>
  <c r="O132" i="21"/>
  <c r="N132" i="21"/>
  <c r="M132" i="21"/>
  <c r="L132" i="21"/>
  <c r="K132" i="21"/>
  <c r="J132" i="21"/>
  <c r="I132" i="21"/>
  <c r="X131" i="21"/>
  <c r="W131" i="21"/>
  <c r="V131" i="21"/>
  <c r="U131" i="21"/>
  <c r="T131" i="21"/>
  <c r="S131" i="21"/>
  <c r="R131" i="21"/>
  <c r="Q131" i="21"/>
  <c r="P131" i="21"/>
  <c r="O131" i="21"/>
  <c r="N131" i="21"/>
  <c r="M131" i="21"/>
  <c r="L131" i="21"/>
  <c r="K131" i="21"/>
  <c r="J131" i="21"/>
  <c r="I131" i="21"/>
  <c r="H131" i="21"/>
  <c r="G131" i="21"/>
  <c r="F131" i="21"/>
  <c r="X130" i="21"/>
  <c r="W130" i="21"/>
  <c r="V130" i="21"/>
  <c r="U130" i="21"/>
  <c r="T130" i="21"/>
  <c r="S130" i="21"/>
  <c r="R130" i="21"/>
  <c r="Q130" i="21"/>
  <c r="P130" i="21"/>
  <c r="O130" i="21"/>
  <c r="N130" i="21"/>
  <c r="M130" i="21"/>
  <c r="L130" i="21"/>
  <c r="K130" i="21"/>
  <c r="J130" i="21"/>
  <c r="I130" i="21"/>
  <c r="H130" i="21"/>
  <c r="G130" i="21"/>
  <c r="F130" i="21"/>
  <c r="W129" i="21"/>
  <c r="V129" i="21"/>
  <c r="U129" i="21"/>
  <c r="T129" i="21"/>
  <c r="S129" i="21"/>
  <c r="R129" i="21"/>
  <c r="N129" i="21"/>
  <c r="L129" i="21"/>
  <c r="J129" i="21"/>
  <c r="H129" i="21"/>
  <c r="G129" i="21"/>
  <c r="F129" i="21"/>
  <c r="X128" i="21"/>
  <c r="W128" i="21"/>
  <c r="V128" i="21"/>
  <c r="S128" i="21"/>
  <c r="R128" i="21"/>
  <c r="Q128" i="21"/>
  <c r="P128" i="21"/>
  <c r="O128" i="21"/>
  <c r="N128" i="21"/>
  <c r="L128" i="21"/>
  <c r="J128" i="21"/>
  <c r="I128" i="21"/>
  <c r="H128" i="21"/>
  <c r="G128" i="21"/>
  <c r="F128" i="21"/>
  <c r="X127" i="21"/>
  <c r="W127" i="21"/>
  <c r="V127" i="21"/>
  <c r="U127" i="21"/>
  <c r="T127" i="21"/>
  <c r="S127" i="21"/>
  <c r="Q127" i="21"/>
  <c r="L127" i="21"/>
  <c r="H127" i="21"/>
  <c r="G127" i="21"/>
  <c r="X126" i="21"/>
  <c r="V126" i="21"/>
  <c r="U126" i="21"/>
  <c r="T126" i="21"/>
  <c r="S126" i="21"/>
  <c r="R126" i="21"/>
  <c r="Q126" i="21"/>
  <c r="P126" i="21"/>
  <c r="O126" i="21"/>
  <c r="N126" i="21"/>
  <c r="L126" i="21"/>
  <c r="J126" i="21"/>
  <c r="X125" i="21"/>
  <c r="W125" i="21"/>
  <c r="V125" i="21"/>
  <c r="U125" i="21"/>
  <c r="T125" i="21"/>
  <c r="S125" i="21"/>
  <c r="R125" i="21"/>
  <c r="Q125" i="21"/>
  <c r="P125" i="21"/>
  <c r="O125" i="21"/>
  <c r="N125" i="21"/>
  <c r="M125" i="21"/>
  <c r="L125" i="21"/>
  <c r="K125" i="21"/>
  <c r="J125" i="21"/>
  <c r="I125" i="21"/>
  <c r="H125" i="21"/>
  <c r="G125" i="21"/>
  <c r="F125" i="21"/>
  <c r="X124" i="21"/>
  <c r="W124" i="21"/>
  <c r="V124" i="21"/>
  <c r="U124" i="21"/>
  <c r="T124" i="21"/>
  <c r="S124" i="21"/>
  <c r="R124" i="21"/>
  <c r="Q124" i="21"/>
  <c r="P124" i="21"/>
  <c r="O124" i="21"/>
  <c r="N124" i="21"/>
  <c r="M124" i="21"/>
  <c r="L124" i="21"/>
  <c r="K124" i="21"/>
  <c r="J124" i="21"/>
  <c r="I124" i="21"/>
  <c r="H124" i="21"/>
  <c r="G124" i="21"/>
  <c r="F124" i="21"/>
  <c r="X123" i="21"/>
  <c r="W123" i="21"/>
  <c r="V123" i="21"/>
  <c r="U123" i="21"/>
  <c r="T123" i="21"/>
  <c r="S123" i="21"/>
  <c r="R123" i="21"/>
  <c r="Q123" i="21"/>
  <c r="P123" i="21"/>
  <c r="O123" i="21"/>
  <c r="N123" i="21"/>
  <c r="M123" i="21"/>
  <c r="L123" i="21"/>
  <c r="K123" i="21"/>
  <c r="J123" i="21"/>
  <c r="I123" i="21"/>
  <c r="H123" i="21"/>
  <c r="G123" i="21"/>
  <c r="F123" i="21"/>
  <c r="X122" i="21"/>
  <c r="W122" i="21"/>
  <c r="V122" i="21"/>
  <c r="U122" i="21"/>
  <c r="T122" i="21"/>
  <c r="S122" i="21"/>
  <c r="R122" i="21"/>
  <c r="Q122" i="21"/>
  <c r="P122" i="21"/>
  <c r="O122" i="21"/>
  <c r="N122" i="21"/>
  <c r="M122" i="21"/>
  <c r="L122" i="21"/>
  <c r="K122" i="21"/>
  <c r="J122" i="21"/>
  <c r="I122" i="21"/>
  <c r="H122" i="21"/>
  <c r="G122" i="21"/>
  <c r="F122" i="21"/>
  <c r="X121" i="21"/>
  <c r="W121" i="21"/>
  <c r="V121" i="21"/>
  <c r="U121" i="21"/>
  <c r="T121" i="21"/>
  <c r="S121" i="21"/>
  <c r="R121" i="21"/>
  <c r="Q121" i="21"/>
  <c r="P121" i="21"/>
  <c r="O121" i="21"/>
  <c r="N121" i="21"/>
  <c r="M121" i="21"/>
  <c r="L121" i="21"/>
  <c r="K121" i="21"/>
  <c r="J121" i="21"/>
  <c r="I121" i="21"/>
  <c r="H121" i="21"/>
  <c r="G121" i="21"/>
  <c r="F121" i="21"/>
  <c r="W120" i="21"/>
  <c r="V120" i="21"/>
  <c r="U120" i="21"/>
  <c r="T120" i="21"/>
  <c r="S120" i="21"/>
  <c r="R120" i="21"/>
  <c r="Q120" i="21"/>
  <c r="P120" i="21"/>
  <c r="O120" i="21"/>
  <c r="N120" i="21"/>
  <c r="M120" i="21"/>
  <c r="L120" i="21"/>
  <c r="K120" i="21"/>
  <c r="J120" i="21"/>
  <c r="I120" i="21"/>
  <c r="H120" i="21"/>
  <c r="G120" i="21"/>
  <c r="F120" i="21"/>
  <c r="X119" i="21"/>
  <c r="W119" i="21"/>
  <c r="V119" i="21"/>
  <c r="U119" i="21"/>
  <c r="T119" i="21"/>
  <c r="S119" i="21"/>
  <c r="R119" i="21"/>
  <c r="Q119" i="21"/>
  <c r="P119" i="21"/>
  <c r="O119" i="21"/>
  <c r="N119" i="21"/>
  <c r="M119" i="21"/>
  <c r="K119" i="21"/>
  <c r="J119" i="21"/>
  <c r="I119" i="21"/>
  <c r="H119" i="21"/>
  <c r="G119" i="21"/>
  <c r="F119" i="21"/>
  <c r="S118" i="21"/>
  <c r="P118" i="21"/>
  <c r="O118" i="21"/>
  <c r="N118" i="21"/>
  <c r="M118" i="21"/>
  <c r="L118" i="21"/>
  <c r="K118" i="21"/>
  <c r="J118" i="21"/>
  <c r="I118" i="21"/>
  <c r="H118" i="21"/>
  <c r="G118" i="21"/>
  <c r="F118" i="21"/>
  <c r="X117" i="21"/>
  <c r="W117" i="21"/>
  <c r="V117" i="21"/>
  <c r="U117" i="21"/>
  <c r="T117" i="21"/>
  <c r="S117" i="21"/>
  <c r="R117" i="21"/>
  <c r="Q117" i="21"/>
  <c r="P117" i="21"/>
  <c r="O117" i="21"/>
  <c r="N117" i="21"/>
  <c r="L117" i="21"/>
  <c r="K117" i="21"/>
  <c r="I117" i="21"/>
  <c r="H117" i="21"/>
  <c r="G117" i="21"/>
  <c r="F117" i="21"/>
  <c r="X116" i="21"/>
  <c r="W116" i="21"/>
  <c r="V116" i="21"/>
  <c r="U116" i="21"/>
  <c r="T116" i="21"/>
  <c r="S116" i="21"/>
  <c r="R116" i="21"/>
  <c r="Q116" i="21"/>
  <c r="P116" i="21"/>
  <c r="O116" i="21"/>
  <c r="N116" i="21"/>
  <c r="M116" i="21"/>
  <c r="L116" i="21"/>
  <c r="K116" i="21"/>
  <c r="J116" i="21"/>
  <c r="I116" i="21"/>
  <c r="H116" i="21"/>
  <c r="G116" i="21"/>
  <c r="F116" i="21"/>
  <c r="W115" i="21"/>
  <c r="U115" i="21"/>
  <c r="S115" i="21"/>
  <c r="R115" i="21"/>
  <c r="Q115" i="21"/>
  <c r="P115" i="21"/>
  <c r="O115" i="21"/>
  <c r="N115" i="21"/>
  <c r="M115" i="21"/>
  <c r="L115" i="21"/>
  <c r="I115" i="21"/>
  <c r="H115" i="21"/>
  <c r="G115" i="21"/>
  <c r="F115" i="21"/>
  <c r="AA114" i="21"/>
  <c r="X114" i="21"/>
  <c r="W114" i="21"/>
  <c r="V114" i="21"/>
  <c r="U114" i="21"/>
  <c r="T114" i="21"/>
  <c r="S114" i="21"/>
  <c r="R114" i="21"/>
  <c r="Q114" i="21"/>
  <c r="P114" i="21"/>
  <c r="O114" i="21"/>
  <c r="M114" i="21"/>
  <c r="L114" i="21"/>
  <c r="I114" i="21"/>
  <c r="H114" i="21"/>
  <c r="G114" i="21"/>
  <c r="X113" i="21"/>
  <c r="W113" i="21"/>
  <c r="V113" i="21"/>
  <c r="U113" i="21"/>
  <c r="T113" i="21"/>
  <c r="S113" i="21"/>
  <c r="R113" i="21"/>
  <c r="Q113" i="21"/>
  <c r="P113" i="21"/>
  <c r="O113" i="21"/>
  <c r="N113" i="21"/>
  <c r="M113" i="21"/>
  <c r="L113" i="21"/>
  <c r="K113" i="21"/>
  <c r="J113" i="21"/>
  <c r="I113" i="21"/>
  <c r="H113" i="21"/>
  <c r="G113" i="21"/>
  <c r="F113" i="21"/>
  <c r="X112" i="21"/>
  <c r="W112" i="21"/>
  <c r="V112" i="21"/>
  <c r="U112" i="21"/>
  <c r="T112" i="21"/>
  <c r="S112" i="21"/>
  <c r="R112" i="21"/>
  <c r="Q112" i="21"/>
  <c r="O112" i="21"/>
  <c r="N112" i="21"/>
  <c r="M112" i="21"/>
  <c r="L112" i="21"/>
  <c r="K112" i="21"/>
  <c r="J112" i="21"/>
  <c r="I112" i="21"/>
  <c r="P111" i="21"/>
  <c r="N111" i="21"/>
  <c r="L111" i="21"/>
  <c r="K111" i="21"/>
  <c r="G111" i="21"/>
  <c r="X110" i="21"/>
  <c r="W110" i="21"/>
  <c r="V110" i="21"/>
  <c r="U110" i="21"/>
  <c r="T110" i="21"/>
  <c r="S110" i="21"/>
  <c r="R110" i="21"/>
  <c r="Q110" i="21"/>
  <c r="P110" i="21"/>
  <c r="O110" i="21"/>
  <c r="N110" i="21"/>
  <c r="M110" i="21"/>
  <c r="L110" i="21"/>
  <c r="K110" i="21"/>
  <c r="J110" i="21"/>
  <c r="I110" i="21"/>
  <c r="H110" i="21"/>
  <c r="G110" i="21"/>
  <c r="F110" i="21"/>
  <c r="X109" i="21"/>
  <c r="W109" i="21"/>
  <c r="V109" i="21"/>
  <c r="U109" i="21"/>
  <c r="T109" i="21"/>
  <c r="S109" i="21"/>
  <c r="R109" i="21"/>
  <c r="Q109" i="21"/>
  <c r="P109" i="21"/>
  <c r="O109" i="21"/>
  <c r="N109" i="21"/>
  <c r="M109" i="21"/>
  <c r="L109" i="21"/>
  <c r="K109" i="21"/>
  <c r="J109" i="21"/>
  <c r="I109" i="21"/>
  <c r="H109" i="21"/>
  <c r="G109" i="21"/>
  <c r="F109" i="21"/>
  <c r="X108" i="21"/>
  <c r="W108" i="21"/>
  <c r="V108" i="21"/>
  <c r="U108" i="21"/>
  <c r="T108" i="21"/>
  <c r="S108" i="21"/>
  <c r="R108" i="21"/>
  <c r="Q108" i="21"/>
  <c r="P108" i="21"/>
  <c r="O108" i="21"/>
  <c r="N108" i="21"/>
  <c r="M108" i="21"/>
  <c r="L108" i="21"/>
  <c r="K108" i="21"/>
  <c r="J108" i="21"/>
  <c r="I108" i="21"/>
  <c r="H108" i="21"/>
  <c r="G108" i="21"/>
  <c r="F108" i="21"/>
  <c r="X107" i="21"/>
  <c r="W107" i="21"/>
  <c r="V107" i="21"/>
  <c r="U107" i="21"/>
  <c r="T107" i="21"/>
  <c r="S107" i="21"/>
  <c r="R107" i="21"/>
  <c r="Q107" i="21"/>
  <c r="P107" i="21"/>
  <c r="O107" i="21"/>
  <c r="N107" i="21"/>
  <c r="M107" i="21"/>
  <c r="L107" i="21"/>
  <c r="K107" i="21"/>
  <c r="J107" i="21"/>
  <c r="I107" i="21"/>
  <c r="H107" i="21"/>
  <c r="G107" i="21"/>
  <c r="F107" i="21"/>
  <c r="X106" i="21"/>
  <c r="W106" i="21"/>
  <c r="V106" i="21"/>
  <c r="U106" i="21"/>
  <c r="T106" i="21"/>
  <c r="S106" i="21"/>
  <c r="R106" i="21"/>
  <c r="Q106" i="21"/>
  <c r="P106" i="21"/>
  <c r="O106" i="21"/>
  <c r="N106" i="21"/>
  <c r="M106" i="21"/>
  <c r="L106" i="21"/>
  <c r="K106" i="21"/>
  <c r="J106" i="21"/>
  <c r="I106" i="21"/>
  <c r="H106" i="21"/>
  <c r="G106" i="21"/>
  <c r="F106" i="21"/>
  <c r="X105" i="21"/>
  <c r="W105" i="21"/>
  <c r="V105" i="21"/>
  <c r="U105" i="21"/>
  <c r="T105" i="21"/>
  <c r="S105" i="21"/>
  <c r="R105" i="21"/>
  <c r="Q105" i="21"/>
  <c r="P105" i="21"/>
  <c r="O105" i="21"/>
  <c r="N105" i="21"/>
  <c r="M105" i="21"/>
  <c r="L105" i="21"/>
  <c r="K105" i="21"/>
  <c r="J105" i="21"/>
  <c r="I105" i="21"/>
  <c r="H105" i="21"/>
  <c r="G105" i="21"/>
  <c r="F105" i="21"/>
  <c r="X104" i="21"/>
  <c r="W104" i="21"/>
  <c r="V104" i="21"/>
  <c r="U104" i="21"/>
  <c r="T104" i="21"/>
  <c r="S104" i="21"/>
  <c r="R104" i="21"/>
  <c r="Q104" i="21"/>
  <c r="P104" i="21"/>
  <c r="O104" i="21"/>
  <c r="N104" i="21"/>
  <c r="M104" i="21"/>
  <c r="L104" i="21"/>
  <c r="K104" i="21"/>
  <c r="J104" i="21"/>
  <c r="I104" i="21"/>
  <c r="H104" i="21"/>
  <c r="G104" i="21"/>
  <c r="F104" i="21"/>
  <c r="AA103" i="21"/>
  <c r="M13" i="21"/>
  <c r="M103" i="21"/>
  <c r="J9" i="21"/>
  <c r="K8" i="21"/>
  <c r="Z90" i="21"/>
  <c r="Y90" i="21"/>
  <c r="Y89" i="21"/>
  <c r="Z88" i="21"/>
  <c r="Y88" i="21"/>
  <c r="Z87" i="21"/>
  <c r="Z86" i="21"/>
  <c r="Y86" i="21"/>
  <c r="AA86" i="21" s="1"/>
  <c r="Z85" i="21"/>
  <c r="Y85" i="21"/>
  <c r="Y83" i="21"/>
  <c r="AG82" i="21"/>
  <c r="AH82" i="21" s="1"/>
  <c r="AI82" i="21" s="1"/>
  <c r="AJ82" i="21"/>
  <c r="AG81" i="21"/>
  <c r="AH81" i="21" s="1"/>
  <c r="AI81" i="21" s="1"/>
  <c r="AJ81" i="21"/>
  <c r="AG80" i="21"/>
  <c r="AH80" i="21" s="1"/>
  <c r="AI80" i="21" s="1"/>
  <c r="Z80" i="21"/>
  <c r="Y80" i="21"/>
  <c r="AG79" i="21"/>
  <c r="AH79" i="21"/>
  <c r="Y79" i="21"/>
  <c r="Z79" i="21"/>
  <c r="AA79" i="21" s="1"/>
  <c r="Z78" i="21"/>
  <c r="Y78" i="21"/>
  <c r="Z77" i="21"/>
  <c r="Y77" i="21"/>
  <c r="AC76" i="21"/>
  <c r="Z76" i="21"/>
  <c r="AA76" i="21" s="1"/>
  <c r="Y76" i="21"/>
  <c r="Z75" i="21"/>
  <c r="Y75" i="21"/>
  <c r="Y74" i="21"/>
  <c r="AA74" i="21" s="1"/>
  <c r="Z74" i="21"/>
  <c r="V73" i="21"/>
  <c r="Z73" i="21"/>
  <c r="Y73" i="21"/>
  <c r="Z72" i="21"/>
  <c r="Y72" i="21"/>
  <c r="AA72" i="21" s="1"/>
  <c r="Z71" i="21"/>
  <c r="Y71" i="21"/>
  <c r="AA70" i="21"/>
  <c r="X70" i="21"/>
  <c r="V70" i="21"/>
  <c r="V56" i="21" s="1"/>
  <c r="AX160" i="21"/>
  <c r="T70" i="21"/>
  <c r="AV160" i="21" s="1"/>
  <c r="Y70" i="21"/>
  <c r="Z69" i="21"/>
  <c r="BB159" i="21" s="1"/>
  <c r="Z68" i="21"/>
  <c r="Y68" i="21"/>
  <c r="AC67" i="21"/>
  <c r="AC66" i="21"/>
  <c r="V66" i="21"/>
  <c r="AX156" i="21"/>
  <c r="U66" i="21"/>
  <c r="U55" i="21" s="1"/>
  <c r="Z83" i="21"/>
  <c r="F66" i="21"/>
  <c r="Z65" i="21"/>
  <c r="Y65" i="21"/>
  <c r="AC64" i="21"/>
  <c r="Z64" i="21"/>
  <c r="Y64" i="21"/>
  <c r="AA64" i="21" s="1"/>
  <c r="AC63" i="21"/>
  <c r="Z63" i="21"/>
  <c r="Y63" i="21"/>
  <c r="Y62" i="21"/>
  <c r="Z62" i="21"/>
  <c r="AA62" i="21"/>
  <c r="Z61" i="21"/>
  <c r="Y61" i="21"/>
  <c r="AA61" i="21" s="1"/>
  <c r="Z60" i="21"/>
  <c r="Y60" i="21"/>
  <c r="AA60" i="21" s="1"/>
  <c r="Y59" i="21"/>
  <c r="Z59" i="21"/>
  <c r="X58" i="21"/>
  <c r="W58" i="21"/>
  <c r="V58" i="21"/>
  <c r="U58" i="21"/>
  <c r="T58" i="21"/>
  <c r="S58" i="21"/>
  <c r="R58" i="21"/>
  <c r="Q58" i="21"/>
  <c r="P58" i="21"/>
  <c r="O58" i="21"/>
  <c r="N58" i="21"/>
  <c r="M58" i="21"/>
  <c r="Z58" i="21" s="1"/>
  <c r="L58" i="21"/>
  <c r="K58" i="21"/>
  <c r="J58" i="21"/>
  <c r="I58" i="21"/>
  <c r="H58" i="21"/>
  <c r="G58" i="21"/>
  <c r="F58" i="21"/>
  <c r="AA57" i="21"/>
  <c r="AA102" i="21" s="1"/>
  <c r="X57" i="21"/>
  <c r="W57" i="21"/>
  <c r="V57" i="21"/>
  <c r="U57" i="21"/>
  <c r="T57" i="21"/>
  <c r="S57" i="21"/>
  <c r="R57" i="21"/>
  <c r="Q57" i="21"/>
  <c r="P57" i="21"/>
  <c r="O57" i="21"/>
  <c r="N57" i="21"/>
  <c r="M57" i="21"/>
  <c r="L57" i="21"/>
  <c r="K57" i="21"/>
  <c r="J57" i="21"/>
  <c r="Y57" i="21" s="1"/>
  <c r="Y102" i="21" s="1"/>
  <c r="I57" i="21"/>
  <c r="H57" i="21"/>
  <c r="G57" i="21"/>
  <c r="F57" i="21"/>
  <c r="AB56" i="21"/>
  <c r="W56" i="21"/>
  <c r="U56" i="21"/>
  <c r="T56" i="21"/>
  <c r="AV146" i="21" s="1"/>
  <c r="S56" i="21"/>
  <c r="R56" i="21"/>
  <c r="Q56" i="21"/>
  <c r="P56" i="21"/>
  <c r="O56" i="21"/>
  <c r="N56" i="21"/>
  <c r="M56" i="21"/>
  <c r="L56" i="21"/>
  <c r="I56" i="21"/>
  <c r="H56" i="21"/>
  <c r="G56" i="21"/>
  <c r="X55" i="21"/>
  <c r="W55" i="21"/>
  <c r="W100" i="21" s="1"/>
  <c r="V55" i="21"/>
  <c r="T55" i="21"/>
  <c r="S55" i="21"/>
  <c r="R55" i="21"/>
  <c r="Q55" i="21"/>
  <c r="N55" i="21"/>
  <c r="AP145" i="21" s="1"/>
  <c r="M55" i="21"/>
  <c r="L55" i="21"/>
  <c r="K55" i="21"/>
  <c r="I55" i="21"/>
  <c r="X54" i="21"/>
  <c r="W54" i="21"/>
  <c r="V54" i="21"/>
  <c r="U54" i="21"/>
  <c r="U52" i="21"/>
  <c r="U53" i="21"/>
  <c r="T54" i="21"/>
  <c r="S54" i="21"/>
  <c r="R54" i="21"/>
  <c r="Q54" i="21"/>
  <c r="Q52" i="21"/>
  <c r="Q53" i="21"/>
  <c r="P54" i="21"/>
  <c r="O54" i="21"/>
  <c r="N54" i="21"/>
  <c r="M54" i="21"/>
  <c r="L54" i="21"/>
  <c r="K54" i="21"/>
  <c r="J54" i="21"/>
  <c r="Y54" i="21" s="1"/>
  <c r="I54" i="21"/>
  <c r="I52" i="21"/>
  <c r="I50" i="21" s="1"/>
  <c r="I53" i="21"/>
  <c r="H54" i="21"/>
  <c r="G54" i="21"/>
  <c r="F54" i="21"/>
  <c r="X53" i="21"/>
  <c r="W53" i="21"/>
  <c r="V53" i="21"/>
  <c r="V50" i="21" s="1"/>
  <c r="T53" i="21"/>
  <c r="S53" i="21"/>
  <c r="R53" i="21"/>
  <c r="P53" i="21"/>
  <c r="O53" i="21"/>
  <c r="N53" i="21"/>
  <c r="M53" i="21"/>
  <c r="L53" i="21"/>
  <c r="L50" i="21" s="1"/>
  <c r="K53" i="21"/>
  <c r="J53" i="21"/>
  <c r="H53" i="21"/>
  <c r="G53" i="21"/>
  <c r="F53" i="21"/>
  <c r="X52" i="21"/>
  <c r="W52" i="21"/>
  <c r="W50" i="21"/>
  <c r="V52" i="21"/>
  <c r="T52" i="21"/>
  <c r="S52" i="21"/>
  <c r="R52" i="21"/>
  <c r="P52" i="21"/>
  <c r="O52" i="21"/>
  <c r="O50" i="21" s="1"/>
  <c r="N52" i="21"/>
  <c r="M52" i="21"/>
  <c r="M50" i="21" s="1"/>
  <c r="AB51" i="21" s="1"/>
  <c r="L52" i="21"/>
  <c r="K52" i="21"/>
  <c r="J52" i="21"/>
  <c r="H52" i="21"/>
  <c r="H50" i="21" s="1"/>
  <c r="G52" i="21"/>
  <c r="G50" i="21" s="1"/>
  <c r="F52" i="21"/>
  <c r="AH51" i="21"/>
  <c r="AG51" i="21"/>
  <c r="AG53" i="21" s="1"/>
  <c r="AC45" i="21"/>
  <c r="Z45" i="21"/>
  <c r="Z135" i="21" s="1"/>
  <c r="Y45" i="21"/>
  <c r="Y44" i="21"/>
  <c r="Z44" i="21"/>
  <c r="Z43" i="21"/>
  <c r="Z133" i="21" s="1"/>
  <c r="Y43" i="21"/>
  <c r="Z42" i="21"/>
  <c r="Z41" i="21"/>
  <c r="Z131" i="21" s="1"/>
  <c r="Y41" i="21"/>
  <c r="Z40" i="21"/>
  <c r="Z130" i="21" s="1"/>
  <c r="Y40" i="21"/>
  <c r="K129" i="21"/>
  <c r="R127" i="21"/>
  <c r="K126" i="21"/>
  <c r="F126" i="21"/>
  <c r="Z35" i="21"/>
  <c r="Z125" i="21" s="1"/>
  <c r="Y35" i="21"/>
  <c r="Y34" i="21"/>
  <c r="Z34" i="21"/>
  <c r="Z124" i="21"/>
  <c r="Z33" i="21"/>
  <c r="Z123" i="21" s="1"/>
  <c r="Y33" i="21"/>
  <c r="Z32" i="21"/>
  <c r="Z122" i="21" s="1"/>
  <c r="Y32" i="21"/>
  <c r="AH31" i="21"/>
  <c r="Z31" i="21"/>
  <c r="Z121" i="21" s="1"/>
  <c r="Y31" i="21"/>
  <c r="Y30" i="21"/>
  <c r="Y120" i="21" s="1"/>
  <c r="X30" i="21"/>
  <c r="Z29" i="21"/>
  <c r="Y29" i="21"/>
  <c r="Y119" i="21" s="1"/>
  <c r="L29" i="21"/>
  <c r="Y28" i="21"/>
  <c r="X28" i="21"/>
  <c r="W28" i="21"/>
  <c r="W12" i="21" s="1"/>
  <c r="W102" i="21" s="1"/>
  <c r="V28" i="21"/>
  <c r="U28" i="21"/>
  <c r="U12" i="21" s="1"/>
  <c r="U102" i="21" s="1"/>
  <c r="T28" i="21"/>
  <c r="T208" i="21" s="1"/>
  <c r="R28" i="21"/>
  <c r="Q28" i="21"/>
  <c r="Q12" i="21" s="1"/>
  <c r="M27" i="21"/>
  <c r="M12" i="21" s="1"/>
  <c r="M102" i="21" s="1"/>
  <c r="J27" i="21"/>
  <c r="E27" i="21"/>
  <c r="Z26" i="21"/>
  <c r="Z116" i="21" s="1"/>
  <c r="Y26" i="21"/>
  <c r="AF25" i="21"/>
  <c r="Z25" i="21"/>
  <c r="Y25" i="21"/>
  <c r="Y115" i="21" s="1"/>
  <c r="J24" i="21"/>
  <c r="F24" i="21"/>
  <c r="Z23" i="21"/>
  <c r="Z113" i="21" s="1"/>
  <c r="Y23" i="21"/>
  <c r="AG22" i="21"/>
  <c r="AG25" i="21" s="1"/>
  <c r="Z22" i="21"/>
  <c r="Z157" i="21" s="1"/>
  <c r="X21" i="21"/>
  <c r="X10" i="21" s="1"/>
  <c r="W21" i="21"/>
  <c r="Q21" i="21"/>
  <c r="Q11" i="21"/>
  <c r="Q13" i="21"/>
  <c r="Q103" i="21" s="1"/>
  <c r="Y20" i="21"/>
  <c r="Y110" i="21" s="1"/>
  <c r="Z20" i="21"/>
  <c r="Z110" i="21"/>
  <c r="Z19" i="21"/>
  <c r="Y19" i="21"/>
  <c r="Y109" i="21" s="1"/>
  <c r="Z18" i="21"/>
  <c r="Y18" i="21"/>
  <c r="Z17" i="21"/>
  <c r="Z107" i="21" s="1"/>
  <c r="Y17" i="21"/>
  <c r="Y107" i="21"/>
  <c r="Z16" i="21"/>
  <c r="Z106" i="21" s="1"/>
  <c r="Y16" i="21"/>
  <c r="Z15" i="21"/>
  <c r="Z105" i="21" s="1"/>
  <c r="Y15" i="21"/>
  <c r="Z14" i="21"/>
  <c r="Z104" i="21" s="1"/>
  <c r="Y14" i="21"/>
  <c r="Y104" i="21" s="1"/>
  <c r="W13" i="21"/>
  <c r="W103" i="21"/>
  <c r="V13" i="21"/>
  <c r="V103" i="21" s="1"/>
  <c r="U13" i="21"/>
  <c r="U103" i="21" s="1"/>
  <c r="T13" i="21"/>
  <c r="T103" i="21"/>
  <c r="S13" i="21"/>
  <c r="S103" i="21"/>
  <c r="R13" i="21"/>
  <c r="R103" i="21" s="1"/>
  <c r="P13" i="21"/>
  <c r="P103" i="21" s="1"/>
  <c r="O13" i="21"/>
  <c r="N13" i="21"/>
  <c r="N103" i="21" s="1"/>
  <c r="L13" i="21"/>
  <c r="L103" i="21" s="1"/>
  <c r="K13" i="21"/>
  <c r="K103" i="21" s="1"/>
  <c r="J13" i="21"/>
  <c r="I13" i="21"/>
  <c r="I103" i="21" s="1"/>
  <c r="H13" i="21"/>
  <c r="G13" i="21"/>
  <c r="G103" i="21" s="1"/>
  <c r="F13" i="21"/>
  <c r="AC12" i="21"/>
  <c r="S12" i="21"/>
  <c r="S102" i="21" s="1"/>
  <c r="P12" i="21"/>
  <c r="P102" i="21"/>
  <c r="O12" i="21"/>
  <c r="O102" i="21" s="1"/>
  <c r="N12" i="21"/>
  <c r="N102" i="21" s="1"/>
  <c r="K12" i="21"/>
  <c r="K102" i="21"/>
  <c r="J12" i="21"/>
  <c r="I12" i="21"/>
  <c r="I102" i="21" s="1"/>
  <c r="H12" i="21"/>
  <c r="H102" i="21" s="1"/>
  <c r="G12" i="21"/>
  <c r="G102" i="21"/>
  <c r="F12" i="21"/>
  <c r="F102" i="21"/>
  <c r="X11" i="21"/>
  <c r="X146" i="21" s="1"/>
  <c r="W11" i="21"/>
  <c r="W101" i="21" s="1"/>
  <c r="V11" i="21"/>
  <c r="V101" i="21"/>
  <c r="U11" i="21"/>
  <c r="U101" i="21"/>
  <c r="T11" i="21"/>
  <c r="S11" i="21"/>
  <c r="R11" i="21"/>
  <c r="R101" i="21" s="1"/>
  <c r="Q101" i="21"/>
  <c r="P11" i="21"/>
  <c r="P101" i="21" s="1"/>
  <c r="O11" i="21"/>
  <c r="N11" i="21"/>
  <c r="M11" i="21"/>
  <c r="M101" i="21" s="1"/>
  <c r="L11" i="21"/>
  <c r="L101" i="21"/>
  <c r="I11" i="21"/>
  <c r="I101" i="21" s="1"/>
  <c r="H11" i="21"/>
  <c r="H101" i="21" s="1"/>
  <c r="G11" i="21"/>
  <c r="V10" i="21"/>
  <c r="R10" i="21"/>
  <c r="R100" i="21" s="1"/>
  <c r="P10" i="21"/>
  <c r="O10" i="21"/>
  <c r="N10" i="21"/>
  <c r="L10" i="21"/>
  <c r="L100" i="21" s="1"/>
  <c r="K10" i="21"/>
  <c r="K100" i="21" s="1"/>
  <c r="J10" i="21"/>
  <c r="I10" i="21"/>
  <c r="X9" i="21"/>
  <c r="X99" i="21" s="1"/>
  <c r="W9" i="21"/>
  <c r="W99" i="21"/>
  <c r="V9" i="21"/>
  <c r="V99" i="21"/>
  <c r="U9" i="21"/>
  <c r="U99" i="21" s="1"/>
  <c r="T9" i="21"/>
  <c r="T99" i="21" s="1"/>
  <c r="S9" i="21"/>
  <c r="S99" i="21"/>
  <c r="R9" i="21"/>
  <c r="R99" i="21"/>
  <c r="Q9" i="21"/>
  <c r="Q99" i="21" s="1"/>
  <c r="P9" i="21"/>
  <c r="P99" i="21" s="1"/>
  <c r="O9" i="21"/>
  <c r="O99" i="21"/>
  <c r="N9" i="21"/>
  <c r="N99" i="21"/>
  <c r="M9" i="21"/>
  <c r="M99" i="21" s="1"/>
  <c r="L9" i="21"/>
  <c r="L99" i="21"/>
  <c r="K9" i="21"/>
  <c r="K99" i="21"/>
  <c r="J7" i="21"/>
  <c r="J8" i="21"/>
  <c r="J98" i="21" s="1"/>
  <c r="I9" i="21"/>
  <c r="I99" i="21" s="1"/>
  <c r="H9" i="21"/>
  <c r="H99" i="21" s="1"/>
  <c r="G9" i="21"/>
  <c r="G99" i="21"/>
  <c r="F9" i="21"/>
  <c r="X8" i="21"/>
  <c r="X98" i="21" s="1"/>
  <c r="W8" i="21"/>
  <c r="W98" i="21" s="1"/>
  <c r="V8" i="21"/>
  <c r="V98" i="21" s="1"/>
  <c r="U8" i="21"/>
  <c r="U98" i="21"/>
  <c r="T8" i="21"/>
  <c r="S8" i="21"/>
  <c r="R8" i="21"/>
  <c r="R98" i="21" s="1"/>
  <c r="Q8" i="21"/>
  <c r="P8" i="21"/>
  <c r="O8" i="21"/>
  <c r="O98" i="21"/>
  <c r="N8" i="21"/>
  <c r="N98" i="21" s="1"/>
  <c r="M8" i="21"/>
  <c r="M98" i="21" s="1"/>
  <c r="L8" i="21"/>
  <c r="I8" i="21"/>
  <c r="I98" i="21" s="1"/>
  <c r="H8" i="21"/>
  <c r="G8" i="21"/>
  <c r="G98" i="21"/>
  <c r="F8" i="21"/>
  <c r="F98" i="21" s="1"/>
  <c r="X7" i="21"/>
  <c r="X97" i="21" s="1"/>
  <c r="W7" i="21"/>
  <c r="W97" i="21" s="1"/>
  <c r="V7" i="21"/>
  <c r="V97" i="21"/>
  <c r="U7" i="21"/>
  <c r="T7" i="21"/>
  <c r="S7" i="21"/>
  <c r="S97" i="21" s="1"/>
  <c r="R7" i="21"/>
  <c r="R97" i="21"/>
  <c r="Q7" i="21"/>
  <c r="Q97" i="21" s="1"/>
  <c r="P7" i="21"/>
  <c r="O7" i="21"/>
  <c r="O97" i="21" s="1"/>
  <c r="N7" i="21"/>
  <c r="N97" i="21"/>
  <c r="M7" i="21"/>
  <c r="L7" i="21"/>
  <c r="L97" i="21" s="1"/>
  <c r="K7" i="21"/>
  <c r="K97" i="21" s="1"/>
  <c r="J97" i="21"/>
  <c r="I7" i="21"/>
  <c r="I97" i="21" s="1"/>
  <c r="H7" i="21"/>
  <c r="G7" i="21"/>
  <c r="G97" i="21" s="1"/>
  <c r="F7" i="21"/>
  <c r="F5" i="21" s="1"/>
  <c r="F95" i="21" s="1"/>
  <c r="V5" i="21"/>
  <c r="V95" i="21" s="1"/>
  <c r="R5" i="21"/>
  <c r="R95" i="21"/>
  <c r="N5" i="21"/>
  <c r="N95" i="21" s="1"/>
  <c r="D5" i="21"/>
  <c r="G10" i="21"/>
  <c r="AA17" i="21"/>
  <c r="AA107" i="21" s="1"/>
  <c r="T50" i="21"/>
  <c r="R50" i="21"/>
  <c r="X56" i="21"/>
  <c r="AZ160" i="21"/>
  <c r="AA73" i="21"/>
  <c r="AA78" i="21"/>
  <c r="I5" i="21"/>
  <c r="I95" i="21"/>
  <c r="M10" i="21"/>
  <c r="T146" i="21"/>
  <c r="Z24" i="21"/>
  <c r="Y53" i="21"/>
  <c r="AA65" i="21"/>
  <c r="I127" i="21"/>
  <c r="Y84" i="21"/>
  <c r="T98" i="21"/>
  <c r="R51" i="21"/>
  <c r="AH157" i="21"/>
  <c r="AA15" i="21"/>
  <c r="AA105" i="21" s="1"/>
  <c r="AA85" i="21"/>
  <c r="AA71" i="21"/>
  <c r="AA80" i="21"/>
  <c r="AA90" i="21"/>
  <c r="Q185" i="21"/>
  <c r="Y234" i="21"/>
  <c r="F237" i="21"/>
  <c r="J252" i="21"/>
  <c r="J237" i="21" s="1"/>
  <c r="AA211" i="21"/>
  <c r="AA194" i="21"/>
  <c r="AA215" i="21"/>
  <c r="R236" i="21"/>
  <c r="V236" i="21"/>
  <c r="AX191" i="21"/>
  <c r="I185" i="21"/>
  <c r="AK140" i="21" s="1"/>
  <c r="AA198" i="21"/>
  <c r="AD302" i="21"/>
  <c r="Z114" i="21"/>
  <c r="Z159" i="21"/>
  <c r="O111" i="21"/>
  <c r="AQ156" i="21"/>
  <c r="O55" i="21"/>
  <c r="P129" i="21"/>
  <c r="H98" i="21"/>
  <c r="X255" i="21"/>
  <c r="X238" i="21" s="1"/>
  <c r="Z238" i="21" s="1"/>
  <c r="X210" i="21"/>
  <c r="Z30" i="21"/>
  <c r="Z120" i="21" s="1"/>
  <c r="X13" i="21"/>
  <c r="X103" i="21" s="1"/>
  <c r="AP146" i="21"/>
  <c r="N51" i="21"/>
  <c r="Y8" i="21"/>
  <c r="Y98" i="21" s="1"/>
  <c r="Z9" i="21"/>
  <c r="Z99" i="21" s="1"/>
  <c r="I100" i="21"/>
  <c r="I145" i="21"/>
  <c r="G29" i="20" s="1"/>
  <c r="S101" i="21"/>
  <c r="M246" i="21"/>
  <c r="M235" i="21" s="1"/>
  <c r="P72" i="20" s="1"/>
  <c r="M201" i="21"/>
  <c r="M111" i="21"/>
  <c r="J207" i="21"/>
  <c r="Y27" i="21"/>
  <c r="Y117" i="21" s="1"/>
  <c r="L254" i="21"/>
  <c r="L209" i="21"/>
  <c r="L12" i="21"/>
  <c r="Y122" i="21"/>
  <c r="Y125" i="21"/>
  <c r="AA35" i="21"/>
  <c r="AA125" i="21" s="1"/>
  <c r="AK145" i="21"/>
  <c r="I51" i="21"/>
  <c r="AK141" i="21" s="1"/>
  <c r="AA77" i="21"/>
  <c r="X101" i="21"/>
  <c r="Y113" i="21"/>
  <c r="P127" i="21"/>
  <c r="J249" i="21"/>
  <c r="J204" i="21"/>
  <c r="J11" i="21"/>
  <c r="T253" i="21"/>
  <c r="X253" i="21"/>
  <c r="X237" i="21" s="1"/>
  <c r="Y135" i="21"/>
  <c r="AH156" i="21"/>
  <c r="F55" i="21"/>
  <c r="AH145" i="21" s="1"/>
  <c r="Z66" i="21"/>
  <c r="G230" i="21"/>
  <c r="G5" i="21"/>
  <c r="G95" i="21" s="1"/>
  <c r="W5" i="21"/>
  <c r="W95" i="21" s="1"/>
  <c r="Y12" i="21"/>
  <c r="Y108" i="21"/>
  <c r="U253" i="21"/>
  <c r="U237" i="21" s="1"/>
  <c r="U208" i="21"/>
  <c r="Y105" i="21"/>
  <c r="O5" i="21"/>
  <c r="O95" i="21" s="1"/>
  <c r="F99" i="21"/>
  <c r="V100" i="21"/>
  <c r="G101" i="21"/>
  <c r="Q201" i="21"/>
  <c r="W246" i="21"/>
  <c r="W201" i="21"/>
  <c r="W126" i="21"/>
  <c r="W10" i="21"/>
  <c r="Y116" i="21"/>
  <c r="AA26" i="21"/>
  <c r="AA116" i="21"/>
  <c r="F50" i="21"/>
  <c r="J55" i="21"/>
  <c r="J100" i="21" s="1"/>
  <c r="G55" i="21"/>
  <c r="G100" i="21" s="1"/>
  <c r="J69" i="21"/>
  <c r="J56" i="21" s="1"/>
  <c r="P98" i="21"/>
  <c r="J111" i="21"/>
  <c r="R246" i="21"/>
  <c r="R201" i="21"/>
  <c r="R190" i="21" s="1"/>
  <c r="K249" i="21"/>
  <c r="O59" i="20" s="1"/>
  <c r="O111" i="20" s="1"/>
  <c r="K204" i="21"/>
  <c r="J250" i="21"/>
  <c r="J205" i="21"/>
  <c r="Q253" i="21"/>
  <c r="Q208" i="21"/>
  <c r="N127" i="21"/>
  <c r="Z70" i="21"/>
  <c r="V146" i="21"/>
  <c r="G157" i="21"/>
  <c r="H145" i="21"/>
  <c r="F29" i="20" s="1"/>
  <c r="AK216" i="21"/>
  <c r="T201" i="21"/>
  <c r="N249" i="21"/>
  <c r="N236" i="21" s="1"/>
  <c r="AP191" i="21" s="1"/>
  <c r="N114" i="21"/>
  <c r="K205" i="21"/>
  <c r="K115" i="21"/>
  <c r="W253" i="21"/>
  <c r="W237" i="21" s="1"/>
  <c r="W208" i="21"/>
  <c r="W192" i="21" s="1"/>
  <c r="Z89" i="21"/>
  <c r="I126" i="21"/>
  <c r="I111" i="21"/>
  <c r="J115" i="21"/>
  <c r="BA200" i="21"/>
  <c r="AA200" i="21"/>
  <c r="AO188" i="21"/>
  <c r="Z188" i="21"/>
  <c r="Y188" i="21"/>
  <c r="AJ189" i="21"/>
  <c r="H185" i="21"/>
  <c r="AN189" i="21"/>
  <c r="AR189" i="21"/>
  <c r="P185" i="21"/>
  <c r="AV189" i="21"/>
  <c r="T185" i="21"/>
  <c r="AV185" i="21" s="1"/>
  <c r="AZ189" i="21"/>
  <c r="X185" i="21"/>
  <c r="AZ185" i="21" s="1"/>
  <c r="Y222" i="21"/>
  <c r="Y202" i="21"/>
  <c r="BA202" i="21" s="1"/>
  <c r="M185" i="21"/>
  <c r="M140" i="21" s="1"/>
  <c r="AO187" i="21"/>
  <c r="Z187" i="21"/>
  <c r="Y187" i="21"/>
  <c r="AO191" i="21"/>
  <c r="AN187" i="21"/>
  <c r="AN188" i="21"/>
  <c r="BB195" i="21"/>
  <c r="AA195" i="21"/>
  <c r="J190" i="21"/>
  <c r="H12" i="20" s="1"/>
  <c r="AL201" i="21"/>
  <c r="S191" i="21"/>
  <c r="Z191" i="21" s="1"/>
  <c r="Z205" i="21"/>
  <c r="BA208" i="21"/>
  <c r="AN193" i="21"/>
  <c r="BA196" i="21"/>
  <c r="AA196" i="21"/>
  <c r="AU205" i="21"/>
  <c r="AN190" i="21"/>
  <c r="AN191" i="21"/>
  <c r="AO193" i="21"/>
  <c r="Y193" i="21"/>
  <c r="BA193" i="21" s="1"/>
  <c r="BB199" i="21"/>
  <c r="AA199" i="21"/>
  <c r="BA210" i="21"/>
  <c r="BB212" i="21"/>
  <c r="AA212" i="21"/>
  <c r="AM173" i="21"/>
  <c r="BA225" i="21"/>
  <c r="AA225" i="21"/>
  <c r="BC225" i="21" s="1"/>
  <c r="L237" i="21"/>
  <c r="J72" i="20" s="1"/>
  <c r="Y201" i="21"/>
  <c r="AM201" i="21"/>
  <c r="Z234" i="21"/>
  <c r="AA197" i="21"/>
  <c r="Y217" i="21"/>
  <c r="AA206" i="21"/>
  <c r="BC206" i="21" s="1"/>
  <c r="BA214" i="21"/>
  <c r="AA214" i="21"/>
  <c r="AB303" i="21"/>
  <c r="AA213" i="21"/>
  <c r="AA220" i="21"/>
  <c r="BC220" i="21" s="1"/>
  <c r="AC303" i="21"/>
  <c r="I235" i="21"/>
  <c r="AH177" i="21"/>
  <c r="Q140" i="21"/>
  <c r="BC198" i="21"/>
  <c r="BC153" i="21"/>
  <c r="AA153" i="21"/>
  <c r="BC215" i="21"/>
  <c r="BC170" i="21"/>
  <c r="AA170" i="21"/>
  <c r="BC194" i="21"/>
  <c r="AA149" i="21"/>
  <c r="BC149" i="21"/>
  <c r="AA166" i="21"/>
  <c r="BC175" i="21"/>
  <c r="BC197" i="21"/>
  <c r="AA152" i="21"/>
  <c r="BC152" i="21"/>
  <c r="BA187" i="21"/>
  <c r="BA142" i="21"/>
  <c r="Y142" i="21"/>
  <c r="AH171" i="21"/>
  <c r="Y204" i="21"/>
  <c r="BA204" i="21" s="1"/>
  <c r="AL204" i="21"/>
  <c r="L6" i="21"/>
  <c r="AO171" i="21"/>
  <c r="AO173" i="21"/>
  <c r="AO172" i="21"/>
  <c r="M190" i="21"/>
  <c r="P12" i="20" s="1"/>
  <c r="AO156" i="21"/>
  <c r="AQ174" i="21"/>
  <c r="Z84" i="21"/>
  <c r="L231" i="21"/>
  <c r="AM172" i="21"/>
  <c r="BC199" i="21"/>
  <c r="AA154" i="21"/>
  <c r="BC154" i="21"/>
  <c r="AL145" i="21"/>
  <c r="J145" i="21"/>
  <c r="H29" i="20" s="1"/>
  <c r="AJ185" i="21"/>
  <c r="H140" i="21"/>
  <c r="AJ140" i="21"/>
  <c r="AM204" i="21"/>
  <c r="AY216" i="21"/>
  <c r="W190" i="21"/>
  <c r="AY156" i="21"/>
  <c r="AO217" i="21"/>
  <c r="X193" i="21"/>
  <c r="AZ165" i="21"/>
  <c r="AK219" i="21"/>
  <c r="AK174" i="21"/>
  <c r="AH172" i="21"/>
  <c r="AA180" i="21"/>
  <c r="BC180" i="21"/>
  <c r="Y218" i="21"/>
  <c r="BA173" i="21" s="1"/>
  <c r="BB205" i="21"/>
  <c r="Z160" i="21"/>
  <c r="AL217" i="21"/>
  <c r="AA187" i="21"/>
  <c r="AY208" i="21"/>
  <c r="AY163" i="21"/>
  <c r="AP204" i="21"/>
  <c r="AI145" i="21"/>
  <c r="AN209" i="21"/>
  <c r="AA209" i="21"/>
  <c r="AN164" i="21"/>
  <c r="L192" i="21"/>
  <c r="J12" i="20" s="1"/>
  <c r="M129" i="21"/>
  <c r="BC196" i="21"/>
  <c r="AA151" i="21"/>
  <c r="BC151" i="21"/>
  <c r="Z36" i="21"/>
  <c r="BC213" i="21"/>
  <c r="AA168" i="21"/>
  <c r="BC168" i="21"/>
  <c r="BC214" i="21"/>
  <c r="AA169" i="21"/>
  <c r="BC169" i="21"/>
  <c r="BC212" i="21"/>
  <c r="AA167" i="21"/>
  <c r="BC167" i="21"/>
  <c r="BB187" i="21"/>
  <c r="BB142" i="21"/>
  <c r="Z142" i="21"/>
  <c r="T140" i="21"/>
  <c r="AV140" i="21"/>
  <c r="J236" i="21"/>
  <c r="BC161" i="21"/>
  <c r="AA161" i="21"/>
  <c r="AK217" i="21"/>
  <c r="AK172" i="21"/>
  <c r="BA148" i="21"/>
  <c r="Y148" i="21"/>
  <c r="BC195" i="21"/>
  <c r="AA150" i="21"/>
  <c r="BC150" i="21"/>
  <c r="AO185" i="21"/>
  <c r="AO140" i="21"/>
  <c r="X140" i="21"/>
  <c r="AZ140" i="21"/>
  <c r="AR140" i="21"/>
  <c r="BA188" i="21"/>
  <c r="BA143" i="21"/>
  <c r="Y143" i="21"/>
  <c r="AK171" i="21"/>
  <c r="Q192" i="21"/>
  <c r="AS147" i="21" s="1"/>
  <c r="AS163" i="21"/>
  <c r="AL160" i="21"/>
  <c r="W6" i="21"/>
  <c r="AW208" i="21"/>
  <c r="U192" i="21"/>
  <c r="AW192" i="21" s="1"/>
  <c r="AW163" i="21"/>
  <c r="AA30" i="21"/>
  <c r="Z82" i="21"/>
  <c r="AW147" i="21"/>
  <c r="U147" i="21"/>
  <c r="AY171" i="21"/>
  <c r="W147" i="21"/>
  <c r="BC142" i="21"/>
  <c r="AS174" i="21"/>
  <c r="BC209" i="21"/>
  <c r="BC164" i="21"/>
  <c r="AZ193" i="21"/>
  <c r="Z193" i="21"/>
  <c r="G10" i="19"/>
  <c r="AD301" i="19"/>
  <c r="AC301" i="19"/>
  <c r="AB301" i="19"/>
  <c r="AD300" i="19"/>
  <c r="AC300" i="19"/>
  <c r="AC302" i="19"/>
  <c r="AB300" i="19"/>
  <c r="AA270" i="19"/>
  <c r="Z270" i="19"/>
  <c r="Y270" i="19"/>
  <c r="AA269" i="19"/>
  <c r="Z269" i="19"/>
  <c r="Y269" i="19"/>
  <c r="AA268" i="19"/>
  <c r="Z268" i="19"/>
  <c r="Y268" i="19"/>
  <c r="AA267" i="19"/>
  <c r="Z267" i="19"/>
  <c r="Y267" i="19"/>
  <c r="AA266" i="19"/>
  <c r="Z266" i="19"/>
  <c r="Y266" i="19"/>
  <c r="AA265" i="19"/>
  <c r="Z265" i="19"/>
  <c r="Y265" i="19"/>
  <c r="AA264" i="19"/>
  <c r="Z264" i="19"/>
  <c r="Y264" i="19"/>
  <c r="AA263" i="19"/>
  <c r="Z263" i="19"/>
  <c r="Y263" i="19"/>
  <c r="AA262" i="19"/>
  <c r="Z262" i="19"/>
  <c r="Y262" i="19"/>
  <c r="AA261" i="19"/>
  <c r="Z261" i="19"/>
  <c r="Y261" i="19"/>
  <c r="AA260" i="19"/>
  <c r="Z260" i="19"/>
  <c r="Y260" i="19"/>
  <c r="X260" i="19"/>
  <c r="W260" i="19"/>
  <c r="V260" i="19"/>
  <c r="U260" i="19"/>
  <c r="T260" i="19"/>
  <c r="S260" i="19"/>
  <c r="R260" i="19"/>
  <c r="Q260" i="19"/>
  <c r="P260" i="19"/>
  <c r="O260" i="19"/>
  <c r="N260" i="19"/>
  <c r="M260" i="19"/>
  <c r="L260" i="19"/>
  <c r="K260" i="19"/>
  <c r="J260" i="19"/>
  <c r="I260" i="19"/>
  <c r="H260" i="19"/>
  <c r="G260" i="19"/>
  <c r="F260" i="19"/>
  <c r="AA259" i="19"/>
  <c r="Z259" i="19"/>
  <c r="Y259" i="19"/>
  <c r="X259" i="19"/>
  <c r="W259" i="19"/>
  <c r="V259" i="19"/>
  <c r="U259" i="19"/>
  <c r="T259" i="19"/>
  <c r="S259" i="19"/>
  <c r="R259" i="19"/>
  <c r="Q259" i="19"/>
  <c r="P259" i="19"/>
  <c r="O259" i="19"/>
  <c r="N259" i="19"/>
  <c r="M259" i="19"/>
  <c r="L259" i="19"/>
  <c r="K259" i="19"/>
  <c r="J259" i="19"/>
  <c r="I259" i="19"/>
  <c r="H259" i="19"/>
  <c r="G259" i="19"/>
  <c r="F259" i="19"/>
  <c r="AA258" i="19"/>
  <c r="Z258" i="19"/>
  <c r="Y258" i="19"/>
  <c r="X258" i="19"/>
  <c r="W258" i="19"/>
  <c r="V258" i="19"/>
  <c r="U258" i="19"/>
  <c r="T258" i="19"/>
  <c r="S258" i="19"/>
  <c r="R258" i="19"/>
  <c r="Q258" i="19"/>
  <c r="P258" i="19"/>
  <c r="O258" i="19"/>
  <c r="N258" i="19"/>
  <c r="M258" i="19"/>
  <c r="L258" i="19"/>
  <c r="K258" i="19"/>
  <c r="J258" i="19"/>
  <c r="I258" i="19"/>
  <c r="H258" i="19"/>
  <c r="G258" i="19"/>
  <c r="F258" i="19"/>
  <c r="AA257" i="19"/>
  <c r="Z257" i="19"/>
  <c r="Y257" i="19"/>
  <c r="X257" i="19"/>
  <c r="W257" i="19"/>
  <c r="V257" i="19"/>
  <c r="U257" i="19"/>
  <c r="T257" i="19"/>
  <c r="S257" i="19"/>
  <c r="R257" i="19"/>
  <c r="Q257" i="19"/>
  <c r="P257" i="19"/>
  <c r="O257" i="19"/>
  <c r="N257" i="19"/>
  <c r="M257" i="19"/>
  <c r="L257" i="19"/>
  <c r="K257" i="19"/>
  <c r="J257" i="19"/>
  <c r="I257" i="19"/>
  <c r="H257" i="19"/>
  <c r="G257" i="19"/>
  <c r="F257" i="19"/>
  <c r="AA256" i="19"/>
  <c r="Z256" i="19"/>
  <c r="Y256" i="19"/>
  <c r="X256" i="19"/>
  <c r="W256" i="19"/>
  <c r="V256" i="19"/>
  <c r="U256" i="19"/>
  <c r="T256" i="19"/>
  <c r="S256" i="19"/>
  <c r="R256" i="19"/>
  <c r="Q256" i="19"/>
  <c r="P256" i="19"/>
  <c r="O256" i="19"/>
  <c r="N256" i="19"/>
  <c r="M256" i="19"/>
  <c r="L256" i="19"/>
  <c r="K256" i="19"/>
  <c r="J256" i="19"/>
  <c r="I256" i="19"/>
  <c r="H256" i="19"/>
  <c r="G256" i="19"/>
  <c r="F256" i="19"/>
  <c r="AA255" i="19"/>
  <c r="Z255" i="19"/>
  <c r="Y255" i="19"/>
  <c r="W255" i="19"/>
  <c r="W238" i="19" s="1"/>
  <c r="V255" i="19"/>
  <c r="V238" i="19" s="1"/>
  <c r="U255" i="19"/>
  <c r="U238" i="19" s="1"/>
  <c r="T255" i="19"/>
  <c r="T238" i="19" s="1"/>
  <c r="S255" i="19"/>
  <c r="R255" i="19"/>
  <c r="R238" i="19" s="1"/>
  <c r="Q255" i="19"/>
  <c r="Q238" i="19"/>
  <c r="P255" i="19"/>
  <c r="P238" i="19" s="1"/>
  <c r="O255" i="19"/>
  <c r="N255" i="19"/>
  <c r="N238" i="19"/>
  <c r="M255" i="19"/>
  <c r="M238" i="19" s="1"/>
  <c r="L255" i="19"/>
  <c r="K255" i="19"/>
  <c r="J255" i="19"/>
  <c r="J238" i="19" s="1"/>
  <c r="I255" i="19"/>
  <c r="I238" i="19" s="1"/>
  <c r="H255" i="19"/>
  <c r="H238" i="19" s="1"/>
  <c r="G255" i="19"/>
  <c r="F255" i="19"/>
  <c r="F238" i="19"/>
  <c r="AA254" i="19"/>
  <c r="Z254" i="19"/>
  <c r="Y254" i="19"/>
  <c r="AA253" i="19"/>
  <c r="Z253" i="19"/>
  <c r="Y253" i="19"/>
  <c r="AA252" i="19"/>
  <c r="Z252" i="19"/>
  <c r="Y252" i="19"/>
  <c r="AA251" i="19"/>
  <c r="Z251" i="19"/>
  <c r="Y251" i="19"/>
  <c r="X251" i="19"/>
  <c r="X249" i="19"/>
  <c r="X236" i="19" s="1"/>
  <c r="X250" i="19"/>
  <c r="W251" i="19"/>
  <c r="V251" i="19"/>
  <c r="U251" i="19"/>
  <c r="T251" i="19"/>
  <c r="S251" i="19"/>
  <c r="R251" i="19"/>
  <c r="Q251" i="19"/>
  <c r="P251" i="19"/>
  <c r="P249" i="19"/>
  <c r="P250" i="19"/>
  <c r="O251" i="19"/>
  <c r="N251" i="19"/>
  <c r="M251" i="19"/>
  <c r="L251" i="19"/>
  <c r="K251" i="19"/>
  <c r="J251" i="19"/>
  <c r="I251" i="19"/>
  <c r="H251" i="19"/>
  <c r="G251" i="19"/>
  <c r="F251" i="19"/>
  <c r="AC250" i="19"/>
  <c r="AA250" i="19"/>
  <c r="Z250" i="19"/>
  <c r="Y250" i="19"/>
  <c r="W250" i="19"/>
  <c r="V250" i="19"/>
  <c r="AX205" i="19" s="1"/>
  <c r="U250" i="19"/>
  <c r="R250" i="19"/>
  <c r="Q250" i="19"/>
  <c r="O250" i="19"/>
  <c r="O236" i="19" s="1"/>
  <c r="N250" i="19"/>
  <c r="M250" i="19"/>
  <c r="L250" i="19"/>
  <c r="I250" i="19"/>
  <c r="I236" i="19" s="1"/>
  <c r="H250" i="19"/>
  <c r="G250" i="19"/>
  <c r="F250" i="19"/>
  <c r="AA249" i="19"/>
  <c r="Z249" i="19"/>
  <c r="BB204" i="19" s="1"/>
  <c r="Y249" i="19"/>
  <c r="W249" i="19"/>
  <c r="W236" i="19"/>
  <c r="V249" i="19"/>
  <c r="U249" i="19"/>
  <c r="T249" i="19"/>
  <c r="S249" i="19"/>
  <c r="S236" i="19" s="1"/>
  <c r="AU191" i="19" s="1"/>
  <c r="R249" i="19"/>
  <c r="Q249" i="19"/>
  <c r="O249" i="19"/>
  <c r="M249" i="19"/>
  <c r="M236" i="19" s="1"/>
  <c r="L249" i="19"/>
  <c r="I249" i="19"/>
  <c r="H249" i="19"/>
  <c r="G249" i="19"/>
  <c r="G236" i="19" s="1"/>
  <c r="AA248" i="19"/>
  <c r="Z248" i="19"/>
  <c r="Y248" i="19"/>
  <c r="AA247" i="19"/>
  <c r="Z247" i="19"/>
  <c r="Y247" i="19"/>
  <c r="AA246" i="19"/>
  <c r="Z246" i="19"/>
  <c r="Y246" i="19"/>
  <c r="AA245" i="19"/>
  <c r="Z245" i="19"/>
  <c r="Y245" i="19"/>
  <c r="X245" i="19"/>
  <c r="X234" i="19" s="1"/>
  <c r="W245" i="19"/>
  <c r="W234" i="19"/>
  <c r="V245" i="19"/>
  <c r="V234" i="19" s="1"/>
  <c r="U245" i="19"/>
  <c r="U234" i="19"/>
  <c r="T245" i="19"/>
  <c r="S245" i="19"/>
  <c r="S234" i="19" s="1"/>
  <c r="R245" i="19"/>
  <c r="R234" i="19" s="1"/>
  <c r="Q245" i="19"/>
  <c r="P245" i="19"/>
  <c r="P234" i="19" s="1"/>
  <c r="O245" i="19"/>
  <c r="O234" i="19" s="1"/>
  <c r="N245" i="19"/>
  <c r="N234" i="19"/>
  <c r="M245" i="19"/>
  <c r="M234" i="19" s="1"/>
  <c r="L245" i="19"/>
  <c r="L234" i="19" s="1"/>
  <c r="K245" i="19"/>
  <c r="K234" i="19" s="1"/>
  <c r="J245" i="19"/>
  <c r="J234" i="19" s="1"/>
  <c r="I245" i="19"/>
  <c r="I234" i="19" s="1"/>
  <c r="H245" i="19"/>
  <c r="G245" i="19"/>
  <c r="G234" i="19" s="1"/>
  <c r="F245" i="19"/>
  <c r="F234" i="19"/>
  <c r="AA244" i="19"/>
  <c r="Z244" i="19"/>
  <c r="Y244" i="19"/>
  <c r="X244" i="19"/>
  <c r="W244" i="19"/>
  <c r="V244" i="19"/>
  <c r="U244" i="19"/>
  <c r="T244" i="19"/>
  <c r="S244" i="19"/>
  <c r="R244" i="19"/>
  <c r="Q244" i="19"/>
  <c r="P244" i="19"/>
  <c r="O244" i="19"/>
  <c r="N244" i="19"/>
  <c r="M244" i="19"/>
  <c r="L244" i="19"/>
  <c r="K244" i="19"/>
  <c r="J244" i="19"/>
  <c r="I244" i="19"/>
  <c r="H244" i="19"/>
  <c r="G244" i="19"/>
  <c r="F244" i="19"/>
  <c r="AA243" i="19"/>
  <c r="Z243" i="19"/>
  <c r="Y243" i="19"/>
  <c r="X243" i="19"/>
  <c r="W243" i="19"/>
  <c r="V243" i="19"/>
  <c r="V242" i="19"/>
  <c r="U243" i="19"/>
  <c r="T243" i="19"/>
  <c r="S243" i="19"/>
  <c r="R243" i="19"/>
  <c r="R242" i="19"/>
  <c r="R233" i="19"/>
  <c r="Q243" i="19"/>
  <c r="Q233" i="19" s="1"/>
  <c r="P243" i="19"/>
  <c r="O243" i="19"/>
  <c r="N243" i="19"/>
  <c r="N242" i="19"/>
  <c r="N233" i="19" s="1"/>
  <c r="M243" i="19"/>
  <c r="M242" i="19"/>
  <c r="L243" i="19"/>
  <c r="K243" i="19"/>
  <c r="J243" i="19"/>
  <c r="J242" i="19"/>
  <c r="J233" i="19" s="1"/>
  <c r="I243" i="19"/>
  <c r="H243" i="19"/>
  <c r="H233" i="19" s="1"/>
  <c r="G243" i="19"/>
  <c r="F243" i="19"/>
  <c r="F242" i="19"/>
  <c r="F233" i="19"/>
  <c r="AA242" i="19"/>
  <c r="Z242" i="19"/>
  <c r="Y242" i="19"/>
  <c r="X242" i="19"/>
  <c r="X233" i="19" s="1"/>
  <c r="W242" i="19"/>
  <c r="W233" i="19" s="1"/>
  <c r="U242" i="19"/>
  <c r="U233" i="19" s="1"/>
  <c r="T242" i="19"/>
  <c r="S242" i="19"/>
  <c r="Q242" i="19"/>
  <c r="P242" i="19"/>
  <c r="O242" i="19"/>
  <c r="O233" i="19" s="1"/>
  <c r="L242" i="19"/>
  <c r="L233" i="19"/>
  <c r="K242" i="19"/>
  <c r="I242" i="19"/>
  <c r="H242" i="19"/>
  <c r="G242" i="19"/>
  <c r="G233" i="19" s="1"/>
  <c r="AA241" i="19"/>
  <c r="Z241" i="19"/>
  <c r="Y241" i="19"/>
  <c r="X241" i="19"/>
  <c r="W241" i="19"/>
  <c r="V241" i="19"/>
  <c r="U241" i="19"/>
  <c r="T241" i="19"/>
  <c r="S241" i="19"/>
  <c r="R241" i="19"/>
  <c r="Q241" i="19"/>
  <c r="Q232" i="19" s="1"/>
  <c r="Q230" i="19" s="1"/>
  <c r="P241" i="19"/>
  <c r="O241" i="19"/>
  <c r="N241" i="19"/>
  <c r="M241" i="19"/>
  <c r="L241" i="19"/>
  <c r="K241" i="19"/>
  <c r="J241" i="19"/>
  <c r="I241" i="19"/>
  <c r="H241" i="19"/>
  <c r="G241" i="19"/>
  <c r="F241" i="19"/>
  <c r="AA240" i="19"/>
  <c r="Z240" i="19"/>
  <c r="Y240" i="19"/>
  <c r="X240" i="19"/>
  <c r="X239" i="19"/>
  <c r="X232" i="19" s="1"/>
  <c r="X230" i="19" s="1"/>
  <c r="W240" i="19"/>
  <c r="V240" i="19"/>
  <c r="U240" i="19"/>
  <c r="T240" i="19"/>
  <c r="T239" i="19"/>
  <c r="S240" i="19"/>
  <c r="R240" i="19"/>
  <c r="Q240" i="19"/>
  <c r="P240" i="19"/>
  <c r="P239" i="19"/>
  <c r="P232" i="19"/>
  <c r="O240" i="19"/>
  <c r="N240" i="19"/>
  <c r="M240" i="19"/>
  <c r="L240" i="19"/>
  <c r="L239" i="19"/>
  <c r="K240" i="19"/>
  <c r="J240" i="19"/>
  <c r="I240" i="19"/>
  <c r="H240" i="19"/>
  <c r="H239" i="19"/>
  <c r="H232" i="19"/>
  <c r="G240" i="19"/>
  <c r="F240" i="19"/>
  <c r="AA239" i="19"/>
  <c r="Z239" i="19"/>
  <c r="Y239" i="19"/>
  <c r="W239" i="19"/>
  <c r="V239" i="19"/>
  <c r="V232" i="19"/>
  <c r="U239" i="19"/>
  <c r="S239" i="19"/>
  <c r="R239" i="19"/>
  <c r="Q239" i="19"/>
  <c r="O239" i="19"/>
  <c r="N239" i="19"/>
  <c r="N232" i="19" s="1"/>
  <c r="M239" i="19"/>
  <c r="K239" i="19"/>
  <c r="J239" i="19"/>
  <c r="J232" i="19" s="1"/>
  <c r="J230" i="19" s="1"/>
  <c r="I239" i="19"/>
  <c r="G239" i="19"/>
  <c r="F239" i="19"/>
  <c r="F232" i="19" s="1"/>
  <c r="S238" i="19"/>
  <c r="O238" i="19"/>
  <c r="L238" i="19"/>
  <c r="K238" i="19"/>
  <c r="G238" i="19"/>
  <c r="T234" i="19"/>
  <c r="Q234" i="19"/>
  <c r="H234" i="19"/>
  <c r="AZ225" i="19"/>
  <c r="AY225" i="19"/>
  <c r="AX225" i="19"/>
  <c r="AW225" i="19"/>
  <c r="AV225" i="19"/>
  <c r="AU225" i="19"/>
  <c r="AT225" i="19"/>
  <c r="AS225" i="19"/>
  <c r="AR225" i="19"/>
  <c r="AQ225" i="19"/>
  <c r="AP225" i="19"/>
  <c r="AO225" i="19"/>
  <c r="AN225" i="19"/>
  <c r="AM225" i="19"/>
  <c r="AL225" i="19"/>
  <c r="AK225" i="19"/>
  <c r="AJ225" i="19"/>
  <c r="AI225" i="19"/>
  <c r="AH225" i="19"/>
  <c r="Z225" i="19"/>
  <c r="BB225" i="19" s="1"/>
  <c r="Y225" i="19"/>
  <c r="BA225" i="19" s="1"/>
  <c r="AZ224" i="19"/>
  <c r="AY224" i="19"/>
  <c r="AX224" i="19"/>
  <c r="AW224" i="19"/>
  <c r="AV224" i="19"/>
  <c r="AU224" i="19"/>
  <c r="AT224" i="19"/>
  <c r="AS224" i="19"/>
  <c r="AQ224" i="19"/>
  <c r="AP224" i="19"/>
  <c r="AO224" i="19"/>
  <c r="AN224" i="19"/>
  <c r="AM224" i="19"/>
  <c r="AL224" i="19"/>
  <c r="AK224" i="19"/>
  <c r="AJ224" i="19"/>
  <c r="AI224" i="19"/>
  <c r="AH224" i="19"/>
  <c r="Y224" i="19"/>
  <c r="BA179" i="19" s="1"/>
  <c r="AZ223" i="19"/>
  <c r="AY223" i="19"/>
  <c r="AX223" i="19"/>
  <c r="AW223" i="19"/>
  <c r="AV223" i="19"/>
  <c r="AU223" i="19"/>
  <c r="AT223" i="19"/>
  <c r="AS223" i="19"/>
  <c r="AR223" i="19"/>
  <c r="AQ223" i="19"/>
  <c r="AP223" i="19"/>
  <c r="AO223" i="19"/>
  <c r="AN223" i="19"/>
  <c r="AM223" i="19"/>
  <c r="AL223" i="19"/>
  <c r="AK223" i="19"/>
  <c r="AJ223" i="19"/>
  <c r="AI223" i="19"/>
  <c r="AH223" i="19"/>
  <c r="Z223" i="19"/>
  <c r="BB223" i="19" s="1"/>
  <c r="Y223" i="19"/>
  <c r="BA223" i="19" s="1"/>
  <c r="AZ222" i="19"/>
  <c r="AY222" i="19"/>
  <c r="AX222" i="19"/>
  <c r="AW222" i="19"/>
  <c r="AV222" i="19"/>
  <c r="AU222" i="19"/>
  <c r="AT222" i="19"/>
  <c r="AS222" i="19"/>
  <c r="AR222" i="19"/>
  <c r="AQ222" i="19"/>
  <c r="AP222" i="19"/>
  <c r="AO222" i="19"/>
  <c r="AN222" i="19"/>
  <c r="AM222" i="19"/>
  <c r="AL222" i="19"/>
  <c r="AK222" i="19"/>
  <c r="Z222" i="19"/>
  <c r="BB222" i="19" s="1"/>
  <c r="AZ221" i="19"/>
  <c r="AY221" i="19"/>
  <c r="AX221" i="19"/>
  <c r="AW221" i="19"/>
  <c r="AV221" i="19"/>
  <c r="AU221" i="19"/>
  <c r="AT221" i="19"/>
  <c r="AS221" i="19"/>
  <c r="AR221" i="19"/>
  <c r="AQ221" i="19"/>
  <c r="AP221" i="19"/>
  <c r="AO221" i="19"/>
  <c r="AN221" i="19"/>
  <c r="AM221" i="19"/>
  <c r="AL221" i="19"/>
  <c r="AK221" i="19"/>
  <c r="AH221" i="19"/>
  <c r="Z221" i="19"/>
  <c r="BB221" i="19" s="1"/>
  <c r="AZ220" i="19"/>
  <c r="AY220" i="19"/>
  <c r="AX220" i="19"/>
  <c r="AW220" i="19"/>
  <c r="AV220" i="19"/>
  <c r="AU220" i="19"/>
  <c r="AT220" i="19"/>
  <c r="AS220" i="19"/>
  <c r="AR220" i="19"/>
  <c r="AQ220" i="19"/>
  <c r="AP220" i="19"/>
  <c r="AO220" i="19"/>
  <c r="AN220" i="19"/>
  <c r="AM220" i="19"/>
  <c r="AL220" i="19"/>
  <c r="AK220" i="19"/>
  <c r="AJ220" i="19"/>
  <c r="AI220" i="19"/>
  <c r="AH220" i="19"/>
  <c r="Z220" i="19"/>
  <c r="BB220" i="19" s="1"/>
  <c r="Y220" i="19"/>
  <c r="Y175" i="19" s="1"/>
  <c r="AY219" i="19"/>
  <c r="AX219" i="19"/>
  <c r="AW219" i="19"/>
  <c r="AV219" i="19"/>
  <c r="AU219" i="19"/>
  <c r="AT219" i="19"/>
  <c r="AP219" i="19"/>
  <c r="AN219" i="19"/>
  <c r="AL219" i="19"/>
  <c r="AJ219" i="19"/>
  <c r="AI219" i="19"/>
  <c r="AH219" i="19"/>
  <c r="AZ218" i="19"/>
  <c r="AY218" i="19"/>
  <c r="AX218" i="19"/>
  <c r="AU218" i="19"/>
  <c r="AT218" i="19"/>
  <c r="AS218" i="19"/>
  <c r="AQ218" i="19"/>
  <c r="AP218" i="19"/>
  <c r="AN218" i="19"/>
  <c r="AL218" i="19"/>
  <c r="AK218" i="19"/>
  <c r="AJ218" i="19"/>
  <c r="AI218" i="19"/>
  <c r="AH218" i="19"/>
  <c r="AZ217" i="19"/>
  <c r="AY217" i="19"/>
  <c r="AX217" i="19"/>
  <c r="AW217" i="19"/>
  <c r="AV217" i="19"/>
  <c r="AU217" i="19"/>
  <c r="AS217" i="19"/>
  <c r="AN217" i="19"/>
  <c r="AJ217" i="19"/>
  <c r="AI217" i="19"/>
  <c r="AZ216" i="19"/>
  <c r="AX216" i="19"/>
  <c r="AW216" i="19"/>
  <c r="AV216" i="19"/>
  <c r="AU216" i="19"/>
  <c r="AT216" i="19"/>
  <c r="AS216" i="19"/>
  <c r="AR216" i="19"/>
  <c r="AQ216" i="19"/>
  <c r="AP216" i="19"/>
  <c r="AN216" i="19"/>
  <c r="AI216" i="19"/>
  <c r="Y215" i="19"/>
  <c r="BA215" i="19" s="1"/>
  <c r="AZ215" i="19"/>
  <c r="AY215" i="19"/>
  <c r="AX215" i="19"/>
  <c r="AW215" i="19"/>
  <c r="AV215" i="19"/>
  <c r="AU215" i="19"/>
  <c r="AT215" i="19"/>
  <c r="AS215" i="19"/>
  <c r="AR215" i="19"/>
  <c r="AQ215" i="19"/>
  <c r="AP215" i="19"/>
  <c r="AO215" i="19"/>
  <c r="AN215" i="19"/>
  <c r="AM215" i="19"/>
  <c r="AL215" i="19"/>
  <c r="AK215" i="19"/>
  <c r="AJ215" i="19"/>
  <c r="AI215" i="19"/>
  <c r="AH215" i="19"/>
  <c r="Z215" i="19"/>
  <c r="BB215" i="19"/>
  <c r="AZ214" i="19"/>
  <c r="AY214" i="19"/>
  <c r="AX214" i="19"/>
  <c r="AW214" i="19"/>
  <c r="AV214" i="19"/>
  <c r="AU214" i="19"/>
  <c r="AT214" i="19"/>
  <c r="AS214" i="19"/>
  <c r="AR214" i="19"/>
  <c r="AQ214" i="19"/>
  <c r="AP214" i="19"/>
  <c r="AO214" i="19"/>
  <c r="AN214" i="19"/>
  <c r="AM214" i="19"/>
  <c r="AL214" i="19"/>
  <c r="AK214" i="19"/>
  <c r="AJ214" i="19"/>
  <c r="AI214" i="19"/>
  <c r="AH214" i="19"/>
  <c r="Z214" i="19"/>
  <c r="BB169" i="19" s="1"/>
  <c r="Y214" i="19"/>
  <c r="BA214" i="19" s="1"/>
  <c r="AZ213" i="19"/>
  <c r="AY213" i="19"/>
  <c r="AX213" i="19"/>
  <c r="AW213" i="19"/>
  <c r="AV213" i="19"/>
  <c r="AU213" i="19"/>
  <c r="AT213" i="19"/>
  <c r="AS213" i="19"/>
  <c r="AR213" i="19"/>
  <c r="AQ213" i="19"/>
  <c r="AP213" i="19"/>
  <c r="AO213" i="19"/>
  <c r="AN213" i="19"/>
  <c r="AM213" i="19"/>
  <c r="AL213" i="19"/>
  <c r="AK213" i="19"/>
  <c r="AJ213" i="19"/>
  <c r="AI213" i="19"/>
  <c r="AH213" i="19"/>
  <c r="Z213" i="19"/>
  <c r="BB213" i="19"/>
  <c r="Y213" i="19"/>
  <c r="AZ212" i="19"/>
  <c r="AY212" i="19"/>
  <c r="AX212" i="19"/>
  <c r="AW212" i="19"/>
  <c r="AV212" i="19"/>
  <c r="AU212" i="19"/>
  <c r="AT212" i="19"/>
  <c r="AS212" i="19"/>
  <c r="AR212" i="19"/>
  <c r="AQ212" i="19"/>
  <c r="AP212" i="19"/>
  <c r="AO212" i="19"/>
  <c r="AN212" i="19"/>
  <c r="AM212" i="19"/>
  <c r="AL212" i="19"/>
  <c r="AK212" i="19"/>
  <c r="AJ212" i="19"/>
  <c r="AI212" i="19"/>
  <c r="AH212" i="19"/>
  <c r="Z212" i="19"/>
  <c r="BB167" i="19" s="1"/>
  <c r="Y212" i="19"/>
  <c r="AZ211" i="19"/>
  <c r="AY211" i="19"/>
  <c r="AX211" i="19"/>
  <c r="AW211" i="19"/>
  <c r="AV211" i="19"/>
  <c r="AU211" i="19"/>
  <c r="AT211" i="19"/>
  <c r="AS211" i="19"/>
  <c r="AR211" i="19"/>
  <c r="AQ211" i="19"/>
  <c r="AP211" i="19"/>
  <c r="AO211" i="19"/>
  <c r="AN211" i="19"/>
  <c r="AM211" i="19"/>
  <c r="AL211" i="19"/>
  <c r="AK211" i="19"/>
  <c r="AJ211" i="19"/>
  <c r="AI211" i="19"/>
  <c r="AH211" i="19"/>
  <c r="Z211" i="19"/>
  <c r="BB211" i="19" s="1"/>
  <c r="Y211" i="19"/>
  <c r="AY210" i="19"/>
  <c r="AX210" i="19"/>
  <c r="AW210" i="19"/>
  <c r="AV210" i="19"/>
  <c r="AU210" i="19"/>
  <c r="AT210" i="19"/>
  <c r="AS210" i="19"/>
  <c r="AR210" i="19"/>
  <c r="AQ210" i="19"/>
  <c r="AP210" i="19"/>
  <c r="AO210" i="19"/>
  <c r="AN210" i="19"/>
  <c r="AM210" i="19"/>
  <c r="AL210" i="19"/>
  <c r="AK210" i="19"/>
  <c r="AJ210" i="19"/>
  <c r="AI210" i="19"/>
  <c r="AH210" i="19"/>
  <c r="Y210" i="19"/>
  <c r="BA210" i="19" s="1"/>
  <c r="AZ209" i="19"/>
  <c r="AY209" i="19"/>
  <c r="AX209" i="19"/>
  <c r="AW209" i="19"/>
  <c r="AV209" i="19"/>
  <c r="AU209" i="19"/>
  <c r="AT209" i="19"/>
  <c r="AS209" i="19"/>
  <c r="AR209" i="19"/>
  <c r="AQ209" i="19"/>
  <c r="AP209" i="19"/>
  <c r="AO209" i="19"/>
  <c r="AM209" i="19"/>
  <c r="AL209" i="19"/>
  <c r="AK209" i="19"/>
  <c r="AJ209" i="19"/>
  <c r="AI209" i="19"/>
  <c r="AH209" i="19"/>
  <c r="Z209" i="19"/>
  <c r="BB209" i="19" s="1"/>
  <c r="Y209" i="19"/>
  <c r="BA209" i="19"/>
  <c r="Y208" i="19"/>
  <c r="AU208" i="19"/>
  <c r="AR208" i="19"/>
  <c r="AQ208" i="19"/>
  <c r="AP208" i="19"/>
  <c r="AO208" i="19"/>
  <c r="AN208" i="19"/>
  <c r="AM208" i="19"/>
  <c r="AL208" i="19"/>
  <c r="AK208" i="19"/>
  <c r="AJ208" i="19"/>
  <c r="AI208" i="19"/>
  <c r="AH208" i="19"/>
  <c r="AZ207" i="19"/>
  <c r="AY207" i="19"/>
  <c r="AX207" i="19"/>
  <c r="AW207" i="19"/>
  <c r="AV207" i="19"/>
  <c r="AU207" i="19"/>
  <c r="AT207" i="19"/>
  <c r="AS207" i="19"/>
  <c r="AR207" i="19"/>
  <c r="AQ207" i="19"/>
  <c r="AP207" i="19"/>
  <c r="AN207" i="19"/>
  <c r="AM207" i="19"/>
  <c r="AK207" i="19"/>
  <c r="AJ207" i="19"/>
  <c r="AI207" i="19"/>
  <c r="AH207" i="19"/>
  <c r="AZ206" i="19"/>
  <c r="AY206" i="19"/>
  <c r="AX206" i="19"/>
  <c r="AW206" i="19"/>
  <c r="AV206" i="19"/>
  <c r="AU206" i="19"/>
  <c r="AT206" i="19"/>
  <c r="AS206" i="19"/>
  <c r="AR206" i="19"/>
  <c r="AQ206" i="19"/>
  <c r="AP206" i="19"/>
  <c r="AO206" i="19"/>
  <c r="AN206" i="19"/>
  <c r="AM206" i="19"/>
  <c r="AL206" i="19"/>
  <c r="AK206" i="19"/>
  <c r="AJ206" i="19"/>
  <c r="AI206" i="19"/>
  <c r="AH206" i="19"/>
  <c r="Z206" i="19"/>
  <c r="BB206" i="19" s="1"/>
  <c r="Y206" i="19"/>
  <c r="AY205" i="19"/>
  <c r="AW205" i="19"/>
  <c r="AT205" i="19"/>
  <c r="AS205" i="19"/>
  <c r="AR205" i="19"/>
  <c r="AQ205" i="19"/>
  <c r="AP205" i="19"/>
  <c r="AO205" i="19"/>
  <c r="AN205" i="19"/>
  <c r="AK205" i="19"/>
  <c r="AJ205" i="19"/>
  <c r="AI205" i="19"/>
  <c r="AH205" i="19"/>
  <c r="X205" i="19"/>
  <c r="V205" i="19"/>
  <c r="T205" i="19"/>
  <c r="S205" i="19"/>
  <c r="AZ204" i="19"/>
  <c r="AY204" i="19"/>
  <c r="AX204" i="19"/>
  <c r="AW204" i="19"/>
  <c r="AV204" i="19"/>
  <c r="AU204" i="19"/>
  <c r="AT204" i="19"/>
  <c r="AS204" i="19"/>
  <c r="AR204" i="19"/>
  <c r="AQ204" i="19"/>
  <c r="AO204" i="19"/>
  <c r="AN204" i="19"/>
  <c r="AK204" i="19"/>
  <c r="AJ204" i="19"/>
  <c r="AI204" i="19"/>
  <c r="AH204" i="19"/>
  <c r="Z204" i="19"/>
  <c r="AZ203" i="19"/>
  <c r="AY203" i="19"/>
  <c r="AX203" i="19"/>
  <c r="AW203" i="19"/>
  <c r="AV203" i="19"/>
  <c r="AU203" i="19"/>
  <c r="AT203" i="19"/>
  <c r="AS203" i="19"/>
  <c r="AR203" i="19"/>
  <c r="AQ203" i="19"/>
  <c r="AP203" i="19"/>
  <c r="AO203" i="19"/>
  <c r="AN203" i="19"/>
  <c r="AM203" i="19"/>
  <c r="AL203" i="19"/>
  <c r="AK203" i="19"/>
  <c r="AJ203" i="19"/>
  <c r="AI203" i="19"/>
  <c r="AH203" i="19"/>
  <c r="Z203" i="19"/>
  <c r="BB203" i="19"/>
  <c r="Y203" i="19"/>
  <c r="Y158" i="19" s="1"/>
  <c r="AZ202" i="19"/>
  <c r="AY202" i="19"/>
  <c r="AX202" i="19"/>
  <c r="AW202" i="19"/>
  <c r="AV202" i="19"/>
  <c r="AU202" i="19"/>
  <c r="AT202" i="19"/>
  <c r="AS202" i="19"/>
  <c r="AQ202" i="19"/>
  <c r="AP202" i="19"/>
  <c r="AO202" i="19"/>
  <c r="AN202" i="19"/>
  <c r="AM202" i="19"/>
  <c r="AL202" i="19"/>
  <c r="AK202" i="19"/>
  <c r="Z202" i="19"/>
  <c r="AU201" i="19"/>
  <c r="AR201" i="19"/>
  <c r="AN201" i="19"/>
  <c r="AI201" i="19"/>
  <c r="AX201" i="19"/>
  <c r="AZ200" i="19"/>
  <c r="AY200" i="19"/>
  <c r="AX200" i="19"/>
  <c r="AW200" i="19"/>
  <c r="AV200" i="19"/>
  <c r="AU200" i="19"/>
  <c r="AT200" i="19"/>
  <c r="AS200" i="19"/>
  <c r="AR200" i="19"/>
  <c r="AQ200" i="19"/>
  <c r="AP200" i="19"/>
  <c r="AO200" i="19"/>
  <c r="AN200" i="19"/>
  <c r="AM200" i="19"/>
  <c r="AL200" i="19"/>
  <c r="AK200" i="19"/>
  <c r="AJ200" i="19"/>
  <c r="AI200" i="19"/>
  <c r="AH200" i="19"/>
  <c r="Z200" i="19"/>
  <c r="BB200" i="19" s="1"/>
  <c r="Y200" i="19"/>
  <c r="BA200" i="19"/>
  <c r="AZ199" i="19"/>
  <c r="AY199" i="19"/>
  <c r="AX199" i="19"/>
  <c r="AW199" i="19"/>
  <c r="AV199" i="19"/>
  <c r="AU199" i="19"/>
  <c r="AT199" i="19"/>
  <c r="AS199" i="19"/>
  <c r="AR199" i="19"/>
  <c r="AQ199" i="19"/>
  <c r="AP199" i="19"/>
  <c r="AO199" i="19"/>
  <c r="AN199" i="19"/>
  <c r="AM199" i="19"/>
  <c r="AL199" i="19"/>
  <c r="AK199" i="19"/>
  <c r="AJ199" i="19"/>
  <c r="AI199" i="19"/>
  <c r="AH199" i="19"/>
  <c r="Z199" i="19"/>
  <c r="BB199" i="19" s="1"/>
  <c r="Y199" i="19"/>
  <c r="Y154" i="19" s="1"/>
  <c r="AZ198" i="19"/>
  <c r="AY198" i="19"/>
  <c r="AX198" i="19"/>
  <c r="AW198" i="19"/>
  <c r="AV198" i="19"/>
  <c r="AU198" i="19"/>
  <c r="AT198" i="19"/>
  <c r="AS198" i="19"/>
  <c r="AR198" i="19"/>
  <c r="AQ198" i="19"/>
  <c r="AP198" i="19"/>
  <c r="AO198" i="19"/>
  <c r="AN198" i="19"/>
  <c r="AM198" i="19"/>
  <c r="AL198" i="19"/>
  <c r="AK198" i="19"/>
  <c r="AJ198" i="19"/>
  <c r="AI198" i="19"/>
  <c r="AH198" i="19"/>
  <c r="Z198" i="19"/>
  <c r="Y198" i="19"/>
  <c r="AZ197" i="19"/>
  <c r="AY197" i="19"/>
  <c r="AX197" i="19"/>
  <c r="AW197" i="19"/>
  <c r="AV197" i="19"/>
  <c r="AU197" i="19"/>
  <c r="AT197" i="19"/>
  <c r="AS197" i="19"/>
  <c r="AR197" i="19"/>
  <c r="AQ197" i="19"/>
  <c r="AP197" i="19"/>
  <c r="AO197" i="19"/>
  <c r="AN197" i="19"/>
  <c r="AM197" i="19"/>
  <c r="AL197" i="19"/>
  <c r="AK197" i="19"/>
  <c r="AJ197" i="19"/>
  <c r="AI197" i="19"/>
  <c r="AH197" i="19"/>
  <c r="Z197" i="19"/>
  <c r="BB197" i="19" s="1"/>
  <c r="Y197" i="19"/>
  <c r="BA197" i="19"/>
  <c r="AZ196" i="19"/>
  <c r="AY196" i="19"/>
  <c r="AX196" i="19"/>
  <c r="AW196" i="19"/>
  <c r="AV196" i="19"/>
  <c r="AU196" i="19"/>
  <c r="AT196" i="19"/>
  <c r="AS196" i="19"/>
  <c r="AR196" i="19"/>
  <c r="AQ196" i="19"/>
  <c r="AP196" i="19"/>
  <c r="AO196" i="19"/>
  <c r="AN196" i="19"/>
  <c r="AM196" i="19"/>
  <c r="AL196" i="19"/>
  <c r="AK196" i="19"/>
  <c r="AJ196" i="19"/>
  <c r="AI196" i="19"/>
  <c r="AH196" i="19"/>
  <c r="Z196" i="19"/>
  <c r="Y196" i="19"/>
  <c r="BA196" i="19" s="1"/>
  <c r="AZ195" i="19"/>
  <c r="AY195" i="19"/>
  <c r="AX195" i="19"/>
  <c r="AW195" i="19"/>
  <c r="AV195" i="19"/>
  <c r="AU195" i="19"/>
  <c r="AT195" i="19"/>
  <c r="AS195" i="19"/>
  <c r="AR195" i="19"/>
  <c r="AQ195" i="19"/>
  <c r="AP195" i="19"/>
  <c r="AO195" i="19"/>
  <c r="AN195" i="19"/>
  <c r="AM195" i="19"/>
  <c r="AL195" i="19"/>
  <c r="AK195" i="19"/>
  <c r="AJ195" i="19"/>
  <c r="AI195" i="19"/>
  <c r="AH195" i="19"/>
  <c r="Z195" i="19"/>
  <c r="BB195" i="19"/>
  <c r="Y195" i="19"/>
  <c r="AZ194" i="19"/>
  <c r="AY194" i="19"/>
  <c r="AX194" i="19"/>
  <c r="AW194" i="19"/>
  <c r="AV194" i="19"/>
  <c r="AU194" i="19"/>
  <c r="AT194" i="19"/>
  <c r="AS194" i="19"/>
  <c r="AR194" i="19"/>
  <c r="AQ194" i="19"/>
  <c r="AP194" i="19"/>
  <c r="AO194" i="19"/>
  <c r="AN194" i="19"/>
  <c r="AM194" i="19"/>
  <c r="AL194" i="19"/>
  <c r="AK194" i="19"/>
  <c r="AJ194" i="19"/>
  <c r="AI194" i="19"/>
  <c r="AH194" i="19"/>
  <c r="Z194" i="19"/>
  <c r="BB194" i="19" s="1"/>
  <c r="Y194" i="19"/>
  <c r="W193" i="19"/>
  <c r="AY193" i="19"/>
  <c r="V193" i="19"/>
  <c r="U193" i="19"/>
  <c r="AW193" i="19" s="1"/>
  <c r="T193" i="19"/>
  <c r="AV193" i="19" s="1"/>
  <c r="S193" i="19"/>
  <c r="R193" i="19"/>
  <c r="AT193" i="19" s="1"/>
  <c r="Q193" i="19"/>
  <c r="Q148" i="19" s="1"/>
  <c r="P193" i="19"/>
  <c r="AR193" i="19" s="1"/>
  <c r="O193" i="19"/>
  <c r="N193" i="19"/>
  <c r="AP193" i="19" s="1"/>
  <c r="M193" i="19"/>
  <c r="L193" i="19"/>
  <c r="AN193" i="19" s="1"/>
  <c r="K193" i="19"/>
  <c r="AM148" i="19" s="1"/>
  <c r="J193" i="19"/>
  <c r="AL193" i="19" s="1"/>
  <c r="I193" i="19"/>
  <c r="AK193" i="19"/>
  <c r="H193" i="19"/>
  <c r="G193" i="19"/>
  <c r="AI193" i="19" s="1"/>
  <c r="F193" i="19"/>
  <c r="I192" i="19"/>
  <c r="I147" i="19" s="1"/>
  <c r="S192" i="19"/>
  <c r="AU192" i="19" s="1"/>
  <c r="P192" i="19"/>
  <c r="AR192" i="19"/>
  <c r="O192" i="19"/>
  <c r="AQ192" i="19" s="1"/>
  <c r="N192" i="19"/>
  <c r="AP192" i="19"/>
  <c r="K192" i="19"/>
  <c r="H192" i="19"/>
  <c r="AJ192" i="19"/>
  <c r="G192" i="19"/>
  <c r="AI192" i="19" s="1"/>
  <c r="F192" i="19"/>
  <c r="M191" i="19"/>
  <c r="AO191" i="19" s="1"/>
  <c r="W191" i="19"/>
  <c r="V191" i="19"/>
  <c r="U191" i="19"/>
  <c r="AW191" i="19" s="1"/>
  <c r="S191" i="19"/>
  <c r="R191" i="19"/>
  <c r="Q191" i="19"/>
  <c r="AS191" i="19" s="1"/>
  <c r="P191" i="19"/>
  <c r="AR191" i="19"/>
  <c r="O191" i="19"/>
  <c r="N191" i="19"/>
  <c r="Z191" i="19" s="1"/>
  <c r="L191" i="19"/>
  <c r="AN191" i="19" s="1"/>
  <c r="I191" i="19"/>
  <c r="AK146" i="19"/>
  <c r="H191" i="19"/>
  <c r="G191" i="19"/>
  <c r="AI191" i="19" s="1"/>
  <c r="F191" i="19"/>
  <c r="AU190" i="19"/>
  <c r="V43" i="20" s="1"/>
  <c r="V11" i="20"/>
  <c r="AN190" i="19"/>
  <c r="X189" i="19"/>
  <c r="AZ189" i="19" s="1"/>
  <c r="W189" i="19"/>
  <c r="V189" i="19"/>
  <c r="AX189" i="19" s="1"/>
  <c r="U189" i="19"/>
  <c r="AW189" i="19"/>
  <c r="T189" i="19"/>
  <c r="AV189" i="19" s="1"/>
  <c r="S189" i="19"/>
  <c r="AU144" i="19"/>
  <c r="R189" i="19"/>
  <c r="AT189" i="19" s="1"/>
  <c r="Q189" i="19"/>
  <c r="AS189" i="19" s="1"/>
  <c r="P189" i="19"/>
  <c r="O189" i="19"/>
  <c r="N189" i="19"/>
  <c r="AP189" i="19" s="1"/>
  <c r="M189" i="19"/>
  <c r="L189" i="19"/>
  <c r="K189" i="19"/>
  <c r="AM144" i="19" s="1"/>
  <c r="J189" i="19"/>
  <c r="AL189" i="19" s="1"/>
  <c r="I189" i="19"/>
  <c r="H189" i="19"/>
  <c r="G189" i="19"/>
  <c r="AI144" i="19" s="1"/>
  <c r="F189" i="19"/>
  <c r="AH189" i="19" s="1"/>
  <c r="W188" i="19"/>
  <c r="AY188" i="19" s="1"/>
  <c r="O188" i="19"/>
  <c r="G188" i="19"/>
  <c r="AI188" i="19" s="1"/>
  <c r="X188" i="19"/>
  <c r="X143" i="19" s="1"/>
  <c r="V188" i="19"/>
  <c r="U188" i="19"/>
  <c r="U143" i="19" s="1"/>
  <c r="T188" i="19"/>
  <c r="AV143" i="19" s="1"/>
  <c r="S188" i="19"/>
  <c r="AU188" i="19"/>
  <c r="R188" i="19"/>
  <c r="Q188" i="19"/>
  <c r="P188" i="19"/>
  <c r="P187" i="19"/>
  <c r="N188" i="19"/>
  <c r="M188" i="19"/>
  <c r="L188" i="19"/>
  <c r="L143" i="19" s="1"/>
  <c r="K188" i="19"/>
  <c r="AM188" i="19" s="1"/>
  <c r="J188" i="19"/>
  <c r="AL188" i="19" s="1"/>
  <c r="I188" i="19"/>
  <c r="H188" i="19"/>
  <c r="H143" i="19" s="1"/>
  <c r="F188" i="19"/>
  <c r="X187" i="19"/>
  <c r="AZ187" i="19" s="1"/>
  <c r="W187" i="19"/>
  <c r="W185" i="19" s="1"/>
  <c r="AY185" i="19" s="1"/>
  <c r="AY187" i="19"/>
  <c r="O187" i="19"/>
  <c r="AQ187" i="19" s="1"/>
  <c r="H187" i="19"/>
  <c r="G187" i="19"/>
  <c r="V187" i="19"/>
  <c r="AX187" i="19" s="1"/>
  <c r="U187" i="19"/>
  <c r="AW187" i="19"/>
  <c r="T187" i="19"/>
  <c r="AV187" i="19" s="1"/>
  <c r="S187" i="19"/>
  <c r="AU142" i="19"/>
  <c r="R187" i="19"/>
  <c r="Q187" i="19"/>
  <c r="AS187" i="19"/>
  <c r="AQ142" i="19"/>
  <c r="N187" i="19"/>
  <c r="AP187" i="19" s="1"/>
  <c r="M187" i="19"/>
  <c r="M142" i="19" s="1"/>
  <c r="L187" i="19"/>
  <c r="AN187" i="19" s="1"/>
  <c r="K187" i="19"/>
  <c r="J187" i="19"/>
  <c r="I187" i="19"/>
  <c r="AK187" i="19" s="1"/>
  <c r="F187" i="19"/>
  <c r="AH187" i="19"/>
  <c r="J185" i="19"/>
  <c r="AZ180" i="19"/>
  <c r="AY180" i="19"/>
  <c r="AX180" i="19"/>
  <c r="AW180" i="19"/>
  <c r="AV180" i="19"/>
  <c r="AU180" i="19"/>
  <c r="AT180" i="19"/>
  <c r="AS180" i="19"/>
  <c r="AR180" i="19"/>
  <c r="AQ180" i="19"/>
  <c r="AP180" i="19"/>
  <c r="AO180" i="19"/>
  <c r="AN180" i="19"/>
  <c r="AM180" i="19"/>
  <c r="AL180" i="19"/>
  <c r="AK180" i="19"/>
  <c r="AJ180" i="19"/>
  <c r="AI180" i="19"/>
  <c r="AH180" i="19"/>
  <c r="AZ179" i="19"/>
  <c r="AY179" i="19"/>
  <c r="AX179" i="19"/>
  <c r="AW179" i="19"/>
  <c r="AV179" i="19"/>
  <c r="AU179" i="19"/>
  <c r="AT179" i="19"/>
  <c r="AS179" i="19"/>
  <c r="AQ179" i="19"/>
  <c r="AP179" i="19"/>
  <c r="AO179" i="19"/>
  <c r="AN179" i="19"/>
  <c r="AM179" i="19"/>
  <c r="AL179" i="19"/>
  <c r="AK179" i="19"/>
  <c r="AJ179" i="19"/>
  <c r="AI179" i="19"/>
  <c r="AH179" i="19"/>
  <c r="BB178" i="19"/>
  <c r="AZ178" i="19"/>
  <c r="AY178" i="19"/>
  <c r="AX178" i="19"/>
  <c r="AW178" i="19"/>
  <c r="AV178" i="19"/>
  <c r="AU178" i="19"/>
  <c r="AT178" i="19"/>
  <c r="AS178" i="19"/>
  <c r="AR178" i="19"/>
  <c r="AQ178" i="19"/>
  <c r="AP178" i="19"/>
  <c r="AO178" i="19"/>
  <c r="AN178" i="19"/>
  <c r="AM178" i="19"/>
  <c r="AL178" i="19"/>
  <c r="AK178" i="19"/>
  <c r="AJ178" i="19"/>
  <c r="AI178" i="19"/>
  <c r="AH178" i="19"/>
  <c r="AZ177" i="19"/>
  <c r="AY177" i="19"/>
  <c r="AX177" i="19"/>
  <c r="AW177" i="19"/>
  <c r="AV177" i="19"/>
  <c r="AU177" i="19"/>
  <c r="AT177" i="19"/>
  <c r="AS177" i="19"/>
  <c r="AR177" i="19"/>
  <c r="AQ177" i="19"/>
  <c r="AP177" i="19"/>
  <c r="AO177" i="19"/>
  <c r="AN177" i="19"/>
  <c r="AM177" i="19"/>
  <c r="AL177" i="19"/>
  <c r="AK177" i="19"/>
  <c r="Z177" i="19"/>
  <c r="BB176" i="19"/>
  <c r="AZ176" i="19"/>
  <c r="AY176" i="19"/>
  <c r="AX176" i="19"/>
  <c r="AW176" i="19"/>
  <c r="AV176" i="19"/>
  <c r="AU176" i="19"/>
  <c r="AT176" i="19"/>
  <c r="AS176" i="19"/>
  <c r="AR176" i="19"/>
  <c r="AQ176" i="19"/>
  <c r="AP176" i="19"/>
  <c r="AO176" i="19"/>
  <c r="AN176" i="19"/>
  <c r="AM176" i="19"/>
  <c r="AL176" i="19"/>
  <c r="AK176" i="19"/>
  <c r="AI176" i="19"/>
  <c r="AH176" i="19"/>
  <c r="AZ175" i="19"/>
  <c r="AY175" i="19"/>
  <c r="AX175" i="19"/>
  <c r="AW175" i="19"/>
  <c r="AV175" i="19"/>
  <c r="AU175" i="19"/>
  <c r="AT175" i="19"/>
  <c r="AS175" i="19"/>
  <c r="AR175" i="19"/>
  <c r="AQ175" i="19"/>
  <c r="AP175" i="19"/>
  <c r="AO175" i="19"/>
  <c r="AN175" i="19"/>
  <c r="AM175" i="19"/>
  <c r="AL175" i="19"/>
  <c r="AK175" i="19"/>
  <c r="AJ175" i="19"/>
  <c r="AI175" i="19"/>
  <c r="AH175" i="19"/>
  <c r="AY174" i="19"/>
  <c r="AX174" i="19"/>
  <c r="AW174" i="19"/>
  <c r="AV174" i="19"/>
  <c r="AU174" i="19"/>
  <c r="AT174" i="19"/>
  <c r="AP174" i="19"/>
  <c r="AN174" i="19"/>
  <c r="AL174" i="19"/>
  <c r="AJ174" i="19"/>
  <c r="AI174" i="19"/>
  <c r="AH174" i="19"/>
  <c r="AZ173" i="19"/>
  <c r="AY173" i="19"/>
  <c r="AX173" i="19"/>
  <c r="AU173" i="19"/>
  <c r="AT173" i="19"/>
  <c r="AS173" i="19"/>
  <c r="AR173" i="19"/>
  <c r="AQ173" i="19"/>
  <c r="AP173" i="19"/>
  <c r="AN173" i="19"/>
  <c r="AL173" i="19"/>
  <c r="AK173" i="19"/>
  <c r="AJ173" i="19"/>
  <c r="AI173" i="19"/>
  <c r="AH173" i="19"/>
  <c r="AZ172" i="19"/>
  <c r="AY172" i="19"/>
  <c r="AX172" i="19"/>
  <c r="AW172" i="19"/>
  <c r="AV172" i="19"/>
  <c r="AU172" i="19"/>
  <c r="AS172" i="19"/>
  <c r="AN172" i="19"/>
  <c r="AJ172" i="19"/>
  <c r="AI172" i="19"/>
  <c r="AZ171" i="19"/>
  <c r="AX171" i="19"/>
  <c r="AW171" i="19"/>
  <c r="AV171" i="19"/>
  <c r="AU171" i="19"/>
  <c r="AT171" i="19"/>
  <c r="AS171" i="19"/>
  <c r="AR171" i="19"/>
  <c r="AQ171" i="19"/>
  <c r="AP171" i="19"/>
  <c r="AN171" i="19"/>
  <c r="AL171" i="19"/>
  <c r="AI171" i="19"/>
  <c r="BB170" i="19"/>
  <c r="BA170" i="19"/>
  <c r="AZ170" i="19"/>
  <c r="AY170" i="19"/>
  <c r="AX170" i="19"/>
  <c r="AW170" i="19"/>
  <c r="AV170" i="19"/>
  <c r="AU170" i="19"/>
  <c r="AT170" i="19"/>
  <c r="AS170" i="19"/>
  <c r="AR170" i="19"/>
  <c r="AQ170" i="19"/>
  <c r="AP170" i="19"/>
  <c r="AO170" i="19"/>
  <c r="AN170" i="19"/>
  <c r="AM170" i="19"/>
  <c r="AL170" i="19"/>
  <c r="AK170" i="19"/>
  <c r="AJ170" i="19"/>
  <c r="AI170" i="19"/>
  <c r="AH170" i="19"/>
  <c r="Z170" i="19"/>
  <c r="Y170" i="19"/>
  <c r="X170" i="19"/>
  <c r="W170" i="19"/>
  <c r="V170" i="19"/>
  <c r="U170" i="19"/>
  <c r="T170" i="19"/>
  <c r="S170" i="19"/>
  <c r="R170" i="19"/>
  <c r="Q170" i="19"/>
  <c r="P170" i="19"/>
  <c r="O170" i="19"/>
  <c r="N170" i="19"/>
  <c r="M170" i="19"/>
  <c r="L170" i="19"/>
  <c r="K170" i="19"/>
  <c r="J170" i="19"/>
  <c r="I170" i="19"/>
  <c r="H170" i="19"/>
  <c r="G170" i="19"/>
  <c r="F170" i="19"/>
  <c r="BA169" i="19"/>
  <c r="AZ169" i="19"/>
  <c r="AY169" i="19"/>
  <c r="AX169" i="19"/>
  <c r="AW169" i="19"/>
  <c r="AV169" i="19"/>
  <c r="AU169" i="19"/>
  <c r="AT169" i="19"/>
  <c r="AS169" i="19"/>
  <c r="AR169" i="19"/>
  <c r="AQ169" i="19"/>
  <c r="AP169" i="19"/>
  <c r="AO169" i="19"/>
  <c r="AN169" i="19"/>
  <c r="AM169" i="19"/>
  <c r="AL169" i="19"/>
  <c r="AK169" i="19"/>
  <c r="AJ169" i="19"/>
  <c r="AI169" i="19"/>
  <c r="AH169" i="19"/>
  <c r="Z169" i="19"/>
  <c r="Y169" i="19"/>
  <c r="X169" i="19"/>
  <c r="W169" i="19"/>
  <c r="V169" i="19"/>
  <c r="U169" i="19"/>
  <c r="T169" i="19"/>
  <c r="S169" i="19"/>
  <c r="R169" i="19"/>
  <c r="Q169" i="19"/>
  <c r="P169" i="19"/>
  <c r="O169" i="19"/>
  <c r="N169" i="19"/>
  <c r="M169" i="19"/>
  <c r="L169" i="19"/>
  <c r="K169" i="19"/>
  <c r="J169" i="19"/>
  <c r="I169" i="19"/>
  <c r="H169" i="19"/>
  <c r="G169" i="19"/>
  <c r="F169" i="19"/>
  <c r="BB168" i="19"/>
  <c r="AZ168" i="19"/>
  <c r="AY168" i="19"/>
  <c r="AX168" i="19"/>
  <c r="AW168" i="19"/>
  <c r="AV168" i="19"/>
  <c r="AU168" i="19"/>
  <c r="AT168" i="19"/>
  <c r="AS168" i="19"/>
  <c r="AR168" i="19"/>
  <c r="AQ168" i="19"/>
  <c r="AP168" i="19"/>
  <c r="AO168" i="19"/>
  <c r="AN168" i="19"/>
  <c r="AM168" i="19"/>
  <c r="AL168" i="19"/>
  <c r="AK168" i="19"/>
  <c r="AJ168" i="19"/>
  <c r="AI168" i="19"/>
  <c r="AH168" i="19"/>
  <c r="Z168" i="19"/>
  <c r="X168" i="19"/>
  <c r="W168" i="19"/>
  <c r="V168" i="19"/>
  <c r="U168" i="19"/>
  <c r="T168" i="19"/>
  <c r="S168" i="19"/>
  <c r="R168" i="19"/>
  <c r="Q168" i="19"/>
  <c r="P168" i="19"/>
  <c r="O168" i="19"/>
  <c r="N168" i="19"/>
  <c r="M168" i="19"/>
  <c r="L168" i="19"/>
  <c r="K168" i="19"/>
  <c r="J168" i="19"/>
  <c r="I168" i="19"/>
  <c r="H168" i="19"/>
  <c r="G168" i="19"/>
  <c r="F168" i="19"/>
  <c r="BA167" i="19"/>
  <c r="AZ167" i="19"/>
  <c r="AY167" i="19"/>
  <c r="AX167" i="19"/>
  <c r="AW167" i="19"/>
  <c r="AV167" i="19"/>
  <c r="AU167" i="19"/>
  <c r="AT167" i="19"/>
  <c r="AS167" i="19"/>
  <c r="AR167" i="19"/>
  <c r="AQ167" i="19"/>
  <c r="AP167" i="19"/>
  <c r="AO167" i="19"/>
  <c r="AN167" i="19"/>
  <c r="AM167" i="19"/>
  <c r="AL167" i="19"/>
  <c r="AK167" i="19"/>
  <c r="AJ167" i="19"/>
  <c r="AI167" i="19"/>
  <c r="AH167" i="19"/>
  <c r="Y167" i="19"/>
  <c r="X167" i="19"/>
  <c r="W167" i="19"/>
  <c r="V167" i="19"/>
  <c r="U167" i="19"/>
  <c r="T167" i="19"/>
  <c r="S167" i="19"/>
  <c r="R167" i="19"/>
  <c r="Q167" i="19"/>
  <c r="P167" i="19"/>
  <c r="O167" i="19"/>
  <c r="N167" i="19"/>
  <c r="M167" i="19"/>
  <c r="L167" i="19"/>
  <c r="K167" i="19"/>
  <c r="J167" i="19"/>
  <c r="I167" i="19"/>
  <c r="H167" i="19"/>
  <c r="G167" i="19"/>
  <c r="F167" i="19"/>
  <c r="BB166" i="19"/>
  <c r="AZ166" i="19"/>
  <c r="AY166" i="19"/>
  <c r="AX166" i="19"/>
  <c r="AW166" i="19"/>
  <c r="AV166" i="19"/>
  <c r="AU166" i="19"/>
  <c r="AT166" i="19"/>
  <c r="AS166" i="19"/>
  <c r="AR166" i="19"/>
  <c r="AQ166" i="19"/>
  <c r="AP166" i="19"/>
  <c r="AO166" i="19"/>
  <c r="AN166" i="19"/>
  <c r="AM166" i="19"/>
  <c r="AL166" i="19"/>
  <c r="AK166" i="19"/>
  <c r="AJ166" i="19"/>
  <c r="AI166" i="19"/>
  <c r="AH166" i="19"/>
  <c r="Z166" i="19"/>
  <c r="X166" i="19"/>
  <c r="W166" i="19"/>
  <c r="V166" i="19"/>
  <c r="U166" i="19"/>
  <c r="T166" i="19"/>
  <c r="S166" i="19"/>
  <c r="R166" i="19"/>
  <c r="Q166" i="19"/>
  <c r="P166" i="19"/>
  <c r="O166" i="19"/>
  <c r="N166" i="19"/>
  <c r="M166" i="19"/>
  <c r="L166" i="19"/>
  <c r="K166" i="19"/>
  <c r="J166" i="19"/>
  <c r="I166" i="19"/>
  <c r="H166" i="19"/>
  <c r="G166" i="19"/>
  <c r="F166" i="19"/>
  <c r="BA165" i="19"/>
  <c r="AY165" i="19"/>
  <c r="AX165" i="19"/>
  <c r="AW165" i="19"/>
  <c r="AV165" i="19"/>
  <c r="AU165" i="19"/>
  <c r="AT165" i="19"/>
  <c r="AS165" i="19"/>
  <c r="AR165" i="19"/>
  <c r="AQ165" i="19"/>
  <c r="AP165" i="19"/>
  <c r="AO165" i="19"/>
  <c r="AN165" i="19"/>
  <c r="AM165" i="19"/>
  <c r="AL165" i="19"/>
  <c r="AK165" i="19"/>
  <c r="AJ165" i="19"/>
  <c r="AI165" i="19"/>
  <c r="AH165" i="19"/>
  <c r="Y165" i="19"/>
  <c r="W165" i="19"/>
  <c r="V165" i="19"/>
  <c r="U165" i="19"/>
  <c r="T165" i="19"/>
  <c r="S165" i="19"/>
  <c r="R165" i="19"/>
  <c r="Q165" i="19"/>
  <c r="P165" i="19"/>
  <c r="O165" i="19"/>
  <c r="N165" i="19"/>
  <c r="M165" i="19"/>
  <c r="L165" i="19"/>
  <c r="K165" i="19"/>
  <c r="J165" i="19"/>
  <c r="I165" i="19"/>
  <c r="H165" i="19"/>
  <c r="G165" i="19"/>
  <c r="F165" i="19"/>
  <c r="BA164" i="19"/>
  <c r="AZ164" i="19"/>
  <c r="AY164" i="19"/>
  <c r="AX164" i="19"/>
  <c r="AW164" i="19"/>
  <c r="AV164" i="19"/>
  <c r="AU164" i="19"/>
  <c r="AT164" i="19"/>
  <c r="AS164" i="19"/>
  <c r="AR164" i="19"/>
  <c r="AQ164" i="19"/>
  <c r="AP164" i="19"/>
  <c r="AO164" i="19"/>
  <c r="AM164" i="19"/>
  <c r="AL164" i="19"/>
  <c r="AK164" i="19"/>
  <c r="AJ164" i="19"/>
  <c r="AI164" i="19"/>
  <c r="AH164" i="19"/>
  <c r="Y164" i="19"/>
  <c r="X164" i="19"/>
  <c r="W164" i="19"/>
  <c r="V164" i="19"/>
  <c r="U164" i="19"/>
  <c r="T164" i="19"/>
  <c r="S164" i="19"/>
  <c r="R164" i="19"/>
  <c r="Q164" i="19"/>
  <c r="P164" i="19"/>
  <c r="O164" i="19"/>
  <c r="N164" i="19"/>
  <c r="M164" i="19"/>
  <c r="K164" i="19"/>
  <c r="J164" i="19"/>
  <c r="I164" i="19"/>
  <c r="H164" i="19"/>
  <c r="G164" i="19"/>
  <c r="F164" i="19"/>
  <c r="AU163" i="19"/>
  <c r="AR163" i="19"/>
  <c r="AQ163" i="19"/>
  <c r="AP163" i="19"/>
  <c r="AO163" i="19"/>
  <c r="AN163" i="19"/>
  <c r="AM163" i="19"/>
  <c r="AL163" i="19"/>
  <c r="AK163" i="19"/>
  <c r="AJ163" i="19"/>
  <c r="AI163" i="19"/>
  <c r="AH163" i="19"/>
  <c r="Y163" i="19"/>
  <c r="S163" i="19"/>
  <c r="P163" i="19"/>
  <c r="O163" i="19"/>
  <c r="N163" i="19"/>
  <c r="M163" i="19"/>
  <c r="L163" i="19"/>
  <c r="K163" i="19"/>
  <c r="J163" i="19"/>
  <c r="I163" i="19"/>
  <c r="H163" i="19"/>
  <c r="G163" i="19"/>
  <c r="F163" i="19"/>
  <c r="AZ162" i="19"/>
  <c r="AY162" i="19"/>
  <c r="AX162" i="19"/>
  <c r="AW162" i="19"/>
  <c r="AV162" i="19"/>
  <c r="AU162" i="19"/>
  <c r="AT162" i="19"/>
  <c r="AS162" i="19"/>
  <c r="AR162" i="19"/>
  <c r="AQ162" i="19"/>
  <c r="AP162" i="19"/>
  <c r="AN162" i="19"/>
  <c r="AM162" i="19"/>
  <c r="AK162" i="19"/>
  <c r="AJ162" i="19"/>
  <c r="AI162" i="19"/>
  <c r="AH162" i="19"/>
  <c r="X162" i="19"/>
  <c r="W162" i="19"/>
  <c r="V162" i="19"/>
  <c r="U162" i="19"/>
  <c r="T162" i="19"/>
  <c r="S162" i="19"/>
  <c r="R162" i="19"/>
  <c r="Q162" i="19"/>
  <c r="P162" i="19"/>
  <c r="O162" i="19"/>
  <c r="N162" i="19"/>
  <c r="M162" i="19"/>
  <c r="L162" i="19"/>
  <c r="K162" i="19"/>
  <c r="I162" i="19"/>
  <c r="H162" i="19"/>
  <c r="G162" i="19"/>
  <c r="F162" i="19"/>
  <c r="BB161" i="19"/>
  <c r="BA161" i="19"/>
  <c r="AZ161" i="19"/>
  <c r="AY161" i="19"/>
  <c r="AX161" i="19"/>
  <c r="AW161" i="19"/>
  <c r="AV161" i="19"/>
  <c r="AU161" i="19"/>
  <c r="AT161" i="19"/>
  <c r="AS161" i="19"/>
  <c r="AR161" i="19"/>
  <c r="AQ161" i="19"/>
  <c r="AP161" i="19"/>
  <c r="AO161" i="19"/>
  <c r="AN161" i="19"/>
  <c r="AM161" i="19"/>
  <c r="AL161" i="19"/>
  <c r="AK161" i="19"/>
  <c r="AJ161" i="19"/>
  <c r="AI161" i="19"/>
  <c r="AH161" i="19"/>
  <c r="Z161" i="19"/>
  <c r="Y161" i="19"/>
  <c r="X161" i="19"/>
  <c r="W161" i="19"/>
  <c r="V161" i="19"/>
  <c r="U161" i="19"/>
  <c r="T161" i="19"/>
  <c r="S161" i="19"/>
  <c r="R161" i="19"/>
  <c r="Q161" i="19"/>
  <c r="P161" i="19"/>
  <c r="O161" i="19"/>
  <c r="N161" i="19"/>
  <c r="M161" i="19"/>
  <c r="L161" i="19"/>
  <c r="K161" i="19"/>
  <c r="J161" i="19"/>
  <c r="I161" i="19"/>
  <c r="H161" i="19"/>
  <c r="G161" i="19"/>
  <c r="F161" i="19"/>
  <c r="AY160" i="19"/>
  <c r="V70" i="19"/>
  <c r="AX160" i="19"/>
  <c r="AW160" i="19"/>
  <c r="AU160" i="19"/>
  <c r="AT160" i="19"/>
  <c r="AS160" i="19"/>
  <c r="AR160" i="19"/>
  <c r="AQ160" i="19"/>
  <c r="AP160" i="19"/>
  <c r="AO160" i="19"/>
  <c r="AN160" i="19"/>
  <c r="AK160" i="19"/>
  <c r="AJ160" i="19"/>
  <c r="AI160" i="19"/>
  <c r="AH160" i="19"/>
  <c r="W160" i="19"/>
  <c r="U160" i="19"/>
  <c r="R160" i="19"/>
  <c r="Q160" i="19"/>
  <c r="P160" i="19"/>
  <c r="O160" i="19"/>
  <c r="N160" i="19"/>
  <c r="M160" i="19"/>
  <c r="L160" i="19"/>
  <c r="I160" i="19"/>
  <c r="H160" i="19"/>
  <c r="G160" i="19"/>
  <c r="F160" i="19"/>
  <c r="AZ159" i="19"/>
  <c r="AY159" i="19"/>
  <c r="AX159" i="19"/>
  <c r="AW159" i="19"/>
  <c r="AV159" i="19"/>
  <c r="AU159" i="19"/>
  <c r="AT159" i="19"/>
  <c r="AS159" i="19"/>
  <c r="AR159" i="19"/>
  <c r="AQ159" i="19"/>
  <c r="AP159" i="19"/>
  <c r="AO159" i="19"/>
  <c r="AN159" i="19"/>
  <c r="AK159" i="19"/>
  <c r="AJ159" i="19"/>
  <c r="AI159" i="19"/>
  <c r="AH159" i="19"/>
  <c r="X159" i="19"/>
  <c r="W159" i="19"/>
  <c r="U159" i="19"/>
  <c r="T159" i="19"/>
  <c r="S159" i="19"/>
  <c r="R159" i="19"/>
  <c r="Q159" i="19"/>
  <c r="P159" i="19"/>
  <c r="O159" i="19"/>
  <c r="N159" i="19"/>
  <c r="M159" i="19"/>
  <c r="L159" i="19"/>
  <c r="I159" i="19"/>
  <c r="H159" i="19"/>
  <c r="G159" i="19"/>
  <c r="BB158" i="19"/>
  <c r="BA158" i="19"/>
  <c r="AZ158" i="19"/>
  <c r="AY158" i="19"/>
  <c r="AX158" i="19"/>
  <c r="AW158" i="19"/>
  <c r="AV158" i="19"/>
  <c r="AU158" i="19"/>
  <c r="AT158" i="19"/>
  <c r="AS158" i="19"/>
  <c r="AR158" i="19"/>
  <c r="AQ158" i="19"/>
  <c r="AP158" i="19"/>
  <c r="AO158" i="19"/>
  <c r="AN158" i="19"/>
  <c r="AM158" i="19"/>
  <c r="AL158" i="19"/>
  <c r="AK158" i="19"/>
  <c r="AJ158" i="19"/>
  <c r="AI158" i="19"/>
  <c r="AH158" i="19"/>
  <c r="AB158" i="19"/>
  <c r="Z158" i="19"/>
  <c r="X158" i="19"/>
  <c r="W158" i="19"/>
  <c r="V158" i="19"/>
  <c r="U158" i="19"/>
  <c r="T158" i="19"/>
  <c r="S158" i="19"/>
  <c r="R158" i="19"/>
  <c r="Q158" i="19"/>
  <c r="P158" i="19"/>
  <c r="O158" i="19"/>
  <c r="N158" i="19"/>
  <c r="M158" i="19"/>
  <c r="L158" i="19"/>
  <c r="K158" i="19"/>
  <c r="J158" i="19"/>
  <c r="I158" i="19"/>
  <c r="H158" i="19"/>
  <c r="G158" i="19"/>
  <c r="F158" i="19"/>
  <c r="AZ157" i="19"/>
  <c r="AY157" i="19"/>
  <c r="AX157" i="19"/>
  <c r="AW157" i="19"/>
  <c r="AV157" i="19"/>
  <c r="AU157" i="19"/>
  <c r="AT157" i="19"/>
  <c r="AS157" i="19"/>
  <c r="AQ157" i="19"/>
  <c r="AP157" i="19"/>
  <c r="AO157" i="19"/>
  <c r="AN157" i="19"/>
  <c r="AM157" i="19"/>
  <c r="AL157" i="19"/>
  <c r="AK157" i="19"/>
  <c r="AB157" i="19"/>
  <c r="X157" i="19"/>
  <c r="W157" i="19"/>
  <c r="V157" i="19"/>
  <c r="U157" i="19"/>
  <c r="T157" i="19"/>
  <c r="S157" i="19"/>
  <c r="R157" i="19"/>
  <c r="Q157" i="19"/>
  <c r="O157" i="19"/>
  <c r="N157" i="19"/>
  <c r="M157" i="19"/>
  <c r="L157" i="19"/>
  <c r="K157" i="19"/>
  <c r="J157" i="19"/>
  <c r="V66" i="19"/>
  <c r="V55" i="19" s="1"/>
  <c r="AX156" i="19"/>
  <c r="AU156" i="19"/>
  <c r="AR156" i="19"/>
  <c r="AP156" i="19"/>
  <c r="AN156" i="19"/>
  <c r="AK156" i="19"/>
  <c r="AI156" i="19"/>
  <c r="S156" i="19"/>
  <c r="P156" i="19"/>
  <c r="O156" i="19"/>
  <c r="L156" i="19"/>
  <c r="J156" i="19"/>
  <c r="G156" i="19"/>
  <c r="BB155" i="19"/>
  <c r="BA155" i="19"/>
  <c r="AZ155" i="19"/>
  <c r="AY155" i="19"/>
  <c r="AX155" i="19"/>
  <c r="AW155" i="19"/>
  <c r="AV155" i="19"/>
  <c r="AU155" i="19"/>
  <c r="AT155" i="19"/>
  <c r="AS155" i="19"/>
  <c r="AR155" i="19"/>
  <c r="AQ155" i="19"/>
  <c r="AP155" i="19"/>
  <c r="AO155" i="19"/>
  <c r="AN155" i="19"/>
  <c r="AM155" i="19"/>
  <c r="AL155" i="19"/>
  <c r="AK155" i="19"/>
  <c r="AJ155" i="19"/>
  <c r="AI155" i="19"/>
  <c r="AH155" i="19"/>
  <c r="Z155" i="19"/>
  <c r="Y155" i="19"/>
  <c r="X155" i="19"/>
  <c r="W155" i="19"/>
  <c r="V155" i="19"/>
  <c r="U155" i="19"/>
  <c r="T155" i="19"/>
  <c r="S155" i="19"/>
  <c r="R155" i="19"/>
  <c r="Q155" i="19"/>
  <c r="P155" i="19"/>
  <c r="O155" i="19"/>
  <c r="N155" i="19"/>
  <c r="M155" i="19"/>
  <c r="L155" i="19"/>
  <c r="K155" i="19"/>
  <c r="J155" i="19"/>
  <c r="I155" i="19"/>
  <c r="H155" i="19"/>
  <c r="G155" i="19"/>
  <c r="F155" i="19"/>
  <c r="BB154" i="19"/>
  <c r="BA154" i="19"/>
  <c r="AZ154" i="19"/>
  <c r="AY154" i="19"/>
  <c r="AX154" i="19"/>
  <c r="AW154" i="19"/>
  <c r="AV154" i="19"/>
  <c r="AU154" i="19"/>
  <c r="AT154" i="19"/>
  <c r="AS154" i="19"/>
  <c r="AR154" i="19"/>
  <c r="AQ154" i="19"/>
  <c r="AP154" i="19"/>
  <c r="AO154" i="19"/>
  <c r="AN154" i="19"/>
  <c r="AM154" i="19"/>
  <c r="AL154" i="19"/>
  <c r="AK154" i="19"/>
  <c r="AJ154" i="19"/>
  <c r="AI154" i="19"/>
  <c r="AH154" i="19"/>
  <c r="Z154" i="19"/>
  <c r="X154" i="19"/>
  <c r="W154" i="19"/>
  <c r="V154" i="19"/>
  <c r="U154" i="19"/>
  <c r="T154" i="19"/>
  <c r="S154" i="19"/>
  <c r="R154" i="19"/>
  <c r="Q154" i="19"/>
  <c r="P154" i="19"/>
  <c r="O154" i="19"/>
  <c r="N154" i="19"/>
  <c r="M154" i="19"/>
  <c r="L154" i="19"/>
  <c r="K154" i="19"/>
  <c r="J154" i="19"/>
  <c r="I154" i="19"/>
  <c r="H154" i="19"/>
  <c r="G154" i="19"/>
  <c r="F154" i="19"/>
  <c r="BA153" i="19"/>
  <c r="AZ153" i="19"/>
  <c r="AY153" i="19"/>
  <c r="AX153" i="19"/>
  <c r="AW153" i="19"/>
  <c r="AV153" i="19"/>
  <c r="AU153" i="19"/>
  <c r="AT153" i="19"/>
  <c r="AS153" i="19"/>
  <c r="AR153" i="19"/>
  <c r="AQ153" i="19"/>
  <c r="AP153" i="19"/>
  <c r="AO153" i="19"/>
  <c r="AN153" i="19"/>
  <c r="AM153" i="19"/>
  <c r="AL153" i="19"/>
  <c r="AK153" i="19"/>
  <c r="AJ153" i="19"/>
  <c r="AI153" i="19"/>
  <c r="AH153" i="19"/>
  <c r="Y153" i="19"/>
  <c r="X153" i="19"/>
  <c r="W153" i="19"/>
  <c r="V153" i="19"/>
  <c r="U153" i="19"/>
  <c r="T153" i="19"/>
  <c r="S153" i="19"/>
  <c r="R153" i="19"/>
  <c r="Q153" i="19"/>
  <c r="P153" i="19"/>
  <c r="O153" i="19"/>
  <c r="N153" i="19"/>
  <c r="M153" i="19"/>
  <c r="L153" i="19"/>
  <c r="K153" i="19"/>
  <c r="J153" i="19"/>
  <c r="I153" i="19"/>
  <c r="H153" i="19"/>
  <c r="G153" i="19"/>
  <c r="F153" i="19"/>
  <c r="BB152" i="19"/>
  <c r="AZ152" i="19"/>
  <c r="AY152" i="19"/>
  <c r="AX152" i="19"/>
  <c r="AW152" i="19"/>
  <c r="AV152" i="19"/>
  <c r="AU152" i="19"/>
  <c r="AT152" i="19"/>
  <c r="AS152" i="19"/>
  <c r="AR152" i="19"/>
  <c r="AQ152" i="19"/>
  <c r="AP152" i="19"/>
  <c r="AO152" i="19"/>
  <c r="AN152" i="19"/>
  <c r="AM152" i="19"/>
  <c r="AL152" i="19"/>
  <c r="AK152" i="19"/>
  <c r="AJ152" i="19"/>
  <c r="AI152" i="19"/>
  <c r="AH152" i="19"/>
  <c r="Z152" i="19"/>
  <c r="X152" i="19"/>
  <c r="W152" i="19"/>
  <c r="V152" i="19"/>
  <c r="U152" i="19"/>
  <c r="T152" i="19"/>
  <c r="S152" i="19"/>
  <c r="R152" i="19"/>
  <c r="Q152" i="19"/>
  <c r="P152" i="19"/>
  <c r="O152" i="19"/>
  <c r="N152" i="19"/>
  <c r="M152" i="19"/>
  <c r="L152" i="19"/>
  <c r="K152" i="19"/>
  <c r="J152" i="19"/>
  <c r="I152" i="19"/>
  <c r="H152" i="19"/>
  <c r="G152" i="19"/>
  <c r="F152" i="19"/>
  <c r="BA151" i="19"/>
  <c r="AZ151" i="19"/>
  <c r="AY151" i="19"/>
  <c r="AX151" i="19"/>
  <c r="AW151" i="19"/>
  <c r="AV151" i="19"/>
  <c r="AU151" i="19"/>
  <c r="AT151" i="19"/>
  <c r="AS151" i="19"/>
  <c r="AR151" i="19"/>
  <c r="AQ151" i="19"/>
  <c r="AP151" i="19"/>
  <c r="AO151" i="19"/>
  <c r="AN151" i="19"/>
  <c r="AM151" i="19"/>
  <c r="AL151" i="19"/>
  <c r="AK151" i="19"/>
  <c r="AJ151" i="19"/>
  <c r="AI151" i="19"/>
  <c r="AH151" i="19"/>
  <c r="Z151" i="19"/>
  <c r="Y151" i="19"/>
  <c r="X151" i="19"/>
  <c r="W151" i="19"/>
  <c r="V151" i="19"/>
  <c r="U151" i="19"/>
  <c r="T151" i="19"/>
  <c r="S151" i="19"/>
  <c r="R151" i="19"/>
  <c r="Q151" i="19"/>
  <c r="P151" i="19"/>
  <c r="O151" i="19"/>
  <c r="N151" i="19"/>
  <c r="M151" i="19"/>
  <c r="L151" i="19"/>
  <c r="K151" i="19"/>
  <c r="J151" i="19"/>
  <c r="I151" i="19"/>
  <c r="H151" i="19"/>
  <c r="G151" i="19"/>
  <c r="F151" i="19"/>
  <c r="BB150" i="19"/>
  <c r="AZ150" i="19"/>
  <c r="AY150" i="19"/>
  <c r="AX150" i="19"/>
  <c r="AW150" i="19"/>
  <c r="AV150" i="19"/>
  <c r="AU150" i="19"/>
  <c r="AT150" i="19"/>
  <c r="AS150" i="19"/>
  <c r="AR150" i="19"/>
  <c r="AQ150" i="19"/>
  <c r="AP150" i="19"/>
  <c r="AO150" i="19"/>
  <c r="AN150" i="19"/>
  <c r="AM150" i="19"/>
  <c r="AL150" i="19"/>
  <c r="AK150" i="19"/>
  <c r="AJ150" i="19"/>
  <c r="AI150" i="19"/>
  <c r="AH150" i="19"/>
  <c r="Z150" i="19"/>
  <c r="X150" i="19"/>
  <c r="W150" i="19"/>
  <c r="V150" i="19"/>
  <c r="U150" i="19"/>
  <c r="T150" i="19"/>
  <c r="S150" i="19"/>
  <c r="R150" i="19"/>
  <c r="Q150" i="19"/>
  <c r="P150" i="19"/>
  <c r="O150" i="19"/>
  <c r="N150" i="19"/>
  <c r="M150" i="19"/>
  <c r="L150" i="19"/>
  <c r="K150" i="19"/>
  <c r="J150" i="19"/>
  <c r="I150" i="19"/>
  <c r="H150" i="19"/>
  <c r="G150" i="19"/>
  <c r="F150" i="19"/>
  <c r="BA149" i="19"/>
  <c r="AZ149" i="19"/>
  <c r="AY149" i="19"/>
  <c r="AX149" i="19"/>
  <c r="AW149" i="19"/>
  <c r="AV149" i="19"/>
  <c r="AU149" i="19"/>
  <c r="AT149" i="19"/>
  <c r="AS149" i="19"/>
  <c r="AR149" i="19"/>
  <c r="AQ149" i="19"/>
  <c r="AP149" i="19"/>
  <c r="AO149" i="19"/>
  <c r="AN149" i="19"/>
  <c r="AM149" i="19"/>
  <c r="AL149" i="19"/>
  <c r="AK149" i="19"/>
  <c r="AJ149" i="19"/>
  <c r="AI149" i="19"/>
  <c r="AH149" i="19"/>
  <c r="Y149" i="19"/>
  <c r="X149" i="19"/>
  <c r="W149" i="19"/>
  <c r="V149" i="19"/>
  <c r="U149" i="19"/>
  <c r="T149" i="19"/>
  <c r="S149" i="19"/>
  <c r="R149" i="19"/>
  <c r="Q149" i="19"/>
  <c r="P149" i="19"/>
  <c r="O149" i="19"/>
  <c r="N149" i="19"/>
  <c r="M149" i="19"/>
  <c r="L149" i="19"/>
  <c r="K149" i="19"/>
  <c r="J149" i="19"/>
  <c r="I149" i="19"/>
  <c r="H149" i="19"/>
  <c r="G149" i="19"/>
  <c r="F149" i="19"/>
  <c r="AY148" i="19"/>
  <c r="AW148" i="19"/>
  <c r="AV148" i="19"/>
  <c r="AT148" i="19"/>
  <c r="AS148" i="19"/>
  <c r="AR148" i="19"/>
  <c r="AQ148" i="19"/>
  <c r="AP148" i="19"/>
  <c r="AN148" i="19"/>
  <c r="AL148" i="19"/>
  <c r="AK148" i="19"/>
  <c r="AJ148" i="19"/>
  <c r="AI148" i="19"/>
  <c r="W148" i="19"/>
  <c r="T148" i="19"/>
  <c r="R148" i="19"/>
  <c r="P148" i="19"/>
  <c r="O148" i="19"/>
  <c r="N148" i="19"/>
  <c r="L148" i="19"/>
  <c r="K148" i="19"/>
  <c r="J148" i="19"/>
  <c r="G148" i="19"/>
  <c r="F148" i="19"/>
  <c r="AU147" i="19"/>
  <c r="AR147" i="19"/>
  <c r="AQ147" i="19"/>
  <c r="AP147" i="19"/>
  <c r="AJ147" i="19"/>
  <c r="AI147" i="19"/>
  <c r="S147" i="19"/>
  <c r="P147" i="19"/>
  <c r="O147" i="19"/>
  <c r="N147" i="19"/>
  <c r="H147" i="19"/>
  <c r="G147" i="19"/>
  <c r="AW146" i="19"/>
  <c r="AS146" i="19"/>
  <c r="AR146" i="19"/>
  <c r="AQ146" i="19"/>
  <c r="AO146" i="19"/>
  <c r="AN146" i="19"/>
  <c r="AJ146" i="19"/>
  <c r="AI146" i="19"/>
  <c r="U146" i="19"/>
  <c r="Q146" i="19"/>
  <c r="P146" i="19"/>
  <c r="M146" i="19"/>
  <c r="L146" i="19"/>
  <c r="H146" i="19"/>
  <c r="G146" i="19"/>
  <c r="AU145" i="19"/>
  <c r="AN145" i="19"/>
  <c r="S145" i="19"/>
  <c r="V28" i="20" s="1"/>
  <c r="L145" i="19"/>
  <c r="AZ144" i="19"/>
  <c r="AX144" i="19"/>
  <c r="AV144" i="19"/>
  <c r="AT144" i="19"/>
  <c r="AS144" i="19"/>
  <c r="AP144" i="19"/>
  <c r="AO144" i="19"/>
  <c r="AL144" i="19"/>
  <c r="AK144" i="19"/>
  <c r="AJ144" i="19"/>
  <c r="AH144" i="19"/>
  <c r="X144" i="19"/>
  <c r="V144" i="19"/>
  <c r="T144" i="19"/>
  <c r="S144" i="19"/>
  <c r="R144" i="19"/>
  <c r="Q144" i="19"/>
  <c r="N144" i="19"/>
  <c r="M144" i="19"/>
  <c r="K144" i="19"/>
  <c r="J144" i="19"/>
  <c r="G144" i="19"/>
  <c r="F144" i="19"/>
  <c r="AY143" i="19"/>
  <c r="AU143" i="19"/>
  <c r="AT143" i="19"/>
  <c r="AR143" i="19"/>
  <c r="AM143" i="19"/>
  <c r="AI143" i="19"/>
  <c r="W143" i="19"/>
  <c r="V143" i="19"/>
  <c r="S143" i="19"/>
  <c r="Q143" i="19"/>
  <c r="M143" i="19"/>
  <c r="K143" i="19"/>
  <c r="I143" i="19"/>
  <c r="G143" i="19"/>
  <c r="AZ142" i="19"/>
  <c r="AX142" i="19"/>
  <c r="AV142" i="19"/>
  <c r="AP142" i="19"/>
  <c r="AN142" i="19"/>
  <c r="AH142" i="19"/>
  <c r="X142" i="19"/>
  <c r="W142" i="19"/>
  <c r="V142" i="19"/>
  <c r="T142" i="19"/>
  <c r="S142" i="19"/>
  <c r="O142" i="19"/>
  <c r="N142" i="19"/>
  <c r="L142" i="19"/>
  <c r="J142" i="19"/>
  <c r="H142" i="19"/>
  <c r="F142" i="19"/>
  <c r="X135" i="19"/>
  <c r="W135" i="19"/>
  <c r="V135" i="19"/>
  <c r="U135" i="19"/>
  <c r="T135" i="19"/>
  <c r="S135" i="19"/>
  <c r="R135" i="19"/>
  <c r="Q135" i="19"/>
  <c r="P135" i="19"/>
  <c r="O135" i="19"/>
  <c r="N135" i="19"/>
  <c r="M135" i="19"/>
  <c r="L135" i="19"/>
  <c r="K135" i="19"/>
  <c r="J135" i="19"/>
  <c r="I135" i="19"/>
  <c r="H135" i="19"/>
  <c r="G135" i="19"/>
  <c r="F135" i="19"/>
  <c r="X134" i="19"/>
  <c r="W134" i="19"/>
  <c r="V134" i="19"/>
  <c r="U134" i="19"/>
  <c r="T134" i="19"/>
  <c r="S134" i="19"/>
  <c r="R134" i="19"/>
  <c r="Q134" i="19"/>
  <c r="O134" i="19"/>
  <c r="N134" i="19"/>
  <c r="M134" i="19"/>
  <c r="L134" i="19"/>
  <c r="K134" i="19"/>
  <c r="J134" i="19"/>
  <c r="I134" i="19"/>
  <c r="H134" i="19"/>
  <c r="G134" i="19"/>
  <c r="F134" i="19"/>
  <c r="X133" i="19"/>
  <c r="W133" i="19"/>
  <c r="V133" i="19"/>
  <c r="U133" i="19"/>
  <c r="T133" i="19"/>
  <c r="S133" i="19"/>
  <c r="R133" i="19"/>
  <c r="Q133" i="19"/>
  <c r="P133" i="19"/>
  <c r="O133" i="19"/>
  <c r="N133" i="19"/>
  <c r="M133" i="19"/>
  <c r="L133" i="19"/>
  <c r="K133" i="19"/>
  <c r="J133" i="19"/>
  <c r="I133" i="19"/>
  <c r="H133" i="19"/>
  <c r="G133" i="19"/>
  <c r="F133" i="19"/>
  <c r="X132" i="19"/>
  <c r="W132" i="19"/>
  <c r="V132" i="19"/>
  <c r="U132" i="19"/>
  <c r="T132" i="19"/>
  <c r="S132" i="19"/>
  <c r="R132" i="19"/>
  <c r="Q132" i="19"/>
  <c r="P132" i="19"/>
  <c r="O132" i="19"/>
  <c r="N132" i="19"/>
  <c r="M132" i="19"/>
  <c r="L132" i="19"/>
  <c r="K132" i="19"/>
  <c r="J132" i="19"/>
  <c r="I132" i="19"/>
  <c r="X131" i="19"/>
  <c r="W131" i="19"/>
  <c r="V131" i="19"/>
  <c r="U131" i="19"/>
  <c r="T131" i="19"/>
  <c r="S131" i="19"/>
  <c r="R131" i="19"/>
  <c r="Q131" i="19"/>
  <c r="P131" i="19"/>
  <c r="O131" i="19"/>
  <c r="N131" i="19"/>
  <c r="M131" i="19"/>
  <c r="L131" i="19"/>
  <c r="K131" i="19"/>
  <c r="J131" i="19"/>
  <c r="I131" i="19"/>
  <c r="H131" i="19"/>
  <c r="G131" i="19"/>
  <c r="F131" i="19"/>
  <c r="X130" i="19"/>
  <c r="W130" i="19"/>
  <c r="V130" i="19"/>
  <c r="U130" i="19"/>
  <c r="T130" i="19"/>
  <c r="S130" i="19"/>
  <c r="R130" i="19"/>
  <c r="Q130" i="19"/>
  <c r="P130" i="19"/>
  <c r="O130" i="19"/>
  <c r="N130" i="19"/>
  <c r="M130" i="19"/>
  <c r="L130" i="19"/>
  <c r="K130" i="19"/>
  <c r="J130" i="19"/>
  <c r="I130" i="19"/>
  <c r="H130" i="19"/>
  <c r="G130" i="19"/>
  <c r="F130" i="19"/>
  <c r="W129" i="19"/>
  <c r="V129" i="19"/>
  <c r="U129" i="19"/>
  <c r="T129" i="19"/>
  <c r="S129" i="19"/>
  <c r="R129" i="19"/>
  <c r="N129" i="19"/>
  <c r="L129" i="19"/>
  <c r="K129" i="19"/>
  <c r="J129" i="19"/>
  <c r="H129" i="19"/>
  <c r="G129" i="19"/>
  <c r="F129" i="19"/>
  <c r="X128" i="19"/>
  <c r="W128" i="19"/>
  <c r="V128" i="19"/>
  <c r="S128" i="19"/>
  <c r="R128" i="19"/>
  <c r="Q128" i="19"/>
  <c r="O128" i="19"/>
  <c r="N128" i="19"/>
  <c r="L128" i="19"/>
  <c r="J128" i="19"/>
  <c r="I128" i="19"/>
  <c r="H128" i="19"/>
  <c r="G128" i="19"/>
  <c r="F128" i="19"/>
  <c r="X127" i="19"/>
  <c r="W127" i="19"/>
  <c r="V127" i="19"/>
  <c r="U127" i="19"/>
  <c r="T127" i="19"/>
  <c r="S127" i="19"/>
  <c r="Q127" i="19"/>
  <c r="L127" i="19"/>
  <c r="H127" i="19"/>
  <c r="G127" i="19"/>
  <c r="X126" i="19"/>
  <c r="V126" i="19"/>
  <c r="U126" i="19"/>
  <c r="T126" i="19"/>
  <c r="S126" i="19"/>
  <c r="R126" i="19"/>
  <c r="Q126" i="19"/>
  <c r="P126" i="19"/>
  <c r="O126" i="19"/>
  <c r="N126" i="19"/>
  <c r="L126" i="19"/>
  <c r="K126" i="19"/>
  <c r="J126" i="19"/>
  <c r="X125" i="19"/>
  <c r="W125" i="19"/>
  <c r="V125" i="19"/>
  <c r="U125" i="19"/>
  <c r="T125" i="19"/>
  <c r="S125" i="19"/>
  <c r="R125" i="19"/>
  <c r="Q125" i="19"/>
  <c r="P125" i="19"/>
  <c r="O125" i="19"/>
  <c r="N125" i="19"/>
  <c r="M125" i="19"/>
  <c r="L125" i="19"/>
  <c r="K125" i="19"/>
  <c r="J125" i="19"/>
  <c r="I125" i="19"/>
  <c r="H125" i="19"/>
  <c r="G125" i="19"/>
  <c r="F125" i="19"/>
  <c r="Z34" i="19"/>
  <c r="Z124" i="19" s="1"/>
  <c r="X124" i="19"/>
  <c r="W124" i="19"/>
  <c r="V124" i="19"/>
  <c r="U124" i="19"/>
  <c r="T124" i="19"/>
  <c r="S124" i="19"/>
  <c r="R124" i="19"/>
  <c r="Q124" i="19"/>
  <c r="P124" i="19"/>
  <c r="O124" i="19"/>
  <c r="N124" i="19"/>
  <c r="M124" i="19"/>
  <c r="L124" i="19"/>
  <c r="K124" i="19"/>
  <c r="J124" i="19"/>
  <c r="I124" i="19"/>
  <c r="H124" i="19"/>
  <c r="G124" i="19"/>
  <c r="F124" i="19"/>
  <c r="X123" i="19"/>
  <c r="W123" i="19"/>
  <c r="V123" i="19"/>
  <c r="U123" i="19"/>
  <c r="T123" i="19"/>
  <c r="S123" i="19"/>
  <c r="R123" i="19"/>
  <c r="Q123" i="19"/>
  <c r="P123" i="19"/>
  <c r="O123" i="19"/>
  <c r="N123" i="19"/>
  <c r="M123" i="19"/>
  <c r="L123" i="19"/>
  <c r="K123" i="19"/>
  <c r="J123" i="19"/>
  <c r="I123" i="19"/>
  <c r="H123" i="19"/>
  <c r="G123" i="19"/>
  <c r="F123" i="19"/>
  <c r="X122" i="19"/>
  <c r="W122" i="19"/>
  <c r="V122" i="19"/>
  <c r="U122" i="19"/>
  <c r="T122" i="19"/>
  <c r="S122" i="19"/>
  <c r="R122" i="19"/>
  <c r="Q122" i="19"/>
  <c r="P122" i="19"/>
  <c r="O122" i="19"/>
  <c r="N122" i="19"/>
  <c r="M122" i="19"/>
  <c r="L122" i="19"/>
  <c r="K122" i="19"/>
  <c r="J122" i="19"/>
  <c r="I122" i="19"/>
  <c r="H122" i="19"/>
  <c r="G122" i="19"/>
  <c r="F122" i="19"/>
  <c r="X121" i="19"/>
  <c r="W121" i="19"/>
  <c r="V121" i="19"/>
  <c r="U121" i="19"/>
  <c r="T121" i="19"/>
  <c r="S121" i="19"/>
  <c r="R121" i="19"/>
  <c r="Q121" i="19"/>
  <c r="P121" i="19"/>
  <c r="O121" i="19"/>
  <c r="N121" i="19"/>
  <c r="M121" i="19"/>
  <c r="L121" i="19"/>
  <c r="K121" i="19"/>
  <c r="J121" i="19"/>
  <c r="I121" i="19"/>
  <c r="H121" i="19"/>
  <c r="G121" i="19"/>
  <c r="F121" i="19"/>
  <c r="W120" i="19"/>
  <c r="V120" i="19"/>
  <c r="U120" i="19"/>
  <c r="T120" i="19"/>
  <c r="S120" i="19"/>
  <c r="R120" i="19"/>
  <c r="Q120" i="19"/>
  <c r="P120" i="19"/>
  <c r="O120" i="19"/>
  <c r="N120" i="19"/>
  <c r="M120" i="19"/>
  <c r="L120" i="19"/>
  <c r="K120" i="19"/>
  <c r="J120" i="19"/>
  <c r="I120" i="19"/>
  <c r="H120" i="19"/>
  <c r="G120" i="19"/>
  <c r="F120" i="19"/>
  <c r="X119" i="19"/>
  <c r="W119" i="19"/>
  <c r="V119" i="19"/>
  <c r="U119" i="19"/>
  <c r="T119" i="19"/>
  <c r="S119" i="19"/>
  <c r="R119" i="19"/>
  <c r="Q119" i="19"/>
  <c r="P119" i="19"/>
  <c r="O119" i="19"/>
  <c r="N119" i="19"/>
  <c r="M119" i="19"/>
  <c r="K119" i="19"/>
  <c r="J119" i="19"/>
  <c r="I119" i="19"/>
  <c r="H119" i="19"/>
  <c r="G119" i="19"/>
  <c r="F119" i="19"/>
  <c r="S118" i="19"/>
  <c r="P118" i="19"/>
  <c r="O118" i="19"/>
  <c r="N118" i="19"/>
  <c r="M118" i="19"/>
  <c r="L118" i="19"/>
  <c r="K118" i="19"/>
  <c r="J118" i="19"/>
  <c r="I118" i="19"/>
  <c r="H118" i="19"/>
  <c r="G118" i="19"/>
  <c r="F118" i="19"/>
  <c r="X117" i="19"/>
  <c r="W117" i="19"/>
  <c r="V117" i="19"/>
  <c r="U117" i="19"/>
  <c r="T117" i="19"/>
  <c r="S117" i="19"/>
  <c r="R117" i="19"/>
  <c r="Q117" i="19"/>
  <c r="P117" i="19"/>
  <c r="O117" i="19"/>
  <c r="N117" i="19"/>
  <c r="L117" i="19"/>
  <c r="K117" i="19"/>
  <c r="I117" i="19"/>
  <c r="H117" i="19"/>
  <c r="G117" i="19"/>
  <c r="F117" i="19"/>
  <c r="X116" i="19"/>
  <c r="W116" i="19"/>
  <c r="V116" i="19"/>
  <c r="U116" i="19"/>
  <c r="T116" i="19"/>
  <c r="S116" i="19"/>
  <c r="R116" i="19"/>
  <c r="Q116" i="19"/>
  <c r="P116" i="19"/>
  <c r="O116" i="19"/>
  <c r="N116" i="19"/>
  <c r="M116" i="19"/>
  <c r="L116" i="19"/>
  <c r="K116" i="19"/>
  <c r="J116" i="19"/>
  <c r="I116" i="19"/>
  <c r="H116" i="19"/>
  <c r="G116" i="19"/>
  <c r="F116" i="19"/>
  <c r="W115" i="19"/>
  <c r="U115" i="19"/>
  <c r="S115" i="19"/>
  <c r="R115" i="19"/>
  <c r="Q115" i="19"/>
  <c r="P115" i="19"/>
  <c r="O115" i="19"/>
  <c r="N115" i="19"/>
  <c r="M115" i="19"/>
  <c r="L115" i="19"/>
  <c r="I115" i="19"/>
  <c r="H115" i="19"/>
  <c r="G115" i="19"/>
  <c r="F115" i="19"/>
  <c r="AA114" i="19"/>
  <c r="X114" i="19"/>
  <c r="W114" i="19"/>
  <c r="V114" i="19"/>
  <c r="U114" i="19"/>
  <c r="T114" i="19"/>
  <c r="S114" i="19"/>
  <c r="R114" i="19"/>
  <c r="Q114" i="19"/>
  <c r="P114" i="19"/>
  <c r="O114" i="19"/>
  <c r="M114" i="19"/>
  <c r="L114" i="19"/>
  <c r="I114" i="19"/>
  <c r="H114" i="19"/>
  <c r="G114" i="19"/>
  <c r="Y23" i="19"/>
  <c r="Y113" i="19" s="1"/>
  <c r="X113" i="19"/>
  <c r="W113" i="19"/>
  <c r="V113" i="19"/>
  <c r="U113" i="19"/>
  <c r="T113" i="19"/>
  <c r="S113" i="19"/>
  <c r="R113" i="19"/>
  <c r="Q113" i="19"/>
  <c r="P113" i="19"/>
  <c r="O113" i="19"/>
  <c r="N113" i="19"/>
  <c r="M113" i="19"/>
  <c r="L113" i="19"/>
  <c r="K113" i="19"/>
  <c r="J113" i="19"/>
  <c r="I113" i="19"/>
  <c r="H113" i="19"/>
  <c r="G113" i="19"/>
  <c r="F113" i="19"/>
  <c r="X112" i="19"/>
  <c r="W112" i="19"/>
  <c r="V112" i="19"/>
  <c r="U112" i="19"/>
  <c r="T112" i="19"/>
  <c r="S112" i="19"/>
  <c r="R112" i="19"/>
  <c r="Q112" i="19"/>
  <c r="O112" i="19"/>
  <c r="N112" i="19"/>
  <c r="M112" i="19"/>
  <c r="L112" i="19"/>
  <c r="K112" i="19"/>
  <c r="J112" i="19"/>
  <c r="I112" i="19"/>
  <c r="S111" i="19"/>
  <c r="P111" i="19"/>
  <c r="N111" i="19"/>
  <c r="L111" i="19"/>
  <c r="K111" i="19"/>
  <c r="G111" i="19"/>
  <c r="X110" i="19"/>
  <c r="W110" i="19"/>
  <c r="V110" i="19"/>
  <c r="U110" i="19"/>
  <c r="T110" i="19"/>
  <c r="S110" i="19"/>
  <c r="R110" i="19"/>
  <c r="Q110" i="19"/>
  <c r="P110" i="19"/>
  <c r="O110" i="19"/>
  <c r="N110" i="19"/>
  <c r="M110" i="19"/>
  <c r="L110" i="19"/>
  <c r="K110" i="19"/>
  <c r="J110" i="19"/>
  <c r="I110" i="19"/>
  <c r="H110" i="19"/>
  <c r="G110" i="19"/>
  <c r="F110" i="19"/>
  <c r="Y19" i="19"/>
  <c r="Y109" i="19"/>
  <c r="X109" i="19"/>
  <c r="W109" i="19"/>
  <c r="V109" i="19"/>
  <c r="U109" i="19"/>
  <c r="T109" i="19"/>
  <c r="S109" i="19"/>
  <c r="R109" i="19"/>
  <c r="Q109" i="19"/>
  <c r="P109" i="19"/>
  <c r="O109" i="19"/>
  <c r="N109" i="19"/>
  <c r="M109" i="19"/>
  <c r="L109" i="19"/>
  <c r="K109" i="19"/>
  <c r="J109" i="19"/>
  <c r="I109" i="19"/>
  <c r="H109" i="19"/>
  <c r="G109" i="19"/>
  <c r="F109" i="19"/>
  <c r="X108" i="19"/>
  <c r="W108" i="19"/>
  <c r="V108" i="19"/>
  <c r="U108" i="19"/>
  <c r="T108" i="19"/>
  <c r="S108" i="19"/>
  <c r="R108" i="19"/>
  <c r="Q108" i="19"/>
  <c r="P108" i="19"/>
  <c r="O108" i="19"/>
  <c r="N108" i="19"/>
  <c r="M108" i="19"/>
  <c r="L108" i="19"/>
  <c r="K108" i="19"/>
  <c r="J108" i="19"/>
  <c r="I108" i="19"/>
  <c r="H108" i="19"/>
  <c r="G108" i="19"/>
  <c r="F108" i="19"/>
  <c r="X107" i="19"/>
  <c r="W107" i="19"/>
  <c r="V107" i="19"/>
  <c r="U107" i="19"/>
  <c r="T107" i="19"/>
  <c r="S107" i="19"/>
  <c r="R107" i="19"/>
  <c r="Q107" i="19"/>
  <c r="P107" i="19"/>
  <c r="O107" i="19"/>
  <c r="N107" i="19"/>
  <c r="M107" i="19"/>
  <c r="L107" i="19"/>
  <c r="K107" i="19"/>
  <c r="J107" i="19"/>
  <c r="I107" i="19"/>
  <c r="H107" i="19"/>
  <c r="G107" i="19"/>
  <c r="F107" i="19"/>
  <c r="X106" i="19"/>
  <c r="W106" i="19"/>
  <c r="V106" i="19"/>
  <c r="U106" i="19"/>
  <c r="T106" i="19"/>
  <c r="S106" i="19"/>
  <c r="R106" i="19"/>
  <c r="Q106" i="19"/>
  <c r="P106" i="19"/>
  <c r="O106" i="19"/>
  <c r="N106" i="19"/>
  <c r="M106" i="19"/>
  <c r="L106" i="19"/>
  <c r="K106" i="19"/>
  <c r="J106" i="19"/>
  <c r="I106" i="19"/>
  <c r="H106" i="19"/>
  <c r="G106" i="19"/>
  <c r="F106" i="19"/>
  <c r="X105" i="19"/>
  <c r="W105" i="19"/>
  <c r="V105" i="19"/>
  <c r="U105" i="19"/>
  <c r="T105" i="19"/>
  <c r="S105" i="19"/>
  <c r="R105" i="19"/>
  <c r="Q105" i="19"/>
  <c r="P105" i="19"/>
  <c r="O105" i="19"/>
  <c r="N105" i="19"/>
  <c r="M105" i="19"/>
  <c r="L105" i="19"/>
  <c r="K105" i="19"/>
  <c r="J105" i="19"/>
  <c r="I105" i="19"/>
  <c r="H105" i="19"/>
  <c r="G105" i="19"/>
  <c r="F105" i="19"/>
  <c r="X104" i="19"/>
  <c r="W104" i="19"/>
  <c r="V104" i="19"/>
  <c r="U104" i="19"/>
  <c r="T104" i="19"/>
  <c r="S104" i="19"/>
  <c r="R104" i="19"/>
  <c r="Q104" i="19"/>
  <c r="P104" i="19"/>
  <c r="O104" i="19"/>
  <c r="N104" i="19"/>
  <c r="M104" i="19"/>
  <c r="L104" i="19"/>
  <c r="K104" i="19"/>
  <c r="J104" i="19"/>
  <c r="I104" i="19"/>
  <c r="H104" i="19"/>
  <c r="G104" i="19"/>
  <c r="F104" i="19"/>
  <c r="AA103" i="19"/>
  <c r="N12" i="19"/>
  <c r="N102" i="19" s="1"/>
  <c r="J9" i="19"/>
  <c r="J99" i="19" s="1"/>
  <c r="O8" i="19"/>
  <c r="O98" i="19"/>
  <c r="F7" i="19"/>
  <c r="F97" i="19" s="1"/>
  <c r="Z90" i="19"/>
  <c r="Y90" i="19"/>
  <c r="Y89" i="19"/>
  <c r="Z88" i="19"/>
  <c r="Y88" i="19"/>
  <c r="AA88" i="19" s="1"/>
  <c r="Z87" i="19"/>
  <c r="BB177" i="19" s="1"/>
  <c r="Z86" i="19"/>
  <c r="Y86" i="19"/>
  <c r="Z85" i="19"/>
  <c r="Y85" i="19"/>
  <c r="Y83" i="19"/>
  <c r="AG82" i="19"/>
  <c r="AH82" i="19" s="1"/>
  <c r="AQ172" i="19"/>
  <c r="AP172" i="19"/>
  <c r="K127" i="19"/>
  <c r="AG81" i="19"/>
  <c r="AH81" i="19" s="1"/>
  <c r="AJ81" i="19" s="1"/>
  <c r="AG80" i="19"/>
  <c r="AH80" i="19" s="1"/>
  <c r="AI80" i="19" s="1"/>
  <c r="Z80" i="19"/>
  <c r="Y80" i="19"/>
  <c r="AA80" i="19" s="1"/>
  <c r="AG79" i="19"/>
  <c r="AH79" i="19" s="1"/>
  <c r="Z79" i="19"/>
  <c r="Y79" i="19"/>
  <c r="AA79" i="19" s="1"/>
  <c r="Z78" i="19"/>
  <c r="Y78" i="19"/>
  <c r="AA78" i="19" s="1"/>
  <c r="Z77" i="19"/>
  <c r="Y77" i="19"/>
  <c r="AC76" i="19"/>
  <c r="Z76" i="19"/>
  <c r="Y76" i="19"/>
  <c r="Z75" i="19"/>
  <c r="Y75" i="19"/>
  <c r="Z74" i="19"/>
  <c r="Y74" i="19"/>
  <c r="AA74" i="19"/>
  <c r="Y73" i="19"/>
  <c r="Z72" i="19"/>
  <c r="Y72" i="19"/>
  <c r="Z71" i="19"/>
  <c r="Y71" i="19"/>
  <c r="AA70" i="19"/>
  <c r="Z69" i="19"/>
  <c r="Z68" i="19"/>
  <c r="Y68" i="19"/>
  <c r="AC67" i="19"/>
  <c r="Z67" i="19"/>
  <c r="BB157" i="19" s="1"/>
  <c r="AR157" i="19"/>
  <c r="AC66" i="19"/>
  <c r="Z65" i="19"/>
  <c r="Y65" i="19"/>
  <c r="AA65" i="19"/>
  <c r="AC64" i="19"/>
  <c r="Z64" i="19"/>
  <c r="Y64" i="19"/>
  <c r="AC63" i="19"/>
  <c r="Z63" i="19"/>
  <c r="Y63" i="19"/>
  <c r="Z62" i="19"/>
  <c r="Y62" i="19"/>
  <c r="Z61" i="19"/>
  <c r="Y61" i="19"/>
  <c r="Z60" i="19"/>
  <c r="Y60" i="19"/>
  <c r="Z59" i="19"/>
  <c r="Y59" i="19"/>
  <c r="V58" i="19"/>
  <c r="S58" i="19"/>
  <c r="M58" i="19"/>
  <c r="AA57" i="19"/>
  <c r="AA102" i="19" s="1"/>
  <c r="S57" i="19"/>
  <c r="M57" i="19"/>
  <c r="V56" i="19"/>
  <c r="S56" i="19"/>
  <c r="M56" i="19"/>
  <c r="S55" i="19"/>
  <c r="M55" i="19"/>
  <c r="X54" i="19"/>
  <c r="W54" i="19"/>
  <c r="V54" i="19"/>
  <c r="U54" i="19"/>
  <c r="T54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X53" i="19"/>
  <c r="W53" i="19"/>
  <c r="V53" i="19"/>
  <c r="U53" i="19"/>
  <c r="U52" i="19"/>
  <c r="T53" i="19"/>
  <c r="S53" i="19"/>
  <c r="R53" i="19"/>
  <c r="Q53" i="19"/>
  <c r="Q52" i="19"/>
  <c r="Q50" i="19" s="1"/>
  <c r="P53" i="19"/>
  <c r="O53" i="19"/>
  <c r="N53" i="19"/>
  <c r="M53" i="19"/>
  <c r="L53" i="19"/>
  <c r="K53" i="19"/>
  <c r="J53" i="19"/>
  <c r="J50" i="19" s="1"/>
  <c r="I53" i="19"/>
  <c r="I50" i="19" s="1"/>
  <c r="I52" i="19"/>
  <c r="H53" i="19"/>
  <c r="G53" i="19"/>
  <c r="F53" i="19"/>
  <c r="X52" i="19"/>
  <c r="W52" i="19"/>
  <c r="V52" i="19"/>
  <c r="T52" i="19"/>
  <c r="S52" i="19"/>
  <c r="R52" i="19"/>
  <c r="R50" i="19" s="1"/>
  <c r="P52" i="19"/>
  <c r="O52" i="19"/>
  <c r="N52" i="19"/>
  <c r="M52" i="19"/>
  <c r="L52" i="19"/>
  <c r="K52" i="19"/>
  <c r="J52" i="19"/>
  <c r="H52" i="19"/>
  <c r="G52" i="19"/>
  <c r="F52" i="19"/>
  <c r="Z45" i="19"/>
  <c r="Z135" i="19" s="1"/>
  <c r="Y45" i="19"/>
  <c r="Y135" i="19" s="1"/>
  <c r="Y44" i="19"/>
  <c r="Z43" i="19"/>
  <c r="Z133" i="19" s="1"/>
  <c r="Y43" i="19"/>
  <c r="Y133" i="19" s="1"/>
  <c r="Z42" i="19"/>
  <c r="Z41" i="19"/>
  <c r="Z131" i="19" s="1"/>
  <c r="Y41" i="19"/>
  <c r="Z40" i="19"/>
  <c r="Z130" i="19" s="1"/>
  <c r="Y40" i="19"/>
  <c r="Y38" i="19"/>
  <c r="K128" i="19"/>
  <c r="N127" i="19"/>
  <c r="M126" i="19"/>
  <c r="Z35" i="19"/>
  <c r="Z125" i="19" s="1"/>
  <c r="Y35" i="19"/>
  <c r="Y34" i="19"/>
  <c r="Z33" i="19"/>
  <c r="Z123" i="19" s="1"/>
  <c r="Y33" i="19"/>
  <c r="Y123" i="19" s="1"/>
  <c r="Z32" i="19"/>
  <c r="Z122" i="19" s="1"/>
  <c r="Y32" i="19"/>
  <c r="AH31" i="19"/>
  <c r="Z31" i="19"/>
  <c r="Z121" i="19" s="1"/>
  <c r="Y31" i="19"/>
  <c r="Y121" i="19" s="1"/>
  <c r="Y30" i="19"/>
  <c r="Y120" i="19" s="1"/>
  <c r="X30" i="19"/>
  <c r="Z30" i="19" s="1"/>
  <c r="Z120" i="19" s="1"/>
  <c r="Z29" i="19"/>
  <c r="Z119" i="19" s="1"/>
  <c r="Y29" i="19"/>
  <c r="Y119" i="19" s="1"/>
  <c r="Y28" i="19"/>
  <c r="Y118" i="19" s="1"/>
  <c r="Q12" i="19"/>
  <c r="Q102" i="19" s="1"/>
  <c r="Z27" i="19"/>
  <c r="Z117" i="19"/>
  <c r="E27" i="19"/>
  <c r="Z26" i="19"/>
  <c r="Z116" i="19"/>
  <c r="Y26" i="19"/>
  <c r="Y116" i="19" s="1"/>
  <c r="AF25" i="19"/>
  <c r="Z25" i="19"/>
  <c r="K25" i="19"/>
  <c r="Z24" i="19"/>
  <c r="Z114" i="19" s="1"/>
  <c r="Z23" i="19"/>
  <c r="Z113" i="19" s="1"/>
  <c r="AA23" i="19"/>
  <c r="AA113" i="19" s="1"/>
  <c r="AG22" i="19"/>
  <c r="AG25" i="19" s="1"/>
  <c r="W10" i="19"/>
  <c r="T10" i="19"/>
  <c r="T100" i="19"/>
  <c r="Q10" i="19"/>
  <c r="Q100" i="19" s="1"/>
  <c r="Z20" i="19"/>
  <c r="Z110" i="19" s="1"/>
  <c r="Y20" i="19"/>
  <c r="Y110" i="19"/>
  <c r="Z19" i="19"/>
  <c r="Z109" i="19" s="1"/>
  <c r="Z18" i="19"/>
  <c r="Y18" i="19"/>
  <c r="Y108" i="19"/>
  <c r="Z17" i="19"/>
  <c r="Z107" i="19" s="1"/>
  <c r="Y17" i="19"/>
  <c r="Y107" i="19"/>
  <c r="Z16" i="19"/>
  <c r="Z106" i="19" s="1"/>
  <c r="Y16" i="19"/>
  <c r="Y106" i="19"/>
  <c r="Z15" i="19"/>
  <c r="Z105" i="19" s="1"/>
  <c r="Y15" i="19"/>
  <c r="Z14" i="19"/>
  <c r="Z104" i="19" s="1"/>
  <c r="Y14" i="19"/>
  <c r="Y104" i="19" s="1"/>
  <c r="W13" i="19"/>
  <c r="W103" i="19" s="1"/>
  <c r="V13" i="19"/>
  <c r="U13" i="19"/>
  <c r="U103" i="19"/>
  <c r="T13" i="19"/>
  <c r="T103" i="19" s="1"/>
  <c r="S13" i="19"/>
  <c r="S103" i="19"/>
  <c r="R13" i="19"/>
  <c r="R103" i="19" s="1"/>
  <c r="Q13" i="19"/>
  <c r="Q103" i="19" s="1"/>
  <c r="P13" i="19"/>
  <c r="P103" i="19" s="1"/>
  <c r="O13" i="19"/>
  <c r="O103" i="19"/>
  <c r="N13" i="19"/>
  <c r="N103" i="19" s="1"/>
  <c r="M13" i="19"/>
  <c r="L13" i="19"/>
  <c r="L103" i="19" s="1"/>
  <c r="K13" i="19"/>
  <c r="K103" i="19" s="1"/>
  <c r="J13" i="19"/>
  <c r="J103" i="19"/>
  <c r="I13" i="19"/>
  <c r="I103" i="19" s="1"/>
  <c r="H13" i="19"/>
  <c r="H103" i="19"/>
  <c r="G13" i="19"/>
  <c r="G103" i="19" s="1"/>
  <c r="F13" i="19"/>
  <c r="F103" i="19"/>
  <c r="W12" i="19"/>
  <c r="W102" i="19" s="1"/>
  <c r="S12" i="19"/>
  <c r="S102" i="19" s="1"/>
  <c r="R12" i="19"/>
  <c r="R102" i="19" s="1"/>
  <c r="P12" i="19"/>
  <c r="P102" i="19"/>
  <c r="O12" i="19"/>
  <c r="O102" i="19" s="1"/>
  <c r="K12" i="19"/>
  <c r="K102" i="19"/>
  <c r="I12" i="19"/>
  <c r="I102" i="19" s="1"/>
  <c r="H12" i="19"/>
  <c r="H102" i="19" s="1"/>
  <c r="G12" i="19"/>
  <c r="F12" i="19"/>
  <c r="F102" i="19" s="1"/>
  <c r="X11" i="19"/>
  <c r="W11" i="19"/>
  <c r="W101" i="19" s="1"/>
  <c r="V11" i="19"/>
  <c r="U11" i="19"/>
  <c r="U101" i="19" s="1"/>
  <c r="T11" i="19"/>
  <c r="S11" i="19"/>
  <c r="R11" i="19"/>
  <c r="R101" i="19" s="1"/>
  <c r="Q11" i="19"/>
  <c r="Q101" i="19" s="1"/>
  <c r="P11" i="19"/>
  <c r="P101" i="19" s="1"/>
  <c r="O11" i="19"/>
  <c r="O101" i="19"/>
  <c r="N11" i="19"/>
  <c r="N101" i="19" s="1"/>
  <c r="M11" i="19"/>
  <c r="M6" i="19" s="1"/>
  <c r="M96" i="19" s="1"/>
  <c r="L11" i="19"/>
  <c r="L101" i="19" s="1"/>
  <c r="I11" i="19"/>
  <c r="I101" i="19" s="1"/>
  <c r="H11" i="19"/>
  <c r="H101" i="19"/>
  <c r="G11" i="19"/>
  <c r="G101" i="19" s="1"/>
  <c r="X10" i="19"/>
  <c r="X100" i="19" s="1"/>
  <c r="V10" i="19"/>
  <c r="S10" i="19"/>
  <c r="S100" i="19"/>
  <c r="O10" i="19"/>
  <c r="N10" i="19"/>
  <c r="L10" i="19"/>
  <c r="L100" i="19" s="1"/>
  <c r="K10" i="19"/>
  <c r="K100" i="19" s="1"/>
  <c r="J10" i="19"/>
  <c r="J145" i="19" s="1"/>
  <c r="H28" i="20" s="1"/>
  <c r="I10" i="19"/>
  <c r="F10" i="19"/>
  <c r="X9" i="19"/>
  <c r="X99" i="19" s="1"/>
  <c r="W9" i="19"/>
  <c r="W99" i="19" s="1"/>
  <c r="V9" i="19"/>
  <c r="V99" i="19" s="1"/>
  <c r="U9" i="19"/>
  <c r="U99" i="19" s="1"/>
  <c r="T9" i="19"/>
  <c r="T99" i="19" s="1"/>
  <c r="S9" i="19"/>
  <c r="S99" i="19"/>
  <c r="R9" i="19"/>
  <c r="R99" i="19" s="1"/>
  <c r="Q9" i="19"/>
  <c r="P9" i="19"/>
  <c r="P99" i="19"/>
  <c r="O9" i="19"/>
  <c r="O99" i="19" s="1"/>
  <c r="N9" i="19"/>
  <c r="N99" i="19"/>
  <c r="M9" i="19"/>
  <c r="L9" i="19"/>
  <c r="L99" i="19" s="1"/>
  <c r="K9" i="19"/>
  <c r="K99" i="19" s="1"/>
  <c r="I9" i="19"/>
  <c r="I99" i="19" s="1"/>
  <c r="H9" i="19"/>
  <c r="H99" i="19" s="1"/>
  <c r="G9" i="19"/>
  <c r="G99" i="19"/>
  <c r="F9" i="19"/>
  <c r="F99" i="19" s="1"/>
  <c r="X8" i="19"/>
  <c r="W8" i="19"/>
  <c r="W98" i="19" s="1"/>
  <c r="V8" i="19"/>
  <c r="V98" i="19" s="1"/>
  <c r="U8" i="19"/>
  <c r="U98" i="19" s="1"/>
  <c r="T8" i="19"/>
  <c r="T98" i="19"/>
  <c r="S8" i="19"/>
  <c r="S98" i="19" s="1"/>
  <c r="R8" i="19"/>
  <c r="R98" i="19"/>
  <c r="Q8" i="19"/>
  <c r="Q98" i="19" s="1"/>
  <c r="P8" i="19"/>
  <c r="N8" i="19"/>
  <c r="N98" i="19"/>
  <c r="M8" i="19"/>
  <c r="L8" i="19"/>
  <c r="K8" i="19"/>
  <c r="K98" i="19" s="1"/>
  <c r="J8" i="19"/>
  <c r="I8" i="19"/>
  <c r="I98" i="19" s="1"/>
  <c r="H8" i="19"/>
  <c r="G8" i="19"/>
  <c r="G98" i="19"/>
  <c r="F8" i="19"/>
  <c r="X7" i="19"/>
  <c r="X97" i="19"/>
  <c r="W7" i="19"/>
  <c r="W97" i="19" s="1"/>
  <c r="V7" i="19"/>
  <c r="V97" i="19"/>
  <c r="U7" i="19"/>
  <c r="U97" i="19" s="1"/>
  <c r="T7" i="19"/>
  <c r="T97" i="19" s="1"/>
  <c r="S7" i="19"/>
  <c r="S97" i="19" s="1"/>
  <c r="R7" i="19"/>
  <c r="R97" i="19" s="1"/>
  <c r="Q7" i="19"/>
  <c r="Q97" i="19" s="1"/>
  <c r="P7" i="19"/>
  <c r="P97" i="19"/>
  <c r="O7" i="19"/>
  <c r="O97" i="19" s="1"/>
  <c r="N7" i="19"/>
  <c r="N97" i="19"/>
  <c r="M7" i="19"/>
  <c r="M97" i="19" s="1"/>
  <c r="L7" i="19"/>
  <c r="L97" i="19"/>
  <c r="K7" i="19"/>
  <c r="K97" i="19" s="1"/>
  <c r="J7" i="19"/>
  <c r="J97" i="19"/>
  <c r="I7" i="19"/>
  <c r="I97" i="19" s="1"/>
  <c r="H7" i="19"/>
  <c r="H97" i="19" s="1"/>
  <c r="G7" i="19"/>
  <c r="G97" i="19" s="1"/>
  <c r="D5" i="19"/>
  <c r="AD301" i="16"/>
  <c r="AC301" i="16"/>
  <c r="AB301" i="16"/>
  <c r="AD300" i="16"/>
  <c r="AC300" i="16"/>
  <c r="AC302" i="16" s="1"/>
  <c r="AB300" i="16"/>
  <c r="AB302" i="16" s="1"/>
  <c r="AA270" i="16"/>
  <c r="Z270" i="16"/>
  <c r="Y270" i="16"/>
  <c r="AA269" i="16"/>
  <c r="Z269" i="16"/>
  <c r="Y269" i="16"/>
  <c r="AA268" i="16"/>
  <c r="Z268" i="16"/>
  <c r="Y268" i="16"/>
  <c r="AA267" i="16"/>
  <c r="Z267" i="16"/>
  <c r="Y267" i="16"/>
  <c r="AA266" i="16"/>
  <c r="Z266" i="16"/>
  <c r="Y266" i="16"/>
  <c r="AA265" i="16"/>
  <c r="Z265" i="16"/>
  <c r="Y265" i="16"/>
  <c r="AA264" i="16"/>
  <c r="Z264" i="16"/>
  <c r="Y264" i="16"/>
  <c r="AA263" i="16"/>
  <c r="Z263" i="16"/>
  <c r="Y263" i="16"/>
  <c r="AA262" i="16"/>
  <c r="Z262" i="16"/>
  <c r="Y262" i="16"/>
  <c r="AA261" i="16"/>
  <c r="Z261" i="16"/>
  <c r="Y261" i="16"/>
  <c r="AA260" i="16"/>
  <c r="Z260" i="16"/>
  <c r="Y260" i="16"/>
  <c r="X260" i="16"/>
  <c r="W260" i="16"/>
  <c r="V260" i="16"/>
  <c r="U260" i="16"/>
  <c r="T260" i="16"/>
  <c r="S260" i="16"/>
  <c r="R260" i="16"/>
  <c r="Q260" i="16"/>
  <c r="P260" i="16"/>
  <c r="O260" i="16"/>
  <c r="N260" i="16"/>
  <c r="M260" i="16"/>
  <c r="L260" i="16"/>
  <c r="K260" i="16"/>
  <c r="J260" i="16"/>
  <c r="I260" i="16"/>
  <c r="H260" i="16"/>
  <c r="G260" i="16"/>
  <c r="F260" i="16"/>
  <c r="AA259" i="16"/>
  <c r="Z259" i="16"/>
  <c r="Y259" i="16"/>
  <c r="X259" i="16"/>
  <c r="W259" i="16"/>
  <c r="V259" i="16"/>
  <c r="U259" i="16"/>
  <c r="T259" i="16"/>
  <c r="S259" i="16"/>
  <c r="R259" i="16"/>
  <c r="Q259" i="16"/>
  <c r="P259" i="16"/>
  <c r="O259" i="16"/>
  <c r="N259" i="16"/>
  <c r="M259" i="16"/>
  <c r="L259" i="16"/>
  <c r="K259" i="16"/>
  <c r="J259" i="16"/>
  <c r="I259" i="16"/>
  <c r="H259" i="16"/>
  <c r="G259" i="16"/>
  <c r="F259" i="16"/>
  <c r="AA258" i="16"/>
  <c r="Z258" i="16"/>
  <c r="Y258" i="16"/>
  <c r="X258" i="16"/>
  <c r="W258" i="16"/>
  <c r="V258" i="16"/>
  <c r="U258" i="16"/>
  <c r="T258" i="16"/>
  <c r="S258" i="16"/>
  <c r="R258" i="16"/>
  <c r="Q258" i="16"/>
  <c r="P258" i="16"/>
  <c r="O258" i="16"/>
  <c r="N258" i="16"/>
  <c r="M258" i="16"/>
  <c r="L258" i="16"/>
  <c r="K258" i="16"/>
  <c r="J258" i="16"/>
  <c r="I258" i="16"/>
  <c r="H258" i="16"/>
  <c r="G258" i="16"/>
  <c r="F258" i="16"/>
  <c r="AA257" i="16"/>
  <c r="Z257" i="16"/>
  <c r="Y257" i="16"/>
  <c r="X257" i="16"/>
  <c r="W257" i="16"/>
  <c r="V257" i="16"/>
  <c r="U257" i="16"/>
  <c r="T257" i="16"/>
  <c r="S257" i="16"/>
  <c r="R257" i="16"/>
  <c r="Q257" i="16"/>
  <c r="P257" i="16"/>
  <c r="O257" i="16"/>
  <c r="N257" i="16"/>
  <c r="M257" i="16"/>
  <c r="L257" i="16"/>
  <c r="K257" i="16"/>
  <c r="J257" i="16"/>
  <c r="I257" i="16"/>
  <c r="H257" i="16"/>
  <c r="G257" i="16"/>
  <c r="F257" i="16"/>
  <c r="AA256" i="16"/>
  <c r="Z256" i="16"/>
  <c r="Y256" i="16"/>
  <c r="X256" i="16"/>
  <c r="W256" i="16"/>
  <c r="V256" i="16"/>
  <c r="U256" i="16"/>
  <c r="T256" i="16"/>
  <c r="S256" i="16"/>
  <c r="R256" i="16"/>
  <c r="Q256" i="16"/>
  <c r="P256" i="16"/>
  <c r="O256" i="16"/>
  <c r="N256" i="16"/>
  <c r="M256" i="16"/>
  <c r="L256" i="16"/>
  <c r="K256" i="16"/>
  <c r="J256" i="16"/>
  <c r="I256" i="16"/>
  <c r="H256" i="16"/>
  <c r="G256" i="16"/>
  <c r="F256" i="16"/>
  <c r="AA255" i="16"/>
  <c r="Z255" i="16"/>
  <c r="Y255" i="16"/>
  <c r="W255" i="16"/>
  <c r="V255" i="16"/>
  <c r="V238" i="16"/>
  <c r="U255" i="16"/>
  <c r="U238" i="16" s="1"/>
  <c r="T255" i="16"/>
  <c r="T238" i="16" s="1"/>
  <c r="S255" i="16"/>
  <c r="R255" i="16"/>
  <c r="R238" i="16" s="1"/>
  <c r="Q255" i="16"/>
  <c r="P255" i="16"/>
  <c r="P238" i="16"/>
  <c r="O255" i="16"/>
  <c r="N255" i="16"/>
  <c r="N238" i="16" s="1"/>
  <c r="M255" i="16"/>
  <c r="L255" i="16"/>
  <c r="L238" i="16" s="1"/>
  <c r="K255" i="16"/>
  <c r="J255" i="16"/>
  <c r="J238" i="16" s="1"/>
  <c r="I255" i="16"/>
  <c r="H255" i="16"/>
  <c r="H238" i="16"/>
  <c r="G255" i="16"/>
  <c r="G238" i="16" s="1"/>
  <c r="F255" i="16"/>
  <c r="F238" i="16"/>
  <c r="AA254" i="16"/>
  <c r="Z254" i="16"/>
  <c r="Y254" i="16"/>
  <c r="AA253" i="16"/>
  <c r="Z253" i="16"/>
  <c r="Y253" i="16"/>
  <c r="AA252" i="16"/>
  <c r="Z252" i="16"/>
  <c r="Y252" i="16"/>
  <c r="AA251" i="16"/>
  <c r="Z251" i="16"/>
  <c r="Y251" i="16"/>
  <c r="X251" i="16"/>
  <c r="X249" i="16"/>
  <c r="X250" i="16"/>
  <c r="W251" i="16"/>
  <c r="W236" i="16" s="1"/>
  <c r="V251" i="16"/>
  <c r="V236" i="16" s="1"/>
  <c r="V249" i="16"/>
  <c r="V250" i="16"/>
  <c r="U251" i="16"/>
  <c r="T251" i="16"/>
  <c r="T236" i="16" s="1"/>
  <c r="T249" i="16"/>
  <c r="S251" i="16"/>
  <c r="S236" i="16" s="1"/>
  <c r="S231" i="16" s="1"/>
  <c r="R251" i="16"/>
  <c r="R249" i="16"/>
  <c r="R250" i="16"/>
  <c r="R236" i="16" s="1"/>
  <c r="Q251" i="16"/>
  <c r="P251" i="16"/>
  <c r="P249" i="16"/>
  <c r="P250" i="16"/>
  <c r="O251" i="16"/>
  <c r="O236" i="16" s="1"/>
  <c r="N251" i="16"/>
  <c r="M251" i="16"/>
  <c r="L251" i="16"/>
  <c r="K251" i="16"/>
  <c r="J251" i="16"/>
  <c r="I251" i="16"/>
  <c r="H251" i="16"/>
  <c r="G251" i="16"/>
  <c r="F251" i="16"/>
  <c r="AC250" i="16"/>
  <c r="AA250" i="16"/>
  <c r="Z250" i="16"/>
  <c r="BB205" i="16" s="1"/>
  <c r="Y250" i="16"/>
  <c r="W250" i="16"/>
  <c r="U250" i="16"/>
  <c r="Q250" i="16"/>
  <c r="O250" i="16"/>
  <c r="N250" i="16"/>
  <c r="M250" i="16"/>
  <c r="M249" i="16"/>
  <c r="M236" i="16"/>
  <c r="L250" i="16"/>
  <c r="I250" i="16"/>
  <c r="I249" i="16"/>
  <c r="H250" i="16"/>
  <c r="G250" i="16"/>
  <c r="G249" i="16"/>
  <c r="G236" i="16"/>
  <c r="F250" i="16"/>
  <c r="AA249" i="16"/>
  <c r="Z249" i="16"/>
  <c r="Y249" i="16"/>
  <c r="W249" i="16"/>
  <c r="U249" i="16"/>
  <c r="S249" i="16"/>
  <c r="Q249" i="16"/>
  <c r="Q236" i="16" s="1"/>
  <c r="O249" i="16"/>
  <c r="L249" i="16"/>
  <c r="H249" i="16"/>
  <c r="H236" i="16" s="1"/>
  <c r="AA248" i="16"/>
  <c r="Z248" i="16"/>
  <c r="Y248" i="16"/>
  <c r="O238" i="16"/>
  <c r="AA247" i="16"/>
  <c r="Z247" i="16"/>
  <c r="Y247" i="16"/>
  <c r="AA246" i="16"/>
  <c r="Z246" i="16"/>
  <c r="Y246" i="16"/>
  <c r="S238" i="16"/>
  <c r="AA245" i="16"/>
  <c r="Z245" i="16"/>
  <c r="Y245" i="16"/>
  <c r="X245" i="16"/>
  <c r="X234" i="16" s="1"/>
  <c r="W245" i="16"/>
  <c r="W234" i="16" s="1"/>
  <c r="V245" i="16"/>
  <c r="V234" i="16" s="1"/>
  <c r="U245" i="16"/>
  <c r="U234" i="16" s="1"/>
  <c r="T245" i="16"/>
  <c r="T234" i="16" s="1"/>
  <c r="S245" i="16"/>
  <c r="S234" i="16" s="1"/>
  <c r="R245" i="16"/>
  <c r="R234" i="16" s="1"/>
  <c r="Q245" i="16"/>
  <c r="Q234" i="16" s="1"/>
  <c r="P245" i="16"/>
  <c r="O245" i="16"/>
  <c r="O234" i="16"/>
  <c r="N245" i="16"/>
  <c r="N234" i="16" s="1"/>
  <c r="M245" i="16"/>
  <c r="L245" i="16"/>
  <c r="L234" i="16" s="1"/>
  <c r="K245" i="16"/>
  <c r="K234" i="16" s="1"/>
  <c r="J245" i="16"/>
  <c r="I245" i="16"/>
  <c r="H245" i="16"/>
  <c r="G245" i="16"/>
  <c r="G234" i="16" s="1"/>
  <c r="F245" i="16"/>
  <c r="F234" i="16" s="1"/>
  <c r="AA244" i="16"/>
  <c r="Z244" i="16"/>
  <c r="Y244" i="16"/>
  <c r="X244" i="16"/>
  <c r="W244" i="16"/>
  <c r="V244" i="16"/>
  <c r="U244" i="16"/>
  <c r="T244" i="16"/>
  <c r="S244" i="16"/>
  <c r="R244" i="16"/>
  <c r="Q244" i="16"/>
  <c r="P244" i="16"/>
  <c r="O244" i="16"/>
  <c r="N244" i="16"/>
  <c r="M244" i="16"/>
  <c r="L244" i="16"/>
  <c r="K244" i="16"/>
  <c r="J244" i="16"/>
  <c r="I244" i="16"/>
  <c r="H244" i="16"/>
  <c r="G244" i="16"/>
  <c r="F244" i="16"/>
  <c r="AA243" i="16"/>
  <c r="Z243" i="16"/>
  <c r="Y243" i="16"/>
  <c r="X243" i="16"/>
  <c r="W243" i="16"/>
  <c r="V243" i="16"/>
  <c r="U243" i="16"/>
  <c r="T243" i="16"/>
  <c r="S243" i="16"/>
  <c r="R243" i="16"/>
  <c r="Q243" i="16"/>
  <c r="P243" i="16"/>
  <c r="O243" i="16"/>
  <c r="N243" i="16"/>
  <c r="M243" i="16"/>
  <c r="L243" i="16"/>
  <c r="K243" i="16"/>
  <c r="J243" i="16"/>
  <c r="I243" i="16"/>
  <c r="H243" i="16"/>
  <c r="H233" i="16" s="1"/>
  <c r="G243" i="16"/>
  <c r="F243" i="16"/>
  <c r="AA242" i="16"/>
  <c r="Z242" i="16"/>
  <c r="Y242" i="16"/>
  <c r="X242" i="16"/>
  <c r="X233" i="16" s="1"/>
  <c r="W242" i="16"/>
  <c r="V242" i="16"/>
  <c r="U242" i="16"/>
  <c r="T242" i="16"/>
  <c r="S242" i="16"/>
  <c r="R242" i="16"/>
  <c r="Q242" i="16"/>
  <c r="Q233" i="16"/>
  <c r="P242" i="16"/>
  <c r="O242" i="16"/>
  <c r="N242" i="16"/>
  <c r="N233" i="16" s="1"/>
  <c r="M242" i="16"/>
  <c r="L242" i="16"/>
  <c r="K242" i="16"/>
  <c r="J242" i="16"/>
  <c r="I242" i="16"/>
  <c r="I233" i="16" s="1"/>
  <c r="H242" i="16"/>
  <c r="G242" i="16"/>
  <c r="F242" i="16"/>
  <c r="F233" i="16" s="1"/>
  <c r="AA241" i="16"/>
  <c r="Z241" i="16"/>
  <c r="Y241" i="16"/>
  <c r="X241" i="16"/>
  <c r="W241" i="16"/>
  <c r="V241" i="16"/>
  <c r="U241" i="16"/>
  <c r="T241" i="16"/>
  <c r="S241" i="16"/>
  <c r="R241" i="16"/>
  <c r="Q241" i="16"/>
  <c r="P241" i="16"/>
  <c r="O241" i="16"/>
  <c r="N241" i="16"/>
  <c r="M241" i="16"/>
  <c r="L241" i="16"/>
  <c r="K241" i="16"/>
  <c r="J241" i="16"/>
  <c r="I241" i="16"/>
  <c r="H241" i="16"/>
  <c r="G241" i="16"/>
  <c r="F241" i="16"/>
  <c r="AA240" i="16"/>
  <c r="Z240" i="16"/>
  <c r="Y240" i="16"/>
  <c r="X240" i="16"/>
  <c r="W240" i="16"/>
  <c r="V240" i="16"/>
  <c r="U240" i="16"/>
  <c r="U232" i="16" s="1"/>
  <c r="U239" i="16"/>
  <c r="T240" i="16"/>
  <c r="S240" i="16"/>
  <c r="R240" i="16"/>
  <c r="Q240" i="16"/>
  <c r="P240" i="16"/>
  <c r="O240" i="16"/>
  <c r="N240" i="16"/>
  <c r="M240" i="16"/>
  <c r="M239" i="16"/>
  <c r="M232" i="16" s="1"/>
  <c r="L240" i="16"/>
  <c r="K240" i="16"/>
  <c r="J240" i="16"/>
  <c r="I240" i="16"/>
  <c r="H240" i="16"/>
  <c r="G240" i="16"/>
  <c r="G232" i="16" s="1"/>
  <c r="F240" i="16"/>
  <c r="AA239" i="16"/>
  <c r="Z239" i="16"/>
  <c r="Y239" i="16"/>
  <c r="X239" i="16"/>
  <c r="X232" i="16"/>
  <c r="W239" i="16"/>
  <c r="W232" i="16" s="1"/>
  <c r="V239" i="16"/>
  <c r="V232" i="16" s="1"/>
  <c r="V230" i="16" s="1"/>
  <c r="T239" i="16"/>
  <c r="S239" i="16"/>
  <c r="S232" i="16" s="1"/>
  <c r="R239" i="16"/>
  <c r="R232" i="16" s="1"/>
  <c r="Q239" i="16"/>
  <c r="P239" i="16"/>
  <c r="P234" i="16"/>
  <c r="O239" i="16"/>
  <c r="O232" i="16" s="1"/>
  <c r="N239" i="16"/>
  <c r="L239" i="16"/>
  <c r="K239" i="16"/>
  <c r="K232" i="16" s="1"/>
  <c r="J239" i="16"/>
  <c r="J232" i="16" s="1"/>
  <c r="I239" i="16"/>
  <c r="H239" i="16"/>
  <c r="H234" i="16"/>
  <c r="G239" i="16"/>
  <c r="F239" i="16"/>
  <c r="W238" i="16"/>
  <c r="Q238" i="16"/>
  <c r="M238" i="16"/>
  <c r="K238" i="16"/>
  <c r="I238" i="16"/>
  <c r="M234" i="16"/>
  <c r="J234" i="16"/>
  <c r="I234" i="16"/>
  <c r="V233" i="16"/>
  <c r="N232" i="16"/>
  <c r="AZ225" i="16"/>
  <c r="AY225" i="16"/>
  <c r="AX225" i="16"/>
  <c r="AW225" i="16"/>
  <c r="AV225" i="16"/>
  <c r="AU225" i="16"/>
  <c r="AT225" i="16"/>
  <c r="AS225" i="16"/>
  <c r="AR225" i="16"/>
  <c r="AQ225" i="16"/>
  <c r="AP225" i="16"/>
  <c r="AO225" i="16"/>
  <c r="AN225" i="16"/>
  <c r="AM225" i="16"/>
  <c r="AL225" i="16"/>
  <c r="AK225" i="16"/>
  <c r="AJ225" i="16"/>
  <c r="AI225" i="16"/>
  <c r="AH225" i="16"/>
  <c r="Z225" i="16"/>
  <c r="BB225" i="16" s="1"/>
  <c r="Y225" i="16"/>
  <c r="BA225" i="16"/>
  <c r="AZ224" i="16"/>
  <c r="AY224" i="16"/>
  <c r="AX224" i="16"/>
  <c r="AW224" i="16"/>
  <c r="AV224" i="16"/>
  <c r="AU224" i="16"/>
  <c r="AT224" i="16"/>
  <c r="AS224" i="16"/>
  <c r="AQ224" i="16"/>
  <c r="AP224" i="16"/>
  <c r="AO224" i="16"/>
  <c r="AN224" i="16"/>
  <c r="AM224" i="16"/>
  <c r="AL224" i="16"/>
  <c r="AK224" i="16"/>
  <c r="AJ224" i="16"/>
  <c r="AI224" i="16"/>
  <c r="AH224" i="16"/>
  <c r="Y224" i="16"/>
  <c r="BA224" i="16" s="1"/>
  <c r="AZ223" i="16"/>
  <c r="AY223" i="16"/>
  <c r="AX223" i="16"/>
  <c r="AW223" i="16"/>
  <c r="AV223" i="16"/>
  <c r="AU223" i="16"/>
  <c r="AT223" i="16"/>
  <c r="AS223" i="16"/>
  <c r="AR223" i="16"/>
  <c r="AQ223" i="16"/>
  <c r="AP223" i="16"/>
  <c r="AO223" i="16"/>
  <c r="AN223" i="16"/>
  <c r="AM223" i="16"/>
  <c r="AL223" i="16"/>
  <c r="AK223" i="16"/>
  <c r="AJ223" i="16"/>
  <c r="AI223" i="16"/>
  <c r="AH223" i="16"/>
  <c r="Z223" i="16"/>
  <c r="BB223" i="16" s="1"/>
  <c r="Y223" i="16"/>
  <c r="BA223" i="16" s="1"/>
  <c r="AZ222" i="16"/>
  <c r="AY222" i="16"/>
  <c r="AX222" i="16"/>
  <c r="AW222" i="16"/>
  <c r="AV222" i="16"/>
  <c r="AU222" i="16"/>
  <c r="AT222" i="16"/>
  <c r="AS222" i="16"/>
  <c r="AR222" i="16"/>
  <c r="AQ222" i="16"/>
  <c r="AP222" i="16"/>
  <c r="AO222" i="16"/>
  <c r="AN222" i="16"/>
  <c r="AM222" i="16"/>
  <c r="AL222" i="16"/>
  <c r="AK222" i="16"/>
  <c r="Z222" i="16"/>
  <c r="BB222" i="16" s="1"/>
  <c r="AZ221" i="16"/>
  <c r="AY221" i="16"/>
  <c r="AX221" i="16"/>
  <c r="AW221" i="16"/>
  <c r="AV221" i="16"/>
  <c r="AU221" i="16"/>
  <c r="AT221" i="16"/>
  <c r="AS221" i="16"/>
  <c r="AR221" i="16"/>
  <c r="AQ221" i="16"/>
  <c r="AP221" i="16"/>
  <c r="AO221" i="16"/>
  <c r="AN221" i="16"/>
  <c r="AM221" i="16"/>
  <c r="AL221" i="16"/>
  <c r="AK221" i="16"/>
  <c r="AH221" i="16"/>
  <c r="Z221" i="16"/>
  <c r="BB221" i="16" s="1"/>
  <c r="AZ220" i="16"/>
  <c r="AY220" i="16"/>
  <c r="AX220" i="16"/>
  <c r="AW220" i="16"/>
  <c r="AV220" i="16"/>
  <c r="AU220" i="16"/>
  <c r="AT220" i="16"/>
  <c r="AS220" i="16"/>
  <c r="AR220" i="16"/>
  <c r="AQ220" i="16"/>
  <c r="AP220" i="16"/>
  <c r="AO220" i="16"/>
  <c r="AN220" i="16"/>
  <c r="AM220" i="16"/>
  <c r="AL220" i="16"/>
  <c r="AK220" i="16"/>
  <c r="AJ220" i="16"/>
  <c r="AI220" i="16"/>
  <c r="AH220" i="16"/>
  <c r="Z220" i="16"/>
  <c r="BB220" i="16" s="1"/>
  <c r="Y220" i="16"/>
  <c r="BA175" i="16" s="1"/>
  <c r="AY219" i="16"/>
  <c r="AX219" i="16"/>
  <c r="AW219" i="16"/>
  <c r="AV219" i="16"/>
  <c r="AU219" i="16"/>
  <c r="AT219" i="16"/>
  <c r="AP219" i="16"/>
  <c r="AN219" i="16"/>
  <c r="AL219" i="16"/>
  <c r="AJ219" i="16"/>
  <c r="AI219" i="16"/>
  <c r="AH219" i="16"/>
  <c r="AZ218" i="16"/>
  <c r="AY218" i="16"/>
  <c r="AX218" i="16"/>
  <c r="AU218" i="16"/>
  <c r="AT218" i="16"/>
  <c r="AS218" i="16"/>
  <c r="AQ218" i="16"/>
  <c r="AP218" i="16"/>
  <c r="AN218" i="16"/>
  <c r="AL218" i="16"/>
  <c r="AK218" i="16"/>
  <c r="AJ218" i="16"/>
  <c r="AI218" i="16"/>
  <c r="AH218" i="16"/>
  <c r="AZ217" i="16"/>
  <c r="AY217" i="16"/>
  <c r="AX217" i="16"/>
  <c r="AW217" i="16"/>
  <c r="AV217" i="16"/>
  <c r="AU217" i="16"/>
  <c r="AS217" i="16"/>
  <c r="AN217" i="16"/>
  <c r="AJ217" i="16"/>
  <c r="AI217" i="16"/>
  <c r="AZ216" i="16"/>
  <c r="AX216" i="16"/>
  <c r="AW216" i="16"/>
  <c r="AV216" i="16"/>
  <c r="AU216" i="16"/>
  <c r="AT216" i="16"/>
  <c r="AS216" i="16"/>
  <c r="AR216" i="16"/>
  <c r="AQ216" i="16"/>
  <c r="AP216" i="16"/>
  <c r="AN216" i="16"/>
  <c r="AI216" i="16"/>
  <c r="AZ215" i="16"/>
  <c r="AY215" i="16"/>
  <c r="AX215" i="16"/>
  <c r="AW215" i="16"/>
  <c r="AV215" i="16"/>
  <c r="AU215" i="16"/>
  <c r="AT215" i="16"/>
  <c r="AS215" i="16"/>
  <c r="AR215" i="16"/>
  <c r="AQ215" i="16"/>
  <c r="AP215" i="16"/>
  <c r="AO215" i="16"/>
  <c r="AN215" i="16"/>
  <c r="AM215" i="16"/>
  <c r="AL215" i="16"/>
  <c r="AK215" i="16"/>
  <c r="AJ215" i="16"/>
  <c r="AI215" i="16"/>
  <c r="AH215" i="16"/>
  <c r="Z215" i="16"/>
  <c r="Y215" i="16"/>
  <c r="BA215" i="16" s="1"/>
  <c r="AZ214" i="16"/>
  <c r="AY214" i="16"/>
  <c r="AX214" i="16"/>
  <c r="AW214" i="16"/>
  <c r="AV214" i="16"/>
  <c r="AU214" i="16"/>
  <c r="AT214" i="16"/>
  <c r="AS214" i="16"/>
  <c r="AR214" i="16"/>
  <c r="AQ214" i="16"/>
  <c r="AP214" i="16"/>
  <c r="AO214" i="16"/>
  <c r="AN214" i="16"/>
  <c r="AM214" i="16"/>
  <c r="AL214" i="16"/>
  <c r="AK214" i="16"/>
  <c r="AJ214" i="16"/>
  <c r="AI214" i="16"/>
  <c r="AH214" i="16"/>
  <c r="Z214" i="16"/>
  <c r="Y214" i="16"/>
  <c r="AZ213" i="16"/>
  <c r="AY213" i="16"/>
  <c r="AX213" i="16"/>
  <c r="AW213" i="16"/>
  <c r="AV213" i="16"/>
  <c r="AU213" i="16"/>
  <c r="AT213" i="16"/>
  <c r="AS213" i="16"/>
  <c r="AR213" i="16"/>
  <c r="AQ213" i="16"/>
  <c r="AP213" i="16"/>
  <c r="AO213" i="16"/>
  <c r="AN213" i="16"/>
  <c r="AM213" i="16"/>
  <c r="AL213" i="16"/>
  <c r="AK213" i="16"/>
  <c r="AJ213" i="16"/>
  <c r="AI213" i="16"/>
  <c r="AH213" i="16"/>
  <c r="Z213" i="16"/>
  <c r="BB213" i="16" s="1"/>
  <c r="Y213" i="16"/>
  <c r="BA213" i="16" s="1"/>
  <c r="AZ212" i="16"/>
  <c r="AY212" i="16"/>
  <c r="AX212" i="16"/>
  <c r="AW212" i="16"/>
  <c r="AV212" i="16"/>
  <c r="AU212" i="16"/>
  <c r="AT212" i="16"/>
  <c r="AS212" i="16"/>
  <c r="AR212" i="16"/>
  <c r="AQ212" i="16"/>
  <c r="AP212" i="16"/>
  <c r="AO212" i="16"/>
  <c r="AN212" i="16"/>
  <c r="AM212" i="16"/>
  <c r="AL212" i="16"/>
  <c r="AK212" i="16"/>
  <c r="AJ212" i="16"/>
  <c r="AI212" i="16"/>
  <c r="AH212" i="16"/>
  <c r="Z212" i="16"/>
  <c r="BB212" i="16" s="1"/>
  <c r="Y212" i="16"/>
  <c r="Y167" i="16" s="1"/>
  <c r="AZ211" i="16"/>
  <c r="AY211" i="16"/>
  <c r="AX211" i="16"/>
  <c r="AW211" i="16"/>
  <c r="AV211" i="16"/>
  <c r="AU211" i="16"/>
  <c r="AT211" i="16"/>
  <c r="AS211" i="16"/>
  <c r="AR211" i="16"/>
  <c r="AQ211" i="16"/>
  <c r="AP211" i="16"/>
  <c r="AO211" i="16"/>
  <c r="AN211" i="16"/>
  <c r="AM211" i="16"/>
  <c r="AL211" i="16"/>
  <c r="AK211" i="16"/>
  <c r="AJ211" i="16"/>
  <c r="AI211" i="16"/>
  <c r="AH211" i="16"/>
  <c r="Z211" i="16"/>
  <c r="Y211" i="16"/>
  <c r="BA211" i="16" s="1"/>
  <c r="AY210" i="16"/>
  <c r="AX210" i="16"/>
  <c r="AW210" i="16"/>
  <c r="AV210" i="16"/>
  <c r="AU210" i="16"/>
  <c r="AT210" i="16"/>
  <c r="AS210" i="16"/>
  <c r="AR210" i="16"/>
  <c r="AQ210" i="16"/>
  <c r="AP210" i="16"/>
  <c r="AO210" i="16"/>
  <c r="AN210" i="16"/>
  <c r="AM210" i="16"/>
  <c r="AL210" i="16"/>
  <c r="AK210" i="16"/>
  <c r="AJ210" i="16"/>
  <c r="AI210" i="16"/>
  <c r="AH210" i="16"/>
  <c r="Y210" i="16"/>
  <c r="AZ209" i="16"/>
  <c r="AY209" i="16"/>
  <c r="AX209" i="16"/>
  <c r="AW209" i="16"/>
  <c r="AV209" i="16"/>
  <c r="AU209" i="16"/>
  <c r="AT209" i="16"/>
  <c r="AS209" i="16"/>
  <c r="AR209" i="16"/>
  <c r="AQ209" i="16"/>
  <c r="AP209" i="16"/>
  <c r="AO209" i="16"/>
  <c r="AM209" i="16"/>
  <c r="AL209" i="16"/>
  <c r="AK209" i="16"/>
  <c r="AJ209" i="16"/>
  <c r="AI209" i="16"/>
  <c r="AH209" i="16"/>
  <c r="Z209" i="16"/>
  <c r="Y209" i="16"/>
  <c r="AU208" i="16"/>
  <c r="AR208" i="16"/>
  <c r="AQ208" i="16"/>
  <c r="AP208" i="16"/>
  <c r="AO208" i="16"/>
  <c r="AN208" i="16"/>
  <c r="AM208" i="16"/>
  <c r="AL208" i="16"/>
  <c r="AK208" i="16"/>
  <c r="AJ208" i="16"/>
  <c r="AI208" i="16"/>
  <c r="AH208" i="16"/>
  <c r="Y208" i="16"/>
  <c r="BA208" i="16" s="1"/>
  <c r="AZ207" i="16"/>
  <c r="AY207" i="16"/>
  <c r="AX207" i="16"/>
  <c r="AW207" i="16"/>
  <c r="AV207" i="16"/>
  <c r="AU207" i="16"/>
  <c r="AT207" i="16"/>
  <c r="AS207" i="16"/>
  <c r="AR207" i="16"/>
  <c r="AQ207" i="16"/>
  <c r="AP207" i="16"/>
  <c r="AN207" i="16"/>
  <c r="AM207" i="16"/>
  <c r="AK207" i="16"/>
  <c r="AJ207" i="16"/>
  <c r="AI207" i="16"/>
  <c r="AH207" i="16"/>
  <c r="AZ206" i="16"/>
  <c r="AY206" i="16"/>
  <c r="AX206" i="16"/>
  <c r="AW206" i="16"/>
  <c r="AV206" i="16"/>
  <c r="AU206" i="16"/>
  <c r="AT206" i="16"/>
  <c r="AS206" i="16"/>
  <c r="AR206" i="16"/>
  <c r="AQ206" i="16"/>
  <c r="AP206" i="16"/>
  <c r="AO206" i="16"/>
  <c r="AN206" i="16"/>
  <c r="AM206" i="16"/>
  <c r="AL206" i="16"/>
  <c r="AK206" i="16"/>
  <c r="AJ206" i="16"/>
  <c r="AI206" i="16"/>
  <c r="AH206" i="16"/>
  <c r="Z206" i="16"/>
  <c r="BB206" i="16" s="1"/>
  <c r="Y206" i="16"/>
  <c r="AY205" i="16"/>
  <c r="AW205" i="16"/>
  <c r="T205" i="16"/>
  <c r="AV205" i="16" s="1"/>
  <c r="AT205" i="16"/>
  <c r="AS205" i="16"/>
  <c r="AR205" i="16"/>
  <c r="AQ205" i="16"/>
  <c r="AP205" i="16"/>
  <c r="AO205" i="16"/>
  <c r="AN205" i="16"/>
  <c r="AK205" i="16"/>
  <c r="AJ205" i="16"/>
  <c r="AI205" i="16"/>
  <c r="AH205" i="16"/>
  <c r="X205" i="16"/>
  <c r="AZ205" i="16"/>
  <c r="V205" i="16"/>
  <c r="AX205" i="16" s="1"/>
  <c r="S205" i="16"/>
  <c r="AZ204" i="16"/>
  <c r="AY204" i="16"/>
  <c r="AX204" i="16"/>
  <c r="AW204" i="16"/>
  <c r="AV204" i="16"/>
  <c r="AU204" i="16"/>
  <c r="AT204" i="16"/>
  <c r="AS204" i="16"/>
  <c r="AR204" i="16"/>
  <c r="AQ204" i="16"/>
  <c r="AO204" i="16"/>
  <c r="AN204" i="16"/>
  <c r="AK204" i="16"/>
  <c r="AJ204" i="16"/>
  <c r="AI204" i="16"/>
  <c r="AH204" i="16"/>
  <c r="Z204" i="16"/>
  <c r="AZ203" i="16"/>
  <c r="AY203" i="16"/>
  <c r="AX203" i="16"/>
  <c r="AW203" i="16"/>
  <c r="AV203" i="16"/>
  <c r="AU203" i="16"/>
  <c r="AT203" i="16"/>
  <c r="AS203" i="16"/>
  <c r="AR203" i="16"/>
  <c r="AQ203" i="16"/>
  <c r="AP203" i="16"/>
  <c r="AO203" i="16"/>
  <c r="AN203" i="16"/>
  <c r="AM203" i="16"/>
  <c r="AL203" i="16"/>
  <c r="AK203" i="16"/>
  <c r="AJ203" i="16"/>
  <c r="AI203" i="16"/>
  <c r="AH203" i="16"/>
  <c r="Z203" i="16"/>
  <c r="Y203" i="16"/>
  <c r="BA203" i="16" s="1"/>
  <c r="AZ202" i="16"/>
  <c r="AY202" i="16"/>
  <c r="AX202" i="16"/>
  <c r="AW202" i="16"/>
  <c r="AV202" i="16"/>
  <c r="AU202" i="16"/>
  <c r="AT202" i="16"/>
  <c r="AS202" i="16"/>
  <c r="AQ202" i="16"/>
  <c r="AP202" i="16"/>
  <c r="AO202" i="16"/>
  <c r="AN202" i="16"/>
  <c r="AM202" i="16"/>
  <c r="AL202" i="16"/>
  <c r="AK202" i="16"/>
  <c r="Z202" i="16"/>
  <c r="Y202" i="16"/>
  <c r="AU201" i="16"/>
  <c r="AN201" i="16"/>
  <c r="AL201" i="16"/>
  <c r="AI201" i="16"/>
  <c r="Z200" i="16"/>
  <c r="BB200" i="16" s="1"/>
  <c r="AZ200" i="16"/>
  <c r="AY200" i="16"/>
  <c r="AX200" i="16"/>
  <c r="AW200" i="16"/>
  <c r="AV200" i="16"/>
  <c r="AU200" i="16"/>
  <c r="AT200" i="16"/>
  <c r="AS200" i="16"/>
  <c r="AR200" i="16"/>
  <c r="AQ200" i="16"/>
  <c r="AP200" i="16"/>
  <c r="AO200" i="16"/>
  <c r="AN200" i="16"/>
  <c r="AM200" i="16"/>
  <c r="AL200" i="16"/>
  <c r="AK200" i="16"/>
  <c r="AJ200" i="16"/>
  <c r="AI200" i="16"/>
  <c r="AH200" i="16"/>
  <c r="Y200" i="16"/>
  <c r="BA200" i="16" s="1"/>
  <c r="AZ199" i="16"/>
  <c r="AY199" i="16"/>
  <c r="AX199" i="16"/>
  <c r="AW199" i="16"/>
  <c r="AV199" i="16"/>
  <c r="AU199" i="16"/>
  <c r="AT199" i="16"/>
  <c r="AS199" i="16"/>
  <c r="AR199" i="16"/>
  <c r="AQ199" i="16"/>
  <c r="AP199" i="16"/>
  <c r="AO199" i="16"/>
  <c r="AN199" i="16"/>
  <c r="AM199" i="16"/>
  <c r="AL199" i="16"/>
  <c r="AK199" i="16"/>
  <c r="AJ199" i="16"/>
  <c r="AI199" i="16"/>
  <c r="AH199" i="16"/>
  <c r="Z199" i="16"/>
  <c r="BB199" i="16"/>
  <c r="Y199" i="16"/>
  <c r="AZ198" i="16"/>
  <c r="AY198" i="16"/>
  <c r="AX198" i="16"/>
  <c r="AW198" i="16"/>
  <c r="AV198" i="16"/>
  <c r="AU198" i="16"/>
  <c r="AT198" i="16"/>
  <c r="AS198" i="16"/>
  <c r="AR198" i="16"/>
  <c r="AQ198" i="16"/>
  <c r="AP198" i="16"/>
  <c r="AO198" i="16"/>
  <c r="AN198" i="16"/>
  <c r="AM198" i="16"/>
  <c r="AL198" i="16"/>
  <c r="AK198" i="16"/>
  <c r="AJ198" i="16"/>
  <c r="AI198" i="16"/>
  <c r="AH198" i="16"/>
  <c r="Z198" i="16"/>
  <c r="BB153" i="16" s="1"/>
  <c r="Y198" i="16"/>
  <c r="Y153" i="16" s="1"/>
  <c r="Y197" i="16"/>
  <c r="BA197" i="16" s="1"/>
  <c r="AZ197" i="16"/>
  <c r="AY197" i="16"/>
  <c r="AX197" i="16"/>
  <c r="AW197" i="16"/>
  <c r="AV197" i="16"/>
  <c r="AU197" i="16"/>
  <c r="AT197" i="16"/>
  <c r="AS197" i="16"/>
  <c r="AR197" i="16"/>
  <c r="AQ197" i="16"/>
  <c r="AP197" i="16"/>
  <c r="AO197" i="16"/>
  <c r="AN197" i="16"/>
  <c r="AM197" i="16"/>
  <c r="AL197" i="16"/>
  <c r="AK197" i="16"/>
  <c r="AJ197" i="16"/>
  <c r="AI197" i="16"/>
  <c r="AH197" i="16"/>
  <c r="Z197" i="16"/>
  <c r="Z152" i="16" s="1"/>
  <c r="AZ196" i="16"/>
  <c r="AY196" i="16"/>
  <c r="AX196" i="16"/>
  <c r="AW196" i="16"/>
  <c r="AV196" i="16"/>
  <c r="AU196" i="16"/>
  <c r="AT196" i="16"/>
  <c r="AS196" i="16"/>
  <c r="AR196" i="16"/>
  <c r="AQ196" i="16"/>
  <c r="AP196" i="16"/>
  <c r="AO196" i="16"/>
  <c r="AN196" i="16"/>
  <c r="AM196" i="16"/>
  <c r="AL196" i="16"/>
  <c r="AK196" i="16"/>
  <c r="AJ196" i="16"/>
  <c r="AI196" i="16"/>
  <c r="AH196" i="16"/>
  <c r="Z196" i="16"/>
  <c r="Y196" i="16"/>
  <c r="BA196" i="16"/>
  <c r="AZ195" i="16"/>
  <c r="AY195" i="16"/>
  <c r="AX195" i="16"/>
  <c r="AW195" i="16"/>
  <c r="AV195" i="16"/>
  <c r="AU195" i="16"/>
  <c r="AT195" i="16"/>
  <c r="AS195" i="16"/>
  <c r="AR195" i="16"/>
  <c r="AQ195" i="16"/>
  <c r="AP195" i="16"/>
  <c r="AO195" i="16"/>
  <c r="AN195" i="16"/>
  <c r="AM195" i="16"/>
  <c r="AL195" i="16"/>
  <c r="AK195" i="16"/>
  <c r="AJ195" i="16"/>
  <c r="AI195" i="16"/>
  <c r="AH195" i="16"/>
  <c r="Z195" i="16"/>
  <c r="Z150" i="16" s="1"/>
  <c r="Y195" i="16"/>
  <c r="Y150" i="16" s="1"/>
  <c r="AZ194" i="16"/>
  <c r="AY194" i="16"/>
  <c r="AX194" i="16"/>
  <c r="AW194" i="16"/>
  <c r="AV194" i="16"/>
  <c r="AU194" i="16"/>
  <c r="AT194" i="16"/>
  <c r="AS194" i="16"/>
  <c r="AR194" i="16"/>
  <c r="AQ194" i="16"/>
  <c r="AP194" i="16"/>
  <c r="AO194" i="16"/>
  <c r="AN194" i="16"/>
  <c r="AM194" i="16"/>
  <c r="AL194" i="16"/>
  <c r="AK194" i="16"/>
  <c r="AJ194" i="16"/>
  <c r="AI194" i="16"/>
  <c r="AH194" i="16"/>
  <c r="Z194" i="16"/>
  <c r="BB194" i="16" s="1"/>
  <c r="Y194" i="16"/>
  <c r="U193" i="16"/>
  <c r="AW193" i="16" s="1"/>
  <c r="P193" i="16"/>
  <c r="M193" i="16"/>
  <c r="AO193" i="16" s="1"/>
  <c r="L193" i="16"/>
  <c r="AN193" i="16" s="1"/>
  <c r="W193" i="16"/>
  <c r="AY193" i="16" s="1"/>
  <c r="V193" i="16"/>
  <c r="T193" i="16"/>
  <c r="S193" i="16"/>
  <c r="AU193" i="16" s="1"/>
  <c r="R193" i="16"/>
  <c r="AT193" i="16" s="1"/>
  <c r="Q193" i="16"/>
  <c r="AS193" i="16" s="1"/>
  <c r="O193" i="16"/>
  <c r="AQ193" i="16" s="1"/>
  <c r="N193" i="16"/>
  <c r="K193" i="16"/>
  <c r="AM193" i="16" s="1"/>
  <c r="J193" i="16"/>
  <c r="AL148" i="16" s="1"/>
  <c r="I193" i="16"/>
  <c r="AK193" i="16" s="1"/>
  <c r="H193" i="16"/>
  <c r="G193" i="16"/>
  <c r="F193" i="16"/>
  <c r="I192" i="16"/>
  <c r="AK192" i="16"/>
  <c r="S192" i="16"/>
  <c r="AU147" i="16" s="1"/>
  <c r="P192" i="16"/>
  <c r="AR192" i="16" s="1"/>
  <c r="O192" i="16"/>
  <c r="N192" i="16"/>
  <c r="AP192" i="16" s="1"/>
  <c r="K192" i="16"/>
  <c r="H192" i="16"/>
  <c r="G192" i="16"/>
  <c r="AI192" i="16" s="1"/>
  <c r="F192" i="16"/>
  <c r="F147" i="16" s="1"/>
  <c r="U191" i="16"/>
  <c r="AW191" i="16" s="1"/>
  <c r="Q191" i="16"/>
  <c r="AS191" i="16"/>
  <c r="M191" i="16"/>
  <c r="AO191" i="16" s="1"/>
  <c r="I191" i="16"/>
  <c r="AK191" i="16"/>
  <c r="X191" i="16"/>
  <c r="W191" i="16"/>
  <c r="AY191" i="16" s="1"/>
  <c r="T191" i="16"/>
  <c r="R191" i="16"/>
  <c r="AT191" i="16"/>
  <c r="P191" i="16"/>
  <c r="AR191" i="16" s="1"/>
  <c r="O191" i="16"/>
  <c r="AQ191" i="16"/>
  <c r="N191" i="16"/>
  <c r="L191" i="16"/>
  <c r="H191" i="16"/>
  <c r="G191" i="16"/>
  <c r="AI191" i="16" s="1"/>
  <c r="F191" i="16"/>
  <c r="Q189" i="16"/>
  <c r="X189" i="16"/>
  <c r="AZ189" i="16"/>
  <c r="W189" i="16"/>
  <c r="V189" i="16"/>
  <c r="AX189" i="16" s="1"/>
  <c r="U189" i="16"/>
  <c r="T189" i="16"/>
  <c r="S189" i="16"/>
  <c r="R189" i="16"/>
  <c r="AT189" i="16"/>
  <c r="P189" i="16"/>
  <c r="O189" i="16"/>
  <c r="N189" i="16"/>
  <c r="M189" i="16"/>
  <c r="L189" i="16"/>
  <c r="AN189" i="16"/>
  <c r="K189" i="16"/>
  <c r="J189" i="16"/>
  <c r="AL189" i="16"/>
  <c r="I189" i="16"/>
  <c r="H189" i="16"/>
  <c r="AJ189" i="16" s="1"/>
  <c r="G189" i="16"/>
  <c r="F189" i="16"/>
  <c r="X188" i="16"/>
  <c r="AZ188" i="16" s="1"/>
  <c r="T188" i="16"/>
  <c r="AV188" i="16"/>
  <c r="P188" i="16"/>
  <c r="L188" i="16"/>
  <c r="H188" i="16"/>
  <c r="AJ188" i="16" s="1"/>
  <c r="W188" i="16"/>
  <c r="V188" i="16"/>
  <c r="U188" i="16"/>
  <c r="S188" i="16"/>
  <c r="AU188" i="16"/>
  <c r="R188" i="16"/>
  <c r="AT188" i="16" s="1"/>
  <c r="Q188" i="16"/>
  <c r="O188" i="16"/>
  <c r="N188" i="16"/>
  <c r="AP188" i="16"/>
  <c r="M188" i="16"/>
  <c r="K188" i="16"/>
  <c r="AM188" i="16" s="1"/>
  <c r="J188" i="16"/>
  <c r="AL143" i="16" s="1"/>
  <c r="I188" i="16"/>
  <c r="AK143" i="16" s="1"/>
  <c r="G188" i="16"/>
  <c r="AI188" i="16" s="1"/>
  <c r="F188" i="16"/>
  <c r="AH143" i="16" s="1"/>
  <c r="X187" i="16"/>
  <c r="AZ187" i="16" s="1"/>
  <c r="T187" i="16"/>
  <c r="AV187" i="16"/>
  <c r="P187" i="16"/>
  <c r="L187" i="16"/>
  <c r="AN187" i="16"/>
  <c r="H187" i="16"/>
  <c r="AJ187" i="16" s="1"/>
  <c r="W187" i="16"/>
  <c r="AY187" i="16" s="1"/>
  <c r="V187" i="16"/>
  <c r="AX187" i="16" s="1"/>
  <c r="U187" i="16"/>
  <c r="S187" i="16"/>
  <c r="R187" i="16"/>
  <c r="AT187" i="16" s="1"/>
  <c r="Q187" i="16"/>
  <c r="AS187" i="16" s="1"/>
  <c r="O187" i="16"/>
  <c r="AQ187" i="16"/>
  <c r="N187" i="16"/>
  <c r="AP187" i="16" s="1"/>
  <c r="M187" i="16"/>
  <c r="K187" i="16"/>
  <c r="J187" i="16"/>
  <c r="AL187" i="16" s="1"/>
  <c r="I187" i="16"/>
  <c r="AK187" i="16"/>
  <c r="G187" i="16"/>
  <c r="AI187" i="16" s="1"/>
  <c r="F187" i="16"/>
  <c r="F185" i="16"/>
  <c r="W185" i="16"/>
  <c r="AY140" i="16" s="1"/>
  <c r="AZ180" i="16"/>
  <c r="AY180" i="16"/>
  <c r="AX180" i="16"/>
  <c r="AW180" i="16"/>
  <c r="AV180" i="16"/>
  <c r="AU180" i="16"/>
  <c r="AT180" i="16"/>
  <c r="AS180" i="16"/>
  <c r="AR180" i="16"/>
  <c r="AQ180" i="16"/>
  <c r="AP180" i="16"/>
  <c r="AO180" i="16"/>
  <c r="AN180" i="16"/>
  <c r="AM180" i="16"/>
  <c r="AL180" i="16"/>
  <c r="AK180" i="16"/>
  <c r="AJ180" i="16"/>
  <c r="AI180" i="16"/>
  <c r="AH180" i="16"/>
  <c r="Z180" i="16"/>
  <c r="Y180" i="16"/>
  <c r="X180" i="16"/>
  <c r="W180" i="16"/>
  <c r="V180" i="16"/>
  <c r="U180" i="16"/>
  <c r="T180" i="16"/>
  <c r="S180" i="16"/>
  <c r="R180" i="16"/>
  <c r="Q180" i="16"/>
  <c r="P180" i="16"/>
  <c r="O180" i="16"/>
  <c r="N180" i="16"/>
  <c r="M180" i="16"/>
  <c r="L180" i="16"/>
  <c r="I180" i="16"/>
  <c r="AZ179" i="16"/>
  <c r="AY179" i="16"/>
  <c r="AX179" i="16"/>
  <c r="AW179" i="16"/>
  <c r="AV179" i="16"/>
  <c r="AU179" i="16"/>
  <c r="AT179" i="16"/>
  <c r="AS179" i="16"/>
  <c r="AQ179" i="16"/>
  <c r="AP179" i="16"/>
  <c r="AO179" i="16"/>
  <c r="AN179" i="16"/>
  <c r="AM179" i="16"/>
  <c r="AL179" i="16"/>
  <c r="AK179" i="16"/>
  <c r="AJ179" i="16"/>
  <c r="AI179" i="16"/>
  <c r="AH179" i="16"/>
  <c r="X179" i="16"/>
  <c r="W179" i="16"/>
  <c r="V179" i="16"/>
  <c r="U179" i="16"/>
  <c r="T179" i="16"/>
  <c r="S179" i="16"/>
  <c r="R179" i="16"/>
  <c r="Q179" i="16"/>
  <c r="O179" i="16"/>
  <c r="N179" i="16"/>
  <c r="M179" i="16"/>
  <c r="L179" i="16"/>
  <c r="I179" i="16"/>
  <c r="BA178" i="16"/>
  <c r="AZ178" i="16"/>
  <c r="AY178" i="16"/>
  <c r="AX178" i="16"/>
  <c r="AW178" i="16"/>
  <c r="AV178" i="16"/>
  <c r="AU178" i="16"/>
  <c r="AT178" i="16"/>
  <c r="AS178" i="16"/>
  <c r="AR178" i="16"/>
  <c r="AQ178" i="16"/>
  <c r="AP178" i="16"/>
  <c r="AO178" i="16"/>
  <c r="AN178" i="16"/>
  <c r="AM178" i="16"/>
  <c r="AL178" i="16"/>
  <c r="AK178" i="16"/>
  <c r="AJ178" i="16"/>
  <c r="AI178" i="16"/>
  <c r="AH178" i="16"/>
  <c r="Y178" i="16"/>
  <c r="X178" i="16"/>
  <c r="W178" i="16"/>
  <c r="V178" i="16"/>
  <c r="U178" i="16"/>
  <c r="T178" i="16"/>
  <c r="S178" i="16"/>
  <c r="R178" i="16"/>
  <c r="Q178" i="16"/>
  <c r="P178" i="16"/>
  <c r="O178" i="16"/>
  <c r="N178" i="16"/>
  <c r="M178" i="16"/>
  <c r="L178" i="16"/>
  <c r="I178" i="16"/>
  <c r="AZ177" i="16"/>
  <c r="AY177" i="16"/>
  <c r="AX177" i="16"/>
  <c r="AW177" i="16"/>
  <c r="AV177" i="16"/>
  <c r="AU177" i="16"/>
  <c r="AT177" i="16"/>
  <c r="AS177" i="16"/>
  <c r="AR177" i="16"/>
  <c r="AQ177" i="16"/>
  <c r="AP177" i="16"/>
  <c r="AO177" i="16"/>
  <c r="AN177" i="16"/>
  <c r="AM177" i="16"/>
  <c r="AL177" i="16"/>
  <c r="AK177" i="16"/>
  <c r="Z177" i="16"/>
  <c r="X177" i="16"/>
  <c r="W177" i="16"/>
  <c r="V177" i="16"/>
  <c r="U177" i="16"/>
  <c r="T177" i="16"/>
  <c r="S177" i="16"/>
  <c r="R177" i="16"/>
  <c r="Q177" i="16"/>
  <c r="P177" i="16"/>
  <c r="O177" i="16"/>
  <c r="N177" i="16"/>
  <c r="M177" i="16"/>
  <c r="L177" i="16"/>
  <c r="I177" i="16"/>
  <c r="AZ176" i="16"/>
  <c r="AY176" i="16"/>
  <c r="AX176" i="16"/>
  <c r="AW176" i="16"/>
  <c r="AV176" i="16"/>
  <c r="AU176" i="16"/>
  <c r="AT176" i="16"/>
  <c r="AS176" i="16"/>
  <c r="AR176" i="16"/>
  <c r="AQ176" i="16"/>
  <c r="AP176" i="16"/>
  <c r="AO176" i="16"/>
  <c r="AN176" i="16"/>
  <c r="AM176" i="16"/>
  <c r="AL176" i="16"/>
  <c r="AK176" i="16"/>
  <c r="AI176" i="16"/>
  <c r="AH176" i="16"/>
  <c r="X176" i="16"/>
  <c r="W176" i="16"/>
  <c r="V176" i="16"/>
  <c r="U176" i="16"/>
  <c r="T176" i="16"/>
  <c r="S176" i="16"/>
  <c r="R176" i="16"/>
  <c r="Q176" i="16"/>
  <c r="P176" i="16"/>
  <c r="O176" i="16"/>
  <c r="N176" i="16"/>
  <c r="M176" i="16"/>
  <c r="L176" i="16"/>
  <c r="I176" i="16"/>
  <c r="AZ175" i="16"/>
  <c r="AY175" i="16"/>
  <c r="AX175" i="16"/>
  <c r="AW175" i="16"/>
  <c r="AV175" i="16"/>
  <c r="AU175" i="16"/>
  <c r="AT175" i="16"/>
  <c r="AS175" i="16"/>
  <c r="AR175" i="16"/>
  <c r="AQ175" i="16"/>
  <c r="AP175" i="16"/>
  <c r="AO175" i="16"/>
  <c r="AN175" i="16"/>
  <c r="AM175" i="16"/>
  <c r="AL175" i="16"/>
  <c r="AK175" i="16"/>
  <c r="AJ175" i="16"/>
  <c r="AI175" i="16"/>
  <c r="AH175" i="16"/>
  <c r="X175" i="16"/>
  <c r="W175" i="16"/>
  <c r="V175" i="16"/>
  <c r="U175" i="16"/>
  <c r="T175" i="16"/>
  <c r="S175" i="16"/>
  <c r="R175" i="16"/>
  <c r="Q175" i="16"/>
  <c r="P175" i="16"/>
  <c r="O175" i="16"/>
  <c r="N175" i="16"/>
  <c r="M175" i="16"/>
  <c r="L175" i="16"/>
  <c r="K175" i="16"/>
  <c r="I175" i="16"/>
  <c r="AY174" i="16"/>
  <c r="AX174" i="16"/>
  <c r="AW174" i="16"/>
  <c r="AV174" i="16"/>
  <c r="AU174" i="16"/>
  <c r="AT174" i="16"/>
  <c r="AP174" i="16"/>
  <c r="AN174" i="16"/>
  <c r="AL174" i="16"/>
  <c r="AJ174" i="16"/>
  <c r="AI174" i="16"/>
  <c r="AH174" i="16"/>
  <c r="W174" i="16"/>
  <c r="V174" i="16"/>
  <c r="U174" i="16"/>
  <c r="T174" i="16"/>
  <c r="S174" i="16"/>
  <c r="R174" i="16"/>
  <c r="N174" i="16"/>
  <c r="L174" i="16"/>
  <c r="K174" i="16"/>
  <c r="I174" i="16"/>
  <c r="AZ173" i="16"/>
  <c r="AY173" i="16"/>
  <c r="AX173" i="16"/>
  <c r="AU173" i="16"/>
  <c r="AT173" i="16"/>
  <c r="AS173" i="16"/>
  <c r="AQ173" i="16"/>
  <c r="AP173" i="16"/>
  <c r="AN173" i="16"/>
  <c r="AL173" i="16"/>
  <c r="AK173" i="16"/>
  <c r="AJ173" i="16"/>
  <c r="AI173" i="16"/>
  <c r="AH173" i="16"/>
  <c r="X173" i="16"/>
  <c r="W173" i="16"/>
  <c r="V173" i="16"/>
  <c r="S173" i="16"/>
  <c r="R173" i="16"/>
  <c r="Q173" i="16"/>
  <c r="P173" i="16"/>
  <c r="O173" i="16"/>
  <c r="N173" i="16"/>
  <c r="L173" i="16"/>
  <c r="K173" i="16"/>
  <c r="I173" i="16"/>
  <c r="AZ172" i="16"/>
  <c r="AY172" i="16"/>
  <c r="AX172" i="16"/>
  <c r="AW172" i="16"/>
  <c r="AV172" i="16"/>
  <c r="AU172" i="16"/>
  <c r="AS172" i="16"/>
  <c r="AN172" i="16"/>
  <c r="AJ172" i="16"/>
  <c r="AI172" i="16"/>
  <c r="X172" i="16"/>
  <c r="W172" i="16"/>
  <c r="V172" i="16"/>
  <c r="U172" i="16"/>
  <c r="T172" i="16"/>
  <c r="S172" i="16"/>
  <c r="R172" i="16"/>
  <c r="Q172" i="16"/>
  <c r="L172" i="16"/>
  <c r="K172" i="16"/>
  <c r="I172" i="16"/>
  <c r="AZ171" i="16"/>
  <c r="AX171" i="16"/>
  <c r="AW171" i="16"/>
  <c r="AV171" i="16"/>
  <c r="AU171" i="16"/>
  <c r="AT171" i="16"/>
  <c r="AS171" i="16"/>
  <c r="AR171" i="16"/>
  <c r="AQ171" i="16"/>
  <c r="AP171" i="16"/>
  <c r="AN171" i="16"/>
  <c r="AI171" i="16"/>
  <c r="X171" i="16"/>
  <c r="V171" i="16"/>
  <c r="U171" i="16"/>
  <c r="T171" i="16"/>
  <c r="S171" i="16"/>
  <c r="R171" i="16"/>
  <c r="Q171" i="16"/>
  <c r="P171" i="16"/>
  <c r="O171" i="16"/>
  <c r="N171" i="16"/>
  <c r="L171" i="16"/>
  <c r="K171" i="16"/>
  <c r="I171" i="16"/>
  <c r="BA170" i="16"/>
  <c r="AZ170" i="16"/>
  <c r="AY170" i="16"/>
  <c r="AX170" i="16"/>
  <c r="AW170" i="16"/>
  <c r="AV170" i="16"/>
  <c r="AU170" i="16"/>
  <c r="AT170" i="16"/>
  <c r="AS170" i="16"/>
  <c r="AR170" i="16"/>
  <c r="AQ170" i="16"/>
  <c r="AP170" i="16"/>
  <c r="AO170" i="16"/>
  <c r="AN170" i="16"/>
  <c r="AM170" i="16"/>
  <c r="AL170" i="16"/>
  <c r="AK170" i="16"/>
  <c r="AJ170" i="16"/>
  <c r="AI170" i="16"/>
  <c r="AH170" i="16"/>
  <c r="Y170" i="16"/>
  <c r="X170" i="16"/>
  <c r="W170" i="16"/>
  <c r="V170" i="16"/>
  <c r="U170" i="16"/>
  <c r="T170" i="16"/>
  <c r="S170" i="16"/>
  <c r="R170" i="16"/>
  <c r="Q170" i="16"/>
  <c r="P170" i="16"/>
  <c r="O170" i="16"/>
  <c r="N170" i="16"/>
  <c r="M170" i="16"/>
  <c r="L170" i="16"/>
  <c r="K170" i="16"/>
  <c r="J170" i="16"/>
  <c r="I170" i="16"/>
  <c r="H170" i="16"/>
  <c r="G170" i="16"/>
  <c r="F170" i="16"/>
  <c r="BB169" i="16"/>
  <c r="AZ169" i="16"/>
  <c r="AY169" i="16"/>
  <c r="AX169" i="16"/>
  <c r="AW169" i="16"/>
  <c r="AV169" i="16"/>
  <c r="AU169" i="16"/>
  <c r="AT169" i="16"/>
  <c r="AS169" i="16"/>
  <c r="AR169" i="16"/>
  <c r="AQ169" i="16"/>
  <c r="AP169" i="16"/>
  <c r="AO169" i="16"/>
  <c r="AN169" i="16"/>
  <c r="AM169" i="16"/>
  <c r="AL169" i="16"/>
  <c r="AK169" i="16"/>
  <c r="AJ169" i="16"/>
  <c r="AI169" i="16"/>
  <c r="AH169" i="16"/>
  <c r="Z169" i="16"/>
  <c r="X169" i="16"/>
  <c r="W169" i="16"/>
  <c r="V169" i="16"/>
  <c r="U169" i="16"/>
  <c r="T169" i="16"/>
  <c r="S169" i="16"/>
  <c r="R169" i="16"/>
  <c r="Q169" i="16"/>
  <c r="P169" i="16"/>
  <c r="O169" i="16"/>
  <c r="N169" i="16"/>
  <c r="M169" i="16"/>
  <c r="L169" i="16"/>
  <c r="K169" i="16"/>
  <c r="J169" i="16"/>
  <c r="I169" i="16"/>
  <c r="H169" i="16"/>
  <c r="G169" i="16"/>
  <c r="F169" i="16"/>
  <c r="BB168" i="16"/>
  <c r="AZ168" i="16"/>
  <c r="AY168" i="16"/>
  <c r="AX168" i="16"/>
  <c r="AW168" i="16"/>
  <c r="AV168" i="16"/>
  <c r="AU168" i="16"/>
  <c r="AT168" i="16"/>
  <c r="AS168" i="16"/>
  <c r="AR168" i="16"/>
  <c r="AQ168" i="16"/>
  <c r="AP168" i="16"/>
  <c r="AO168" i="16"/>
  <c r="AN168" i="16"/>
  <c r="AM168" i="16"/>
  <c r="AL168" i="16"/>
  <c r="AK168" i="16"/>
  <c r="AJ168" i="16"/>
  <c r="AI168" i="16"/>
  <c r="AH168" i="16"/>
  <c r="X168" i="16"/>
  <c r="W168" i="16"/>
  <c r="V168" i="16"/>
  <c r="U168" i="16"/>
  <c r="T168" i="16"/>
  <c r="S168" i="16"/>
  <c r="R168" i="16"/>
  <c r="Q168" i="16"/>
  <c r="P168" i="16"/>
  <c r="O168" i="16"/>
  <c r="N168" i="16"/>
  <c r="M168" i="16"/>
  <c r="L168" i="16"/>
  <c r="K168" i="16"/>
  <c r="J168" i="16"/>
  <c r="I168" i="16"/>
  <c r="H168" i="16"/>
  <c r="G168" i="16"/>
  <c r="F168" i="16"/>
  <c r="BB167" i="16"/>
  <c r="AZ167" i="16"/>
  <c r="AY167" i="16"/>
  <c r="AX167" i="16"/>
  <c r="AW167" i="16"/>
  <c r="AV167" i="16"/>
  <c r="AU167" i="16"/>
  <c r="AT167" i="16"/>
  <c r="AS167" i="16"/>
  <c r="AR167" i="16"/>
  <c r="AQ167" i="16"/>
  <c r="AP167" i="16"/>
  <c r="AO167" i="16"/>
  <c r="AN167" i="16"/>
  <c r="AM167" i="16"/>
  <c r="AL167" i="16"/>
  <c r="AK167" i="16"/>
  <c r="AJ167" i="16"/>
  <c r="AI167" i="16"/>
  <c r="AH167" i="16"/>
  <c r="Z167" i="16"/>
  <c r="X167" i="16"/>
  <c r="W167" i="16"/>
  <c r="V167" i="16"/>
  <c r="U167" i="16"/>
  <c r="T167" i="16"/>
  <c r="S167" i="16"/>
  <c r="R167" i="16"/>
  <c r="Q167" i="16"/>
  <c r="P167" i="16"/>
  <c r="O167" i="16"/>
  <c r="N167" i="16"/>
  <c r="M167" i="16"/>
  <c r="L167" i="16"/>
  <c r="K167" i="16"/>
  <c r="J167" i="16"/>
  <c r="I167" i="16"/>
  <c r="H167" i="16"/>
  <c r="G167" i="16"/>
  <c r="F167" i="16"/>
  <c r="BB166" i="16"/>
  <c r="AZ166" i="16"/>
  <c r="AY166" i="16"/>
  <c r="AX166" i="16"/>
  <c r="AW166" i="16"/>
  <c r="AV166" i="16"/>
  <c r="AU166" i="16"/>
  <c r="AT166" i="16"/>
  <c r="AS166" i="16"/>
  <c r="AR166" i="16"/>
  <c r="AQ166" i="16"/>
  <c r="AP166" i="16"/>
  <c r="AO166" i="16"/>
  <c r="AN166" i="16"/>
  <c r="AM166" i="16"/>
  <c r="AL166" i="16"/>
  <c r="AK166" i="16"/>
  <c r="AJ166" i="16"/>
  <c r="AI166" i="16"/>
  <c r="AH166" i="16"/>
  <c r="X166" i="16"/>
  <c r="W166" i="16"/>
  <c r="V166" i="16"/>
  <c r="U166" i="16"/>
  <c r="T166" i="16"/>
  <c r="S166" i="16"/>
  <c r="R166" i="16"/>
  <c r="Q166" i="16"/>
  <c r="P166" i="16"/>
  <c r="O166" i="16"/>
  <c r="N166" i="16"/>
  <c r="M166" i="16"/>
  <c r="L166" i="16"/>
  <c r="K166" i="16"/>
  <c r="J166" i="16"/>
  <c r="I166" i="16"/>
  <c r="H166" i="16"/>
  <c r="G166" i="16"/>
  <c r="F166" i="16"/>
  <c r="AY165" i="16"/>
  <c r="AX165" i="16"/>
  <c r="AW165" i="16"/>
  <c r="AV165" i="16"/>
  <c r="AU165" i="16"/>
  <c r="AT165" i="16"/>
  <c r="AS165" i="16"/>
  <c r="AR165" i="16"/>
  <c r="AQ165" i="16"/>
  <c r="AP165" i="16"/>
  <c r="AO165" i="16"/>
  <c r="AN165" i="16"/>
  <c r="AM165" i="16"/>
  <c r="AL165" i="16"/>
  <c r="AK165" i="16"/>
  <c r="AJ165" i="16"/>
  <c r="AI165" i="16"/>
  <c r="AH165" i="16"/>
  <c r="W165" i="16"/>
  <c r="V165" i="16"/>
  <c r="U165" i="16"/>
  <c r="T165" i="16"/>
  <c r="S165" i="16"/>
  <c r="R165" i="16"/>
  <c r="Q165" i="16"/>
  <c r="P165" i="16"/>
  <c r="O165" i="16"/>
  <c r="N165" i="16"/>
  <c r="M165" i="16"/>
  <c r="L165" i="16"/>
  <c r="K165" i="16"/>
  <c r="J165" i="16"/>
  <c r="I165" i="16"/>
  <c r="H165" i="16"/>
  <c r="G165" i="16"/>
  <c r="F165" i="16"/>
  <c r="AZ164" i="16"/>
  <c r="AY164" i="16"/>
  <c r="AX164" i="16"/>
  <c r="AW164" i="16"/>
  <c r="AV164" i="16"/>
  <c r="AU164" i="16"/>
  <c r="AT164" i="16"/>
  <c r="AS164" i="16"/>
  <c r="AR164" i="16"/>
  <c r="AQ164" i="16"/>
  <c r="AP164" i="16"/>
  <c r="AO164" i="16"/>
  <c r="AM164" i="16"/>
  <c r="AL164" i="16"/>
  <c r="AK164" i="16"/>
  <c r="AJ164" i="16"/>
  <c r="AI164" i="16"/>
  <c r="AH164" i="16"/>
  <c r="Z164" i="16"/>
  <c r="X164" i="16"/>
  <c r="W164" i="16"/>
  <c r="V164" i="16"/>
  <c r="U164" i="16"/>
  <c r="T164" i="16"/>
  <c r="S164" i="16"/>
  <c r="R164" i="16"/>
  <c r="Q164" i="16"/>
  <c r="P164" i="16"/>
  <c r="O164" i="16"/>
  <c r="N164" i="16"/>
  <c r="M164" i="16"/>
  <c r="K164" i="16"/>
  <c r="J164" i="16"/>
  <c r="I164" i="16"/>
  <c r="H164" i="16"/>
  <c r="G164" i="16"/>
  <c r="F164" i="16"/>
  <c r="BA163" i="16"/>
  <c r="AU163" i="16"/>
  <c r="AR163" i="16"/>
  <c r="AQ163" i="16"/>
  <c r="AP163" i="16"/>
  <c r="AO163" i="16"/>
  <c r="AN163" i="16"/>
  <c r="AM163" i="16"/>
  <c r="AL163" i="16"/>
  <c r="AK163" i="16"/>
  <c r="AJ163" i="16"/>
  <c r="AI163" i="16"/>
  <c r="AH163" i="16"/>
  <c r="Y163" i="16"/>
  <c r="S163" i="16"/>
  <c r="P163" i="16"/>
  <c r="O163" i="16"/>
  <c r="N163" i="16"/>
  <c r="M163" i="16"/>
  <c r="L163" i="16"/>
  <c r="K163" i="16"/>
  <c r="J163" i="16"/>
  <c r="I163" i="16"/>
  <c r="H163" i="16"/>
  <c r="G163" i="16"/>
  <c r="F163" i="16"/>
  <c r="AZ162" i="16"/>
  <c r="AY162" i="16"/>
  <c r="AX162" i="16"/>
  <c r="AW162" i="16"/>
  <c r="AV162" i="16"/>
  <c r="AU162" i="16"/>
  <c r="AT162" i="16"/>
  <c r="AS162" i="16"/>
  <c r="AR162" i="16"/>
  <c r="AQ162" i="16"/>
  <c r="AP162" i="16"/>
  <c r="AN162" i="16"/>
  <c r="AM162" i="16"/>
  <c r="AK162" i="16"/>
  <c r="AJ162" i="16"/>
  <c r="AI162" i="16"/>
  <c r="AH162" i="16"/>
  <c r="X162" i="16"/>
  <c r="W162" i="16"/>
  <c r="V162" i="16"/>
  <c r="U162" i="16"/>
  <c r="T162" i="16"/>
  <c r="S162" i="16"/>
  <c r="R162" i="16"/>
  <c r="Q162" i="16"/>
  <c r="P162" i="16"/>
  <c r="O162" i="16"/>
  <c r="N162" i="16"/>
  <c r="M162" i="16"/>
  <c r="L162" i="16"/>
  <c r="K162" i="16"/>
  <c r="I162" i="16"/>
  <c r="H162" i="16"/>
  <c r="G162" i="16"/>
  <c r="F162" i="16"/>
  <c r="BA161" i="16"/>
  <c r="AZ161" i="16"/>
  <c r="AY161" i="16"/>
  <c r="AX161" i="16"/>
  <c r="AW161" i="16"/>
  <c r="AV161" i="16"/>
  <c r="AU161" i="16"/>
  <c r="AT161" i="16"/>
  <c r="AS161" i="16"/>
  <c r="AR161" i="16"/>
  <c r="AQ161" i="16"/>
  <c r="AP161" i="16"/>
  <c r="AO161" i="16"/>
  <c r="AN161" i="16"/>
  <c r="AM161" i="16"/>
  <c r="AL161" i="16"/>
  <c r="AK161" i="16"/>
  <c r="AJ161" i="16"/>
  <c r="AI161" i="16"/>
  <c r="AH161" i="16"/>
  <c r="Z161" i="16"/>
  <c r="Y161" i="16"/>
  <c r="X161" i="16"/>
  <c r="W161" i="16"/>
  <c r="V161" i="16"/>
  <c r="U161" i="16"/>
  <c r="T161" i="16"/>
  <c r="S161" i="16"/>
  <c r="R161" i="16"/>
  <c r="Q161" i="16"/>
  <c r="P161" i="16"/>
  <c r="O161" i="16"/>
  <c r="N161" i="16"/>
  <c r="M161" i="16"/>
  <c r="L161" i="16"/>
  <c r="K161" i="16"/>
  <c r="J161" i="16"/>
  <c r="I161" i="16"/>
  <c r="H161" i="16"/>
  <c r="G161" i="16"/>
  <c r="F161" i="16"/>
  <c r="AY160" i="16"/>
  <c r="AW160" i="16"/>
  <c r="AT160" i="16"/>
  <c r="AS160" i="16"/>
  <c r="AR160" i="16"/>
  <c r="AQ160" i="16"/>
  <c r="AP160" i="16"/>
  <c r="AO160" i="16"/>
  <c r="AN160" i="16"/>
  <c r="AK160" i="16"/>
  <c r="AJ160" i="16"/>
  <c r="AI160" i="16"/>
  <c r="AH160" i="16"/>
  <c r="W160" i="16"/>
  <c r="U160" i="16"/>
  <c r="R160" i="16"/>
  <c r="Q160" i="16"/>
  <c r="P160" i="16"/>
  <c r="O160" i="16"/>
  <c r="N160" i="16"/>
  <c r="M160" i="16"/>
  <c r="L160" i="16"/>
  <c r="I160" i="16"/>
  <c r="H160" i="16"/>
  <c r="G160" i="16"/>
  <c r="F160" i="16"/>
  <c r="AZ159" i="16"/>
  <c r="AY159" i="16"/>
  <c r="AX159" i="16"/>
  <c r="AW159" i="16"/>
  <c r="AV159" i="16"/>
  <c r="AU159" i="16"/>
  <c r="AT159" i="16"/>
  <c r="AS159" i="16"/>
  <c r="AR159" i="16"/>
  <c r="AQ159" i="16"/>
  <c r="AP159" i="16"/>
  <c r="AO159" i="16"/>
  <c r="AN159" i="16"/>
  <c r="AK159" i="16"/>
  <c r="AJ159" i="16"/>
  <c r="AI159" i="16"/>
  <c r="AH159" i="16"/>
  <c r="X159" i="16"/>
  <c r="W159" i="16"/>
  <c r="U159" i="16"/>
  <c r="T159" i="16"/>
  <c r="S159" i="16"/>
  <c r="R159" i="16"/>
  <c r="Q159" i="16"/>
  <c r="P159" i="16"/>
  <c r="O159" i="16"/>
  <c r="M159" i="16"/>
  <c r="L159" i="16"/>
  <c r="I159" i="16"/>
  <c r="H159" i="16"/>
  <c r="G159" i="16"/>
  <c r="BA158" i="16"/>
  <c r="AZ158" i="16"/>
  <c r="AY158" i="16"/>
  <c r="AX158" i="16"/>
  <c r="AW158" i="16"/>
  <c r="AV158" i="16"/>
  <c r="AU158" i="16"/>
  <c r="AT158" i="16"/>
  <c r="AS158" i="16"/>
  <c r="AR158" i="16"/>
  <c r="AQ158" i="16"/>
  <c r="AP158" i="16"/>
  <c r="AO158" i="16"/>
  <c r="AN158" i="16"/>
  <c r="AM158" i="16"/>
  <c r="AL158" i="16"/>
  <c r="AK158" i="16"/>
  <c r="AJ158" i="16"/>
  <c r="AI158" i="16"/>
  <c r="AH158" i="16"/>
  <c r="AB158" i="16"/>
  <c r="Y158" i="16"/>
  <c r="X158" i="16"/>
  <c r="W158" i="16"/>
  <c r="V158" i="16"/>
  <c r="U158" i="16"/>
  <c r="T158" i="16"/>
  <c r="S158" i="16"/>
  <c r="R158" i="16"/>
  <c r="Q158" i="16"/>
  <c r="P158" i="16"/>
  <c r="O158" i="16"/>
  <c r="N158" i="16"/>
  <c r="M158" i="16"/>
  <c r="L158" i="16"/>
  <c r="K158" i="16"/>
  <c r="J158" i="16"/>
  <c r="I158" i="16"/>
  <c r="H158" i="16"/>
  <c r="G158" i="16"/>
  <c r="F158" i="16"/>
  <c r="AZ157" i="16"/>
  <c r="AY157" i="16"/>
  <c r="AX157" i="16"/>
  <c r="AW157" i="16"/>
  <c r="AV157" i="16"/>
  <c r="AU157" i="16"/>
  <c r="AT157" i="16"/>
  <c r="AS157" i="16"/>
  <c r="AQ157" i="16"/>
  <c r="AP157" i="16"/>
  <c r="AO157" i="16"/>
  <c r="AN157" i="16"/>
  <c r="AM157" i="16"/>
  <c r="AL157" i="16"/>
  <c r="AK157" i="16"/>
  <c r="AB157" i="16"/>
  <c r="X157" i="16"/>
  <c r="W157" i="16"/>
  <c r="V157" i="16"/>
  <c r="U157" i="16"/>
  <c r="T157" i="16"/>
  <c r="S157" i="16"/>
  <c r="R157" i="16"/>
  <c r="Q157" i="16"/>
  <c r="O157" i="16"/>
  <c r="N157" i="16"/>
  <c r="M157" i="16"/>
  <c r="L157" i="16"/>
  <c r="K157" i="16"/>
  <c r="K180" i="16"/>
  <c r="J157" i="16"/>
  <c r="AU156" i="16"/>
  <c r="AR156" i="16"/>
  <c r="AP156" i="16"/>
  <c r="AN156" i="16"/>
  <c r="AM156" i="16"/>
  <c r="AI156" i="16"/>
  <c r="S156" i="16"/>
  <c r="P156" i="16"/>
  <c r="O156" i="16"/>
  <c r="L156" i="16"/>
  <c r="J156" i="16"/>
  <c r="J175" i="16" s="1"/>
  <c r="G156" i="16"/>
  <c r="BA155" i="16"/>
  <c r="AZ155" i="16"/>
  <c r="AY155" i="16"/>
  <c r="AX155" i="16"/>
  <c r="AW155" i="16"/>
  <c r="AV155" i="16"/>
  <c r="AU155" i="16"/>
  <c r="AT155" i="16"/>
  <c r="AS155" i="16"/>
  <c r="AR155" i="16"/>
  <c r="AQ155" i="16"/>
  <c r="AP155" i="16"/>
  <c r="AO155" i="16"/>
  <c r="AN155" i="16"/>
  <c r="AM155" i="16"/>
  <c r="AL155" i="16"/>
  <c r="AK155" i="16"/>
  <c r="AJ155" i="16"/>
  <c r="AI155" i="16"/>
  <c r="AH155" i="16"/>
  <c r="X155" i="16"/>
  <c r="W155" i="16"/>
  <c r="V155" i="16"/>
  <c r="U155" i="16"/>
  <c r="T155" i="16"/>
  <c r="S155" i="16"/>
  <c r="R155" i="16"/>
  <c r="Q155" i="16"/>
  <c r="P155" i="16"/>
  <c r="O155" i="16"/>
  <c r="N155" i="16"/>
  <c r="M155" i="16"/>
  <c r="L155" i="16"/>
  <c r="K155" i="16"/>
  <c r="J155" i="16"/>
  <c r="I155" i="16"/>
  <c r="H155" i="16"/>
  <c r="G155" i="16"/>
  <c r="F155" i="16"/>
  <c r="BB154" i="16"/>
  <c r="AZ154" i="16"/>
  <c r="AY154" i="16"/>
  <c r="AX154" i="16"/>
  <c r="AW154" i="16"/>
  <c r="AV154" i="16"/>
  <c r="AU154" i="16"/>
  <c r="AT154" i="16"/>
  <c r="AS154" i="16"/>
  <c r="AR154" i="16"/>
  <c r="AQ154" i="16"/>
  <c r="AP154" i="16"/>
  <c r="AO154" i="16"/>
  <c r="AN154" i="16"/>
  <c r="AM154" i="16"/>
  <c r="AL154" i="16"/>
  <c r="AK154" i="16"/>
  <c r="AJ154" i="16"/>
  <c r="AI154" i="16"/>
  <c r="AH154" i="16"/>
  <c r="Z154" i="16"/>
  <c r="X154" i="16"/>
  <c r="W154" i="16"/>
  <c r="V154" i="16"/>
  <c r="U154" i="16"/>
  <c r="T154" i="16"/>
  <c r="S154" i="16"/>
  <c r="R154" i="16"/>
  <c r="Q154" i="16"/>
  <c r="P154" i="16"/>
  <c r="O154" i="16"/>
  <c r="N154" i="16"/>
  <c r="M154" i="16"/>
  <c r="L154" i="16"/>
  <c r="K154" i="16"/>
  <c r="J154" i="16"/>
  <c r="I154" i="16"/>
  <c r="H154" i="16"/>
  <c r="G154" i="16"/>
  <c r="F154" i="16"/>
  <c r="AZ153" i="16"/>
  <c r="AY153" i="16"/>
  <c r="AX153" i="16"/>
  <c r="AW153" i="16"/>
  <c r="AV153" i="16"/>
  <c r="AU153" i="16"/>
  <c r="AT153" i="16"/>
  <c r="AS153" i="16"/>
  <c r="AR153" i="16"/>
  <c r="AQ153" i="16"/>
  <c r="AP153" i="16"/>
  <c r="AO153" i="16"/>
  <c r="AN153" i="16"/>
  <c r="AM153" i="16"/>
  <c r="AL153" i="16"/>
  <c r="AK153" i="16"/>
  <c r="AJ153" i="16"/>
  <c r="AI153" i="16"/>
  <c r="AH153" i="16"/>
  <c r="X153" i="16"/>
  <c r="W153" i="16"/>
  <c r="V153" i="16"/>
  <c r="U153" i="16"/>
  <c r="T153" i="16"/>
  <c r="S153" i="16"/>
  <c r="R153" i="16"/>
  <c r="Q153" i="16"/>
  <c r="P153" i="16"/>
  <c r="O153" i="16"/>
  <c r="N153" i="16"/>
  <c r="M153" i="16"/>
  <c r="L153" i="16"/>
  <c r="K153" i="16"/>
  <c r="J153" i="16"/>
  <c r="I153" i="16"/>
  <c r="H153" i="16"/>
  <c r="G153" i="16"/>
  <c r="F153" i="16"/>
  <c r="BA152" i="16"/>
  <c r="AZ152" i="16"/>
  <c r="AY152" i="16"/>
  <c r="AX152" i="16"/>
  <c r="AW152" i="16"/>
  <c r="AV152" i="16"/>
  <c r="AU152" i="16"/>
  <c r="AT152" i="16"/>
  <c r="AS152" i="16"/>
  <c r="AR152" i="16"/>
  <c r="AQ152" i="16"/>
  <c r="AP152" i="16"/>
  <c r="AO152" i="16"/>
  <c r="AN152" i="16"/>
  <c r="AM152" i="16"/>
  <c r="AL152" i="16"/>
  <c r="AK152" i="16"/>
  <c r="AJ152" i="16"/>
  <c r="AI152" i="16"/>
  <c r="AH152" i="16"/>
  <c r="Y152" i="16"/>
  <c r="X152" i="16"/>
  <c r="W152" i="16"/>
  <c r="V152" i="16"/>
  <c r="U152" i="16"/>
  <c r="T152" i="16"/>
  <c r="S152" i="16"/>
  <c r="R152" i="16"/>
  <c r="Q152" i="16"/>
  <c r="P152" i="16"/>
  <c r="O152" i="16"/>
  <c r="N152" i="16"/>
  <c r="M152" i="16"/>
  <c r="L152" i="16"/>
  <c r="K152" i="16"/>
  <c r="J152" i="16"/>
  <c r="I152" i="16"/>
  <c r="H152" i="16"/>
  <c r="G152" i="16"/>
  <c r="F152" i="16"/>
  <c r="BA151" i="16"/>
  <c r="AZ151" i="16"/>
  <c r="AY151" i="16"/>
  <c r="AX151" i="16"/>
  <c r="AW151" i="16"/>
  <c r="AV151" i="16"/>
  <c r="AU151" i="16"/>
  <c r="AT151" i="16"/>
  <c r="AS151" i="16"/>
  <c r="AR151" i="16"/>
  <c r="AQ151" i="16"/>
  <c r="AP151" i="16"/>
  <c r="AO151" i="16"/>
  <c r="AN151" i="16"/>
  <c r="AM151" i="16"/>
  <c r="AL151" i="16"/>
  <c r="AK151" i="16"/>
  <c r="AJ151" i="16"/>
  <c r="AI151" i="16"/>
  <c r="AH151" i="16"/>
  <c r="Y151" i="16"/>
  <c r="X151" i="16"/>
  <c r="W151" i="16"/>
  <c r="V151" i="16"/>
  <c r="U151" i="16"/>
  <c r="T151" i="16"/>
  <c r="S151" i="16"/>
  <c r="R151" i="16"/>
  <c r="Q151" i="16"/>
  <c r="P151" i="16"/>
  <c r="O151" i="16"/>
  <c r="N151" i="16"/>
  <c r="M151" i="16"/>
  <c r="L151" i="16"/>
  <c r="K151" i="16"/>
  <c r="J151" i="16"/>
  <c r="I151" i="16"/>
  <c r="H151" i="16"/>
  <c r="G151" i="16"/>
  <c r="F151" i="16"/>
  <c r="BB150" i="16"/>
  <c r="AZ150" i="16"/>
  <c r="AY150" i="16"/>
  <c r="AX150" i="16"/>
  <c r="AW150" i="16"/>
  <c r="AV150" i="16"/>
  <c r="AU150" i="16"/>
  <c r="AT150" i="16"/>
  <c r="AS150" i="16"/>
  <c r="AR150" i="16"/>
  <c r="AQ150" i="16"/>
  <c r="AP150" i="16"/>
  <c r="AO150" i="16"/>
  <c r="AN150" i="16"/>
  <c r="AM150" i="16"/>
  <c r="AL150" i="16"/>
  <c r="AK150" i="16"/>
  <c r="AJ150" i="16"/>
  <c r="AI150" i="16"/>
  <c r="AH150" i="16"/>
  <c r="X150" i="16"/>
  <c r="W150" i="16"/>
  <c r="V150" i="16"/>
  <c r="U150" i="16"/>
  <c r="T150" i="16"/>
  <c r="S150" i="16"/>
  <c r="R150" i="16"/>
  <c r="Q150" i="16"/>
  <c r="P150" i="16"/>
  <c r="O150" i="16"/>
  <c r="N150" i="16"/>
  <c r="M150" i="16"/>
  <c r="L150" i="16"/>
  <c r="K150" i="16"/>
  <c r="J150" i="16"/>
  <c r="I150" i="16"/>
  <c r="H150" i="16"/>
  <c r="G150" i="16"/>
  <c r="F150" i="16"/>
  <c r="BB149" i="16"/>
  <c r="AZ149" i="16"/>
  <c r="AY149" i="16"/>
  <c r="AX149" i="16"/>
  <c r="AW149" i="16"/>
  <c r="AV149" i="16"/>
  <c r="AU149" i="16"/>
  <c r="AT149" i="16"/>
  <c r="AS149" i="16"/>
  <c r="AR149" i="16"/>
  <c r="AQ149" i="16"/>
  <c r="AP149" i="16"/>
  <c r="AO149" i="16"/>
  <c r="AN149" i="16"/>
  <c r="AM149" i="16"/>
  <c r="AL149" i="16"/>
  <c r="AK149" i="16"/>
  <c r="AJ149" i="16"/>
  <c r="AI149" i="16"/>
  <c r="AH149" i="16"/>
  <c r="Z149" i="16"/>
  <c r="X149" i="16"/>
  <c r="W149" i="16"/>
  <c r="V149" i="16"/>
  <c r="U149" i="16"/>
  <c r="T149" i="16"/>
  <c r="S149" i="16"/>
  <c r="R149" i="16"/>
  <c r="Q149" i="16"/>
  <c r="P149" i="16"/>
  <c r="O149" i="16"/>
  <c r="N149" i="16"/>
  <c r="M149" i="16"/>
  <c r="L149" i="16"/>
  <c r="K149" i="16"/>
  <c r="J149" i="16"/>
  <c r="I149" i="16"/>
  <c r="H149" i="16"/>
  <c r="G149" i="16"/>
  <c r="F149" i="16"/>
  <c r="AY148" i="16"/>
  <c r="AW148" i="16"/>
  <c r="AU148" i="16"/>
  <c r="AS148" i="16"/>
  <c r="AO148" i="16"/>
  <c r="AM148" i="16"/>
  <c r="AK148" i="16"/>
  <c r="W148" i="16"/>
  <c r="U148" i="16"/>
  <c r="S148" i="16"/>
  <c r="Q148" i="16"/>
  <c r="M148" i="16"/>
  <c r="K148" i="16"/>
  <c r="I148" i="16"/>
  <c r="AR147" i="16"/>
  <c r="AP147" i="16"/>
  <c r="AM147" i="16"/>
  <c r="AK147" i="16"/>
  <c r="AH147" i="16"/>
  <c r="P147" i="16"/>
  <c r="I147" i="16"/>
  <c r="AY146" i="16"/>
  <c r="AS146" i="16"/>
  <c r="AR146" i="16"/>
  <c r="AQ146" i="16"/>
  <c r="AK146" i="16"/>
  <c r="AI146" i="16"/>
  <c r="W146" i="16"/>
  <c r="Q146" i="16"/>
  <c r="P146" i="16"/>
  <c r="O146" i="16"/>
  <c r="I146" i="16"/>
  <c r="G146" i="16"/>
  <c r="AZ144" i="16"/>
  <c r="AX144" i="16"/>
  <c r="AT144" i="16"/>
  <c r="AN144" i="16"/>
  <c r="AL144" i="16"/>
  <c r="AJ144" i="16"/>
  <c r="X144" i="16"/>
  <c r="T144" i="16"/>
  <c r="R144" i="16"/>
  <c r="L144" i="16"/>
  <c r="J144" i="16"/>
  <c r="AZ143" i="16"/>
  <c r="AY143" i="16"/>
  <c r="AW143" i="16"/>
  <c r="AV143" i="16"/>
  <c r="AU143" i="16"/>
  <c r="AS143" i="16"/>
  <c r="AP143" i="16"/>
  <c r="AM143" i="16"/>
  <c r="AJ143" i="16"/>
  <c r="AI143" i="16"/>
  <c r="V143" i="16"/>
  <c r="T143" i="16"/>
  <c r="S143" i="16"/>
  <c r="N143" i="16"/>
  <c r="K143" i="16"/>
  <c r="J143" i="16"/>
  <c r="F143" i="16"/>
  <c r="AZ142" i="16"/>
  <c r="AY142" i="16"/>
  <c r="AV142" i="16"/>
  <c r="AS142" i="16"/>
  <c r="AR142" i="16"/>
  <c r="AQ142" i="16"/>
  <c r="AN142" i="16"/>
  <c r="AK142" i="16"/>
  <c r="AJ142" i="16"/>
  <c r="AH142" i="16"/>
  <c r="X142" i="16"/>
  <c r="W142" i="16"/>
  <c r="T142" i="16"/>
  <c r="Q142" i="16"/>
  <c r="O142" i="16"/>
  <c r="L142" i="16"/>
  <c r="I142" i="16"/>
  <c r="H142" i="16"/>
  <c r="G142" i="16"/>
  <c r="F142" i="16"/>
  <c r="X135" i="16"/>
  <c r="W135" i="16"/>
  <c r="V135" i="16"/>
  <c r="U135" i="16"/>
  <c r="T135" i="16"/>
  <c r="S135" i="16"/>
  <c r="R135" i="16"/>
  <c r="Q135" i="16"/>
  <c r="P135" i="16"/>
  <c r="O135" i="16"/>
  <c r="N135" i="16"/>
  <c r="M135" i="16"/>
  <c r="L135" i="16"/>
  <c r="K135" i="16"/>
  <c r="J135" i="16"/>
  <c r="I135" i="16"/>
  <c r="H135" i="16"/>
  <c r="G135" i="16"/>
  <c r="F135" i="16"/>
  <c r="X134" i="16"/>
  <c r="W134" i="16"/>
  <c r="V134" i="16"/>
  <c r="U134" i="16"/>
  <c r="T134" i="16"/>
  <c r="S134" i="16"/>
  <c r="R134" i="16"/>
  <c r="Q134" i="16"/>
  <c r="O134" i="16"/>
  <c r="N134" i="16"/>
  <c r="M134" i="16"/>
  <c r="L134" i="16"/>
  <c r="K134" i="16"/>
  <c r="J134" i="16"/>
  <c r="I134" i="16"/>
  <c r="H134" i="16"/>
  <c r="G134" i="16"/>
  <c r="F134" i="16"/>
  <c r="X133" i="16"/>
  <c r="W133" i="16"/>
  <c r="V133" i="16"/>
  <c r="U133" i="16"/>
  <c r="T133" i="16"/>
  <c r="S133" i="16"/>
  <c r="R133" i="16"/>
  <c r="Q133" i="16"/>
  <c r="P133" i="16"/>
  <c r="O133" i="16"/>
  <c r="N133" i="16"/>
  <c r="M133" i="16"/>
  <c r="L133" i="16"/>
  <c r="K133" i="16"/>
  <c r="J133" i="16"/>
  <c r="I133" i="16"/>
  <c r="H133" i="16"/>
  <c r="G133" i="16"/>
  <c r="F133" i="16"/>
  <c r="X132" i="16"/>
  <c r="W132" i="16"/>
  <c r="V132" i="16"/>
  <c r="U132" i="16"/>
  <c r="T132" i="16"/>
  <c r="S132" i="16"/>
  <c r="R132" i="16"/>
  <c r="Q132" i="16"/>
  <c r="P132" i="16"/>
  <c r="O132" i="16"/>
  <c r="N132" i="16"/>
  <c r="M132" i="16"/>
  <c r="L132" i="16"/>
  <c r="K132" i="16"/>
  <c r="J132" i="16"/>
  <c r="I132" i="16"/>
  <c r="X131" i="16"/>
  <c r="W131" i="16"/>
  <c r="V131" i="16"/>
  <c r="U131" i="16"/>
  <c r="T131" i="16"/>
  <c r="S131" i="16"/>
  <c r="R131" i="16"/>
  <c r="Q131" i="16"/>
  <c r="P131" i="16"/>
  <c r="O131" i="16"/>
  <c r="N131" i="16"/>
  <c r="M131" i="16"/>
  <c r="L131" i="16"/>
  <c r="K131" i="16"/>
  <c r="J131" i="16"/>
  <c r="I131" i="16"/>
  <c r="H131" i="16"/>
  <c r="G131" i="16"/>
  <c r="F131" i="16"/>
  <c r="X130" i="16"/>
  <c r="W130" i="16"/>
  <c r="V130" i="16"/>
  <c r="U130" i="16"/>
  <c r="T130" i="16"/>
  <c r="S130" i="16"/>
  <c r="R130" i="16"/>
  <c r="Q130" i="16"/>
  <c r="P130" i="16"/>
  <c r="O130" i="16"/>
  <c r="N130" i="16"/>
  <c r="M130" i="16"/>
  <c r="L130" i="16"/>
  <c r="K130" i="16"/>
  <c r="J130" i="16"/>
  <c r="I130" i="16"/>
  <c r="H130" i="16"/>
  <c r="G130" i="16"/>
  <c r="F130" i="16"/>
  <c r="W129" i="16"/>
  <c r="V129" i="16"/>
  <c r="U129" i="16"/>
  <c r="T129" i="16"/>
  <c r="S129" i="16"/>
  <c r="R129" i="16"/>
  <c r="N129" i="16"/>
  <c r="L129" i="16"/>
  <c r="J129" i="16"/>
  <c r="H129" i="16"/>
  <c r="G129" i="16"/>
  <c r="F129" i="16"/>
  <c r="X128" i="16"/>
  <c r="W128" i="16"/>
  <c r="V128" i="16"/>
  <c r="S128" i="16"/>
  <c r="R128" i="16"/>
  <c r="Q128" i="16"/>
  <c r="O128" i="16"/>
  <c r="N128" i="16"/>
  <c r="L128" i="16"/>
  <c r="J128" i="16"/>
  <c r="I128" i="16"/>
  <c r="H128" i="16"/>
  <c r="G128" i="16"/>
  <c r="F128" i="16"/>
  <c r="X127" i="16"/>
  <c r="W127" i="16"/>
  <c r="V127" i="16"/>
  <c r="U127" i="16"/>
  <c r="T127" i="16"/>
  <c r="S127" i="16"/>
  <c r="Q127" i="16"/>
  <c r="L127" i="16"/>
  <c r="H127" i="16"/>
  <c r="G127" i="16"/>
  <c r="X126" i="16"/>
  <c r="V126" i="16"/>
  <c r="U126" i="16"/>
  <c r="T126" i="16"/>
  <c r="S126" i="16"/>
  <c r="R126" i="16"/>
  <c r="Q126" i="16"/>
  <c r="P126" i="16"/>
  <c r="O126" i="16"/>
  <c r="N126" i="16"/>
  <c r="L126" i="16"/>
  <c r="J126" i="16"/>
  <c r="X125" i="16"/>
  <c r="W125" i="16"/>
  <c r="V125" i="16"/>
  <c r="U125" i="16"/>
  <c r="T125" i="16"/>
  <c r="S125" i="16"/>
  <c r="R125" i="16"/>
  <c r="Q125" i="16"/>
  <c r="P125" i="16"/>
  <c r="O125" i="16"/>
  <c r="N125" i="16"/>
  <c r="M125" i="16"/>
  <c r="L125" i="16"/>
  <c r="K125" i="16"/>
  <c r="J125" i="16"/>
  <c r="I125" i="16"/>
  <c r="H125" i="16"/>
  <c r="G125" i="16"/>
  <c r="F125" i="16"/>
  <c r="X124" i="16"/>
  <c r="W124" i="16"/>
  <c r="V124" i="16"/>
  <c r="U124" i="16"/>
  <c r="T124" i="16"/>
  <c r="S124" i="16"/>
  <c r="R124" i="16"/>
  <c r="Q124" i="16"/>
  <c r="P124" i="16"/>
  <c r="O124" i="16"/>
  <c r="N124" i="16"/>
  <c r="M124" i="16"/>
  <c r="L124" i="16"/>
  <c r="K124" i="16"/>
  <c r="J124" i="16"/>
  <c r="I124" i="16"/>
  <c r="H124" i="16"/>
  <c r="G124" i="16"/>
  <c r="F124" i="16"/>
  <c r="X123" i="16"/>
  <c r="W123" i="16"/>
  <c r="V123" i="16"/>
  <c r="U123" i="16"/>
  <c r="T123" i="16"/>
  <c r="S123" i="16"/>
  <c r="R123" i="16"/>
  <c r="Q123" i="16"/>
  <c r="P123" i="16"/>
  <c r="O123" i="16"/>
  <c r="N123" i="16"/>
  <c r="M123" i="16"/>
  <c r="L123" i="16"/>
  <c r="K123" i="16"/>
  <c r="J123" i="16"/>
  <c r="I123" i="16"/>
  <c r="H123" i="16"/>
  <c r="G123" i="16"/>
  <c r="F123" i="16"/>
  <c r="X122" i="16"/>
  <c r="W122" i="16"/>
  <c r="V122" i="16"/>
  <c r="U122" i="16"/>
  <c r="T122" i="16"/>
  <c r="S122" i="16"/>
  <c r="R122" i="16"/>
  <c r="Q122" i="16"/>
  <c r="P122" i="16"/>
  <c r="O122" i="16"/>
  <c r="N122" i="16"/>
  <c r="M122" i="16"/>
  <c r="L122" i="16"/>
  <c r="K122" i="16"/>
  <c r="J122" i="16"/>
  <c r="I122" i="16"/>
  <c r="H122" i="16"/>
  <c r="G122" i="16"/>
  <c r="F122" i="16"/>
  <c r="X121" i="16"/>
  <c r="W121" i="16"/>
  <c r="V121" i="16"/>
  <c r="U121" i="16"/>
  <c r="T121" i="16"/>
  <c r="S121" i="16"/>
  <c r="R121" i="16"/>
  <c r="Q121" i="16"/>
  <c r="P121" i="16"/>
  <c r="O121" i="16"/>
  <c r="N121" i="16"/>
  <c r="M121" i="16"/>
  <c r="L121" i="16"/>
  <c r="K121" i="16"/>
  <c r="J121" i="16"/>
  <c r="I121" i="16"/>
  <c r="H121" i="16"/>
  <c r="G121" i="16"/>
  <c r="F121" i="16"/>
  <c r="W120" i="16"/>
  <c r="V120" i="16"/>
  <c r="U120" i="16"/>
  <c r="T120" i="16"/>
  <c r="S120" i="16"/>
  <c r="R120" i="16"/>
  <c r="Q120" i="16"/>
  <c r="P120" i="16"/>
  <c r="O120" i="16"/>
  <c r="N120" i="16"/>
  <c r="M120" i="16"/>
  <c r="L120" i="16"/>
  <c r="K120" i="16"/>
  <c r="J120" i="16"/>
  <c r="I120" i="16"/>
  <c r="H120" i="16"/>
  <c r="G120" i="16"/>
  <c r="F120" i="16"/>
  <c r="X119" i="16"/>
  <c r="W119" i="16"/>
  <c r="V119" i="16"/>
  <c r="U119" i="16"/>
  <c r="T119" i="16"/>
  <c r="S119" i="16"/>
  <c r="R119" i="16"/>
  <c r="Q119" i="16"/>
  <c r="P119" i="16"/>
  <c r="O119" i="16"/>
  <c r="N119" i="16"/>
  <c r="M119" i="16"/>
  <c r="K119" i="16"/>
  <c r="J119" i="16"/>
  <c r="I119" i="16"/>
  <c r="H119" i="16"/>
  <c r="G119" i="16"/>
  <c r="F119" i="16"/>
  <c r="S118" i="16"/>
  <c r="P118" i="16"/>
  <c r="O118" i="16"/>
  <c r="N118" i="16"/>
  <c r="M118" i="16"/>
  <c r="L118" i="16"/>
  <c r="K118" i="16"/>
  <c r="J118" i="16"/>
  <c r="I118" i="16"/>
  <c r="H118" i="16"/>
  <c r="G118" i="16"/>
  <c r="F118" i="16"/>
  <c r="X117" i="16"/>
  <c r="W117" i="16"/>
  <c r="V117" i="16"/>
  <c r="U117" i="16"/>
  <c r="T117" i="16"/>
  <c r="S117" i="16"/>
  <c r="R117" i="16"/>
  <c r="Q117" i="16"/>
  <c r="P117" i="16"/>
  <c r="O117" i="16"/>
  <c r="N117" i="16"/>
  <c r="L117" i="16"/>
  <c r="K117" i="16"/>
  <c r="I117" i="16"/>
  <c r="H117" i="16"/>
  <c r="G117" i="16"/>
  <c r="F117" i="16"/>
  <c r="X116" i="16"/>
  <c r="W116" i="16"/>
  <c r="V116" i="16"/>
  <c r="U116" i="16"/>
  <c r="T116" i="16"/>
  <c r="S116" i="16"/>
  <c r="R116" i="16"/>
  <c r="Q116" i="16"/>
  <c r="P116" i="16"/>
  <c r="O116" i="16"/>
  <c r="N116" i="16"/>
  <c r="M116" i="16"/>
  <c r="L116" i="16"/>
  <c r="K116" i="16"/>
  <c r="J116" i="16"/>
  <c r="I116" i="16"/>
  <c r="H116" i="16"/>
  <c r="G116" i="16"/>
  <c r="F116" i="16"/>
  <c r="W115" i="16"/>
  <c r="U115" i="16"/>
  <c r="S115" i="16"/>
  <c r="R115" i="16"/>
  <c r="Q115" i="16"/>
  <c r="P115" i="16"/>
  <c r="O115" i="16"/>
  <c r="N115" i="16"/>
  <c r="M115" i="16"/>
  <c r="L115" i="16"/>
  <c r="I115" i="16"/>
  <c r="H115" i="16"/>
  <c r="G115" i="16"/>
  <c r="F115" i="16"/>
  <c r="AA114" i="16"/>
  <c r="X114" i="16"/>
  <c r="W114" i="16"/>
  <c r="V114" i="16"/>
  <c r="U114" i="16"/>
  <c r="T114" i="16"/>
  <c r="S114" i="16"/>
  <c r="R114" i="16"/>
  <c r="Q114" i="16"/>
  <c r="P114" i="16"/>
  <c r="O114" i="16"/>
  <c r="M114" i="16"/>
  <c r="L114" i="16"/>
  <c r="I114" i="16"/>
  <c r="H114" i="16"/>
  <c r="G114" i="16"/>
  <c r="X113" i="16"/>
  <c r="W113" i="16"/>
  <c r="V113" i="16"/>
  <c r="U113" i="16"/>
  <c r="T113" i="16"/>
  <c r="S113" i="16"/>
  <c r="R113" i="16"/>
  <c r="Q113" i="16"/>
  <c r="P113" i="16"/>
  <c r="O113" i="16"/>
  <c r="N113" i="16"/>
  <c r="M113" i="16"/>
  <c r="L113" i="16"/>
  <c r="K113" i="16"/>
  <c r="J113" i="16"/>
  <c r="I113" i="16"/>
  <c r="H113" i="16"/>
  <c r="G113" i="16"/>
  <c r="F113" i="16"/>
  <c r="X112" i="16"/>
  <c r="W112" i="16"/>
  <c r="V112" i="16"/>
  <c r="U112" i="16"/>
  <c r="T112" i="16"/>
  <c r="S112" i="16"/>
  <c r="R112" i="16"/>
  <c r="Q112" i="16"/>
  <c r="O112" i="16"/>
  <c r="N112" i="16"/>
  <c r="M112" i="16"/>
  <c r="L112" i="16"/>
  <c r="K112" i="16"/>
  <c r="J112" i="16"/>
  <c r="I112" i="16"/>
  <c r="S111" i="16"/>
  <c r="P111" i="16"/>
  <c r="L111" i="16"/>
  <c r="K111" i="16"/>
  <c r="G111" i="16"/>
  <c r="X110" i="16"/>
  <c r="W110" i="16"/>
  <c r="V110" i="16"/>
  <c r="U110" i="16"/>
  <c r="T110" i="16"/>
  <c r="S110" i="16"/>
  <c r="R110" i="16"/>
  <c r="Q110" i="16"/>
  <c r="P110" i="16"/>
  <c r="O110" i="16"/>
  <c r="N110" i="16"/>
  <c r="M110" i="16"/>
  <c r="L110" i="16"/>
  <c r="K110" i="16"/>
  <c r="J110" i="16"/>
  <c r="I110" i="16"/>
  <c r="H110" i="16"/>
  <c r="G110" i="16"/>
  <c r="F110" i="16"/>
  <c r="X109" i="16"/>
  <c r="W109" i="16"/>
  <c r="V109" i="16"/>
  <c r="U109" i="16"/>
  <c r="T109" i="16"/>
  <c r="S109" i="16"/>
  <c r="R109" i="16"/>
  <c r="Q109" i="16"/>
  <c r="P109" i="16"/>
  <c r="O109" i="16"/>
  <c r="N109" i="16"/>
  <c r="M109" i="16"/>
  <c r="L109" i="16"/>
  <c r="K109" i="16"/>
  <c r="J109" i="16"/>
  <c r="I109" i="16"/>
  <c r="H109" i="16"/>
  <c r="G109" i="16"/>
  <c r="F109" i="16"/>
  <c r="X108" i="16"/>
  <c r="W108" i="16"/>
  <c r="V108" i="16"/>
  <c r="U108" i="16"/>
  <c r="T108" i="16"/>
  <c r="S108" i="16"/>
  <c r="R108" i="16"/>
  <c r="Q108" i="16"/>
  <c r="P108" i="16"/>
  <c r="O108" i="16"/>
  <c r="N108" i="16"/>
  <c r="M108" i="16"/>
  <c r="L108" i="16"/>
  <c r="K108" i="16"/>
  <c r="J108" i="16"/>
  <c r="I108" i="16"/>
  <c r="H108" i="16"/>
  <c r="G108" i="16"/>
  <c r="F108" i="16"/>
  <c r="X107" i="16"/>
  <c r="W107" i="16"/>
  <c r="V107" i="16"/>
  <c r="U107" i="16"/>
  <c r="T107" i="16"/>
  <c r="S107" i="16"/>
  <c r="R107" i="16"/>
  <c r="Q107" i="16"/>
  <c r="P107" i="16"/>
  <c r="O107" i="16"/>
  <c r="N107" i="16"/>
  <c r="M107" i="16"/>
  <c r="L107" i="16"/>
  <c r="K107" i="16"/>
  <c r="J107" i="16"/>
  <c r="I107" i="16"/>
  <c r="H107" i="16"/>
  <c r="G107" i="16"/>
  <c r="F107" i="16"/>
  <c r="X106" i="16"/>
  <c r="W106" i="16"/>
  <c r="V106" i="16"/>
  <c r="U106" i="16"/>
  <c r="T106" i="16"/>
  <c r="S106" i="16"/>
  <c r="R106" i="16"/>
  <c r="Q106" i="16"/>
  <c r="P106" i="16"/>
  <c r="O106" i="16"/>
  <c r="N106" i="16"/>
  <c r="M106" i="16"/>
  <c r="L106" i="16"/>
  <c r="K106" i="16"/>
  <c r="J106" i="16"/>
  <c r="I106" i="16"/>
  <c r="H106" i="16"/>
  <c r="G106" i="16"/>
  <c r="F106" i="16"/>
  <c r="X105" i="16"/>
  <c r="W105" i="16"/>
  <c r="V105" i="16"/>
  <c r="U105" i="16"/>
  <c r="T105" i="16"/>
  <c r="S105" i="16"/>
  <c r="R105" i="16"/>
  <c r="Q105" i="16"/>
  <c r="P105" i="16"/>
  <c r="O105" i="16"/>
  <c r="N105" i="16"/>
  <c r="M105" i="16"/>
  <c r="L105" i="16"/>
  <c r="K105" i="16"/>
  <c r="J105" i="16"/>
  <c r="I105" i="16"/>
  <c r="H105" i="16"/>
  <c r="G105" i="16"/>
  <c r="F105" i="16"/>
  <c r="X104" i="16"/>
  <c r="W104" i="16"/>
  <c r="V104" i="16"/>
  <c r="U104" i="16"/>
  <c r="T104" i="16"/>
  <c r="S104" i="16"/>
  <c r="R104" i="16"/>
  <c r="Q104" i="16"/>
  <c r="P104" i="16"/>
  <c r="O104" i="16"/>
  <c r="N104" i="16"/>
  <c r="M104" i="16"/>
  <c r="L104" i="16"/>
  <c r="K104" i="16"/>
  <c r="J104" i="16"/>
  <c r="I104" i="16"/>
  <c r="H104" i="16"/>
  <c r="G104" i="16"/>
  <c r="F104" i="16"/>
  <c r="AA103" i="16"/>
  <c r="Z90" i="16"/>
  <c r="Y90" i="16"/>
  <c r="Y89" i="16"/>
  <c r="Z88" i="16"/>
  <c r="Y88" i="16"/>
  <c r="AA88" i="16" s="1"/>
  <c r="Z87" i="16"/>
  <c r="Z86" i="16"/>
  <c r="Y86" i="16"/>
  <c r="Z85" i="16"/>
  <c r="AA85" i="16" s="1"/>
  <c r="Y85" i="16"/>
  <c r="Y83" i="16"/>
  <c r="AG82" i="16"/>
  <c r="AH82" i="16" s="1"/>
  <c r="AG81" i="16"/>
  <c r="AH81" i="16" s="1"/>
  <c r="AG80" i="16"/>
  <c r="AH80" i="16" s="1"/>
  <c r="AI80" i="16" s="1"/>
  <c r="Z80" i="16"/>
  <c r="Y80" i="16"/>
  <c r="AG79" i="16"/>
  <c r="AH79" i="16" s="1"/>
  <c r="Z79" i="16"/>
  <c r="Y79" i="16"/>
  <c r="AA79" i="16" s="1"/>
  <c r="Z78" i="16"/>
  <c r="Y78" i="16"/>
  <c r="Y77" i="16"/>
  <c r="Z77" i="16"/>
  <c r="AC76" i="16"/>
  <c r="Y76" i="16"/>
  <c r="Z76" i="16"/>
  <c r="Z75" i="16"/>
  <c r="AA75" i="16" s="1"/>
  <c r="Y75" i="16"/>
  <c r="Z74" i="16"/>
  <c r="Y74" i="16"/>
  <c r="AA74" i="16" s="1"/>
  <c r="Y73" i="16"/>
  <c r="Z73" i="16"/>
  <c r="Z72" i="16"/>
  <c r="Y72" i="16"/>
  <c r="Y71" i="16"/>
  <c r="AA71" i="16" s="1"/>
  <c r="Z71" i="16"/>
  <c r="AA70" i="16"/>
  <c r="X70" i="16"/>
  <c r="AZ160" i="16" s="1"/>
  <c r="V70" i="16"/>
  <c r="AX160" i="16" s="1"/>
  <c r="T70" i="16"/>
  <c r="K70" i="16"/>
  <c r="Y70" i="16" s="1"/>
  <c r="Z69" i="16"/>
  <c r="Y68" i="16"/>
  <c r="Z68" i="16"/>
  <c r="AC67" i="16"/>
  <c r="H67" i="16"/>
  <c r="G67" i="16"/>
  <c r="F67" i="16"/>
  <c r="AC66" i="16"/>
  <c r="V66" i="16"/>
  <c r="V55" i="16" s="1"/>
  <c r="AX145" i="16" s="1"/>
  <c r="U55" i="16"/>
  <c r="H66" i="16"/>
  <c r="F66" i="16"/>
  <c r="AH156" i="16" s="1"/>
  <c r="Z65" i="16"/>
  <c r="AA65" i="16" s="1"/>
  <c r="Y65" i="16"/>
  <c r="AC64" i="16"/>
  <c r="Z64" i="16"/>
  <c r="AA64" i="16" s="1"/>
  <c r="Y64" i="16"/>
  <c r="AC63" i="16"/>
  <c r="Z63" i="16"/>
  <c r="AA63" i="16" s="1"/>
  <c r="Y63" i="16"/>
  <c r="Z62" i="16"/>
  <c r="Y62" i="16"/>
  <c r="Y61" i="16"/>
  <c r="Z61" i="16"/>
  <c r="Z60" i="16"/>
  <c r="Y60" i="16"/>
  <c r="AA60" i="16" s="1"/>
  <c r="Z59" i="16"/>
  <c r="Y59" i="16"/>
  <c r="X58" i="16"/>
  <c r="W58" i="16"/>
  <c r="V58" i="16"/>
  <c r="U58" i="16"/>
  <c r="T58" i="16"/>
  <c r="S58" i="16"/>
  <c r="R58" i="16"/>
  <c r="Q58" i="16"/>
  <c r="P58" i="16"/>
  <c r="O58" i="16"/>
  <c r="N58" i="16"/>
  <c r="M58" i="16"/>
  <c r="L58" i="16"/>
  <c r="K58" i="16"/>
  <c r="J58" i="16"/>
  <c r="I58" i="16"/>
  <c r="H58" i="16"/>
  <c r="G58" i="16"/>
  <c r="F58" i="16"/>
  <c r="AA57" i="16"/>
  <c r="AA102" i="16"/>
  <c r="X57" i="16"/>
  <c r="W57" i="16"/>
  <c r="U57" i="16"/>
  <c r="T57" i="16"/>
  <c r="S57" i="16"/>
  <c r="R57" i="16"/>
  <c r="Q57" i="16"/>
  <c r="P57" i="16"/>
  <c r="O57" i="16"/>
  <c r="N57" i="16"/>
  <c r="M57" i="16"/>
  <c r="L57" i="16"/>
  <c r="K57" i="16"/>
  <c r="J57" i="16"/>
  <c r="I57" i="16"/>
  <c r="H57" i="16"/>
  <c r="G57" i="16"/>
  <c r="F57" i="16"/>
  <c r="AB56" i="16"/>
  <c r="W56" i="16"/>
  <c r="U56" i="16"/>
  <c r="U51" i="16" s="1"/>
  <c r="S56" i="16"/>
  <c r="R56" i="16"/>
  <c r="Q56" i="16"/>
  <c r="Q51" i="16" s="1"/>
  <c r="P56" i="16"/>
  <c r="O56" i="16"/>
  <c r="N56" i="16"/>
  <c r="M56" i="16"/>
  <c r="L56" i="16"/>
  <c r="I56" i="16"/>
  <c r="H56" i="16"/>
  <c r="G56" i="16"/>
  <c r="X55" i="16"/>
  <c r="W55" i="16"/>
  <c r="T55" i="16"/>
  <c r="S55" i="16"/>
  <c r="R55" i="16"/>
  <c r="Q55" i="16"/>
  <c r="O55" i="16"/>
  <c r="AQ145" i="16" s="1"/>
  <c r="N55" i="16"/>
  <c r="AP145" i="16" s="1"/>
  <c r="M55" i="16"/>
  <c r="L55" i="16"/>
  <c r="K55" i="16"/>
  <c r="AM145" i="16" s="1"/>
  <c r="J55" i="16"/>
  <c r="X54" i="16"/>
  <c r="W54" i="16"/>
  <c r="V54" i="16"/>
  <c r="U54" i="16"/>
  <c r="T54" i="16"/>
  <c r="S54" i="16"/>
  <c r="R54" i="16"/>
  <c r="Q54" i="16"/>
  <c r="P54" i="16"/>
  <c r="O54" i="16"/>
  <c r="N54" i="16"/>
  <c r="M54" i="16"/>
  <c r="L54" i="16"/>
  <c r="K54" i="16"/>
  <c r="J54" i="16"/>
  <c r="I54" i="16"/>
  <c r="H54" i="16"/>
  <c r="F54" i="16"/>
  <c r="G54" i="16"/>
  <c r="X53" i="16"/>
  <c r="W53" i="16"/>
  <c r="V53" i="16"/>
  <c r="U53" i="16"/>
  <c r="T53" i="16"/>
  <c r="T50" i="16" s="1"/>
  <c r="S53" i="16"/>
  <c r="R53" i="16"/>
  <c r="Q53" i="16"/>
  <c r="Q50" i="16" s="1"/>
  <c r="P53" i="16"/>
  <c r="Z53" i="16" s="1"/>
  <c r="O53" i="16"/>
  <c r="N53" i="16"/>
  <c r="M53" i="16"/>
  <c r="L53" i="16"/>
  <c r="K53" i="16"/>
  <c r="J53" i="16"/>
  <c r="I53" i="16"/>
  <c r="H53" i="16"/>
  <c r="G53" i="16"/>
  <c r="F53" i="16"/>
  <c r="X52" i="16"/>
  <c r="W52" i="16"/>
  <c r="W50" i="16" s="1"/>
  <c r="V52" i="16"/>
  <c r="U52" i="16"/>
  <c r="U50" i="16" s="1"/>
  <c r="T52" i="16"/>
  <c r="S52" i="16"/>
  <c r="S50" i="16" s="1"/>
  <c r="R52" i="16"/>
  <c r="Q52" i="16"/>
  <c r="P52" i="16"/>
  <c r="O52" i="16"/>
  <c r="O50" i="16" s="1"/>
  <c r="N52" i="16"/>
  <c r="N50" i="16" s="1"/>
  <c r="M52" i="16"/>
  <c r="L52" i="16"/>
  <c r="K52" i="16"/>
  <c r="J52" i="16"/>
  <c r="I52" i="16"/>
  <c r="H52" i="16"/>
  <c r="H50" i="16" s="1"/>
  <c r="G52" i="16"/>
  <c r="F52" i="16"/>
  <c r="AH51" i="16"/>
  <c r="AG51" i="16"/>
  <c r="AG53" i="16" s="1"/>
  <c r="Z45" i="16"/>
  <c r="Z135" i="16" s="1"/>
  <c r="Y45" i="16"/>
  <c r="Y135" i="16" s="1"/>
  <c r="Y44" i="16"/>
  <c r="Y134" i="16" s="1"/>
  <c r="Z43" i="16"/>
  <c r="Z133" i="16" s="1"/>
  <c r="Y43" i="16"/>
  <c r="Y133" i="16" s="1"/>
  <c r="Z42" i="16"/>
  <c r="Z132" i="16" s="1"/>
  <c r="Z41" i="16"/>
  <c r="Z131" i="16" s="1"/>
  <c r="Y41" i="16"/>
  <c r="Z40" i="16"/>
  <c r="Z130" i="16" s="1"/>
  <c r="Y40" i="16"/>
  <c r="Y130" i="16" s="1"/>
  <c r="K129" i="16"/>
  <c r="K128" i="16"/>
  <c r="K127" i="16"/>
  <c r="K126" i="16"/>
  <c r="Z35" i="16"/>
  <c r="Y35" i="16"/>
  <c r="Y125" i="16"/>
  <c r="Z34" i="16"/>
  <c r="Z124" i="16" s="1"/>
  <c r="Y34" i="16"/>
  <c r="Z33" i="16"/>
  <c r="Z123" i="16" s="1"/>
  <c r="Y33" i="16"/>
  <c r="Y123" i="16" s="1"/>
  <c r="Z32" i="16"/>
  <c r="Z122" i="16"/>
  <c r="Y32" i="16"/>
  <c r="AH31" i="16"/>
  <c r="Z31" i="16"/>
  <c r="Z121" i="16" s="1"/>
  <c r="Y31" i="16"/>
  <c r="Y121" i="16" s="1"/>
  <c r="Y30" i="16"/>
  <c r="Y120" i="16" s="1"/>
  <c r="X30" i="16"/>
  <c r="X13" i="16" s="1"/>
  <c r="X103" i="16" s="1"/>
  <c r="Z29" i="16"/>
  <c r="Y29" i="16"/>
  <c r="Y119" i="16" s="1"/>
  <c r="Y28" i="16"/>
  <c r="Y118" i="16" s="1"/>
  <c r="U12" i="16"/>
  <c r="U102" i="16"/>
  <c r="R12" i="16"/>
  <c r="R102" i="16" s="1"/>
  <c r="Q12" i="16"/>
  <c r="Q102" i="16" s="1"/>
  <c r="Y27" i="16"/>
  <c r="M12" i="16"/>
  <c r="E27" i="16"/>
  <c r="Z26" i="16"/>
  <c r="Y26" i="16"/>
  <c r="Y116" i="16"/>
  <c r="AF25" i="16"/>
  <c r="Z25" i="16"/>
  <c r="K25" i="16"/>
  <c r="N114" i="16"/>
  <c r="J24" i="16"/>
  <c r="J69" i="16" s="1"/>
  <c r="K69" i="16" s="1"/>
  <c r="K56" i="16" s="1"/>
  <c r="F24" i="16"/>
  <c r="F249" i="16" s="1"/>
  <c r="F236" i="16" s="1"/>
  <c r="Z23" i="16"/>
  <c r="Y23" i="16"/>
  <c r="Y113" i="16" s="1"/>
  <c r="AG22" i="16"/>
  <c r="Z22" i="16"/>
  <c r="W126" i="16"/>
  <c r="Q129" i="16"/>
  <c r="Y21" i="16"/>
  <c r="Z20" i="16"/>
  <c r="Y20" i="16"/>
  <c r="Y110" i="16" s="1"/>
  <c r="Z19" i="16"/>
  <c r="Z109" i="16" s="1"/>
  <c r="Y19" i="16"/>
  <c r="Z18" i="16"/>
  <c r="Z108" i="16"/>
  <c r="Y18" i="16"/>
  <c r="AA18" i="16" s="1"/>
  <c r="AA108" i="16" s="1"/>
  <c r="Z17" i="16"/>
  <c r="Y17" i="16"/>
  <c r="Y107" i="16"/>
  <c r="Z16" i="16"/>
  <c r="Z106" i="16" s="1"/>
  <c r="Y16" i="16"/>
  <c r="Y106" i="16" s="1"/>
  <c r="Z15" i="16"/>
  <c r="Z105" i="16"/>
  <c r="Y15" i="16"/>
  <c r="Z14" i="16"/>
  <c r="Z104" i="16"/>
  <c r="Y14" i="16"/>
  <c r="AA14" i="16" s="1"/>
  <c r="AA104" i="16" s="1"/>
  <c r="W13" i="16"/>
  <c r="W103" i="16" s="1"/>
  <c r="V13" i="16"/>
  <c r="V103" i="16" s="1"/>
  <c r="U13" i="16"/>
  <c r="U103" i="16" s="1"/>
  <c r="T13" i="16"/>
  <c r="T103" i="16" s="1"/>
  <c r="S13" i="16"/>
  <c r="S103" i="16" s="1"/>
  <c r="R13" i="16"/>
  <c r="R103" i="16" s="1"/>
  <c r="Q13" i="16"/>
  <c r="Q103" i="16" s="1"/>
  <c r="P13" i="16"/>
  <c r="P103" i="16" s="1"/>
  <c r="O13" i="16"/>
  <c r="O103" i="16" s="1"/>
  <c r="N13" i="16"/>
  <c r="M13" i="16"/>
  <c r="M103" i="16" s="1"/>
  <c r="L13" i="16"/>
  <c r="L103" i="16" s="1"/>
  <c r="K13" i="16"/>
  <c r="K103" i="16" s="1"/>
  <c r="J13" i="16"/>
  <c r="J103" i="16"/>
  <c r="I13" i="16"/>
  <c r="I103" i="16" s="1"/>
  <c r="H13" i="16"/>
  <c r="G13" i="16"/>
  <c r="G103" i="16" s="1"/>
  <c r="F13" i="16"/>
  <c r="AC12" i="16"/>
  <c r="S12" i="16"/>
  <c r="S102" i="16" s="1"/>
  <c r="P12" i="16"/>
  <c r="P102" i="16"/>
  <c r="O12" i="16"/>
  <c r="O102" i="16" s="1"/>
  <c r="N12" i="16"/>
  <c r="N102" i="16" s="1"/>
  <c r="K12" i="16"/>
  <c r="K102" i="16" s="1"/>
  <c r="J12" i="16"/>
  <c r="J102" i="16" s="1"/>
  <c r="I12" i="16"/>
  <c r="I102" i="16" s="1"/>
  <c r="H12" i="16"/>
  <c r="H102" i="16"/>
  <c r="G12" i="16"/>
  <c r="G102" i="16" s="1"/>
  <c r="F12" i="16"/>
  <c r="Y12" i="16" s="1"/>
  <c r="X11" i="16"/>
  <c r="W11" i="16"/>
  <c r="W101" i="16" s="1"/>
  <c r="V11" i="16"/>
  <c r="U11" i="16"/>
  <c r="U101" i="16" s="1"/>
  <c r="T11" i="16"/>
  <c r="T146" i="16"/>
  <c r="S11" i="16"/>
  <c r="R11" i="16"/>
  <c r="R101" i="16"/>
  <c r="Q11" i="16"/>
  <c r="Q101" i="16" s="1"/>
  <c r="P11" i="16"/>
  <c r="P101" i="16" s="1"/>
  <c r="O11" i="16"/>
  <c r="O101" i="16" s="1"/>
  <c r="M11" i="16"/>
  <c r="M101" i="16"/>
  <c r="L11" i="16"/>
  <c r="L101" i="16" s="1"/>
  <c r="K11" i="16"/>
  <c r="K6" i="16" s="1"/>
  <c r="I11" i="16"/>
  <c r="I101" i="16" s="1"/>
  <c r="H11" i="16"/>
  <c r="H101" i="16" s="1"/>
  <c r="G11" i="16"/>
  <c r="F11" i="16"/>
  <c r="F101" i="16" s="1"/>
  <c r="W10" i="16"/>
  <c r="W100" i="16" s="1"/>
  <c r="V10" i="16"/>
  <c r="U10" i="16"/>
  <c r="S10" i="16"/>
  <c r="S100" i="16" s="1"/>
  <c r="R10" i="16"/>
  <c r="R100" i="16"/>
  <c r="Q10" i="16"/>
  <c r="Q100" i="16" s="1"/>
  <c r="O10" i="16"/>
  <c r="O145" i="16" s="1"/>
  <c r="R27" i="20" s="1"/>
  <c r="N10" i="16"/>
  <c r="N145" i="16" s="1"/>
  <c r="Q27" i="20" s="1"/>
  <c r="L10" i="16"/>
  <c r="L100" i="16" s="1"/>
  <c r="K10" i="16"/>
  <c r="K145" i="16" s="1"/>
  <c r="I27" i="20" s="1"/>
  <c r="J10" i="16"/>
  <c r="I10" i="16"/>
  <c r="F10" i="16"/>
  <c r="X9" i="16"/>
  <c r="X99" i="16" s="1"/>
  <c r="W9" i="16"/>
  <c r="W99" i="16" s="1"/>
  <c r="V9" i="16"/>
  <c r="V99" i="16"/>
  <c r="U9" i="16"/>
  <c r="U99" i="16" s="1"/>
  <c r="T9" i="16"/>
  <c r="T99" i="16" s="1"/>
  <c r="S9" i="16"/>
  <c r="S99" i="16" s="1"/>
  <c r="R9" i="16"/>
  <c r="R99" i="16"/>
  <c r="Q9" i="16"/>
  <c r="Q99" i="16" s="1"/>
  <c r="P9" i="16"/>
  <c r="P99" i="16" s="1"/>
  <c r="O9" i="16"/>
  <c r="O99" i="16" s="1"/>
  <c r="N9" i="16"/>
  <c r="N99" i="16" s="1"/>
  <c r="M9" i="16"/>
  <c r="M99" i="16" s="1"/>
  <c r="L9" i="16"/>
  <c r="L99" i="16"/>
  <c r="K9" i="16"/>
  <c r="K99" i="16" s="1"/>
  <c r="J9" i="16"/>
  <c r="J99" i="16"/>
  <c r="I9" i="16"/>
  <c r="I99" i="16" s="1"/>
  <c r="H9" i="16"/>
  <c r="H99" i="16" s="1"/>
  <c r="G9" i="16"/>
  <c r="G99" i="16" s="1"/>
  <c r="F9" i="16"/>
  <c r="F7" i="16"/>
  <c r="F8" i="16"/>
  <c r="F98" i="16" s="1"/>
  <c r="X8" i="16"/>
  <c r="W8" i="16"/>
  <c r="W98" i="16" s="1"/>
  <c r="V8" i="16"/>
  <c r="V98" i="16" s="1"/>
  <c r="U8" i="16"/>
  <c r="T8" i="16"/>
  <c r="S8" i="16"/>
  <c r="S98" i="16" s="1"/>
  <c r="R8" i="16"/>
  <c r="R98" i="16" s="1"/>
  <c r="Q8" i="16"/>
  <c r="P8" i="16"/>
  <c r="O8" i="16"/>
  <c r="O98" i="16" s="1"/>
  <c r="N8" i="16"/>
  <c r="N98" i="16" s="1"/>
  <c r="M8" i="16"/>
  <c r="L8" i="16"/>
  <c r="K8" i="16"/>
  <c r="K98" i="16" s="1"/>
  <c r="J8" i="16"/>
  <c r="J98" i="16"/>
  <c r="I8" i="16"/>
  <c r="H8" i="16"/>
  <c r="G8" i="16"/>
  <c r="G98" i="16"/>
  <c r="X7" i="16"/>
  <c r="X97" i="16" s="1"/>
  <c r="W7" i="16"/>
  <c r="V7" i="16"/>
  <c r="V97" i="16" s="1"/>
  <c r="U7" i="16"/>
  <c r="T7" i="16"/>
  <c r="T97" i="16"/>
  <c r="S7" i="16"/>
  <c r="R7" i="16"/>
  <c r="R97" i="16" s="1"/>
  <c r="Q7" i="16"/>
  <c r="Q97" i="16" s="1"/>
  <c r="P7" i="16"/>
  <c r="P97" i="16" s="1"/>
  <c r="O7" i="16"/>
  <c r="N7" i="16"/>
  <c r="N97" i="16"/>
  <c r="M7" i="16"/>
  <c r="L7" i="16"/>
  <c r="L97" i="16"/>
  <c r="K7" i="16"/>
  <c r="K97" i="16" s="1"/>
  <c r="J7" i="16"/>
  <c r="J97" i="16" s="1"/>
  <c r="I7" i="16"/>
  <c r="H7" i="16"/>
  <c r="H97" i="16" s="1"/>
  <c r="G7" i="16"/>
  <c r="G97" i="16" s="1"/>
  <c r="D5" i="16"/>
  <c r="AJ156" i="16"/>
  <c r="Y84" i="16"/>
  <c r="AU190" i="16"/>
  <c r="V42" i="20"/>
  <c r="V10" i="20"/>
  <c r="AL193" i="16"/>
  <c r="J148" i="16"/>
  <c r="R148" i="16"/>
  <c r="AX148" i="16"/>
  <c r="Z151" i="16"/>
  <c r="BB151" i="16"/>
  <c r="BA199" i="16"/>
  <c r="BA154" i="16"/>
  <c r="AQ156" i="16"/>
  <c r="S145" i="16"/>
  <c r="V27" i="20" s="1"/>
  <c r="R146" i="16"/>
  <c r="Y154" i="16"/>
  <c r="AK188" i="16"/>
  <c r="I143" i="16"/>
  <c r="AO188" i="16"/>
  <c r="AS188" i="16"/>
  <c r="Q143" i="16"/>
  <c r="AW188" i="16"/>
  <c r="U143" i="16"/>
  <c r="I144" i="16"/>
  <c r="AO144" i="16"/>
  <c r="M144" i="16"/>
  <c r="Q144" i="16"/>
  <c r="AW144" i="16"/>
  <c r="U144" i="16"/>
  <c r="AW189" i="16"/>
  <c r="AX201" i="16"/>
  <c r="Z158" i="16"/>
  <c r="BB158" i="16"/>
  <c r="BB203" i="16"/>
  <c r="BA209" i="16"/>
  <c r="BA164" i="16"/>
  <c r="Y164" i="16"/>
  <c r="BA210" i="16"/>
  <c r="Y165" i="16"/>
  <c r="BA212" i="16"/>
  <c r="BA167" i="16"/>
  <c r="BB215" i="16"/>
  <c r="Z170" i="16"/>
  <c r="AA215" i="16"/>
  <c r="BC215" i="16" s="1"/>
  <c r="BB170" i="16"/>
  <c r="J115" i="19"/>
  <c r="Y25" i="19"/>
  <c r="AV160" i="19"/>
  <c r="V57" i="19"/>
  <c r="Z73" i="19"/>
  <c r="AA73" i="19" s="1"/>
  <c r="P50" i="16"/>
  <c r="AJ157" i="16"/>
  <c r="G5" i="16"/>
  <c r="G95" i="16" s="1"/>
  <c r="AN145" i="16"/>
  <c r="AN190" i="16"/>
  <c r="L145" i="16"/>
  <c r="AJ191" i="16"/>
  <c r="H147" i="16"/>
  <c r="AJ192" i="16"/>
  <c r="F148" i="16"/>
  <c r="AH148" i="16"/>
  <c r="AP148" i="16"/>
  <c r="BB196" i="16"/>
  <c r="BB198" i="16"/>
  <c r="Z153" i="16"/>
  <c r="Y105" i="19"/>
  <c r="AA15" i="19"/>
  <c r="AA105" i="19" s="1"/>
  <c r="R51" i="16"/>
  <c r="X56" i="16"/>
  <c r="AZ146" i="16" s="1"/>
  <c r="AA80" i="16"/>
  <c r="AU145" i="16"/>
  <c r="AT146" i="16"/>
  <c r="Y155" i="16"/>
  <c r="AH146" i="16"/>
  <c r="F146" i="16"/>
  <c r="AN191" i="16"/>
  <c r="AN146" i="16"/>
  <c r="L146" i="16"/>
  <c r="AM192" i="16"/>
  <c r="K147" i="16"/>
  <c r="AU192" i="16"/>
  <c r="S147" i="16"/>
  <c r="AJ148" i="16"/>
  <c r="H148" i="16"/>
  <c r="AN148" i="16"/>
  <c r="L148" i="16"/>
  <c r="AV148" i="16"/>
  <c r="T148" i="16"/>
  <c r="AJ193" i="16"/>
  <c r="AV193" i="16"/>
  <c r="BB195" i="16"/>
  <c r="H98" i="19"/>
  <c r="H5" i="19"/>
  <c r="H95" i="19" s="1"/>
  <c r="P98" i="19"/>
  <c r="P5" i="19"/>
  <c r="P95" i="19" s="1"/>
  <c r="X98" i="19"/>
  <c r="X5" i="19"/>
  <c r="X95" i="19" s="1"/>
  <c r="Q99" i="19"/>
  <c r="Q5" i="19"/>
  <c r="Q95" i="19" s="1"/>
  <c r="AJ156" i="19"/>
  <c r="AJ147" i="16"/>
  <c r="BA165" i="16"/>
  <c r="AY188" i="16"/>
  <c r="W143" i="16"/>
  <c r="AI189" i="16"/>
  <c r="AI144" i="16"/>
  <c r="G144" i="16"/>
  <c r="AM189" i="16"/>
  <c r="AM144" i="16"/>
  <c r="K144" i="16"/>
  <c r="O144" i="16"/>
  <c r="AU189" i="16"/>
  <c r="AU144" i="16"/>
  <c r="S144" i="16"/>
  <c r="AO189" i="16"/>
  <c r="V191" i="16"/>
  <c r="AX191" i="16"/>
  <c r="AA200" i="16"/>
  <c r="AU205" i="16"/>
  <c r="S191" i="16"/>
  <c r="AU160" i="16"/>
  <c r="Z205" i="16"/>
  <c r="G233" i="16"/>
  <c r="O233" i="16"/>
  <c r="W233" i="16"/>
  <c r="AN188" i="19"/>
  <c r="AV188" i="19"/>
  <c r="AM189" i="19"/>
  <c r="AU189" i="19"/>
  <c r="AK191" i="19"/>
  <c r="AO193" i="19"/>
  <c r="AM201" i="19"/>
  <c r="AZ205" i="19"/>
  <c r="X191" i="19"/>
  <c r="BB212" i="19"/>
  <c r="BB161" i="16"/>
  <c r="Z168" i="16"/>
  <c r="AM201" i="16"/>
  <c r="AD303" i="16"/>
  <c r="U10" i="19"/>
  <c r="K11" i="19"/>
  <c r="K6" i="19" s="1"/>
  <c r="AA62" i="19"/>
  <c r="I111" i="19"/>
  <c r="BB159" i="19"/>
  <c r="K115" i="19"/>
  <c r="AY140" i="19"/>
  <c r="AK142" i="19"/>
  <c r="AO142" i="19"/>
  <c r="AS142" i="19"/>
  <c r="AW142" i="19"/>
  <c r="F143" i="19"/>
  <c r="J143" i="19"/>
  <c r="N143" i="19"/>
  <c r="AN143" i="19"/>
  <c r="I146" i="19"/>
  <c r="AM156" i="19"/>
  <c r="Z167" i="19"/>
  <c r="Z180" i="19"/>
  <c r="H185" i="19"/>
  <c r="N185" i="19"/>
  <c r="S185" i="19"/>
  <c r="X185" i="19"/>
  <c r="AZ185" i="19" s="1"/>
  <c r="AS193" i="19"/>
  <c r="AQ219" i="16"/>
  <c r="H50" i="19"/>
  <c r="L50" i="19"/>
  <c r="P50" i="19"/>
  <c r="T50" i="19"/>
  <c r="X50" i="19"/>
  <c r="Z53" i="19"/>
  <c r="F50" i="19"/>
  <c r="Z54" i="19"/>
  <c r="V50" i="19"/>
  <c r="S51" i="19"/>
  <c r="Y58" i="19"/>
  <c r="V103" i="19"/>
  <c r="W140" i="19"/>
  <c r="I142" i="19"/>
  <c r="Q142" i="19"/>
  <c r="U142" i="19"/>
  <c r="AJ143" i="19"/>
  <c r="AZ143" i="19"/>
  <c r="I148" i="19"/>
  <c r="U148" i="19"/>
  <c r="Y152" i="19"/>
  <c r="Z164" i="19"/>
  <c r="BB164" i="19"/>
  <c r="O185" i="19"/>
  <c r="T185" i="19"/>
  <c r="AM187" i="19"/>
  <c r="AU187" i="19"/>
  <c r="AJ188" i="19"/>
  <c r="AR188" i="19"/>
  <c r="AZ188" i="19"/>
  <c r="AI189" i="19"/>
  <c r="AQ189" i="19"/>
  <c r="AY189" i="19"/>
  <c r="AV205" i="19"/>
  <c r="T191" i="19"/>
  <c r="T146" i="19" s="1"/>
  <c r="AA196" i="16"/>
  <c r="AQ201" i="16"/>
  <c r="AA214" i="16"/>
  <c r="Y234" i="16"/>
  <c r="I5" i="19"/>
  <c r="I95" i="19"/>
  <c r="T5" i="19"/>
  <c r="T95" i="19" s="1"/>
  <c r="O5" i="19"/>
  <c r="O95" i="19"/>
  <c r="AM145" i="19"/>
  <c r="AJ157" i="19"/>
  <c r="AA77" i="19"/>
  <c r="AL140" i="19"/>
  <c r="AM142" i="19"/>
  <c r="P143" i="19"/>
  <c r="T143" i="19"/>
  <c r="AL143" i="19"/>
  <c r="S146" i="19"/>
  <c r="BA152" i="19"/>
  <c r="F185" i="19"/>
  <c r="AH140" i="19" s="1"/>
  <c r="V185" i="19"/>
  <c r="AA196" i="19"/>
  <c r="G232" i="19"/>
  <c r="K232" i="19"/>
  <c r="O232" i="19"/>
  <c r="O230" i="19" s="1"/>
  <c r="S232" i="19"/>
  <c r="W232" i="19"/>
  <c r="W230" i="19" s="1"/>
  <c r="I233" i="19"/>
  <c r="AA200" i="19"/>
  <c r="AU205" i="19"/>
  <c r="Z205" i="19"/>
  <c r="BB205" i="19" s="1"/>
  <c r="AL217" i="19"/>
  <c r="AL216" i="19"/>
  <c r="AR219" i="19"/>
  <c r="L236" i="19"/>
  <c r="T236" i="19"/>
  <c r="Q236" i="19"/>
  <c r="U236" i="19"/>
  <c r="AA214" i="19"/>
  <c r="BB214" i="19"/>
  <c r="R236" i="19"/>
  <c r="V236" i="19"/>
  <c r="AX191" i="19" s="1"/>
  <c r="AD303" i="19"/>
  <c r="AD302" i="19"/>
  <c r="AR157" i="16"/>
  <c r="AR179" i="16"/>
  <c r="AR173" i="16"/>
  <c r="Z178" i="16"/>
  <c r="BA180" i="16"/>
  <c r="Y175" i="16"/>
  <c r="BB180" i="16"/>
  <c r="AA223" i="16"/>
  <c r="Z175" i="16"/>
  <c r="BB178" i="16"/>
  <c r="AA41" i="19"/>
  <c r="AG25" i="16"/>
  <c r="T128" i="19"/>
  <c r="X13" i="19"/>
  <c r="AA75" i="19"/>
  <c r="Z58" i="19"/>
  <c r="Z81" i="19"/>
  <c r="W100" i="19"/>
  <c r="M98" i="19"/>
  <c r="M50" i="19"/>
  <c r="AQ201" i="19"/>
  <c r="J11" i="19"/>
  <c r="AA64" i="19"/>
  <c r="M12" i="19"/>
  <c r="M102" i="19"/>
  <c r="Z57" i="19"/>
  <c r="AA72" i="19"/>
  <c r="AA72" i="16"/>
  <c r="BB193" i="21"/>
  <c r="BB148" i="21"/>
  <c r="AA193" i="21"/>
  <c r="AQ174" i="19"/>
  <c r="AP172" i="16"/>
  <c r="N172" i="16"/>
  <c r="AP145" i="19"/>
  <c r="N145" i="19"/>
  <c r="P129" i="19"/>
  <c r="N100" i="19"/>
  <c r="G6" i="19"/>
  <c r="U100" i="19"/>
  <c r="Z8" i="19"/>
  <c r="Z98" i="19"/>
  <c r="F156" i="19"/>
  <c r="AR218" i="19"/>
  <c r="P112" i="19"/>
  <c r="P157" i="19"/>
  <c r="T208" i="19"/>
  <c r="Q129" i="19"/>
  <c r="Y67" i="19"/>
  <c r="AA67" i="19" s="1"/>
  <c r="AZ160" i="19"/>
  <c r="Z56" i="19"/>
  <c r="Z82" i="19"/>
  <c r="O145" i="19"/>
  <c r="BA224" i="19"/>
  <c r="S6" i="19"/>
  <c r="Y7" i="19"/>
  <c r="Y97" i="19" s="1"/>
  <c r="V101" i="19"/>
  <c r="L12" i="19"/>
  <c r="T12" i="19"/>
  <c r="T102" i="19" s="1"/>
  <c r="Y13" i="19"/>
  <c r="Y103" i="19" s="1"/>
  <c r="AA14" i="19"/>
  <c r="AA104" i="19" s="1"/>
  <c r="AA18" i="19"/>
  <c r="H156" i="19"/>
  <c r="H111" i="19"/>
  <c r="U208" i="19"/>
  <c r="AW163" i="19" s="1"/>
  <c r="AA33" i="19"/>
  <c r="AA123" i="19" s="1"/>
  <c r="AL156" i="19"/>
  <c r="Y66" i="19"/>
  <c r="AI157" i="19"/>
  <c r="Y70" i="19"/>
  <c r="Y115" i="19" s="1"/>
  <c r="AI81" i="19"/>
  <c r="F98" i="19"/>
  <c r="M103" i="19"/>
  <c r="J111" i="19"/>
  <c r="Y122" i="19"/>
  <c r="K145" i="19"/>
  <c r="I28" i="20"/>
  <c r="AK188" i="19"/>
  <c r="AK143" i="19"/>
  <c r="I185" i="19"/>
  <c r="AO188" i="19"/>
  <c r="Z188" i="19"/>
  <c r="AO143" i="19"/>
  <c r="M185" i="19"/>
  <c r="AS188" i="19"/>
  <c r="AS143" i="19"/>
  <c r="Q185" i="19"/>
  <c r="AS140" i="19" s="1"/>
  <c r="AW188" i="19"/>
  <c r="AW143" i="19"/>
  <c r="U185" i="19"/>
  <c r="Y188" i="19"/>
  <c r="BA211" i="19"/>
  <c r="AA211" i="19"/>
  <c r="BA166" i="19"/>
  <c r="Y166" i="19"/>
  <c r="F5" i="19"/>
  <c r="F95" i="19" s="1"/>
  <c r="J5" i="19"/>
  <c r="J95" i="19"/>
  <c r="N5" i="19"/>
  <c r="N95" i="19"/>
  <c r="R5" i="19"/>
  <c r="R95" i="19"/>
  <c r="V5" i="19"/>
  <c r="V95" i="19" s="1"/>
  <c r="H6" i="19"/>
  <c r="L6" i="19"/>
  <c r="T6" i="19"/>
  <c r="T96" i="19" s="1"/>
  <c r="Z7" i="19"/>
  <c r="Z97" i="19" s="1"/>
  <c r="Z9" i="19"/>
  <c r="Z99" i="19"/>
  <c r="I100" i="19"/>
  <c r="M100" i="19"/>
  <c r="S101" i="19"/>
  <c r="U12" i="19"/>
  <c r="U102" i="19"/>
  <c r="AA17" i="19"/>
  <c r="AA107" i="19" s="1"/>
  <c r="M111" i="19"/>
  <c r="AV218" i="19"/>
  <c r="Y21" i="19"/>
  <c r="G157" i="19"/>
  <c r="G112" i="19"/>
  <c r="Z22" i="19"/>
  <c r="Z157" i="19" s="1"/>
  <c r="K204" i="19"/>
  <c r="J205" i="19"/>
  <c r="AA25" i="19"/>
  <c r="AA115" i="19" s="1"/>
  <c r="M207" i="19"/>
  <c r="Q208" i="19"/>
  <c r="Z28" i="19"/>
  <c r="Z118" i="19" s="1"/>
  <c r="AA31" i="19"/>
  <c r="AA121" i="19"/>
  <c r="AA43" i="19"/>
  <c r="N50" i="19"/>
  <c r="Y57" i="19"/>
  <c r="AA61" i="19"/>
  <c r="AH156" i="19"/>
  <c r="O111" i="19"/>
  <c r="AQ156" i="19"/>
  <c r="Z66" i="19"/>
  <c r="G102" i="19"/>
  <c r="G145" i="19"/>
  <c r="E28" i="20" s="1"/>
  <c r="AU146" i="19"/>
  <c r="AH202" i="19"/>
  <c r="Y202" i="19"/>
  <c r="F157" i="19"/>
  <c r="AH157" i="19"/>
  <c r="F249" i="19"/>
  <c r="F236" i="19" s="1"/>
  <c r="Y24" i="19"/>
  <c r="X208" i="19"/>
  <c r="X255" i="19"/>
  <c r="X238" i="19" s="1"/>
  <c r="X210" i="19"/>
  <c r="Y134" i="19"/>
  <c r="M101" i="19"/>
  <c r="F112" i="19"/>
  <c r="W6" i="19"/>
  <c r="Y9" i="19"/>
  <c r="Y99" i="19"/>
  <c r="P10" i="19"/>
  <c r="F11" i="19"/>
  <c r="Z11" i="19"/>
  <c r="X12" i="19"/>
  <c r="X102" i="19" s="1"/>
  <c r="X129" i="19"/>
  <c r="Y22" i="19"/>
  <c r="Y157" i="19" s="1"/>
  <c r="J249" i="19"/>
  <c r="J204" i="19"/>
  <c r="Y204" i="19" s="1"/>
  <c r="J207" i="19"/>
  <c r="AA35" i="19"/>
  <c r="AA125" i="19" s="1"/>
  <c r="Y125" i="19"/>
  <c r="W126" i="19"/>
  <c r="Y39" i="19"/>
  <c r="Y130" i="19"/>
  <c r="AA40" i="19"/>
  <c r="Z52" i="19"/>
  <c r="Y53" i="19"/>
  <c r="AA53" i="19" s="1"/>
  <c r="G5" i="19"/>
  <c r="G95" i="19" s="1"/>
  <c r="K5" i="19"/>
  <c r="K95" i="19" s="1"/>
  <c r="S5" i="19"/>
  <c r="S95" i="19" s="1"/>
  <c r="W5" i="19"/>
  <c r="W95" i="19" s="1"/>
  <c r="I6" i="19"/>
  <c r="AA7" i="19"/>
  <c r="AA97" i="19"/>
  <c r="V145" i="19"/>
  <c r="Y28" i="20"/>
  <c r="V100" i="19"/>
  <c r="J12" i="19"/>
  <c r="Y12" i="19"/>
  <c r="AA16" i="19"/>
  <c r="AA106" i="19" s="1"/>
  <c r="AA20" i="19"/>
  <c r="AA110" i="19" s="1"/>
  <c r="N156" i="19"/>
  <c r="U128" i="19"/>
  <c r="H112" i="19"/>
  <c r="N249" i="19"/>
  <c r="N114" i="19"/>
  <c r="K250" i="19"/>
  <c r="K205" i="19"/>
  <c r="AA26" i="19"/>
  <c r="AA116" i="19" s="1"/>
  <c r="Y27" i="19"/>
  <c r="R208" i="19"/>
  <c r="W208" i="19"/>
  <c r="AA28" i="19"/>
  <c r="AA118" i="19"/>
  <c r="AA29" i="19"/>
  <c r="AA119" i="19" s="1"/>
  <c r="AA30" i="19"/>
  <c r="AA120" i="19"/>
  <c r="M127" i="19"/>
  <c r="AA45" i="19"/>
  <c r="AA135" i="19" s="1"/>
  <c r="Y52" i="19"/>
  <c r="G50" i="19"/>
  <c r="K50" i="19"/>
  <c r="O50" i="19"/>
  <c r="S50" i="19"/>
  <c r="W50" i="19"/>
  <c r="Y54" i="19"/>
  <c r="AA54" i="19" s="1"/>
  <c r="AA68" i="19"/>
  <c r="AA71" i="19"/>
  <c r="AL172" i="19"/>
  <c r="Z84" i="19"/>
  <c r="T101" i="19"/>
  <c r="F111" i="19"/>
  <c r="O129" i="19"/>
  <c r="H157" i="19"/>
  <c r="AT191" i="19"/>
  <c r="AT146" i="19"/>
  <c r="R146" i="19"/>
  <c r="AX146" i="19"/>
  <c r="V146" i="19"/>
  <c r="Z70" i="19"/>
  <c r="AJ171" i="19"/>
  <c r="J127" i="19"/>
  <c r="I126" i="19"/>
  <c r="I127" i="19"/>
  <c r="O127" i="19"/>
  <c r="AO189" i="19"/>
  <c r="Z189" i="19"/>
  <c r="Y189" i="19"/>
  <c r="AQ193" i="19"/>
  <c r="AH191" i="19"/>
  <c r="F230" i="19"/>
  <c r="AO187" i="19"/>
  <c r="Z187" i="19"/>
  <c r="Y187" i="19"/>
  <c r="BA194" i="19"/>
  <c r="AA194" i="19"/>
  <c r="BA198" i="19"/>
  <c r="AA198" i="19"/>
  <c r="BA195" i="19"/>
  <c r="AA195" i="19"/>
  <c r="BC195" i="19" s="1"/>
  <c r="AK201" i="19"/>
  <c r="BA203" i="19"/>
  <c r="AA203" i="19"/>
  <c r="BC203" i="19" s="1"/>
  <c r="Z234" i="19"/>
  <c r="Y238" i="19"/>
  <c r="AB302" i="19"/>
  <c r="AB303" i="19"/>
  <c r="G186" i="19"/>
  <c r="O186" i="19"/>
  <c r="S186" i="19"/>
  <c r="AU141" i="19" s="1"/>
  <c r="AJ191" i="19"/>
  <c r="AA197" i="19"/>
  <c r="BA206" i="19"/>
  <c r="AA206" i="19"/>
  <c r="BA212" i="19"/>
  <c r="AA212" i="19"/>
  <c r="AQ219" i="19"/>
  <c r="AH192" i="19"/>
  <c r="Y193" i="19"/>
  <c r="BA148" i="19" s="1"/>
  <c r="BA199" i="19"/>
  <c r="AA199" i="19"/>
  <c r="Y201" i="19"/>
  <c r="BA213" i="19"/>
  <c r="AA213" i="19"/>
  <c r="AL201" i="19"/>
  <c r="AC303" i="19"/>
  <c r="AQ217" i="19"/>
  <c r="M102" i="16"/>
  <c r="Z157" i="16"/>
  <c r="J205" i="16"/>
  <c r="J115" i="16"/>
  <c r="Y25" i="16"/>
  <c r="AJ81" i="16"/>
  <c r="AI81" i="16"/>
  <c r="Z110" i="16"/>
  <c r="AA20" i="16"/>
  <c r="AA110" i="16"/>
  <c r="V5" i="16"/>
  <c r="V95" i="16" s="1"/>
  <c r="I6" i="16"/>
  <c r="Y109" i="16"/>
  <c r="AA19" i="16"/>
  <c r="AA109" i="16" s="1"/>
  <c r="G157" i="16"/>
  <c r="G179" i="16" s="1"/>
  <c r="G112" i="16"/>
  <c r="G10" i="16"/>
  <c r="G145" i="16" s="1"/>
  <c r="E27" i="20" s="1"/>
  <c r="M207" i="16"/>
  <c r="Z27" i="16"/>
  <c r="Z117" i="16"/>
  <c r="Q6" i="16"/>
  <c r="Q96" i="16"/>
  <c r="F97" i="16"/>
  <c r="F103" i="16"/>
  <c r="K204" i="16"/>
  <c r="K191" i="16" s="1"/>
  <c r="K186" i="16" s="1"/>
  <c r="K141" i="16" s="1"/>
  <c r="Z116" i="16"/>
  <c r="AA26" i="16"/>
  <c r="AA116" i="16" s="1"/>
  <c r="Z119" i="16"/>
  <c r="AA29" i="16"/>
  <c r="AA119" i="16" s="1"/>
  <c r="Z125" i="16"/>
  <c r="AA35" i="16"/>
  <c r="AA125" i="16" s="1"/>
  <c r="F99" i="16"/>
  <c r="Y105" i="16"/>
  <c r="AA15" i="16"/>
  <c r="AA105" i="16"/>
  <c r="N5" i="16"/>
  <c r="N95" i="16"/>
  <c r="M6" i="16"/>
  <c r="M100" i="16"/>
  <c r="G101" i="16"/>
  <c r="J56" i="16"/>
  <c r="J51" i="16" s="1"/>
  <c r="J5" i="16"/>
  <c r="J95" i="16"/>
  <c r="R5" i="16"/>
  <c r="R95" i="16" s="1"/>
  <c r="H5" i="16"/>
  <c r="H95" i="16" s="1"/>
  <c r="Y8" i="16"/>
  <c r="H98" i="16"/>
  <c r="L5" i="16"/>
  <c r="L98" i="16"/>
  <c r="P5" i="16"/>
  <c r="P95" i="16" s="1"/>
  <c r="P98" i="16"/>
  <c r="T5" i="16"/>
  <c r="T95" i="16" s="1"/>
  <c r="T98" i="16"/>
  <c r="X5" i="16"/>
  <c r="X95" i="16"/>
  <c r="X98" i="16"/>
  <c r="U6" i="16"/>
  <c r="U96" i="16" s="1"/>
  <c r="U100" i="16"/>
  <c r="S146" i="16"/>
  <c r="S101" i="16"/>
  <c r="M111" i="16"/>
  <c r="T10" i="16"/>
  <c r="T128" i="16"/>
  <c r="Z113" i="16"/>
  <c r="Q208" i="16"/>
  <c r="V208" i="16"/>
  <c r="Z208" i="16" s="1"/>
  <c r="V12" i="16"/>
  <c r="Z28" i="16"/>
  <c r="Y124" i="16"/>
  <c r="Z70" i="16"/>
  <c r="BB160" i="16" s="1"/>
  <c r="AJ171" i="16"/>
  <c r="AP217" i="16"/>
  <c r="N111" i="16"/>
  <c r="N156" i="16"/>
  <c r="H157" i="16"/>
  <c r="N249" i="16"/>
  <c r="N159" i="16"/>
  <c r="K250" i="16"/>
  <c r="K205" i="16"/>
  <c r="K115" i="16"/>
  <c r="R208" i="16"/>
  <c r="W208" i="16"/>
  <c r="O172" i="16"/>
  <c r="U128" i="16"/>
  <c r="L50" i="16"/>
  <c r="Z52" i="16"/>
  <c r="V57" i="16"/>
  <c r="AK156" i="16"/>
  <c r="I111" i="16"/>
  <c r="F69" i="16"/>
  <c r="I126" i="16"/>
  <c r="I127" i="16"/>
  <c r="I98" i="16"/>
  <c r="Q98" i="16"/>
  <c r="U98" i="16"/>
  <c r="Y117" i="16"/>
  <c r="N127" i="16"/>
  <c r="R6" i="16"/>
  <c r="R96" i="16" s="1"/>
  <c r="W12" i="16"/>
  <c r="W102" i="16"/>
  <c r="AH201" i="16"/>
  <c r="F111" i="16"/>
  <c r="F156" i="16"/>
  <c r="F171" i="16" s="1"/>
  <c r="P157" i="16"/>
  <c r="Y24" i="16"/>
  <c r="T208" i="16"/>
  <c r="X208" i="16"/>
  <c r="X192" i="16" s="1"/>
  <c r="X255" i="16"/>
  <c r="AZ210" i="16" s="1"/>
  <c r="X210" i="16"/>
  <c r="Y38" i="16"/>
  <c r="Y128" i="16" s="1"/>
  <c r="O174" i="16"/>
  <c r="Y39" i="16"/>
  <c r="Y129" i="16" s="1"/>
  <c r="I50" i="16"/>
  <c r="X51" i="16"/>
  <c r="H55" i="16"/>
  <c r="P55" i="16"/>
  <c r="P51" i="16" s="1"/>
  <c r="V56" i="16"/>
  <c r="V101" i="16"/>
  <c r="AL156" i="16"/>
  <c r="J111" i="16"/>
  <c r="Y66" i="16"/>
  <c r="Y67" i="16"/>
  <c r="J100" i="16"/>
  <c r="N100" i="16"/>
  <c r="V100" i="16"/>
  <c r="X101" i="16"/>
  <c r="F102" i="16"/>
  <c r="Y104" i="16"/>
  <c r="Y108" i="16"/>
  <c r="O111" i="16"/>
  <c r="H112" i="16"/>
  <c r="P112" i="16"/>
  <c r="Z8" i="16"/>
  <c r="Z98" i="16" s="1"/>
  <c r="S6" i="16"/>
  <c r="P10" i="16"/>
  <c r="P145" i="16" s="1"/>
  <c r="S27" i="20" s="1"/>
  <c r="N11" i="16"/>
  <c r="L12" i="16"/>
  <c r="T12" i="16"/>
  <c r="X12" i="16"/>
  <c r="H156" i="16"/>
  <c r="H173" i="16" s="1"/>
  <c r="H111" i="16"/>
  <c r="AH222" i="16"/>
  <c r="F157" i="16"/>
  <c r="F112" i="16"/>
  <c r="Y22" i="16"/>
  <c r="Y157" i="16" s="1"/>
  <c r="J204" i="16"/>
  <c r="Z24" i="16"/>
  <c r="Z160" i="16"/>
  <c r="Z115" i="16"/>
  <c r="J207" i="16"/>
  <c r="U208" i="16"/>
  <c r="AA33" i="16"/>
  <c r="AA123" i="16" s="1"/>
  <c r="I129" i="16"/>
  <c r="P174" i="16"/>
  <c r="L51" i="16"/>
  <c r="I55" i="16"/>
  <c r="I100" i="16" s="1"/>
  <c r="Z66" i="16"/>
  <c r="AA66" i="16" s="1"/>
  <c r="Z67" i="16"/>
  <c r="BB157" i="16" s="1"/>
  <c r="K100" i="16"/>
  <c r="J171" i="16"/>
  <c r="AH185" i="16"/>
  <c r="G175" i="16"/>
  <c r="G174" i="16"/>
  <c r="G173" i="16"/>
  <c r="G172" i="16"/>
  <c r="G171" i="16"/>
  <c r="J180" i="16"/>
  <c r="J179" i="16"/>
  <c r="J178" i="16"/>
  <c r="J177" i="16"/>
  <c r="J176" i="16"/>
  <c r="J185" i="16"/>
  <c r="N185" i="16"/>
  <c r="R185" i="16"/>
  <c r="V185" i="16"/>
  <c r="AX185" i="16" s="1"/>
  <c r="Z187" i="16"/>
  <c r="Y188" i="16"/>
  <c r="AH188" i="16"/>
  <c r="AH191" i="16"/>
  <c r="Y193" i="16"/>
  <c r="AH193" i="16"/>
  <c r="BA195" i="16"/>
  <c r="AA195" i="16"/>
  <c r="BC150" i="16" s="1"/>
  <c r="BB197" i="16"/>
  <c r="AA197" i="16"/>
  <c r="K176" i="16"/>
  <c r="K177" i="16"/>
  <c r="K178" i="16"/>
  <c r="K179" i="16"/>
  <c r="Y187" i="16"/>
  <c r="AH187" i="16"/>
  <c r="BA198" i="16"/>
  <c r="AA198" i="16"/>
  <c r="BA194" i="16"/>
  <c r="AA194" i="16"/>
  <c r="Z188" i="16"/>
  <c r="Y189" i="16"/>
  <c r="AH189" i="16"/>
  <c r="Z191" i="16"/>
  <c r="AH192" i="16"/>
  <c r="Y201" i="16"/>
  <c r="Y156" i="16" s="1"/>
  <c r="BA206" i="16"/>
  <c r="AA206" i="16"/>
  <c r="AK201" i="16"/>
  <c r="AA202" i="16"/>
  <c r="AA199" i="16"/>
  <c r="BC154" i="16" s="1"/>
  <c r="AA203" i="16"/>
  <c r="AA211" i="16"/>
  <c r="BB214" i="16"/>
  <c r="AD302" i="16"/>
  <c r="AA212" i="16"/>
  <c r="Z224" i="16"/>
  <c r="AB303" i="16"/>
  <c r="AA213" i="16"/>
  <c r="AA220" i="16"/>
  <c r="BC220" i="16" s="1"/>
  <c r="AC303" i="16"/>
  <c r="AA225" i="16"/>
  <c r="BC225" i="16" s="1"/>
  <c r="AQ217" i="16"/>
  <c r="AO174" i="19"/>
  <c r="AX185" i="19"/>
  <c r="V140" i="19"/>
  <c r="AX140" i="19"/>
  <c r="BC214" i="16"/>
  <c r="BC169" i="16"/>
  <c r="AA169" i="16"/>
  <c r="BC196" i="16"/>
  <c r="BC151" i="16"/>
  <c r="AA151" i="16"/>
  <c r="S140" i="19"/>
  <c r="AU140" i="19"/>
  <c r="AU185" i="19"/>
  <c r="BC214" i="19"/>
  <c r="AA169" i="19"/>
  <c r="BC169" i="19"/>
  <c r="BC200" i="19"/>
  <c r="AA155" i="19"/>
  <c r="BC155" i="19"/>
  <c r="AH185" i="19"/>
  <c r="F140" i="19"/>
  <c r="AV191" i="19"/>
  <c r="AV140" i="19"/>
  <c r="AV185" i="19"/>
  <c r="T140" i="19"/>
  <c r="AP185" i="19"/>
  <c r="N140" i="19"/>
  <c r="AP140" i="19"/>
  <c r="Y84" i="19"/>
  <c r="Y129" i="19" s="1"/>
  <c r="I129" i="19"/>
  <c r="AM216" i="19"/>
  <c r="AM171" i="19"/>
  <c r="BC200" i="16"/>
  <c r="BC155" i="16"/>
  <c r="AA155" i="16"/>
  <c r="G230" i="16"/>
  <c r="BC170" i="16"/>
  <c r="V145" i="16"/>
  <c r="Y27" i="20"/>
  <c r="V102" i="16"/>
  <c r="AP217" i="19"/>
  <c r="W6" i="16"/>
  <c r="M171" i="16"/>
  <c r="BC196" i="19"/>
  <c r="BC151" i="19"/>
  <c r="AA151" i="19"/>
  <c r="AQ140" i="19"/>
  <c r="AQ185" i="19"/>
  <c r="O140" i="19"/>
  <c r="AJ185" i="19"/>
  <c r="H140" i="19"/>
  <c r="AJ140" i="19"/>
  <c r="AM216" i="16"/>
  <c r="AM171" i="16"/>
  <c r="AV146" i="19"/>
  <c r="V146" i="16"/>
  <c r="V6" i="16"/>
  <c r="AO217" i="16"/>
  <c r="AA52" i="19"/>
  <c r="K236" i="19"/>
  <c r="Z160" i="19"/>
  <c r="X140" i="19"/>
  <c r="AZ140" i="19"/>
  <c r="V12" i="19"/>
  <c r="V208" i="19"/>
  <c r="AU146" i="16"/>
  <c r="S186" i="16"/>
  <c r="AR224" i="16"/>
  <c r="P128" i="16"/>
  <c r="BC223" i="16"/>
  <c r="AA178" i="16"/>
  <c r="BC178" i="16"/>
  <c r="J127" i="16"/>
  <c r="AA148" i="21"/>
  <c r="BC148" i="21"/>
  <c r="BA193" i="19"/>
  <c r="BC197" i="19"/>
  <c r="BC152" i="19"/>
  <c r="AA152" i="19"/>
  <c r="BC158" i="19"/>
  <c r="AA158" i="19"/>
  <c r="AH222" i="19"/>
  <c r="AH177" i="19"/>
  <c r="AA133" i="19"/>
  <c r="M129" i="19"/>
  <c r="L96" i="19"/>
  <c r="AM219" i="19"/>
  <c r="AM174" i="19"/>
  <c r="BC213" i="19"/>
  <c r="AA168" i="19"/>
  <c r="BC168" i="19"/>
  <c r="N236" i="19"/>
  <c r="AP204" i="19"/>
  <c r="AA130" i="19"/>
  <c r="F186" i="19"/>
  <c r="F145" i="19"/>
  <c r="D28" i="20" s="1"/>
  <c r="AQ145" i="19"/>
  <c r="AL160" i="19"/>
  <c r="H126" i="19"/>
  <c r="AJ216" i="19"/>
  <c r="AJ201" i="19"/>
  <c r="G141" i="19"/>
  <c r="AY208" i="19"/>
  <c r="W192" i="19"/>
  <c r="AY163" i="19"/>
  <c r="X192" i="19"/>
  <c r="AZ208" i="19"/>
  <c r="AZ163" i="19"/>
  <c r="AW185" i="19"/>
  <c r="U140" i="19"/>
  <c r="AW140" i="19"/>
  <c r="BB188" i="19"/>
  <c r="BB143" i="19"/>
  <c r="Z143" i="19"/>
  <c r="U192" i="19"/>
  <c r="U147" i="19" s="1"/>
  <c r="AZ146" i="19"/>
  <c r="X101" i="19"/>
  <c r="AM217" i="19"/>
  <c r="AM172" i="19"/>
  <c r="AM218" i="19"/>
  <c r="Y218" i="19"/>
  <c r="BA218" i="19" s="1"/>
  <c r="AM173" i="19"/>
  <c r="BC199" i="19"/>
  <c r="BC154" i="19"/>
  <c r="AA154" i="19"/>
  <c r="BC206" i="19"/>
  <c r="AA161" i="19"/>
  <c r="BC161" i="19"/>
  <c r="BC150" i="19"/>
  <c r="AA150" i="19"/>
  <c r="BC194" i="19"/>
  <c r="BC149" i="19"/>
  <c r="AA149" i="19"/>
  <c r="BA187" i="19"/>
  <c r="Y142" i="19"/>
  <c r="BA142" i="19"/>
  <c r="BA189" i="19"/>
  <c r="BA144" i="19"/>
  <c r="Y144" i="19"/>
  <c r="Z89" i="19"/>
  <c r="AT208" i="19"/>
  <c r="AM205" i="19"/>
  <c r="AM160" i="19"/>
  <c r="AP201" i="19"/>
  <c r="J102" i="19"/>
  <c r="Z55" i="19"/>
  <c r="AZ210" i="19"/>
  <c r="Z210" i="19"/>
  <c r="BB210" i="19" s="1"/>
  <c r="X193" i="19"/>
  <c r="Z193" i="19" s="1"/>
  <c r="AZ165" i="19"/>
  <c r="BA202" i="19"/>
  <c r="AA202" i="19"/>
  <c r="BA157" i="19"/>
  <c r="M192" i="19"/>
  <c r="AO147" i="19" s="1"/>
  <c r="AO207" i="19"/>
  <c r="Z207" i="19"/>
  <c r="AO162" i="19"/>
  <c r="AO201" i="19"/>
  <c r="AO156" i="19"/>
  <c r="AA166" i="19"/>
  <c r="BC211" i="19"/>
  <c r="BC166" i="19"/>
  <c r="M140" i="19"/>
  <c r="AO140" i="19"/>
  <c r="I140" i="19"/>
  <c r="AK140" i="19"/>
  <c r="L102" i="19"/>
  <c r="AV208" i="19"/>
  <c r="T192" i="19"/>
  <c r="AV163" i="19"/>
  <c r="X6" i="19"/>
  <c r="AA167" i="19"/>
  <c r="BC212" i="19"/>
  <c r="BC167" i="19"/>
  <c r="BC198" i="19"/>
  <c r="BC153" i="19"/>
  <c r="AA153" i="19"/>
  <c r="F132" i="19"/>
  <c r="Y117" i="19"/>
  <c r="AA27" i="19"/>
  <c r="AA117" i="19"/>
  <c r="Z36" i="19"/>
  <c r="AI202" i="19"/>
  <c r="Z142" i="19"/>
  <c r="BB189" i="19"/>
  <c r="BB160" i="19"/>
  <c r="Z115" i="19"/>
  <c r="Z44" i="19"/>
  <c r="AA44" i="19" s="1"/>
  <c r="AA9" i="19"/>
  <c r="AA99" i="19" s="1"/>
  <c r="Y207" i="19"/>
  <c r="AL207" i="19"/>
  <c r="J192" i="19"/>
  <c r="Y192" i="19" s="1"/>
  <c r="AL162" i="19"/>
  <c r="F101" i="19"/>
  <c r="Y11" i="19"/>
  <c r="F6" i="19"/>
  <c r="F141" i="19" s="1"/>
  <c r="M128" i="19"/>
  <c r="AM204" i="19"/>
  <c r="AV156" i="19"/>
  <c r="Y5" i="19"/>
  <c r="Y95" i="19" s="1"/>
  <c r="BA188" i="19"/>
  <c r="AA188" i="19"/>
  <c r="BC188" i="19" s="1"/>
  <c r="BA143" i="19"/>
  <c r="Y143" i="19"/>
  <c r="AS185" i="19"/>
  <c r="Q140" i="19"/>
  <c r="O100" i="19"/>
  <c r="AL145" i="19"/>
  <c r="AY201" i="19"/>
  <c r="AY156" i="19"/>
  <c r="U6" i="19"/>
  <c r="U96" i="19"/>
  <c r="J100" i="19"/>
  <c r="BA189" i="16"/>
  <c r="BC203" i="16"/>
  <c r="BC158" i="16"/>
  <c r="AA158" i="16"/>
  <c r="V140" i="16"/>
  <c r="N146" i="16"/>
  <c r="N101" i="16"/>
  <c r="AA175" i="16"/>
  <c r="AH202" i="16"/>
  <c r="AM219" i="16"/>
  <c r="AM174" i="16"/>
  <c r="BC199" i="16"/>
  <c r="AA154" i="16"/>
  <c r="BC194" i="16"/>
  <c r="AA149" i="16"/>
  <c r="BC149" i="16"/>
  <c r="BA193" i="16"/>
  <c r="BA148" i="16"/>
  <c r="Y148" i="16"/>
  <c r="AT185" i="16"/>
  <c r="R140" i="16"/>
  <c r="AT140" i="16"/>
  <c r="AQ174" i="16"/>
  <c r="Y37" i="16"/>
  <c r="AW208" i="16"/>
  <c r="U192" i="16"/>
  <c r="AW163" i="16"/>
  <c r="Z210" i="16"/>
  <c r="X193" i="16"/>
  <c r="X148" i="16" s="1"/>
  <c r="AZ165" i="16"/>
  <c r="AY201" i="16"/>
  <c r="AY156" i="16"/>
  <c r="F174" i="16"/>
  <c r="F173" i="16"/>
  <c r="F56" i="16"/>
  <c r="Y56" i="16" s="1"/>
  <c r="Y69" i="16"/>
  <c r="AX163" i="16"/>
  <c r="T100" i="16"/>
  <c r="M129" i="16"/>
  <c r="K236" i="16"/>
  <c r="BC153" i="16"/>
  <c r="BA187" i="16"/>
  <c r="AA187" i="16"/>
  <c r="BA142" i="16"/>
  <c r="Y142" i="16"/>
  <c r="BC180" i="16"/>
  <c r="AA180" i="16"/>
  <c r="BC211" i="16"/>
  <c r="BC166" i="16"/>
  <c r="AA166" i="16"/>
  <c r="AM217" i="16"/>
  <c r="AM172" i="16"/>
  <c r="BA201" i="16"/>
  <c r="BB188" i="16"/>
  <c r="Z143" i="16"/>
  <c r="BB143" i="16"/>
  <c r="BC152" i="16"/>
  <c r="X102" i="16"/>
  <c r="N6" i="16"/>
  <c r="BC213" i="16"/>
  <c r="BC168" i="16"/>
  <c r="AA168" i="16"/>
  <c r="BC212" i="16"/>
  <c r="BC167" i="16"/>
  <c r="AA167" i="16"/>
  <c r="AM218" i="16"/>
  <c r="Y218" i="16"/>
  <c r="BA218" i="16" s="1"/>
  <c r="AM173" i="16"/>
  <c r="BC206" i="16"/>
  <c r="AA161" i="16"/>
  <c r="BC161" i="16"/>
  <c r="BC195" i="16"/>
  <c r="AA150" i="16"/>
  <c r="BA188" i="16"/>
  <c r="Y143" i="16"/>
  <c r="AP185" i="16"/>
  <c r="AP140" i="16"/>
  <c r="I51" i="16"/>
  <c r="AL162" i="16"/>
  <c r="Z159" i="16"/>
  <c r="Z114" i="16"/>
  <c r="H175" i="16"/>
  <c r="H174" i="16"/>
  <c r="H172" i="16"/>
  <c r="H171" i="16"/>
  <c r="L102" i="16"/>
  <c r="L6" i="16"/>
  <c r="BA157" i="16"/>
  <c r="AX146" i="16"/>
  <c r="V51" i="16"/>
  <c r="P179" i="16"/>
  <c r="Z44" i="16"/>
  <c r="Z179" i="16" s="1"/>
  <c r="AT208" i="16"/>
  <c r="AP201" i="16"/>
  <c r="Z118" i="16"/>
  <c r="AA28" i="16"/>
  <c r="Z36" i="16"/>
  <c r="AO201" i="16"/>
  <c r="AO156" i="16"/>
  <c r="L95" i="16"/>
  <c r="AO207" i="16"/>
  <c r="Z207" i="16"/>
  <c r="M192" i="16"/>
  <c r="AO162" i="16"/>
  <c r="AA25" i="16"/>
  <c r="AA115" i="16" s="1"/>
  <c r="AL160" i="16"/>
  <c r="BB187" i="16"/>
  <c r="Z142" i="16"/>
  <c r="BB142" i="16"/>
  <c r="AL185" i="16"/>
  <c r="J140" i="16"/>
  <c r="AL140" i="16"/>
  <c r="F180" i="16"/>
  <c r="F179" i="16"/>
  <c r="F178" i="16"/>
  <c r="F177" i="16"/>
  <c r="F176" i="16"/>
  <c r="Z11" i="16"/>
  <c r="AV208" i="16"/>
  <c r="T192" i="16"/>
  <c r="AV163" i="16"/>
  <c r="N236" i="16"/>
  <c r="AP191" i="16" s="1"/>
  <c r="AP204" i="16"/>
  <c r="AS208" i="16"/>
  <c r="Q192" i="16"/>
  <c r="Q147" i="16" s="1"/>
  <c r="AS163" i="16"/>
  <c r="K114" i="16"/>
  <c r="G180" i="16"/>
  <c r="H51" i="16"/>
  <c r="H100" i="16"/>
  <c r="O129" i="16"/>
  <c r="AA209" i="16"/>
  <c r="BC209" i="16" s="1"/>
  <c r="AN209" i="16"/>
  <c r="AN164" i="16"/>
  <c r="AR202" i="16"/>
  <c r="H132" i="16"/>
  <c r="O127" i="16"/>
  <c r="AY208" i="16"/>
  <c r="W192" i="16"/>
  <c r="AY147" i="16" s="1"/>
  <c r="AY163" i="16"/>
  <c r="AM205" i="16"/>
  <c r="AM160" i="16"/>
  <c r="H180" i="16"/>
  <c r="H179" i="16"/>
  <c r="H178" i="16"/>
  <c r="H177" i="16"/>
  <c r="H176" i="16"/>
  <c r="Z38" i="16"/>
  <c r="M96" i="16"/>
  <c r="AA27" i="16"/>
  <c r="AA117" i="16" s="1"/>
  <c r="AM159" i="16"/>
  <c r="N24" i="14"/>
  <c r="N159" i="14" s="1"/>
  <c r="F67" i="11"/>
  <c r="F87" i="11" s="1"/>
  <c r="F66" i="11"/>
  <c r="F67" i="14"/>
  <c r="F66" i="14"/>
  <c r="H67" i="14"/>
  <c r="H66" i="14"/>
  <c r="V6" i="19"/>
  <c r="V102" i="19"/>
  <c r="AU186" i="16"/>
  <c r="Z12" i="19"/>
  <c r="AX163" i="19"/>
  <c r="AX208" i="19"/>
  <c r="V192" i="19"/>
  <c r="AO219" i="19"/>
  <c r="W147" i="19"/>
  <c r="AY147" i="19"/>
  <c r="AL147" i="19"/>
  <c r="J147" i="19"/>
  <c r="AO218" i="19"/>
  <c r="AO173" i="19"/>
  <c r="W186" i="19"/>
  <c r="AY145" i="19"/>
  <c r="W145" i="19"/>
  <c r="Z28" i="20" s="1"/>
  <c r="T145" i="19"/>
  <c r="W28" i="20" s="1"/>
  <c r="AV145" i="19"/>
  <c r="AO172" i="19"/>
  <c r="AO217" i="19"/>
  <c r="M147" i="19"/>
  <c r="Y173" i="19"/>
  <c r="X147" i="19"/>
  <c r="AP191" i="19"/>
  <c r="AV147" i="19"/>
  <c r="BB207" i="19"/>
  <c r="BB162" i="19"/>
  <c r="Z162" i="19"/>
  <c r="AW192" i="19"/>
  <c r="AW147" i="19"/>
  <c r="AY216" i="19"/>
  <c r="AY171" i="19"/>
  <c r="AA143" i="19"/>
  <c r="BC143" i="19"/>
  <c r="AA207" i="19"/>
  <c r="BA207" i="19"/>
  <c r="BA162" i="19"/>
  <c r="Y162" i="19"/>
  <c r="M186" i="19"/>
  <c r="AO145" i="19"/>
  <c r="AO216" i="19"/>
  <c r="Z216" i="19"/>
  <c r="BB216" i="19" s="1"/>
  <c r="AO171" i="19"/>
  <c r="X148" i="19"/>
  <c r="AZ148" i="19"/>
  <c r="M186" i="16"/>
  <c r="AO145" i="16"/>
  <c r="AO219" i="16"/>
  <c r="M174" i="16"/>
  <c r="AO174" i="16"/>
  <c r="L96" i="16"/>
  <c r="AW147" i="16"/>
  <c r="U147" i="16"/>
  <c r="L186" i="16"/>
  <c r="AN147" i="16"/>
  <c r="L147" i="16"/>
  <c r="J27" i="20"/>
  <c r="AO147" i="16"/>
  <c r="M147" i="16"/>
  <c r="AO218" i="16"/>
  <c r="W186" i="16"/>
  <c r="W145" i="16"/>
  <c r="Z27" i="20" s="1"/>
  <c r="AY145" i="16"/>
  <c r="Z146" i="16"/>
  <c r="AM191" i="16"/>
  <c r="AS147" i="16"/>
  <c r="AA164" i="16"/>
  <c r="BC164" i="16"/>
  <c r="BB207" i="16"/>
  <c r="BB162" i="16"/>
  <c r="Z162" i="16"/>
  <c r="M172" i="16"/>
  <c r="AA210" i="16"/>
  <c r="BB210" i="16"/>
  <c r="BB165" i="16"/>
  <c r="AY192" i="16"/>
  <c r="W147" i="16"/>
  <c r="AV192" i="16"/>
  <c r="AV147" i="16"/>
  <c r="Z216" i="16"/>
  <c r="BA173" i="16"/>
  <c r="BC187" i="16"/>
  <c r="AA142" i="16"/>
  <c r="BC142" i="16"/>
  <c r="AY216" i="16"/>
  <c r="AY171" i="16"/>
  <c r="W171" i="16"/>
  <c r="AF25" i="14"/>
  <c r="AG22" i="14"/>
  <c r="AG25" i="14" s="1"/>
  <c r="O156" i="14"/>
  <c r="P156" i="14"/>
  <c r="N156" i="14"/>
  <c r="AG51" i="14"/>
  <c r="AG53" i="14"/>
  <c r="O66" i="14"/>
  <c r="AH51" i="14"/>
  <c r="I126" i="14"/>
  <c r="G67" i="14"/>
  <c r="AA70" i="14"/>
  <c r="AA57" i="14"/>
  <c r="AB300" i="14"/>
  <c r="AB302" i="14"/>
  <c r="AD301" i="14"/>
  <c r="AC301" i="14"/>
  <c r="AC303" i="14" s="1"/>
  <c r="AC300" i="14"/>
  <c r="AB301" i="14"/>
  <c r="AB303" i="14" s="1"/>
  <c r="AD300" i="14"/>
  <c r="AC302" i="14"/>
  <c r="AA270" i="14"/>
  <c r="Z270" i="14"/>
  <c r="Y270" i="14"/>
  <c r="AA269" i="14"/>
  <c r="Z269" i="14"/>
  <c r="Y269" i="14"/>
  <c r="AA268" i="14"/>
  <c r="Z268" i="14"/>
  <c r="Y268" i="14"/>
  <c r="AA267" i="14"/>
  <c r="Z267" i="14"/>
  <c r="Y267" i="14"/>
  <c r="AA266" i="14"/>
  <c r="Z266" i="14"/>
  <c r="Y266" i="14"/>
  <c r="AA265" i="14"/>
  <c r="Z265" i="14"/>
  <c r="Y265" i="14"/>
  <c r="AA264" i="14"/>
  <c r="Z264" i="14"/>
  <c r="Y264" i="14"/>
  <c r="AA263" i="14"/>
  <c r="Z263" i="14"/>
  <c r="Y263" i="14"/>
  <c r="AA262" i="14"/>
  <c r="Z262" i="14"/>
  <c r="Y262" i="14"/>
  <c r="AA261" i="14"/>
  <c r="Z261" i="14"/>
  <c r="Y261" i="14"/>
  <c r="AA260" i="14"/>
  <c r="Z260" i="14"/>
  <c r="Y260" i="14"/>
  <c r="X260" i="14"/>
  <c r="W260" i="14"/>
  <c r="V260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I260" i="14"/>
  <c r="H260" i="14"/>
  <c r="G260" i="14"/>
  <c r="F260" i="14"/>
  <c r="AA259" i="14"/>
  <c r="Z259" i="14"/>
  <c r="Y259" i="14"/>
  <c r="X259" i="14"/>
  <c r="W259" i="14"/>
  <c r="V259" i="14"/>
  <c r="U259" i="14"/>
  <c r="T259" i="14"/>
  <c r="S259" i="14"/>
  <c r="R259" i="14"/>
  <c r="Q259" i="14"/>
  <c r="P259" i="14"/>
  <c r="O259" i="14"/>
  <c r="N259" i="14"/>
  <c r="M259" i="14"/>
  <c r="L259" i="14"/>
  <c r="K259" i="14"/>
  <c r="J259" i="14"/>
  <c r="I259" i="14"/>
  <c r="H259" i="14"/>
  <c r="G259" i="14"/>
  <c r="F259" i="14"/>
  <c r="AA258" i="14"/>
  <c r="Z258" i="14"/>
  <c r="Y258" i="14"/>
  <c r="X258" i="14"/>
  <c r="W258" i="14"/>
  <c r="V258" i="14"/>
  <c r="U258" i="14"/>
  <c r="T258" i="14"/>
  <c r="S258" i="14"/>
  <c r="R258" i="14"/>
  <c r="Q258" i="14"/>
  <c r="P258" i="14"/>
  <c r="O258" i="14"/>
  <c r="N258" i="14"/>
  <c r="M258" i="14"/>
  <c r="L258" i="14"/>
  <c r="K258" i="14"/>
  <c r="J258" i="14"/>
  <c r="I258" i="14"/>
  <c r="H258" i="14"/>
  <c r="G258" i="14"/>
  <c r="F258" i="14"/>
  <c r="AA257" i="14"/>
  <c r="Z257" i="14"/>
  <c r="Y257" i="14"/>
  <c r="X257" i="14"/>
  <c r="W257" i="14"/>
  <c r="V257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I257" i="14"/>
  <c r="H257" i="14"/>
  <c r="G257" i="14"/>
  <c r="F257" i="14"/>
  <c r="AA256" i="14"/>
  <c r="Z256" i="14"/>
  <c r="Y256" i="14"/>
  <c r="X256" i="14"/>
  <c r="W256" i="14"/>
  <c r="V256" i="14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I256" i="14"/>
  <c r="H256" i="14"/>
  <c r="G256" i="14"/>
  <c r="F256" i="14"/>
  <c r="AA255" i="14"/>
  <c r="Z255" i="14"/>
  <c r="Y255" i="14"/>
  <c r="W255" i="14"/>
  <c r="W238" i="14" s="1"/>
  <c r="V255" i="14"/>
  <c r="V238" i="14"/>
  <c r="U255" i="14"/>
  <c r="U238" i="14" s="1"/>
  <c r="T255" i="14"/>
  <c r="S255" i="14"/>
  <c r="S238" i="14" s="1"/>
  <c r="R255" i="14"/>
  <c r="R238" i="14" s="1"/>
  <c r="Q255" i="14"/>
  <c r="Q238" i="14" s="1"/>
  <c r="P255" i="14"/>
  <c r="P238" i="14" s="1"/>
  <c r="O255" i="14"/>
  <c r="O238" i="14" s="1"/>
  <c r="N255" i="14"/>
  <c r="N238" i="14" s="1"/>
  <c r="M255" i="14"/>
  <c r="M238" i="14" s="1"/>
  <c r="L255" i="14"/>
  <c r="L238" i="14" s="1"/>
  <c r="K255" i="14"/>
  <c r="J255" i="14"/>
  <c r="I255" i="14"/>
  <c r="I238" i="14" s="1"/>
  <c r="H255" i="14"/>
  <c r="H238" i="14"/>
  <c r="G255" i="14"/>
  <c r="G238" i="14" s="1"/>
  <c r="F255" i="14"/>
  <c r="F238" i="14"/>
  <c r="AA254" i="14"/>
  <c r="Z254" i="14"/>
  <c r="Y254" i="14"/>
  <c r="AA253" i="14"/>
  <c r="Z253" i="14"/>
  <c r="Y253" i="14"/>
  <c r="AA252" i="14"/>
  <c r="Z252" i="14"/>
  <c r="Y252" i="14"/>
  <c r="AA251" i="14"/>
  <c r="Z251" i="14"/>
  <c r="Y251" i="14"/>
  <c r="X251" i="14"/>
  <c r="W251" i="14"/>
  <c r="V251" i="14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I251" i="14"/>
  <c r="H251" i="14"/>
  <c r="G251" i="14"/>
  <c r="F251" i="14"/>
  <c r="AC250" i="14"/>
  <c r="AA250" i="14"/>
  <c r="Z250" i="14"/>
  <c r="Y250" i="14"/>
  <c r="X250" i="14"/>
  <c r="W250" i="14"/>
  <c r="V250" i="14"/>
  <c r="U250" i="14"/>
  <c r="R250" i="14"/>
  <c r="Q250" i="14"/>
  <c r="P250" i="14"/>
  <c r="O250" i="14"/>
  <c r="N250" i="14"/>
  <c r="M250" i="14"/>
  <c r="L250" i="14"/>
  <c r="I250" i="14"/>
  <c r="H250" i="14"/>
  <c r="G250" i="14"/>
  <c r="F250" i="14"/>
  <c r="AA249" i="14"/>
  <c r="Z249" i="14"/>
  <c r="Y249" i="14"/>
  <c r="X249" i="14"/>
  <c r="W249" i="14"/>
  <c r="V249" i="14"/>
  <c r="U249" i="14"/>
  <c r="T249" i="14"/>
  <c r="S249" i="14"/>
  <c r="R249" i="14"/>
  <c r="Q249" i="14"/>
  <c r="P249" i="14"/>
  <c r="O249" i="14"/>
  <c r="M249" i="14"/>
  <c r="L249" i="14"/>
  <c r="I249" i="14"/>
  <c r="H249" i="14"/>
  <c r="G249" i="14"/>
  <c r="AA248" i="14"/>
  <c r="Z248" i="14"/>
  <c r="Y248" i="14"/>
  <c r="AA247" i="14"/>
  <c r="Z247" i="14"/>
  <c r="BB202" i="14" s="1"/>
  <c r="Y247" i="14"/>
  <c r="AA246" i="14"/>
  <c r="Z246" i="14"/>
  <c r="Y246" i="14"/>
  <c r="AA245" i="14"/>
  <c r="Z245" i="14"/>
  <c r="Y245" i="14"/>
  <c r="X245" i="14"/>
  <c r="W245" i="14"/>
  <c r="W234" i="14" s="1"/>
  <c r="V245" i="14"/>
  <c r="V234" i="14" s="1"/>
  <c r="U245" i="14"/>
  <c r="U234" i="14"/>
  <c r="T245" i="14"/>
  <c r="T234" i="14" s="1"/>
  <c r="S245" i="14"/>
  <c r="R245" i="14"/>
  <c r="R234" i="14"/>
  <c r="Q245" i="14"/>
  <c r="Q234" i="14" s="1"/>
  <c r="P245" i="14"/>
  <c r="O245" i="14"/>
  <c r="O234" i="14" s="1"/>
  <c r="N245" i="14"/>
  <c r="N234" i="14" s="1"/>
  <c r="M245" i="14"/>
  <c r="M234" i="14"/>
  <c r="L245" i="14"/>
  <c r="L234" i="14" s="1"/>
  <c r="K245" i="14"/>
  <c r="J245" i="14"/>
  <c r="J234" i="14" s="1"/>
  <c r="I245" i="14"/>
  <c r="I234" i="14" s="1"/>
  <c r="H245" i="14"/>
  <c r="G245" i="14"/>
  <c r="F245" i="14"/>
  <c r="F234" i="14" s="1"/>
  <c r="AA244" i="14"/>
  <c r="Z244" i="14"/>
  <c r="Y244" i="14"/>
  <c r="X244" i="14"/>
  <c r="W244" i="14"/>
  <c r="V244" i="1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I244" i="14"/>
  <c r="H244" i="14"/>
  <c r="G244" i="14"/>
  <c r="F244" i="14"/>
  <c r="AA243" i="14"/>
  <c r="Z243" i="14"/>
  <c r="Y243" i="14"/>
  <c r="X243" i="14"/>
  <c r="W243" i="14"/>
  <c r="V243" i="14"/>
  <c r="V242" i="14"/>
  <c r="V233" i="14" s="1"/>
  <c r="U243" i="14"/>
  <c r="T243" i="14"/>
  <c r="S243" i="14"/>
  <c r="R243" i="14"/>
  <c r="R242" i="14"/>
  <c r="Q243" i="14"/>
  <c r="P243" i="14"/>
  <c r="O243" i="14"/>
  <c r="N243" i="14"/>
  <c r="N242" i="14"/>
  <c r="N233" i="14" s="1"/>
  <c r="M243" i="14"/>
  <c r="L243" i="14"/>
  <c r="K243" i="14"/>
  <c r="J243" i="14"/>
  <c r="J242" i="14"/>
  <c r="I243" i="14"/>
  <c r="H243" i="14"/>
  <c r="G243" i="14"/>
  <c r="F243" i="14"/>
  <c r="F242" i="14"/>
  <c r="F233" i="14" s="1"/>
  <c r="AA242" i="14"/>
  <c r="Z242" i="14"/>
  <c r="Y242" i="14"/>
  <c r="X242" i="14"/>
  <c r="W242" i="14"/>
  <c r="U242" i="14"/>
  <c r="U233" i="14" s="1"/>
  <c r="T242" i="14"/>
  <c r="T233" i="14"/>
  <c r="S242" i="14"/>
  <c r="Q242" i="14"/>
  <c r="P242" i="14"/>
  <c r="O242" i="14"/>
  <c r="M242" i="14"/>
  <c r="M233" i="14" s="1"/>
  <c r="L242" i="14"/>
  <c r="L233" i="14" s="1"/>
  <c r="K242" i="14"/>
  <c r="I242" i="14"/>
  <c r="H242" i="14"/>
  <c r="G242" i="14"/>
  <c r="AA241" i="14"/>
  <c r="Z241" i="14"/>
  <c r="Y241" i="14"/>
  <c r="X241" i="14"/>
  <c r="W241" i="14"/>
  <c r="V241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I241" i="14"/>
  <c r="H241" i="14"/>
  <c r="G241" i="14"/>
  <c r="F241" i="14"/>
  <c r="AA240" i="14"/>
  <c r="Z240" i="14"/>
  <c r="Y240" i="14"/>
  <c r="X240" i="14"/>
  <c r="X239" i="14"/>
  <c r="X232" i="14" s="1"/>
  <c r="W240" i="14"/>
  <c r="V240" i="14"/>
  <c r="U240" i="14"/>
  <c r="T240" i="14"/>
  <c r="T239" i="14"/>
  <c r="T232" i="14" s="1"/>
  <c r="T230" i="14" s="1"/>
  <c r="S240" i="14"/>
  <c r="R240" i="14"/>
  <c r="Q240" i="14"/>
  <c r="P240" i="14"/>
  <c r="P239" i="14"/>
  <c r="P232" i="14" s="1"/>
  <c r="O240" i="14"/>
  <c r="N240" i="14"/>
  <c r="M240" i="14"/>
  <c r="L240" i="14"/>
  <c r="L239" i="14"/>
  <c r="K240" i="14"/>
  <c r="J240" i="14"/>
  <c r="J232" i="14" s="1"/>
  <c r="I240" i="14"/>
  <c r="H240" i="14"/>
  <c r="H239" i="14"/>
  <c r="H232" i="14" s="1"/>
  <c r="G240" i="14"/>
  <c r="F240" i="14"/>
  <c r="AA239" i="14"/>
  <c r="Z239" i="14"/>
  <c r="Y239" i="14"/>
  <c r="W239" i="14"/>
  <c r="V239" i="14"/>
  <c r="V232" i="14" s="1"/>
  <c r="V230" i="14" s="1"/>
  <c r="U239" i="14"/>
  <c r="S239" i="14"/>
  <c r="R239" i="14"/>
  <c r="R232" i="14" s="1"/>
  <c r="Q239" i="14"/>
  <c r="O239" i="14"/>
  <c r="O232" i="14" s="1"/>
  <c r="N239" i="14"/>
  <c r="M239" i="14"/>
  <c r="M232" i="14" s="1"/>
  <c r="K239" i="14"/>
  <c r="K232" i="14" s="1"/>
  <c r="J239" i="14"/>
  <c r="I239" i="14"/>
  <c r="G239" i="14"/>
  <c r="F239" i="14"/>
  <c r="F232" i="14" s="1"/>
  <c r="T238" i="14"/>
  <c r="K238" i="14"/>
  <c r="J238" i="14"/>
  <c r="S236" i="14"/>
  <c r="X234" i="14"/>
  <c r="S234" i="14"/>
  <c r="P234" i="14"/>
  <c r="K234" i="14"/>
  <c r="H234" i="14"/>
  <c r="G234" i="14"/>
  <c r="AZ225" i="14"/>
  <c r="AY225" i="14"/>
  <c r="AX225" i="14"/>
  <c r="AW225" i="14"/>
  <c r="AV225" i="14"/>
  <c r="AU225" i="14"/>
  <c r="AT225" i="14"/>
  <c r="AS225" i="14"/>
  <c r="AR225" i="14"/>
  <c r="AQ225" i="14"/>
  <c r="AP225" i="14"/>
  <c r="AO225" i="14"/>
  <c r="AN225" i="14"/>
  <c r="AM225" i="14"/>
  <c r="AL225" i="14"/>
  <c r="AK225" i="14"/>
  <c r="AJ225" i="14"/>
  <c r="AI225" i="14"/>
  <c r="AH225" i="14"/>
  <c r="Z225" i="14"/>
  <c r="BB225" i="14" s="1"/>
  <c r="Y225" i="14"/>
  <c r="BA180" i="14" s="1"/>
  <c r="AZ224" i="14"/>
  <c r="AY224" i="14"/>
  <c r="AX224" i="14"/>
  <c r="AW224" i="14"/>
  <c r="AV224" i="14"/>
  <c r="AU224" i="14"/>
  <c r="AT224" i="14"/>
  <c r="AS224" i="14"/>
  <c r="AQ224" i="14"/>
  <c r="AP224" i="14"/>
  <c r="AO224" i="14"/>
  <c r="AN224" i="14"/>
  <c r="AM224" i="14"/>
  <c r="AL224" i="14"/>
  <c r="AK224" i="14"/>
  <c r="AJ224" i="14"/>
  <c r="AI224" i="14"/>
  <c r="AH224" i="14"/>
  <c r="Z224" i="14"/>
  <c r="AA224" i="14" s="1"/>
  <c r="Y224" i="14"/>
  <c r="BA179" i="14" s="1"/>
  <c r="AZ223" i="14"/>
  <c r="AY223" i="14"/>
  <c r="AX223" i="14"/>
  <c r="AW223" i="14"/>
  <c r="AV223" i="14"/>
  <c r="AU223" i="14"/>
  <c r="AT223" i="14"/>
  <c r="AS223" i="14"/>
  <c r="AR223" i="14"/>
  <c r="AQ223" i="14"/>
  <c r="AP223" i="14"/>
  <c r="AO223" i="14"/>
  <c r="AN223" i="14"/>
  <c r="AM223" i="14"/>
  <c r="AL223" i="14"/>
  <c r="AK223" i="14"/>
  <c r="AJ223" i="14"/>
  <c r="AI223" i="14"/>
  <c r="AH223" i="14"/>
  <c r="Z223" i="14"/>
  <c r="BB223" i="14" s="1"/>
  <c r="Y223" i="14"/>
  <c r="AZ222" i="14"/>
  <c r="AY222" i="14"/>
  <c r="AX222" i="14"/>
  <c r="AW222" i="14"/>
  <c r="AV222" i="14"/>
  <c r="AU222" i="14"/>
  <c r="AT222" i="14"/>
  <c r="AS222" i="14"/>
  <c r="AR222" i="14"/>
  <c r="AQ222" i="14"/>
  <c r="AP222" i="14"/>
  <c r="AO222" i="14"/>
  <c r="AN222" i="14"/>
  <c r="AM222" i="14"/>
  <c r="AL222" i="14"/>
  <c r="AK222" i="14"/>
  <c r="Z222" i="14"/>
  <c r="BB222" i="14" s="1"/>
  <c r="AZ221" i="14"/>
  <c r="AY221" i="14"/>
  <c r="AX221" i="14"/>
  <c r="AW221" i="14"/>
  <c r="AV221" i="14"/>
  <c r="AU221" i="14"/>
  <c r="AT221" i="14"/>
  <c r="AS221" i="14"/>
  <c r="AR221" i="14"/>
  <c r="AQ221" i="14"/>
  <c r="AP221" i="14"/>
  <c r="AO221" i="14"/>
  <c r="AN221" i="14"/>
  <c r="AM221" i="14"/>
  <c r="AL221" i="14"/>
  <c r="AK221" i="14"/>
  <c r="Z221" i="14"/>
  <c r="AZ220" i="14"/>
  <c r="AY220" i="14"/>
  <c r="AX220" i="14"/>
  <c r="AW220" i="14"/>
  <c r="AV220" i="14"/>
  <c r="AU220" i="14"/>
  <c r="AT220" i="14"/>
  <c r="AS220" i="14"/>
  <c r="AR220" i="14"/>
  <c r="AQ220" i="14"/>
  <c r="AP220" i="14"/>
  <c r="AO220" i="14"/>
  <c r="AN220" i="14"/>
  <c r="AM220" i="14"/>
  <c r="AL220" i="14"/>
  <c r="AK220" i="14"/>
  <c r="AJ220" i="14"/>
  <c r="AI220" i="14"/>
  <c r="AH220" i="14"/>
  <c r="Z220" i="14"/>
  <c r="AA220" i="14" s="1"/>
  <c r="Y220" i="14"/>
  <c r="BA220" i="14" s="1"/>
  <c r="AY219" i="14"/>
  <c r="AX219" i="14"/>
  <c r="AW219" i="14"/>
  <c r="AV219" i="14"/>
  <c r="AU219" i="14"/>
  <c r="AT219" i="14"/>
  <c r="AP219" i="14"/>
  <c r="AN219" i="14"/>
  <c r="AL219" i="14"/>
  <c r="AJ219" i="14"/>
  <c r="AI219" i="14"/>
  <c r="AH219" i="14"/>
  <c r="AZ218" i="14"/>
  <c r="AY218" i="14"/>
  <c r="AX218" i="14"/>
  <c r="AU218" i="14"/>
  <c r="AT218" i="14"/>
  <c r="AS218" i="14"/>
  <c r="AQ218" i="14"/>
  <c r="AP218" i="14"/>
  <c r="AN218" i="14"/>
  <c r="AL218" i="14"/>
  <c r="AK218" i="14"/>
  <c r="AJ218" i="14"/>
  <c r="AI218" i="14"/>
  <c r="AH218" i="14"/>
  <c r="AZ217" i="14"/>
  <c r="AY217" i="14"/>
  <c r="AX217" i="14"/>
  <c r="AW217" i="14"/>
  <c r="AV217" i="14"/>
  <c r="AU217" i="14"/>
  <c r="AS217" i="14"/>
  <c r="AN217" i="14"/>
  <c r="AJ217" i="14"/>
  <c r="AI217" i="14"/>
  <c r="AZ216" i="14"/>
  <c r="AX216" i="14"/>
  <c r="AW216" i="14"/>
  <c r="AV216" i="14"/>
  <c r="AU216" i="14"/>
  <c r="AT216" i="14"/>
  <c r="AS216" i="14"/>
  <c r="AR216" i="14"/>
  <c r="AQ216" i="14"/>
  <c r="AP216" i="14"/>
  <c r="AN216" i="14"/>
  <c r="AL216" i="14"/>
  <c r="AI216" i="14"/>
  <c r="Y215" i="14"/>
  <c r="AA215" i="14" s="1"/>
  <c r="AZ215" i="14"/>
  <c r="AY215" i="14"/>
  <c r="AX215" i="14"/>
  <c r="AW215" i="14"/>
  <c r="AV215" i="14"/>
  <c r="AU215" i="14"/>
  <c r="AT215" i="14"/>
  <c r="AS215" i="14"/>
  <c r="AR215" i="14"/>
  <c r="AQ215" i="14"/>
  <c r="AP215" i="14"/>
  <c r="AO215" i="14"/>
  <c r="AN215" i="14"/>
  <c r="AM215" i="14"/>
  <c r="AL215" i="14"/>
  <c r="AK215" i="14"/>
  <c r="AJ215" i="14"/>
  <c r="AI215" i="14"/>
  <c r="AH215" i="14"/>
  <c r="Z215" i="14"/>
  <c r="BB215" i="14" s="1"/>
  <c r="Z214" i="14"/>
  <c r="BB214" i="14" s="1"/>
  <c r="Y214" i="14"/>
  <c r="AZ214" i="14"/>
  <c r="AY214" i="14"/>
  <c r="AX214" i="14"/>
  <c r="AW214" i="14"/>
  <c r="AV214" i="14"/>
  <c r="AU214" i="14"/>
  <c r="AT214" i="14"/>
  <c r="AS214" i="14"/>
  <c r="AR214" i="14"/>
  <c r="AQ214" i="14"/>
  <c r="AP214" i="14"/>
  <c r="AO214" i="14"/>
  <c r="AN214" i="14"/>
  <c r="AM214" i="14"/>
  <c r="AL214" i="14"/>
  <c r="AK214" i="14"/>
  <c r="AJ214" i="14"/>
  <c r="AI214" i="14"/>
  <c r="AH214" i="14"/>
  <c r="AZ213" i="14"/>
  <c r="AY213" i="14"/>
  <c r="AX213" i="14"/>
  <c r="AW213" i="14"/>
  <c r="AV213" i="14"/>
  <c r="AU213" i="14"/>
  <c r="AT213" i="14"/>
  <c r="AS213" i="14"/>
  <c r="AR213" i="14"/>
  <c r="AQ213" i="14"/>
  <c r="AP213" i="14"/>
  <c r="AO213" i="14"/>
  <c r="AN213" i="14"/>
  <c r="AM213" i="14"/>
  <c r="AL213" i="14"/>
  <c r="AK213" i="14"/>
  <c r="AJ213" i="14"/>
  <c r="AI213" i="14"/>
  <c r="AH213" i="14"/>
  <c r="Z213" i="14"/>
  <c r="Z168" i="14" s="1"/>
  <c r="Y213" i="14"/>
  <c r="BA168" i="14" s="1"/>
  <c r="AZ212" i="14"/>
  <c r="AY212" i="14"/>
  <c r="AX212" i="14"/>
  <c r="AW212" i="14"/>
  <c r="AV212" i="14"/>
  <c r="AU212" i="14"/>
  <c r="AT212" i="14"/>
  <c r="AS212" i="14"/>
  <c r="AR212" i="14"/>
  <c r="AQ212" i="14"/>
  <c r="AP212" i="14"/>
  <c r="AO212" i="14"/>
  <c r="AN212" i="14"/>
  <c r="AM212" i="14"/>
  <c r="AL212" i="14"/>
  <c r="AK212" i="14"/>
  <c r="AJ212" i="14"/>
  <c r="AI212" i="14"/>
  <c r="AH212" i="14"/>
  <c r="Z212" i="14"/>
  <c r="Z167" i="14"/>
  <c r="Y212" i="14"/>
  <c r="AZ211" i="14"/>
  <c r="AY211" i="14"/>
  <c r="AX211" i="14"/>
  <c r="AW211" i="14"/>
  <c r="AV211" i="14"/>
  <c r="AU211" i="14"/>
  <c r="AT211" i="14"/>
  <c r="AS211" i="14"/>
  <c r="AR211" i="14"/>
  <c r="AQ211" i="14"/>
  <c r="AP211" i="14"/>
  <c r="AO211" i="14"/>
  <c r="AN211" i="14"/>
  <c r="AM211" i="14"/>
  <c r="AL211" i="14"/>
  <c r="AK211" i="14"/>
  <c r="AJ211" i="14"/>
  <c r="AI211" i="14"/>
  <c r="AH211" i="14"/>
  <c r="Z211" i="14"/>
  <c r="AA211" i="14" s="1"/>
  <c r="BB211" i="14"/>
  <c r="Y211" i="14"/>
  <c r="Y166" i="14"/>
  <c r="AY210" i="14"/>
  <c r="AX210" i="14"/>
  <c r="AW210" i="14"/>
  <c r="AV210" i="14"/>
  <c r="AU210" i="14"/>
  <c r="AT210" i="14"/>
  <c r="AS210" i="14"/>
  <c r="AR210" i="14"/>
  <c r="AQ210" i="14"/>
  <c r="AP210" i="14"/>
  <c r="AO210" i="14"/>
  <c r="AN210" i="14"/>
  <c r="AM210" i="14"/>
  <c r="AL210" i="14"/>
  <c r="AK210" i="14"/>
  <c r="AJ210" i="14"/>
  <c r="AI210" i="14"/>
  <c r="AH210" i="14"/>
  <c r="Y210" i="14"/>
  <c r="BA210" i="14" s="1"/>
  <c r="AZ209" i="14"/>
  <c r="AY209" i="14"/>
  <c r="AX209" i="14"/>
  <c r="AW209" i="14"/>
  <c r="AV209" i="14"/>
  <c r="AU209" i="14"/>
  <c r="AT209" i="14"/>
  <c r="AS209" i="14"/>
  <c r="AR209" i="14"/>
  <c r="AQ209" i="14"/>
  <c r="AP209" i="14"/>
  <c r="AO209" i="14"/>
  <c r="AM209" i="14"/>
  <c r="AL209" i="14"/>
  <c r="AK209" i="14"/>
  <c r="AJ209" i="14"/>
  <c r="AI209" i="14"/>
  <c r="AH209" i="14"/>
  <c r="Z209" i="14"/>
  <c r="Z164" i="14"/>
  <c r="Y209" i="14"/>
  <c r="AU208" i="14"/>
  <c r="AR208" i="14"/>
  <c r="AQ208" i="14"/>
  <c r="AP208" i="14"/>
  <c r="AO208" i="14"/>
  <c r="AN208" i="14"/>
  <c r="AM208" i="14"/>
  <c r="AL208" i="14"/>
  <c r="AK208" i="14"/>
  <c r="AJ208" i="14"/>
  <c r="AI208" i="14"/>
  <c r="AH208" i="14"/>
  <c r="Y208" i="14"/>
  <c r="BA208" i="14" s="1"/>
  <c r="AZ207" i="14"/>
  <c r="AY207" i="14"/>
  <c r="AX207" i="14"/>
  <c r="AW207" i="14"/>
  <c r="AV207" i="14"/>
  <c r="AU207" i="14"/>
  <c r="AT207" i="14"/>
  <c r="AS207" i="14"/>
  <c r="AR207" i="14"/>
  <c r="AQ207" i="14"/>
  <c r="AP207" i="14"/>
  <c r="AN207" i="14"/>
  <c r="AM207" i="14"/>
  <c r="AK207" i="14"/>
  <c r="AJ207" i="14"/>
  <c r="AI207" i="14"/>
  <c r="AH207" i="14"/>
  <c r="Y206" i="14"/>
  <c r="Y161" i="14" s="1"/>
  <c r="AZ206" i="14"/>
  <c r="AY206" i="14"/>
  <c r="AX206" i="14"/>
  <c r="AW206" i="14"/>
  <c r="AV206" i="14"/>
  <c r="AU206" i="14"/>
  <c r="AT206" i="14"/>
  <c r="AS206" i="14"/>
  <c r="AR206" i="14"/>
  <c r="AQ206" i="14"/>
  <c r="AP206" i="14"/>
  <c r="AO206" i="14"/>
  <c r="AN206" i="14"/>
  <c r="AM206" i="14"/>
  <c r="AL206" i="14"/>
  <c r="AK206" i="14"/>
  <c r="AJ206" i="14"/>
  <c r="AI206" i="14"/>
  <c r="AH206" i="14"/>
  <c r="Z206" i="14"/>
  <c r="Z161" i="14" s="1"/>
  <c r="AY205" i="14"/>
  <c r="V205" i="14"/>
  <c r="AX205" i="14" s="1"/>
  <c r="AW205" i="14"/>
  <c r="AT205" i="14"/>
  <c r="AS205" i="14"/>
  <c r="AR205" i="14"/>
  <c r="AQ205" i="14"/>
  <c r="AP205" i="14"/>
  <c r="AO205" i="14"/>
  <c r="AN205" i="14"/>
  <c r="AK205" i="14"/>
  <c r="AJ205" i="14"/>
  <c r="AI205" i="14"/>
  <c r="AH205" i="14"/>
  <c r="X205" i="14"/>
  <c r="T205" i="14"/>
  <c r="S205" i="14"/>
  <c r="AU205" i="14" s="1"/>
  <c r="AZ204" i="14"/>
  <c r="AY204" i="14"/>
  <c r="AX204" i="14"/>
  <c r="AW204" i="14"/>
  <c r="AV204" i="14"/>
  <c r="AU204" i="14"/>
  <c r="AT204" i="14"/>
  <c r="AS204" i="14"/>
  <c r="AR204" i="14"/>
  <c r="AQ204" i="14"/>
  <c r="AO204" i="14"/>
  <c r="AN204" i="14"/>
  <c r="AK204" i="14"/>
  <c r="AJ204" i="14"/>
  <c r="AI204" i="14"/>
  <c r="AH204" i="14"/>
  <c r="AZ203" i="14"/>
  <c r="AY203" i="14"/>
  <c r="AX203" i="14"/>
  <c r="AW203" i="14"/>
  <c r="AV203" i="14"/>
  <c r="AU203" i="14"/>
  <c r="AT203" i="14"/>
  <c r="AS203" i="14"/>
  <c r="AR203" i="14"/>
  <c r="AQ203" i="14"/>
  <c r="AP203" i="14"/>
  <c r="AO203" i="14"/>
  <c r="AN203" i="14"/>
  <c r="AM203" i="14"/>
  <c r="AL203" i="14"/>
  <c r="AK203" i="14"/>
  <c r="AJ203" i="14"/>
  <c r="AI203" i="14"/>
  <c r="AH203" i="14"/>
  <c r="Z203" i="14"/>
  <c r="BB158" i="14" s="1"/>
  <c r="BB203" i="14"/>
  <c r="Y203" i="14"/>
  <c r="BA203" i="14"/>
  <c r="AZ202" i="14"/>
  <c r="AY202" i="14"/>
  <c r="AX202" i="14"/>
  <c r="AW202" i="14"/>
  <c r="AV202" i="14"/>
  <c r="AU202" i="14"/>
  <c r="AT202" i="14"/>
  <c r="AS202" i="14"/>
  <c r="AQ202" i="14"/>
  <c r="AP202" i="14"/>
  <c r="AO202" i="14"/>
  <c r="AN202" i="14"/>
  <c r="AM202" i="14"/>
  <c r="AL202" i="14"/>
  <c r="AK202" i="14"/>
  <c r="AX201" i="14"/>
  <c r="AU201" i="14"/>
  <c r="AN201" i="14"/>
  <c r="AL201" i="14"/>
  <c r="AI201" i="14"/>
  <c r="AZ200" i="14"/>
  <c r="AY200" i="14"/>
  <c r="AX200" i="14"/>
  <c r="AW200" i="14"/>
  <c r="AV200" i="14"/>
  <c r="AU200" i="14"/>
  <c r="AT200" i="14"/>
  <c r="AS200" i="14"/>
  <c r="AR200" i="14"/>
  <c r="AQ200" i="14"/>
  <c r="AP200" i="14"/>
  <c r="AO200" i="14"/>
  <c r="AN200" i="14"/>
  <c r="AM200" i="14"/>
  <c r="AL200" i="14"/>
  <c r="AK200" i="14"/>
  <c r="AJ200" i="14"/>
  <c r="AI200" i="14"/>
  <c r="AH200" i="14"/>
  <c r="Z200" i="14"/>
  <c r="BB200" i="14" s="1"/>
  <c r="Y200" i="14"/>
  <c r="AZ199" i="14"/>
  <c r="AY199" i="14"/>
  <c r="AX199" i="14"/>
  <c r="AW199" i="14"/>
  <c r="AV199" i="14"/>
  <c r="AU199" i="14"/>
  <c r="AT199" i="14"/>
  <c r="AS199" i="14"/>
  <c r="AR199" i="14"/>
  <c r="AQ199" i="14"/>
  <c r="AP199" i="14"/>
  <c r="AO199" i="14"/>
  <c r="AN199" i="14"/>
  <c r="AM199" i="14"/>
  <c r="AL199" i="14"/>
  <c r="AK199" i="14"/>
  <c r="AJ199" i="14"/>
  <c r="AI199" i="14"/>
  <c r="AH199" i="14"/>
  <c r="Z199" i="14"/>
  <c r="BB199" i="14" s="1"/>
  <c r="Y199" i="14"/>
  <c r="AZ198" i="14"/>
  <c r="AY198" i="14"/>
  <c r="AX198" i="14"/>
  <c r="AW198" i="14"/>
  <c r="AV198" i="14"/>
  <c r="AU198" i="14"/>
  <c r="AT198" i="14"/>
  <c r="AS198" i="14"/>
  <c r="AR198" i="14"/>
  <c r="AQ198" i="14"/>
  <c r="AP198" i="14"/>
  <c r="AO198" i="14"/>
  <c r="AN198" i="14"/>
  <c r="AM198" i="14"/>
  <c r="AL198" i="14"/>
  <c r="AK198" i="14"/>
  <c r="AJ198" i="14"/>
  <c r="AI198" i="14"/>
  <c r="AH198" i="14"/>
  <c r="Z198" i="14"/>
  <c r="Y198" i="14"/>
  <c r="Y153" i="14" s="1"/>
  <c r="Y197" i="14"/>
  <c r="BA197" i="14" s="1"/>
  <c r="AZ197" i="14"/>
  <c r="AY197" i="14"/>
  <c r="AX197" i="14"/>
  <c r="AW197" i="14"/>
  <c r="AV197" i="14"/>
  <c r="AU197" i="14"/>
  <c r="AT197" i="14"/>
  <c r="AS197" i="14"/>
  <c r="AR197" i="14"/>
  <c r="AQ197" i="14"/>
  <c r="AP197" i="14"/>
  <c r="AO197" i="14"/>
  <c r="AN197" i="14"/>
  <c r="AM197" i="14"/>
  <c r="AL197" i="14"/>
  <c r="AK197" i="14"/>
  <c r="AJ197" i="14"/>
  <c r="AI197" i="14"/>
  <c r="AH197" i="14"/>
  <c r="Z197" i="14"/>
  <c r="BB197" i="14" s="1"/>
  <c r="Y196" i="14"/>
  <c r="AZ196" i="14"/>
  <c r="AY196" i="14"/>
  <c r="AX196" i="14"/>
  <c r="AW196" i="14"/>
  <c r="AV196" i="14"/>
  <c r="AU196" i="14"/>
  <c r="AT196" i="14"/>
  <c r="AS196" i="14"/>
  <c r="AR196" i="14"/>
  <c r="AQ196" i="14"/>
  <c r="AP196" i="14"/>
  <c r="AO196" i="14"/>
  <c r="AN196" i="14"/>
  <c r="AM196" i="14"/>
  <c r="AL196" i="14"/>
  <c r="AK196" i="14"/>
  <c r="AJ196" i="14"/>
  <c r="AI196" i="14"/>
  <c r="AH196" i="14"/>
  <c r="Z196" i="14"/>
  <c r="BB196" i="14"/>
  <c r="AZ195" i="14"/>
  <c r="AY195" i="14"/>
  <c r="AX195" i="14"/>
  <c r="AW195" i="14"/>
  <c r="AV195" i="14"/>
  <c r="AU195" i="14"/>
  <c r="AT195" i="14"/>
  <c r="AS195" i="14"/>
  <c r="AR195" i="14"/>
  <c r="AQ195" i="14"/>
  <c r="AP195" i="14"/>
  <c r="AO195" i="14"/>
  <c r="AN195" i="14"/>
  <c r="AM195" i="14"/>
  <c r="AL195" i="14"/>
  <c r="AK195" i="14"/>
  <c r="AJ195" i="14"/>
  <c r="AI195" i="14"/>
  <c r="AH195" i="14"/>
  <c r="Z195" i="14"/>
  <c r="BB195" i="14" s="1"/>
  <c r="Y195" i="14"/>
  <c r="Y150" i="14" s="1"/>
  <c r="AZ194" i="14"/>
  <c r="AY194" i="14"/>
  <c r="AX194" i="14"/>
  <c r="AW194" i="14"/>
  <c r="AV194" i="14"/>
  <c r="AU194" i="14"/>
  <c r="AT194" i="14"/>
  <c r="AS194" i="14"/>
  <c r="AR194" i="14"/>
  <c r="AQ194" i="14"/>
  <c r="AP194" i="14"/>
  <c r="AO194" i="14"/>
  <c r="AN194" i="14"/>
  <c r="AM194" i="14"/>
  <c r="AL194" i="14"/>
  <c r="AK194" i="14"/>
  <c r="AJ194" i="14"/>
  <c r="AI194" i="14"/>
  <c r="AH194" i="14"/>
  <c r="Z194" i="14"/>
  <c r="BB149" i="14" s="1"/>
  <c r="Y194" i="14"/>
  <c r="Y149" i="14" s="1"/>
  <c r="W193" i="14"/>
  <c r="AY193" i="14" s="1"/>
  <c r="V193" i="14"/>
  <c r="AX193" i="14"/>
  <c r="U193" i="14"/>
  <c r="AW193" i="14" s="1"/>
  <c r="T193" i="14"/>
  <c r="AV148" i="14" s="1"/>
  <c r="S193" i="14"/>
  <c r="AU193" i="14" s="1"/>
  <c r="R193" i="14"/>
  <c r="AT193" i="14"/>
  <c r="Q193" i="14"/>
  <c r="AS193" i="14" s="1"/>
  <c r="P193" i="14"/>
  <c r="AR148" i="14" s="1"/>
  <c r="O193" i="14"/>
  <c r="AQ193" i="14" s="1"/>
  <c r="N193" i="14"/>
  <c r="N148" i="14" s="1"/>
  <c r="AP193" i="14"/>
  <c r="M193" i="14"/>
  <c r="AO193" i="14" s="1"/>
  <c r="L193" i="14"/>
  <c r="AN193" i="14" s="1"/>
  <c r="K193" i="14"/>
  <c r="AM193" i="14" s="1"/>
  <c r="J193" i="14"/>
  <c r="AL148" i="14" s="1"/>
  <c r="AL193" i="14"/>
  <c r="I193" i="14"/>
  <c r="AK193" i="14" s="1"/>
  <c r="H193" i="14"/>
  <c r="H148" i="14" s="1"/>
  <c r="G193" i="14"/>
  <c r="AI193" i="14" s="1"/>
  <c r="F193" i="14"/>
  <c r="I192" i="14"/>
  <c r="AK192" i="14" s="1"/>
  <c r="S192" i="14"/>
  <c r="AU192" i="14" s="1"/>
  <c r="P192" i="14"/>
  <c r="O192" i="14"/>
  <c r="AQ192" i="14"/>
  <c r="N192" i="14"/>
  <c r="AP192" i="14" s="1"/>
  <c r="K192" i="14"/>
  <c r="AM192" i="14"/>
  <c r="H192" i="14"/>
  <c r="AJ192" i="14" s="1"/>
  <c r="G192" i="14"/>
  <c r="AI147" i="14" s="1"/>
  <c r="F192" i="14"/>
  <c r="AH147" i="14"/>
  <c r="U191" i="14"/>
  <c r="AW146" i="14" s="1"/>
  <c r="Q191" i="14"/>
  <c r="AS191" i="14"/>
  <c r="L191" i="14"/>
  <c r="L146" i="14" s="1"/>
  <c r="I191" i="14"/>
  <c r="AK191" i="14"/>
  <c r="X191" i="14"/>
  <c r="W191" i="14"/>
  <c r="AY191" i="14" s="1"/>
  <c r="V191" i="14"/>
  <c r="T191" i="14"/>
  <c r="R191" i="14"/>
  <c r="P191" i="14"/>
  <c r="AR191" i="14" s="1"/>
  <c r="O191" i="14"/>
  <c r="M191" i="14"/>
  <c r="AO191" i="14"/>
  <c r="H191" i="14"/>
  <c r="G191" i="14"/>
  <c r="AI191" i="14"/>
  <c r="F191" i="14"/>
  <c r="AH146" i="14" s="1"/>
  <c r="AN190" i="14"/>
  <c r="Q189" i="14"/>
  <c r="AS189" i="14" s="1"/>
  <c r="I189" i="14"/>
  <c r="I144" i="14" s="1"/>
  <c r="X189" i="14"/>
  <c r="AZ189" i="14"/>
  <c r="W189" i="14"/>
  <c r="AY144" i="14" s="1"/>
  <c r="V189" i="14"/>
  <c r="AX189" i="14" s="1"/>
  <c r="U189" i="14"/>
  <c r="T189" i="14"/>
  <c r="AV189" i="14"/>
  <c r="S189" i="14"/>
  <c r="R189" i="14"/>
  <c r="AT189" i="14"/>
  <c r="P189" i="14"/>
  <c r="O189" i="14"/>
  <c r="AQ189" i="14"/>
  <c r="N189" i="14"/>
  <c r="AP144" i="14" s="1"/>
  <c r="M189" i="14"/>
  <c r="AO189" i="14" s="1"/>
  <c r="L189" i="14"/>
  <c r="K189" i="14"/>
  <c r="AM189" i="14" s="1"/>
  <c r="J189" i="14"/>
  <c r="AL189" i="14" s="1"/>
  <c r="H189" i="14"/>
  <c r="AJ189" i="14" s="1"/>
  <c r="G189" i="14"/>
  <c r="F189" i="14"/>
  <c r="X188" i="14"/>
  <c r="X143" i="14" s="1"/>
  <c r="AZ188" i="14"/>
  <c r="T188" i="14"/>
  <c r="AV188" i="14" s="1"/>
  <c r="P188" i="14"/>
  <c r="AR188" i="14" s="1"/>
  <c r="L188" i="14"/>
  <c r="AN188" i="14" s="1"/>
  <c r="H188" i="14"/>
  <c r="H143" i="14" s="1"/>
  <c r="AJ188" i="14"/>
  <c r="W188" i="14"/>
  <c r="AY143" i="14" s="1"/>
  <c r="V188" i="14"/>
  <c r="U188" i="14"/>
  <c r="AW143" i="14"/>
  <c r="S188" i="14"/>
  <c r="AU143" i="14" s="1"/>
  <c r="R188" i="14"/>
  <c r="AT188" i="14"/>
  <c r="Q188" i="14"/>
  <c r="O188" i="14"/>
  <c r="AQ143" i="14" s="1"/>
  <c r="N188" i="14"/>
  <c r="N143" i="14" s="1"/>
  <c r="M188" i="14"/>
  <c r="AO143" i="14"/>
  <c r="K188" i="14"/>
  <c r="AM143" i="14" s="1"/>
  <c r="J188" i="14"/>
  <c r="AL188" i="14" s="1"/>
  <c r="I188" i="14"/>
  <c r="AK188" i="14" s="1"/>
  <c r="G188" i="14"/>
  <c r="AI143" i="14" s="1"/>
  <c r="F188" i="14"/>
  <c r="T187" i="14"/>
  <c r="T185" i="14" s="1"/>
  <c r="L187" i="14"/>
  <c r="L185" i="14" s="1"/>
  <c r="X187" i="14"/>
  <c r="AZ187" i="14"/>
  <c r="W187" i="14"/>
  <c r="V187" i="14"/>
  <c r="U187" i="14"/>
  <c r="U185" i="14"/>
  <c r="AW185" i="14" s="1"/>
  <c r="S187" i="14"/>
  <c r="AU187" i="14"/>
  <c r="R187" i="14"/>
  <c r="Q187" i="14"/>
  <c r="Q185" i="14" s="1"/>
  <c r="P187" i="14"/>
  <c r="AR187" i="14" s="1"/>
  <c r="O187" i="14"/>
  <c r="N187" i="14"/>
  <c r="AP142" i="14" s="1"/>
  <c r="M187" i="14"/>
  <c r="AO187" i="14" s="1"/>
  <c r="M185" i="14"/>
  <c r="AO185" i="14" s="1"/>
  <c r="K187" i="14"/>
  <c r="AM187" i="14"/>
  <c r="J187" i="14"/>
  <c r="I187" i="14"/>
  <c r="H187" i="14"/>
  <c r="H185" i="14" s="1"/>
  <c r="AJ187" i="14"/>
  <c r="G187" i="14"/>
  <c r="F187" i="14"/>
  <c r="X185" i="14"/>
  <c r="X140" i="14" s="1"/>
  <c r="AZ185" i="14"/>
  <c r="AZ180" i="14"/>
  <c r="AY180" i="14"/>
  <c r="AX180" i="14"/>
  <c r="AW180" i="14"/>
  <c r="AV180" i="14"/>
  <c r="AU180" i="14"/>
  <c r="AT180" i="14"/>
  <c r="AS180" i="14"/>
  <c r="AR180" i="14"/>
  <c r="AQ180" i="14"/>
  <c r="AP180" i="14"/>
  <c r="AO180" i="14"/>
  <c r="AN180" i="14"/>
  <c r="AM180" i="14"/>
  <c r="AL180" i="14"/>
  <c r="AK180" i="14"/>
  <c r="AJ180" i="14"/>
  <c r="AI180" i="14"/>
  <c r="AH180" i="14"/>
  <c r="X180" i="14"/>
  <c r="W180" i="14"/>
  <c r="V180" i="14"/>
  <c r="U180" i="14"/>
  <c r="T180" i="14"/>
  <c r="S180" i="14"/>
  <c r="R180" i="14"/>
  <c r="Q180" i="14"/>
  <c r="P180" i="14"/>
  <c r="O180" i="14"/>
  <c r="N180" i="14"/>
  <c r="M180" i="14"/>
  <c r="L180" i="14"/>
  <c r="I180" i="14"/>
  <c r="AZ179" i="14"/>
  <c r="AY179" i="14"/>
  <c r="AX179" i="14"/>
  <c r="AW179" i="14"/>
  <c r="AV179" i="14"/>
  <c r="AU179" i="14"/>
  <c r="AT179" i="14"/>
  <c r="AS179" i="14"/>
  <c r="AQ179" i="14"/>
  <c r="AP179" i="14"/>
  <c r="AO179" i="14"/>
  <c r="AN179" i="14"/>
  <c r="AM179" i="14"/>
  <c r="AL179" i="14"/>
  <c r="AK179" i="14"/>
  <c r="AJ179" i="14"/>
  <c r="AI179" i="14"/>
  <c r="AH179" i="14"/>
  <c r="X179" i="14"/>
  <c r="W179" i="14"/>
  <c r="V179" i="14"/>
  <c r="U179" i="14"/>
  <c r="T179" i="14"/>
  <c r="S179" i="14"/>
  <c r="R179" i="14"/>
  <c r="Q179" i="14"/>
  <c r="O179" i="14"/>
  <c r="N179" i="14"/>
  <c r="M179" i="14"/>
  <c r="L179" i="14"/>
  <c r="I179" i="14"/>
  <c r="BA178" i="14"/>
  <c r="AZ178" i="14"/>
  <c r="AY178" i="14"/>
  <c r="AX178" i="14"/>
  <c r="AW178" i="14"/>
  <c r="AV178" i="14"/>
  <c r="AU178" i="14"/>
  <c r="AT178" i="14"/>
  <c r="AS178" i="14"/>
  <c r="AR178" i="14"/>
  <c r="AQ178" i="14"/>
  <c r="AP178" i="14"/>
  <c r="AO178" i="14"/>
  <c r="AN178" i="14"/>
  <c r="AM178" i="14"/>
  <c r="AL178" i="14"/>
  <c r="AK178" i="14"/>
  <c r="AJ178" i="14"/>
  <c r="AI178" i="14"/>
  <c r="AH178" i="14"/>
  <c r="Y178" i="14"/>
  <c r="X178" i="14"/>
  <c r="W178" i="14"/>
  <c r="V178" i="14"/>
  <c r="U178" i="14"/>
  <c r="T178" i="14"/>
  <c r="S178" i="14"/>
  <c r="R178" i="14"/>
  <c r="Q178" i="14"/>
  <c r="P178" i="14"/>
  <c r="O178" i="14"/>
  <c r="N178" i="14"/>
  <c r="M178" i="14"/>
  <c r="L178" i="14"/>
  <c r="I178" i="14"/>
  <c r="AZ177" i="14"/>
  <c r="AY177" i="14"/>
  <c r="AX177" i="14"/>
  <c r="AW177" i="14"/>
  <c r="AV177" i="14"/>
  <c r="AU177" i="14"/>
  <c r="AT177" i="14"/>
  <c r="AS177" i="14"/>
  <c r="AR177" i="14"/>
  <c r="AQ177" i="14"/>
  <c r="AP177" i="14"/>
  <c r="AO177" i="14"/>
  <c r="AN177" i="14"/>
  <c r="AM177" i="14"/>
  <c r="AL177" i="14"/>
  <c r="AK177" i="14"/>
  <c r="X177" i="14"/>
  <c r="W177" i="14"/>
  <c r="V177" i="14"/>
  <c r="U177" i="14"/>
  <c r="T177" i="14"/>
  <c r="S177" i="14"/>
  <c r="R177" i="14"/>
  <c r="Q177" i="14"/>
  <c r="P177" i="14"/>
  <c r="O177" i="14"/>
  <c r="N177" i="14"/>
  <c r="M177" i="14"/>
  <c r="L177" i="14"/>
  <c r="I177" i="14"/>
  <c r="AZ176" i="14"/>
  <c r="AY176" i="14"/>
  <c r="AX176" i="14"/>
  <c r="AW176" i="14"/>
  <c r="AV176" i="14"/>
  <c r="AU176" i="14"/>
  <c r="AT176" i="14"/>
  <c r="AS176" i="14"/>
  <c r="AR176" i="14"/>
  <c r="AQ176" i="14"/>
  <c r="AP176" i="14"/>
  <c r="AO176" i="14"/>
  <c r="AN176" i="14"/>
  <c r="AM176" i="14"/>
  <c r="AL176" i="14"/>
  <c r="AK176" i="14"/>
  <c r="Z176" i="14"/>
  <c r="X176" i="14"/>
  <c r="W176" i="14"/>
  <c r="V176" i="14"/>
  <c r="U176" i="14"/>
  <c r="T176" i="14"/>
  <c r="S176" i="14"/>
  <c r="R176" i="14"/>
  <c r="Q176" i="14"/>
  <c r="P176" i="14"/>
  <c r="O176" i="14"/>
  <c r="N176" i="14"/>
  <c r="M176" i="14"/>
  <c r="L176" i="14"/>
  <c r="I176" i="14"/>
  <c r="AZ175" i="14"/>
  <c r="AY175" i="14"/>
  <c r="AX175" i="14"/>
  <c r="AW175" i="14"/>
  <c r="AV175" i="14"/>
  <c r="AU175" i="14"/>
  <c r="AT175" i="14"/>
  <c r="AS175" i="14"/>
  <c r="AR175" i="14"/>
  <c r="AQ175" i="14"/>
  <c r="AP175" i="14"/>
  <c r="AO175" i="14"/>
  <c r="AN175" i="14"/>
  <c r="AM175" i="14"/>
  <c r="AL175" i="14"/>
  <c r="AK175" i="14"/>
  <c r="AJ175" i="14"/>
  <c r="AI175" i="14"/>
  <c r="AH175" i="14"/>
  <c r="X175" i="14"/>
  <c r="W175" i="14"/>
  <c r="V175" i="14"/>
  <c r="U175" i="14"/>
  <c r="T175" i="14"/>
  <c r="S175" i="14"/>
  <c r="R175" i="14"/>
  <c r="Q175" i="14"/>
  <c r="P175" i="14"/>
  <c r="O175" i="14"/>
  <c r="N175" i="14"/>
  <c r="M175" i="14"/>
  <c r="L175" i="14"/>
  <c r="K175" i="14"/>
  <c r="I175" i="14"/>
  <c r="AY174" i="14"/>
  <c r="AX174" i="14"/>
  <c r="AW174" i="14"/>
  <c r="AV174" i="14"/>
  <c r="AU174" i="14"/>
  <c r="AT174" i="14"/>
  <c r="AP174" i="14"/>
  <c r="AN174" i="14"/>
  <c r="AL174" i="14"/>
  <c r="AJ174" i="14"/>
  <c r="AI174" i="14"/>
  <c r="AH174" i="14"/>
  <c r="W174" i="14"/>
  <c r="V174" i="14"/>
  <c r="U174" i="14"/>
  <c r="T174" i="14"/>
  <c r="S174" i="14"/>
  <c r="R174" i="14"/>
  <c r="N174" i="14"/>
  <c r="L174" i="14"/>
  <c r="K174" i="14"/>
  <c r="I174" i="14"/>
  <c r="AZ173" i="14"/>
  <c r="AY173" i="14"/>
  <c r="AX173" i="14"/>
  <c r="AU173" i="14"/>
  <c r="AT173" i="14"/>
  <c r="AS173" i="14"/>
  <c r="AQ173" i="14"/>
  <c r="AP173" i="14"/>
  <c r="AN173" i="14"/>
  <c r="AL173" i="14"/>
  <c r="AK173" i="14"/>
  <c r="AJ173" i="14"/>
  <c r="AI173" i="14"/>
  <c r="AH173" i="14"/>
  <c r="X173" i="14"/>
  <c r="W173" i="14"/>
  <c r="V173" i="14"/>
  <c r="S173" i="14"/>
  <c r="R173" i="14"/>
  <c r="Q173" i="14"/>
  <c r="O173" i="14"/>
  <c r="N173" i="14"/>
  <c r="L173" i="14"/>
  <c r="K173" i="14"/>
  <c r="I173" i="14"/>
  <c r="AZ172" i="14"/>
  <c r="AY172" i="14"/>
  <c r="AX172" i="14"/>
  <c r="AW172" i="14"/>
  <c r="AV172" i="14"/>
  <c r="AU172" i="14"/>
  <c r="AS172" i="14"/>
  <c r="AN172" i="14"/>
  <c r="AJ172" i="14"/>
  <c r="AI172" i="14"/>
  <c r="X172" i="14"/>
  <c r="W172" i="14"/>
  <c r="V172" i="14"/>
  <c r="U172" i="14"/>
  <c r="T172" i="14"/>
  <c r="S172" i="14"/>
  <c r="R172" i="14"/>
  <c r="Q172" i="14"/>
  <c r="L172" i="14"/>
  <c r="K172" i="14"/>
  <c r="I172" i="14"/>
  <c r="AZ171" i="14"/>
  <c r="AX171" i="14"/>
  <c r="AW171" i="14"/>
  <c r="AV171" i="14"/>
  <c r="AU171" i="14"/>
  <c r="AT171" i="14"/>
  <c r="AS171" i="14"/>
  <c r="AR171" i="14"/>
  <c r="AQ171" i="14"/>
  <c r="AP171" i="14"/>
  <c r="AN171" i="14"/>
  <c r="AL171" i="14"/>
  <c r="AI171" i="14"/>
  <c r="X171" i="14"/>
  <c r="V171" i="14"/>
  <c r="U171" i="14"/>
  <c r="T171" i="14"/>
  <c r="S171" i="14"/>
  <c r="R171" i="14"/>
  <c r="Q171" i="14"/>
  <c r="P171" i="14"/>
  <c r="O171" i="14"/>
  <c r="N171" i="14"/>
  <c r="L171" i="14"/>
  <c r="K171" i="14"/>
  <c r="I171" i="14"/>
  <c r="BC170" i="14"/>
  <c r="BB170" i="14"/>
  <c r="BA170" i="14"/>
  <c r="AZ170" i="14"/>
  <c r="AY170" i="14"/>
  <c r="AX170" i="14"/>
  <c r="AW170" i="14"/>
  <c r="AV170" i="14"/>
  <c r="AU170" i="14"/>
  <c r="AT170" i="14"/>
  <c r="AS170" i="14"/>
  <c r="AR170" i="14"/>
  <c r="AQ170" i="14"/>
  <c r="AP170" i="14"/>
  <c r="AO170" i="14"/>
  <c r="AN170" i="14"/>
  <c r="AM170" i="14"/>
  <c r="AL170" i="14"/>
  <c r="AK170" i="14"/>
  <c r="AJ170" i="14"/>
  <c r="AI170" i="14"/>
  <c r="AH170" i="14"/>
  <c r="Z170" i="14"/>
  <c r="Y170" i="14"/>
  <c r="X170" i="14"/>
  <c r="W170" i="14"/>
  <c r="V170" i="14"/>
  <c r="U170" i="14"/>
  <c r="T170" i="14"/>
  <c r="S170" i="14"/>
  <c r="R170" i="14"/>
  <c r="Q170" i="14"/>
  <c r="P170" i="14"/>
  <c r="O170" i="14"/>
  <c r="N170" i="14"/>
  <c r="M170" i="14"/>
  <c r="L170" i="14"/>
  <c r="K170" i="14"/>
  <c r="J170" i="14"/>
  <c r="I170" i="14"/>
  <c r="H170" i="14"/>
  <c r="G170" i="14"/>
  <c r="F170" i="14"/>
  <c r="BB169" i="14"/>
  <c r="AZ169" i="14"/>
  <c r="AY169" i="14"/>
  <c r="AX169" i="14"/>
  <c r="AW169" i="14"/>
  <c r="AV169" i="14"/>
  <c r="AU169" i="14"/>
  <c r="AT169" i="14"/>
  <c r="AS169" i="14"/>
  <c r="AR169" i="14"/>
  <c r="AQ169" i="14"/>
  <c r="AP169" i="14"/>
  <c r="AO169" i="14"/>
  <c r="AN169" i="14"/>
  <c r="AM169" i="14"/>
  <c r="AL169" i="14"/>
  <c r="AK169" i="14"/>
  <c r="AJ169" i="14"/>
  <c r="AI169" i="14"/>
  <c r="AH169" i="14"/>
  <c r="Z169" i="14"/>
  <c r="X169" i="14"/>
  <c r="W169" i="14"/>
  <c r="V169" i="14"/>
  <c r="U169" i="14"/>
  <c r="T169" i="14"/>
  <c r="S169" i="14"/>
  <c r="R169" i="14"/>
  <c r="Q169" i="14"/>
  <c r="P169" i="14"/>
  <c r="O169" i="14"/>
  <c r="N169" i="14"/>
  <c r="M169" i="14"/>
  <c r="L169" i="14"/>
  <c r="K169" i="14"/>
  <c r="J169" i="14"/>
  <c r="I169" i="14"/>
  <c r="H169" i="14"/>
  <c r="G169" i="14"/>
  <c r="F169" i="14"/>
  <c r="BB168" i="14"/>
  <c r="AZ168" i="14"/>
  <c r="AY168" i="14"/>
  <c r="AX168" i="14"/>
  <c r="AW168" i="14"/>
  <c r="AV168" i="14"/>
  <c r="AU168" i="14"/>
  <c r="AT168" i="14"/>
  <c r="AS168" i="14"/>
  <c r="AR168" i="14"/>
  <c r="AQ168" i="14"/>
  <c r="AP168" i="14"/>
  <c r="AO168" i="14"/>
  <c r="AN168" i="14"/>
  <c r="AM168" i="14"/>
  <c r="AL168" i="14"/>
  <c r="AK168" i="14"/>
  <c r="AJ168" i="14"/>
  <c r="AI168" i="14"/>
  <c r="AH168" i="14"/>
  <c r="X168" i="14"/>
  <c r="W168" i="14"/>
  <c r="V168" i="14"/>
  <c r="U168" i="14"/>
  <c r="T168" i="14"/>
  <c r="S168" i="14"/>
  <c r="R168" i="14"/>
  <c r="Q168" i="14"/>
  <c r="P168" i="14"/>
  <c r="O168" i="14"/>
  <c r="N168" i="14"/>
  <c r="M168" i="14"/>
  <c r="L168" i="14"/>
  <c r="K168" i="14"/>
  <c r="J168" i="14"/>
  <c r="I168" i="14"/>
  <c r="H168" i="14"/>
  <c r="G168" i="14"/>
  <c r="F168" i="14"/>
  <c r="AZ167" i="14"/>
  <c r="AY167" i="14"/>
  <c r="AX167" i="14"/>
  <c r="AW167" i="14"/>
  <c r="AV167" i="14"/>
  <c r="AU167" i="14"/>
  <c r="AT167" i="14"/>
  <c r="AS167" i="14"/>
  <c r="AR167" i="14"/>
  <c r="AQ167" i="14"/>
  <c r="AP167" i="14"/>
  <c r="AO167" i="14"/>
  <c r="AN167" i="14"/>
  <c r="AM167" i="14"/>
  <c r="AL167" i="14"/>
  <c r="AK167" i="14"/>
  <c r="AJ167" i="14"/>
  <c r="AI167" i="14"/>
  <c r="AH167" i="14"/>
  <c r="X167" i="14"/>
  <c r="W167" i="14"/>
  <c r="V167" i="14"/>
  <c r="U167" i="14"/>
  <c r="T167" i="14"/>
  <c r="S167" i="14"/>
  <c r="R167" i="14"/>
  <c r="Q167" i="14"/>
  <c r="P167" i="14"/>
  <c r="O167" i="14"/>
  <c r="N167" i="14"/>
  <c r="M167" i="14"/>
  <c r="L167" i="14"/>
  <c r="K167" i="14"/>
  <c r="J167" i="14"/>
  <c r="I167" i="14"/>
  <c r="H167" i="14"/>
  <c r="G167" i="14"/>
  <c r="F167" i="14"/>
  <c r="BB166" i="14"/>
  <c r="AZ166" i="14"/>
  <c r="AY166" i="14"/>
  <c r="AX166" i="14"/>
  <c r="AW166" i="14"/>
  <c r="AV166" i="14"/>
  <c r="AU166" i="14"/>
  <c r="AT166" i="14"/>
  <c r="AS166" i="14"/>
  <c r="AR166" i="14"/>
  <c r="AQ166" i="14"/>
  <c r="AP166" i="14"/>
  <c r="AO166" i="14"/>
  <c r="AN166" i="14"/>
  <c r="AM166" i="14"/>
  <c r="AL166" i="14"/>
  <c r="AK166" i="14"/>
  <c r="AJ166" i="14"/>
  <c r="AI166" i="14"/>
  <c r="AH166" i="14"/>
  <c r="Z166" i="14"/>
  <c r="X166" i="14"/>
  <c r="W166" i="14"/>
  <c r="V166" i="14"/>
  <c r="U166" i="14"/>
  <c r="T166" i="14"/>
  <c r="S166" i="14"/>
  <c r="R166" i="14"/>
  <c r="Q166" i="14"/>
  <c r="P166" i="14"/>
  <c r="O166" i="14"/>
  <c r="N166" i="14"/>
  <c r="M166" i="14"/>
  <c r="L166" i="14"/>
  <c r="K166" i="14"/>
  <c r="J166" i="14"/>
  <c r="I166" i="14"/>
  <c r="H166" i="14"/>
  <c r="G166" i="14"/>
  <c r="F166" i="14"/>
  <c r="AY165" i="14"/>
  <c r="AX165" i="14"/>
  <c r="AW165" i="14"/>
  <c r="AV165" i="14"/>
  <c r="AU165" i="14"/>
  <c r="AT165" i="14"/>
  <c r="AS165" i="14"/>
  <c r="AR165" i="14"/>
  <c r="AQ165" i="14"/>
  <c r="AP165" i="14"/>
  <c r="AO165" i="14"/>
  <c r="AN165" i="14"/>
  <c r="AM165" i="14"/>
  <c r="AL165" i="14"/>
  <c r="AK165" i="14"/>
  <c r="AJ165" i="14"/>
  <c r="AI165" i="14"/>
  <c r="AH165" i="14"/>
  <c r="Y165" i="14"/>
  <c r="W165" i="14"/>
  <c r="V165" i="14"/>
  <c r="U165" i="14"/>
  <c r="T165" i="14"/>
  <c r="S165" i="14"/>
  <c r="R165" i="14"/>
  <c r="Q165" i="14"/>
  <c r="P165" i="14"/>
  <c r="O165" i="14"/>
  <c r="N165" i="14"/>
  <c r="M165" i="14"/>
  <c r="L165" i="14"/>
  <c r="K165" i="14"/>
  <c r="J165" i="14"/>
  <c r="I165" i="14"/>
  <c r="H165" i="14"/>
  <c r="G165" i="14"/>
  <c r="F165" i="14"/>
  <c r="AZ164" i="14"/>
  <c r="AY164" i="14"/>
  <c r="AX164" i="14"/>
  <c r="AW164" i="14"/>
  <c r="AV164" i="14"/>
  <c r="AU164" i="14"/>
  <c r="AT164" i="14"/>
  <c r="AS164" i="14"/>
  <c r="AR164" i="14"/>
  <c r="AQ164" i="14"/>
  <c r="AP164" i="14"/>
  <c r="AO164" i="14"/>
  <c r="AM164" i="14"/>
  <c r="AL164" i="14"/>
  <c r="AK164" i="14"/>
  <c r="AJ164" i="14"/>
  <c r="AI164" i="14"/>
  <c r="AH164" i="14"/>
  <c r="X164" i="14"/>
  <c r="W164" i="14"/>
  <c r="V164" i="14"/>
  <c r="U164" i="14"/>
  <c r="T164" i="14"/>
  <c r="S164" i="14"/>
  <c r="R164" i="14"/>
  <c r="Q164" i="14"/>
  <c r="P164" i="14"/>
  <c r="O164" i="14"/>
  <c r="N164" i="14"/>
  <c r="M164" i="14"/>
  <c r="K164" i="14"/>
  <c r="J164" i="14"/>
  <c r="I164" i="14"/>
  <c r="H164" i="14"/>
  <c r="G164" i="14"/>
  <c r="F164" i="14"/>
  <c r="BA163" i="14"/>
  <c r="AU163" i="14"/>
  <c r="AR163" i="14"/>
  <c r="AQ163" i="14"/>
  <c r="AP163" i="14"/>
  <c r="AO163" i="14"/>
  <c r="AN163" i="14"/>
  <c r="AM163" i="14"/>
  <c r="AL163" i="14"/>
  <c r="AK163" i="14"/>
  <c r="AJ163" i="14"/>
  <c r="AI163" i="14"/>
  <c r="AH163" i="14"/>
  <c r="S163" i="14"/>
  <c r="P163" i="14"/>
  <c r="O163" i="14"/>
  <c r="N163" i="14"/>
  <c r="M163" i="14"/>
  <c r="L163" i="14"/>
  <c r="K163" i="14"/>
  <c r="J163" i="14"/>
  <c r="I163" i="14"/>
  <c r="H163" i="14"/>
  <c r="G163" i="14"/>
  <c r="F163" i="14"/>
  <c r="AZ162" i="14"/>
  <c r="AY162" i="14"/>
  <c r="AX162" i="14"/>
  <c r="AW162" i="14"/>
  <c r="AV162" i="14"/>
  <c r="AU162" i="14"/>
  <c r="AT162" i="14"/>
  <c r="AS162" i="14"/>
  <c r="AR162" i="14"/>
  <c r="AQ162" i="14"/>
  <c r="AP162" i="14"/>
  <c r="AN162" i="14"/>
  <c r="AM162" i="14"/>
  <c r="AK162" i="14"/>
  <c r="AJ162" i="14"/>
  <c r="AI162" i="14"/>
  <c r="AH162" i="14"/>
  <c r="X162" i="14"/>
  <c r="W162" i="14"/>
  <c r="V162" i="14"/>
  <c r="U162" i="14"/>
  <c r="T162" i="14"/>
  <c r="S162" i="14"/>
  <c r="R162" i="14"/>
  <c r="Q162" i="14"/>
  <c r="P162" i="14"/>
  <c r="O162" i="14"/>
  <c r="N162" i="14"/>
  <c r="M162" i="14"/>
  <c r="L162" i="14"/>
  <c r="K162" i="14"/>
  <c r="I162" i="14"/>
  <c r="H162" i="14"/>
  <c r="G162" i="14"/>
  <c r="F162" i="14"/>
  <c r="AZ161" i="14"/>
  <c r="AY161" i="14"/>
  <c r="AX161" i="14"/>
  <c r="AW161" i="14"/>
  <c r="AV161" i="14"/>
  <c r="AU161" i="14"/>
  <c r="AT161" i="14"/>
  <c r="AS161" i="14"/>
  <c r="AR161" i="14"/>
  <c r="AQ161" i="14"/>
  <c r="AP161" i="14"/>
  <c r="AO161" i="14"/>
  <c r="AN161" i="14"/>
  <c r="AM161" i="14"/>
  <c r="AL161" i="14"/>
  <c r="AK161" i="14"/>
  <c r="AJ161" i="14"/>
  <c r="AI161" i="14"/>
  <c r="AH161" i="14"/>
  <c r="X161" i="14"/>
  <c r="W161" i="14"/>
  <c r="V161" i="14"/>
  <c r="U161" i="14"/>
  <c r="T161" i="14"/>
  <c r="S161" i="14"/>
  <c r="R161" i="14"/>
  <c r="Q161" i="14"/>
  <c r="P161" i="14"/>
  <c r="O161" i="14"/>
  <c r="N161" i="14"/>
  <c r="M161" i="14"/>
  <c r="L161" i="14"/>
  <c r="K161" i="14"/>
  <c r="J161" i="14"/>
  <c r="I161" i="14"/>
  <c r="H161" i="14"/>
  <c r="G161" i="14"/>
  <c r="F161" i="14"/>
  <c r="AY160" i="14"/>
  <c r="AW160" i="14"/>
  <c r="AT160" i="14"/>
  <c r="AS160" i="14"/>
  <c r="AR160" i="14"/>
  <c r="AQ160" i="14"/>
  <c r="AP160" i="14"/>
  <c r="AO160" i="14"/>
  <c r="AN160" i="14"/>
  <c r="AK160" i="14"/>
  <c r="AJ160" i="14"/>
  <c r="AI160" i="14"/>
  <c r="AH160" i="14"/>
  <c r="W160" i="14"/>
  <c r="U160" i="14"/>
  <c r="R160" i="14"/>
  <c r="Q160" i="14"/>
  <c r="P160" i="14"/>
  <c r="O160" i="14"/>
  <c r="N160" i="14"/>
  <c r="M160" i="14"/>
  <c r="L160" i="14"/>
  <c r="I160" i="14"/>
  <c r="H160" i="14"/>
  <c r="G160" i="14"/>
  <c r="F160" i="14"/>
  <c r="AZ159" i="14"/>
  <c r="AY159" i="14"/>
  <c r="AX159" i="14"/>
  <c r="AW159" i="14"/>
  <c r="AV159" i="14"/>
  <c r="AU159" i="14"/>
  <c r="AT159" i="14"/>
  <c r="AS159" i="14"/>
  <c r="AR159" i="14"/>
  <c r="AQ159" i="14"/>
  <c r="AO159" i="14"/>
  <c r="AN159" i="14"/>
  <c r="AK159" i="14"/>
  <c r="AJ159" i="14"/>
  <c r="AI159" i="14"/>
  <c r="AH159" i="14"/>
  <c r="X159" i="14"/>
  <c r="W159" i="14"/>
  <c r="U159" i="14"/>
  <c r="T159" i="14"/>
  <c r="S159" i="14"/>
  <c r="R159" i="14"/>
  <c r="Q159" i="14"/>
  <c r="P159" i="14"/>
  <c r="O159" i="14"/>
  <c r="M159" i="14"/>
  <c r="L159" i="14"/>
  <c r="I159" i="14"/>
  <c r="H159" i="14"/>
  <c r="G159" i="14"/>
  <c r="BA158" i="14"/>
  <c r="AZ158" i="14"/>
  <c r="AY158" i="14"/>
  <c r="AX158" i="14"/>
  <c r="AW158" i="14"/>
  <c r="AV158" i="14"/>
  <c r="AU158" i="14"/>
  <c r="AT158" i="14"/>
  <c r="AS158" i="14"/>
  <c r="AR158" i="14"/>
  <c r="AQ158" i="14"/>
  <c r="AP158" i="14"/>
  <c r="AO158" i="14"/>
  <c r="AN158" i="14"/>
  <c r="AM158" i="14"/>
  <c r="AL158" i="14"/>
  <c r="AK158" i="14"/>
  <c r="AJ158" i="14"/>
  <c r="AI158" i="14"/>
  <c r="AH158" i="14"/>
  <c r="AB158" i="14"/>
  <c r="Z158" i="14"/>
  <c r="Y158" i="14"/>
  <c r="X158" i="14"/>
  <c r="W158" i="14"/>
  <c r="V158" i="14"/>
  <c r="U158" i="14"/>
  <c r="T158" i="14"/>
  <c r="S158" i="14"/>
  <c r="R158" i="14"/>
  <c r="Q158" i="14"/>
  <c r="P158" i="14"/>
  <c r="O158" i="14"/>
  <c r="N158" i="14"/>
  <c r="M158" i="14"/>
  <c r="L158" i="14"/>
  <c r="K158" i="14"/>
  <c r="J158" i="14"/>
  <c r="I158" i="14"/>
  <c r="H158" i="14"/>
  <c r="G158" i="14"/>
  <c r="F158" i="14"/>
  <c r="AZ157" i="14"/>
  <c r="AY157" i="14"/>
  <c r="AX157" i="14"/>
  <c r="AW157" i="14"/>
  <c r="AV157" i="14"/>
  <c r="AU157" i="14"/>
  <c r="AT157" i="14"/>
  <c r="AS157" i="14"/>
  <c r="AQ157" i="14"/>
  <c r="AP157" i="14"/>
  <c r="AO157" i="14"/>
  <c r="AN157" i="14"/>
  <c r="AM157" i="14"/>
  <c r="AL157" i="14"/>
  <c r="AK157" i="14"/>
  <c r="AB157" i="14"/>
  <c r="X157" i="14"/>
  <c r="W157" i="14"/>
  <c r="V157" i="14"/>
  <c r="U157" i="14"/>
  <c r="T157" i="14"/>
  <c r="S157" i="14"/>
  <c r="R157" i="14"/>
  <c r="Q157" i="14"/>
  <c r="O157" i="14"/>
  <c r="N157" i="14"/>
  <c r="M157" i="14"/>
  <c r="L157" i="14"/>
  <c r="K157" i="14"/>
  <c r="K178" i="14" s="1"/>
  <c r="J157" i="14"/>
  <c r="J180" i="14" s="1"/>
  <c r="AU156" i="14"/>
  <c r="AO156" i="14"/>
  <c r="AN156" i="14"/>
  <c r="AM156" i="14"/>
  <c r="AL156" i="14"/>
  <c r="AI156" i="14"/>
  <c r="S156" i="14"/>
  <c r="L156" i="14"/>
  <c r="J156" i="14"/>
  <c r="J175" i="14" s="1"/>
  <c r="H156" i="14"/>
  <c r="G156" i="14"/>
  <c r="G174" i="14" s="1"/>
  <c r="AZ155" i="14"/>
  <c r="AY155" i="14"/>
  <c r="AX155" i="14"/>
  <c r="AW155" i="14"/>
  <c r="AV155" i="14"/>
  <c r="AU155" i="14"/>
  <c r="AT155" i="14"/>
  <c r="AS155" i="14"/>
  <c r="AR155" i="14"/>
  <c r="AQ155" i="14"/>
  <c r="AP155" i="14"/>
  <c r="AO155" i="14"/>
  <c r="AN155" i="14"/>
  <c r="AM155" i="14"/>
  <c r="AL155" i="14"/>
  <c r="AK155" i="14"/>
  <c r="AJ155" i="14"/>
  <c r="AI155" i="14"/>
  <c r="AH155" i="14"/>
  <c r="Y155" i="14"/>
  <c r="X155" i="14"/>
  <c r="W155" i="14"/>
  <c r="V155" i="14"/>
  <c r="U155" i="14"/>
  <c r="T155" i="14"/>
  <c r="S155" i="14"/>
  <c r="R155" i="14"/>
  <c r="Q155" i="14"/>
  <c r="P155" i="14"/>
  <c r="O155" i="14"/>
  <c r="N155" i="14"/>
  <c r="M155" i="14"/>
  <c r="L155" i="14"/>
  <c r="K155" i="14"/>
  <c r="J155" i="14"/>
  <c r="I155" i="14"/>
  <c r="H155" i="14"/>
  <c r="G155" i="14"/>
  <c r="F155" i="14"/>
  <c r="BB154" i="14"/>
  <c r="AZ154" i="14"/>
  <c r="AY154" i="14"/>
  <c r="AX154" i="14"/>
  <c r="AW154" i="14"/>
  <c r="AV154" i="14"/>
  <c r="AU154" i="14"/>
  <c r="AT154" i="14"/>
  <c r="AS154" i="14"/>
  <c r="AR154" i="14"/>
  <c r="AQ154" i="14"/>
  <c r="AP154" i="14"/>
  <c r="AO154" i="14"/>
  <c r="AN154" i="14"/>
  <c r="AM154" i="14"/>
  <c r="AL154" i="14"/>
  <c r="AK154" i="14"/>
  <c r="AJ154" i="14"/>
  <c r="AI154" i="14"/>
  <c r="AH154" i="14"/>
  <c r="Z154" i="14"/>
  <c r="X154" i="14"/>
  <c r="W154" i="14"/>
  <c r="V154" i="14"/>
  <c r="U154" i="14"/>
  <c r="T154" i="14"/>
  <c r="S154" i="14"/>
  <c r="R154" i="14"/>
  <c r="Q154" i="14"/>
  <c r="P154" i="14"/>
  <c r="O154" i="14"/>
  <c r="N154" i="14"/>
  <c r="M154" i="14"/>
  <c r="L154" i="14"/>
  <c r="K154" i="14"/>
  <c r="J154" i="14"/>
  <c r="I154" i="14"/>
  <c r="H154" i="14"/>
  <c r="G154" i="14"/>
  <c r="F154" i="14"/>
  <c r="AZ153" i="14"/>
  <c r="AY153" i="14"/>
  <c r="AX153" i="14"/>
  <c r="AW153" i="14"/>
  <c r="AV153" i="14"/>
  <c r="AU153" i="14"/>
  <c r="AT153" i="14"/>
  <c r="AS153" i="14"/>
  <c r="AR153" i="14"/>
  <c r="AQ153" i="14"/>
  <c r="AP153" i="14"/>
  <c r="AO153" i="14"/>
  <c r="AN153" i="14"/>
  <c r="AM153" i="14"/>
  <c r="AL153" i="14"/>
  <c r="AK153" i="14"/>
  <c r="AJ153" i="14"/>
  <c r="AI153" i="14"/>
  <c r="AH153" i="14"/>
  <c r="X153" i="14"/>
  <c r="W153" i="14"/>
  <c r="V153" i="14"/>
  <c r="U153" i="14"/>
  <c r="T153" i="14"/>
  <c r="S153" i="14"/>
  <c r="R153" i="14"/>
  <c r="Q153" i="14"/>
  <c r="P153" i="14"/>
  <c r="O153" i="14"/>
  <c r="N153" i="14"/>
  <c r="M153" i="14"/>
  <c r="L153" i="14"/>
  <c r="K153" i="14"/>
  <c r="J153" i="14"/>
  <c r="I153" i="14"/>
  <c r="H153" i="14"/>
  <c r="G153" i="14"/>
  <c r="F153" i="14"/>
  <c r="BB152" i="14"/>
  <c r="BA152" i="14"/>
  <c r="AZ152" i="14"/>
  <c r="AY152" i="14"/>
  <c r="AX152" i="14"/>
  <c r="AW152" i="14"/>
  <c r="AV152" i="14"/>
  <c r="AU152" i="14"/>
  <c r="AT152" i="14"/>
  <c r="AS152" i="14"/>
  <c r="AR152" i="14"/>
  <c r="AQ152" i="14"/>
  <c r="AP152" i="14"/>
  <c r="AO152" i="14"/>
  <c r="AN152" i="14"/>
  <c r="AM152" i="14"/>
  <c r="AL152" i="14"/>
  <c r="AK152" i="14"/>
  <c r="AJ152" i="14"/>
  <c r="AI152" i="14"/>
  <c r="AH152" i="14"/>
  <c r="Y152" i="14"/>
  <c r="X152" i="14"/>
  <c r="W152" i="14"/>
  <c r="V152" i="14"/>
  <c r="U152" i="14"/>
  <c r="T152" i="14"/>
  <c r="S152" i="14"/>
  <c r="R152" i="14"/>
  <c r="Q152" i="14"/>
  <c r="P152" i="14"/>
  <c r="O152" i="14"/>
  <c r="N152" i="14"/>
  <c r="M152" i="14"/>
  <c r="L152" i="14"/>
  <c r="K152" i="14"/>
  <c r="J152" i="14"/>
  <c r="I152" i="14"/>
  <c r="H152" i="14"/>
  <c r="G152" i="14"/>
  <c r="F152" i="14"/>
  <c r="AZ151" i="14"/>
  <c r="AY151" i="14"/>
  <c r="AX151" i="14"/>
  <c r="AW151" i="14"/>
  <c r="AV151" i="14"/>
  <c r="AU151" i="14"/>
  <c r="AT151" i="14"/>
  <c r="AS151" i="14"/>
  <c r="AR151" i="14"/>
  <c r="AQ151" i="14"/>
  <c r="AP151" i="14"/>
  <c r="AO151" i="14"/>
  <c r="AN151" i="14"/>
  <c r="AM151" i="14"/>
  <c r="AL151" i="14"/>
  <c r="AK151" i="14"/>
  <c r="AJ151" i="14"/>
  <c r="AI151" i="14"/>
  <c r="AH151" i="14"/>
  <c r="X151" i="14"/>
  <c r="W151" i="14"/>
  <c r="V151" i="14"/>
  <c r="U151" i="14"/>
  <c r="T151" i="14"/>
  <c r="S151" i="14"/>
  <c r="R151" i="14"/>
  <c r="Q151" i="14"/>
  <c r="P151" i="14"/>
  <c r="O151" i="14"/>
  <c r="N151" i="14"/>
  <c r="M151" i="14"/>
  <c r="L151" i="14"/>
  <c r="K151" i="14"/>
  <c r="J151" i="14"/>
  <c r="I151" i="14"/>
  <c r="H151" i="14"/>
  <c r="G151" i="14"/>
  <c r="F151" i="14"/>
  <c r="BB150" i="14"/>
  <c r="AZ150" i="14"/>
  <c r="AY150" i="14"/>
  <c r="AX150" i="14"/>
  <c r="AW150" i="14"/>
  <c r="AV150" i="14"/>
  <c r="AU150" i="14"/>
  <c r="AT150" i="14"/>
  <c r="AS150" i="14"/>
  <c r="AR150" i="14"/>
  <c r="AQ150" i="14"/>
  <c r="AP150" i="14"/>
  <c r="AO150" i="14"/>
  <c r="AN150" i="14"/>
  <c r="AM150" i="14"/>
  <c r="AL150" i="14"/>
  <c r="AK150" i="14"/>
  <c r="AJ150" i="14"/>
  <c r="AI150" i="14"/>
  <c r="AH150" i="14"/>
  <c r="Z150" i="14"/>
  <c r="X150" i="14"/>
  <c r="W150" i="14"/>
  <c r="V150" i="14"/>
  <c r="U150" i="14"/>
  <c r="T150" i="14"/>
  <c r="S150" i="14"/>
  <c r="R150" i="14"/>
  <c r="Q150" i="14"/>
  <c r="P150" i="14"/>
  <c r="O150" i="14"/>
  <c r="N150" i="14"/>
  <c r="M150" i="14"/>
  <c r="L150" i="14"/>
  <c r="K150" i="14"/>
  <c r="J150" i="14"/>
  <c r="I150" i="14"/>
  <c r="H150" i="14"/>
  <c r="G150" i="14"/>
  <c r="F150" i="14"/>
  <c r="AZ149" i="14"/>
  <c r="AY149" i="14"/>
  <c r="AX149" i="14"/>
  <c r="AW149" i="14"/>
  <c r="AV149" i="14"/>
  <c r="AU149" i="14"/>
  <c r="AT149" i="14"/>
  <c r="AS149" i="14"/>
  <c r="AR149" i="14"/>
  <c r="AQ149" i="14"/>
  <c r="AP149" i="14"/>
  <c r="AO149" i="14"/>
  <c r="AN149" i="14"/>
  <c r="AM149" i="14"/>
  <c r="AL149" i="14"/>
  <c r="AK149" i="14"/>
  <c r="AJ149" i="14"/>
  <c r="AI149" i="14"/>
  <c r="AH149" i="14"/>
  <c r="X149" i="14"/>
  <c r="W149" i="14"/>
  <c r="V149" i="14"/>
  <c r="U149" i="14"/>
  <c r="T149" i="14"/>
  <c r="S149" i="14"/>
  <c r="R149" i="14"/>
  <c r="Q149" i="14"/>
  <c r="P149" i="14"/>
  <c r="O149" i="14"/>
  <c r="N149" i="14"/>
  <c r="M149" i="14"/>
  <c r="L149" i="14"/>
  <c r="K149" i="14"/>
  <c r="J149" i="14"/>
  <c r="I149" i="14"/>
  <c r="H149" i="14"/>
  <c r="G149" i="14"/>
  <c r="F149" i="14"/>
  <c r="AY148" i="14"/>
  <c r="AW148" i="14"/>
  <c r="AU148" i="14"/>
  <c r="AT148" i="14"/>
  <c r="AS148" i="14"/>
  <c r="AQ148" i="14"/>
  <c r="AP148" i="14"/>
  <c r="AO148" i="14"/>
  <c r="AK148" i="14"/>
  <c r="AI148" i="14"/>
  <c r="R148" i="14"/>
  <c r="Q148" i="14"/>
  <c r="M148" i="14"/>
  <c r="L148" i="14"/>
  <c r="I148" i="14"/>
  <c r="AP147" i="14"/>
  <c r="N147" i="14"/>
  <c r="AY146" i="14"/>
  <c r="AS146" i="14"/>
  <c r="AR146" i="14"/>
  <c r="AK146" i="14"/>
  <c r="U146" i="14"/>
  <c r="Q146" i="14"/>
  <c r="I146" i="14"/>
  <c r="F146" i="14"/>
  <c r="AN145" i="14"/>
  <c r="L145" i="14"/>
  <c r="AZ144" i="14"/>
  <c r="AX144" i="14"/>
  <c r="AV144" i="14"/>
  <c r="AU144" i="14"/>
  <c r="AT144" i="14"/>
  <c r="AS144" i="14"/>
  <c r="AQ144" i="14"/>
  <c r="AO144" i="14"/>
  <c r="AM144" i="14"/>
  <c r="AL144" i="14"/>
  <c r="AJ144" i="14"/>
  <c r="AI144" i="14"/>
  <c r="AH144" i="14"/>
  <c r="X144" i="14"/>
  <c r="V144" i="14"/>
  <c r="U144" i="14"/>
  <c r="T144" i="14"/>
  <c r="R144" i="14"/>
  <c r="Q144" i="14"/>
  <c r="O144" i="14"/>
  <c r="N144" i="14"/>
  <c r="M144" i="14"/>
  <c r="K144" i="14"/>
  <c r="J144" i="14"/>
  <c r="H144" i="14"/>
  <c r="F144" i="14"/>
  <c r="AZ143" i="14"/>
  <c r="AT143" i="14"/>
  <c r="AR143" i="14"/>
  <c r="AN143" i="14"/>
  <c r="AL143" i="14"/>
  <c r="AJ143" i="14"/>
  <c r="AH143" i="14"/>
  <c r="U143" i="14"/>
  <c r="R143" i="14"/>
  <c r="P143" i="14"/>
  <c r="L143" i="14"/>
  <c r="J143" i="14"/>
  <c r="I143" i="14"/>
  <c r="F143" i="14"/>
  <c r="AZ142" i="14"/>
  <c r="AX142" i="14"/>
  <c r="AW142" i="14"/>
  <c r="AU142" i="14"/>
  <c r="AT142" i="14"/>
  <c r="AS142" i="14"/>
  <c r="AR142" i="14"/>
  <c r="AO142" i="14"/>
  <c r="AM142" i="14"/>
  <c r="AL142" i="14"/>
  <c r="AK142" i="14"/>
  <c r="AJ142" i="14"/>
  <c r="AH142" i="14"/>
  <c r="X142" i="14"/>
  <c r="P142" i="14"/>
  <c r="M142" i="14"/>
  <c r="H142" i="14"/>
  <c r="X135" i="14"/>
  <c r="W135" i="14"/>
  <c r="V135" i="14"/>
  <c r="U135" i="14"/>
  <c r="T135" i="14"/>
  <c r="S135" i="14"/>
  <c r="R135" i="14"/>
  <c r="Q135" i="14"/>
  <c r="P135" i="14"/>
  <c r="O135" i="14"/>
  <c r="N135" i="14"/>
  <c r="M135" i="14"/>
  <c r="L135" i="14"/>
  <c r="K135" i="14"/>
  <c r="J135" i="14"/>
  <c r="I135" i="14"/>
  <c r="H135" i="14"/>
  <c r="G135" i="14"/>
  <c r="F135" i="14"/>
  <c r="X134" i="14"/>
  <c r="W134" i="14"/>
  <c r="V134" i="14"/>
  <c r="U134" i="14"/>
  <c r="T134" i="14"/>
  <c r="S134" i="14"/>
  <c r="R134" i="14"/>
  <c r="Q134" i="14"/>
  <c r="O134" i="14"/>
  <c r="N134" i="14"/>
  <c r="M134" i="14"/>
  <c r="L134" i="14"/>
  <c r="K134" i="14"/>
  <c r="J134" i="14"/>
  <c r="I134" i="14"/>
  <c r="H134" i="14"/>
  <c r="G134" i="14"/>
  <c r="F134" i="14"/>
  <c r="X133" i="14"/>
  <c r="W133" i="14"/>
  <c r="V133" i="14"/>
  <c r="U133" i="14"/>
  <c r="T133" i="14"/>
  <c r="S133" i="14"/>
  <c r="R133" i="14"/>
  <c r="Q133" i="14"/>
  <c r="P133" i="14"/>
  <c r="O133" i="14"/>
  <c r="N133" i="14"/>
  <c r="M133" i="14"/>
  <c r="L133" i="14"/>
  <c r="K133" i="14"/>
  <c r="J133" i="14"/>
  <c r="I133" i="14"/>
  <c r="H133" i="14"/>
  <c r="G133" i="14"/>
  <c r="F133" i="14"/>
  <c r="X132" i="14"/>
  <c r="W132" i="14"/>
  <c r="V132" i="14"/>
  <c r="U132" i="14"/>
  <c r="T132" i="14"/>
  <c r="S132" i="14"/>
  <c r="R132" i="14"/>
  <c r="Q132" i="14"/>
  <c r="O132" i="14"/>
  <c r="N132" i="14"/>
  <c r="M132" i="14"/>
  <c r="L132" i="14"/>
  <c r="K132" i="14"/>
  <c r="J132" i="14"/>
  <c r="I132" i="14"/>
  <c r="X131" i="14"/>
  <c r="W131" i="14"/>
  <c r="V131" i="14"/>
  <c r="U131" i="14"/>
  <c r="T131" i="14"/>
  <c r="S131" i="14"/>
  <c r="R131" i="14"/>
  <c r="Q131" i="14"/>
  <c r="P131" i="14"/>
  <c r="O131" i="14"/>
  <c r="N131" i="14"/>
  <c r="M131" i="14"/>
  <c r="L131" i="14"/>
  <c r="K131" i="14"/>
  <c r="J131" i="14"/>
  <c r="I131" i="14"/>
  <c r="X130" i="14"/>
  <c r="W130" i="14"/>
  <c r="V130" i="14"/>
  <c r="U130" i="14"/>
  <c r="T130" i="14"/>
  <c r="S130" i="14"/>
  <c r="R130" i="14"/>
  <c r="Q130" i="14"/>
  <c r="P130" i="14"/>
  <c r="O130" i="14"/>
  <c r="N130" i="14"/>
  <c r="M130" i="14"/>
  <c r="L130" i="14"/>
  <c r="K130" i="14"/>
  <c r="J130" i="14"/>
  <c r="I130" i="14"/>
  <c r="H130" i="14"/>
  <c r="G130" i="14"/>
  <c r="F130" i="14"/>
  <c r="W129" i="14"/>
  <c r="V129" i="14"/>
  <c r="U129" i="14"/>
  <c r="T129" i="14"/>
  <c r="S129" i="14"/>
  <c r="R129" i="14"/>
  <c r="N129" i="14"/>
  <c r="L129" i="14"/>
  <c r="J129" i="14"/>
  <c r="H129" i="14"/>
  <c r="G129" i="14"/>
  <c r="F129" i="14"/>
  <c r="X128" i="14"/>
  <c r="W128" i="14"/>
  <c r="V128" i="14"/>
  <c r="S128" i="14"/>
  <c r="R128" i="14"/>
  <c r="Q128" i="14"/>
  <c r="O128" i="14"/>
  <c r="N128" i="14"/>
  <c r="L128" i="14"/>
  <c r="J128" i="14"/>
  <c r="I128" i="14"/>
  <c r="H128" i="14"/>
  <c r="G128" i="14"/>
  <c r="F128" i="14"/>
  <c r="X127" i="14"/>
  <c r="W127" i="14"/>
  <c r="V127" i="14"/>
  <c r="U127" i="14"/>
  <c r="T127" i="14"/>
  <c r="S127" i="14"/>
  <c r="Q127" i="14"/>
  <c r="L127" i="14"/>
  <c r="H127" i="14"/>
  <c r="G127" i="14"/>
  <c r="X126" i="14"/>
  <c r="V126" i="14"/>
  <c r="U126" i="14"/>
  <c r="T126" i="14"/>
  <c r="S126" i="14"/>
  <c r="R126" i="14"/>
  <c r="Q126" i="14"/>
  <c r="P126" i="14"/>
  <c r="O126" i="14"/>
  <c r="N126" i="14"/>
  <c r="L126" i="14"/>
  <c r="J126" i="14"/>
  <c r="X125" i="14"/>
  <c r="W125" i="14"/>
  <c r="V125" i="14"/>
  <c r="U125" i="14"/>
  <c r="T125" i="14"/>
  <c r="S125" i="14"/>
  <c r="R125" i="14"/>
  <c r="Q125" i="14"/>
  <c r="P125" i="14"/>
  <c r="O125" i="14"/>
  <c r="N125" i="14"/>
  <c r="M125" i="14"/>
  <c r="L125" i="14"/>
  <c r="K125" i="14"/>
  <c r="J125" i="14"/>
  <c r="I125" i="14"/>
  <c r="H125" i="14"/>
  <c r="G125" i="14"/>
  <c r="F125" i="14"/>
  <c r="X124" i="14"/>
  <c r="W124" i="14"/>
  <c r="V124" i="14"/>
  <c r="U124" i="14"/>
  <c r="T124" i="14"/>
  <c r="S124" i="14"/>
  <c r="R124" i="14"/>
  <c r="Q124" i="14"/>
  <c r="P124" i="14"/>
  <c r="O124" i="14"/>
  <c r="N124" i="14"/>
  <c r="M124" i="14"/>
  <c r="L124" i="14"/>
  <c r="K124" i="14"/>
  <c r="J124" i="14"/>
  <c r="I124" i="14"/>
  <c r="H124" i="14"/>
  <c r="G124" i="14"/>
  <c r="F124" i="14"/>
  <c r="X123" i="14"/>
  <c r="W123" i="14"/>
  <c r="V123" i="14"/>
  <c r="U123" i="14"/>
  <c r="T123" i="14"/>
  <c r="S123" i="14"/>
  <c r="R123" i="14"/>
  <c r="Q123" i="14"/>
  <c r="P123" i="14"/>
  <c r="O123" i="14"/>
  <c r="N123" i="14"/>
  <c r="M123" i="14"/>
  <c r="L123" i="14"/>
  <c r="K123" i="14"/>
  <c r="J123" i="14"/>
  <c r="I123" i="14"/>
  <c r="H123" i="14"/>
  <c r="G123" i="14"/>
  <c r="F123" i="14"/>
  <c r="X122" i="14"/>
  <c r="W122" i="14"/>
  <c r="V122" i="14"/>
  <c r="U122" i="14"/>
  <c r="T122" i="14"/>
  <c r="S122" i="14"/>
  <c r="R122" i="14"/>
  <c r="Q122" i="14"/>
  <c r="P122" i="14"/>
  <c r="O122" i="14"/>
  <c r="N122" i="14"/>
  <c r="M122" i="14"/>
  <c r="L122" i="14"/>
  <c r="K122" i="14"/>
  <c r="J122" i="14"/>
  <c r="I122" i="14"/>
  <c r="H122" i="14"/>
  <c r="G122" i="14"/>
  <c r="F122" i="14"/>
  <c r="X121" i="14"/>
  <c r="W121" i="14"/>
  <c r="V121" i="14"/>
  <c r="U121" i="14"/>
  <c r="T121" i="14"/>
  <c r="S121" i="14"/>
  <c r="R121" i="14"/>
  <c r="Q121" i="14"/>
  <c r="P121" i="14"/>
  <c r="O121" i="14"/>
  <c r="N121" i="14"/>
  <c r="M121" i="14"/>
  <c r="L121" i="14"/>
  <c r="K121" i="14"/>
  <c r="J121" i="14"/>
  <c r="I121" i="14"/>
  <c r="H121" i="14"/>
  <c r="G121" i="14"/>
  <c r="F121" i="14"/>
  <c r="W120" i="14"/>
  <c r="V120" i="14"/>
  <c r="U120" i="14"/>
  <c r="T120" i="14"/>
  <c r="S120" i="14"/>
  <c r="R120" i="14"/>
  <c r="Q120" i="14"/>
  <c r="P120" i="14"/>
  <c r="O120" i="14"/>
  <c r="N120" i="14"/>
  <c r="M120" i="14"/>
  <c r="L120" i="14"/>
  <c r="K120" i="14"/>
  <c r="J120" i="14"/>
  <c r="I120" i="14"/>
  <c r="H120" i="14"/>
  <c r="G120" i="14"/>
  <c r="F120" i="14"/>
  <c r="X119" i="14"/>
  <c r="W119" i="14"/>
  <c r="V119" i="14"/>
  <c r="U119" i="14"/>
  <c r="T119" i="14"/>
  <c r="S119" i="14"/>
  <c r="R119" i="14"/>
  <c r="Q119" i="14"/>
  <c r="P119" i="14"/>
  <c r="O119" i="14"/>
  <c r="N119" i="14"/>
  <c r="M119" i="14"/>
  <c r="K119" i="14"/>
  <c r="J119" i="14"/>
  <c r="I119" i="14"/>
  <c r="H119" i="14"/>
  <c r="G119" i="14"/>
  <c r="F119" i="14"/>
  <c r="S118" i="14"/>
  <c r="P118" i="14"/>
  <c r="O118" i="14"/>
  <c r="N118" i="14"/>
  <c r="M118" i="14"/>
  <c r="L118" i="14"/>
  <c r="K118" i="14"/>
  <c r="J118" i="14"/>
  <c r="I118" i="14"/>
  <c r="H118" i="14"/>
  <c r="G118" i="14"/>
  <c r="F118" i="14"/>
  <c r="X117" i="14"/>
  <c r="W117" i="14"/>
  <c r="V117" i="14"/>
  <c r="U117" i="14"/>
  <c r="T117" i="14"/>
  <c r="S117" i="14"/>
  <c r="R117" i="14"/>
  <c r="Q117" i="14"/>
  <c r="P117" i="14"/>
  <c r="O117" i="14"/>
  <c r="N117" i="14"/>
  <c r="L117" i="14"/>
  <c r="K117" i="14"/>
  <c r="I117" i="14"/>
  <c r="H117" i="14"/>
  <c r="G117" i="14"/>
  <c r="F117" i="14"/>
  <c r="X116" i="14"/>
  <c r="W116" i="14"/>
  <c r="V116" i="14"/>
  <c r="U116" i="14"/>
  <c r="T116" i="14"/>
  <c r="S116" i="14"/>
  <c r="R116" i="14"/>
  <c r="Q116" i="14"/>
  <c r="P116" i="14"/>
  <c r="O116" i="14"/>
  <c r="N116" i="14"/>
  <c r="M116" i="14"/>
  <c r="L116" i="14"/>
  <c r="K116" i="14"/>
  <c r="J116" i="14"/>
  <c r="I116" i="14"/>
  <c r="H116" i="14"/>
  <c r="G116" i="14"/>
  <c r="F116" i="14"/>
  <c r="W115" i="14"/>
  <c r="U115" i="14"/>
  <c r="S115" i="14"/>
  <c r="R115" i="14"/>
  <c r="Q115" i="14"/>
  <c r="P115" i="14"/>
  <c r="O115" i="14"/>
  <c r="N115" i="14"/>
  <c r="M115" i="14"/>
  <c r="L115" i="14"/>
  <c r="I115" i="14"/>
  <c r="H115" i="14"/>
  <c r="G115" i="14"/>
  <c r="F115" i="14"/>
  <c r="AA114" i="14"/>
  <c r="X114" i="14"/>
  <c r="W114" i="14"/>
  <c r="V114" i="14"/>
  <c r="U114" i="14"/>
  <c r="T114" i="14"/>
  <c r="S114" i="14"/>
  <c r="R114" i="14"/>
  <c r="Q114" i="14"/>
  <c r="P114" i="14"/>
  <c r="O114" i="14"/>
  <c r="M114" i="14"/>
  <c r="L114" i="14"/>
  <c r="I114" i="14"/>
  <c r="H114" i="14"/>
  <c r="G114" i="14"/>
  <c r="Z23" i="14"/>
  <c r="Z113" i="14" s="1"/>
  <c r="X113" i="14"/>
  <c r="W113" i="14"/>
  <c r="V113" i="14"/>
  <c r="U113" i="14"/>
  <c r="T113" i="14"/>
  <c r="S113" i="14"/>
  <c r="R113" i="14"/>
  <c r="Q113" i="14"/>
  <c r="P113" i="14"/>
  <c r="O113" i="14"/>
  <c r="N113" i="14"/>
  <c r="M113" i="14"/>
  <c r="L113" i="14"/>
  <c r="K113" i="14"/>
  <c r="J113" i="14"/>
  <c r="I113" i="14"/>
  <c r="H113" i="14"/>
  <c r="G113" i="14"/>
  <c r="F113" i="14"/>
  <c r="X112" i="14"/>
  <c r="W112" i="14"/>
  <c r="V112" i="14"/>
  <c r="U112" i="14"/>
  <c r="T112" i="14"/>
  <c r="S112" i="14"/>
  <c r="R112" i="14"/>
  <c r="Q112" i="14"/>
  <c r="O112" i="14"/>
  <c r="N112" i="14"/>
  <c r="M112" i="14"/>
  <c r="L112" i="14"/>
  <c r="K112" i="14"/>
  <c r="J112" i="14"/>
  <c r="I112" i="14"/>
  <c r="S111" i="14"/>
  <c r="N111" i="14"/>
  <c r="M111" i="14"/>
  <c r="L111" i="14"/>
  <c r="K111" i="14"/>
  <c r="J111" i="14"/>
  <c r="G111" i="14"/>
  <c r="X110" i="14"/>
  <c r="W110" i="14"/>
  <c r="V110" i="14"/>
  <c r="U110" i="14"/>
  <c r="T110" i="14"/>
  <c r="S110" i="14"/>
  <c r="R110" i="14"/>
  <c r="Q110" i="14"/>
  <c r="P110" i="14"/>
  <c r="O110" i="14"/>
  <c r="N110" i="14"/>
  <c r="M110" i="14"/>
  <c r="L110" i="14"/>
  <c r="K110" i="14"/>
  <c r="J110" i="14"/>
  <c r="I110" i="14"/>
  <c r="H110" i="14"/>
  <c r="G110" i="14"/>
  <c r="F110" i="14"/>
  <c r="X109" i="14"/>
  <c r="W109" i="14"/>
  <c r="V109" i="14"/>
  <c r="U109" i="14"/>
  <c r="T109" i="14"/>
  <c r="S109" i="14"/>
  <c r="R109" i="14"/>
  <c r="Q109" i="14"/>
  <c r="P109" i="14"/>
  <c r="O109" i="14"/>
  <c r="N109" i="14"/>
  <c r="M109" i="14"/>
  <c r="L109" i="14"/>
  <c r="K109" i="14"/>
  <c r="J109" i="14"/>
  <c r="I109" i="14"/>
  <c r="H109" i="14"/>
  <c r="G109" i="14"/>
  <c r="F109" i="14"/>
  <c r="X108" i="14"/>
  <c r="W108" i="14"/>
  <c r="V108" i="14"/>
  <c r="U108" i="14"/>
  <c r="T108" i="14"/>
  <c r="S108" i="14"/>
  <c r="R108" i="14"/>
  <c r="Q108" i="14"/>
  <c r="P108" i="14"/>
  <c r="O108" i="14"/>
  <c r="N108" i="14"/>
  <c r="M108" i="14"/>
  <c r="L108" i="14"/>
  <c r="K108" i="14"/>
  <c r="J108" i="14"/>
  <c r="I108" i="14"/>
  <c r="H108" i="14"/>
  <c r="G108" i="14"/>
  <c r="F108" i="14"/>
  <c r="X107" i="14"/>
  <c r="W107" i="14"/>
  <c r="V107" i="14"/>
  <c r="U107" i="14"/>
  <c r="T107" i="14"/>
  <c r="S107" i="14"/>
  <c r="R107" i="14"/>
  <c r="Q107" i="14"/>
  <c r="P107" i="14"/>
  <c r="O107" i="14"/>
  <c r="N107" i="14"/>
  <c r="M107" i="14"/>
  <c r="L107" i="14"/>
  <c r="K107" i="14"/>
  <c r="J107" i="14"/>
  <c r="I107" i="14"/>
  <c r="H107" i="14"/>
  <c r="G107" i="14"/>
  <c r="F107" i="14"/>
  <c r="X106" i="14"/>
  <c r="W106" i="14"/>
  <c r="V106" i="14"/>
  <c r="U106" i="14"/>
  <c r="T106" i="14"/>
  <c r="S106" i="14"/>
  <c r="R106" i="14"/>
  <c r="Q106" i="14"/>
  <c r="P106" i="14"/>
  <c r="O106" i="14"/>
  <c r="N106" i="14"/>
  <c r="M106" i="14"/>
  <c r="L106" i="14"/>
  <c r="K106" i="14"/>
  <c r="J106" i="14"/>
  <c r="I106" i="14"/>
  <c r="H106" i="14"/>
  <c r="G106" i="14"/>
  <c r="F106" i="14"/>
  <c r="X105" i="14"/>
  <c r="W105" i="14"/>
  <c r="V105" i="14"/>
  <c r="U105" i="14"/>
  <c r="T105" i="14"/>
  <c r="S105" i="14"/>
  <c r="R105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X104" i="14"/>
  <c r="W104" i="14"/>
  <c r="V104" i="14"/>
  <c r="U104" i="14"/>
  <c r="T104" i="14"/>
  <c r="S104" i="14"/>
  <c r="R104" i="14"/>
  <c r="Q104" i="14"/>
  <c r="P104" i="14"/>
  <c r="O104" i="14"/>
  <c r="N104" i="14"/>
  <c r="M104" i="14"/>
  <c r="L104" i="14"/>
  <c r="K104" i="14"/>
  <c r="J104" i="14"/>
  <c r="I104" i="14"/>
  <c r="H104" i="14"/>
  <c r="G104" i="14"/>
  <c r="F104" i="14"/>
  <c r="AA103" i="14"/>
  <c r="S13" i="14"/>
  <c r="S103" i="14" s="1"/>
  <c r="N12" i="14"/>
  <c r="N102" i="14" s="1"/>
  <c r="H11" i="14"/>
  <c r="H101" i="14" s="1"/>
  <c r="O9" i="14"/>
  <c r="O99" i="14" s="1"/>
  <c r="G9" i="14"/>
  <c r="G99" i="14" s="1"/>
  <c r="W7" i="14"/>
  <c r="W97" i="14" s="1"/>
  <c r="G7" i="14"/>
  <c r="G97" i="14" s="1"/>
  <c r="Z90" i="14"/>
  <c r="Y90" i="14"/>
  <c r="Y89" i="14"/>
  <c r="Z88" i="14"/>
  <c r="Y88" i="14"/>
  <c r="AA88" i="14" s="1"/>
  <c r="Z87" i="14"/>
  <c r="Z86" i="14"/>
  <c r="Z85" i="14"/>
  <c r="Y85" i="14"/>
  <c r="Y84" i="14"/>
  <c r="Y83" i="14"/>
  <c r="AG82" i="14"/>
  <c r="AH82" i="14"/>
  <c r="AJ82" i="14" s="1"/>
  <c r="AG81" i="14"/>
  <c r="AH81" i="14" s="1"/>
  <c r="AI81" i="14" s="1"/>
  <c r="AG80" i="14"/>
  <c r="AH80" i="14"/>
  <c r="AI80" i="14" s="1"/>
  <c r="Z80" i="14"/>
  <c r="Y80" i="14"/>
  <c r="AG79" i="14"/>
  <c r="AH79" i="14" s="1"/>
  <c r="Z79" i="14"/>
  <c r="Y79" i="14"/>
  <c r="Y78" i="14"/>
  <c r="Z78" i="14"/>
  <c r="Z77" i="14"/>
  <c r="Y77" i="14"/>
  <c r="AA77" i="14"/>
  <c r="AC76" i="14"/>
  <c r="Z76" i="14"/>
  <c r="Y76" i="14"/>
  <c r="AA76" i="14"/>
  <c r="Z75" i="14"/>
  <c r="Y75" i="14"/>
  <c r="Z74" i="14"/>
  <c r="Y74" i="14"/>
  <c r="AA74" i="14" s="1"/>
  <c r="Y73" i="14"/>
  <c r="AA73" i="14" s="1"/>
  <c r="Z73" i="14"/>
  <c r="Z72" i="14"/>
  <c r="Y72" i="14"/>
  <c r="Z71" i="14"/>
  <c r="AA71" i="14" s="1"/>
  <c r="Y71" i="14"/>
  <c r="X70" i="14"/>
  <c r="X56" i="14" s="1"/>
  <c r="AZ160" i="14"/>
  <c r="V70" i="14"/>
  <c r="T70" i="14"/>
  <c r="T56" i="14" s="1"/>
  <c r="T51" i="14" s="1"/>
  <c r="K70" i="14"/>
  <c r="Z69" i="14"/>
  <c r="Z68" i="14"/>
  <c r="Y68" i="14"/>
  <c r="AA68" i="14" s="1"/>
  <c r="AI157" i="14"/>
  <c r="Y66" i="14"/>
  <c r="V66" i="14"/>
  <c r="AX156" i="14" s="1"/>
  <c r="O55" i="14"/>
  <c r="Z65" i="14"/>
  <c r="Y65" i="14"/>
  <c r="Z64" i="14"/>
  <c r="Y64" i="14"/>
  <c r="Z63" i="14"/>
  <c r="Y63" i="14"/>
  <c r="Z62" i="14"/>
  <c r="Y62" i="14"/>
  <c r="AA62" i="14"/>
  <c r="Z61" i="14"/>
  <c r="Y61" i="14"/>
  <c r="Z60" i="14"/>
  <c r="Y60" i="14"/>
  <c r="Z59" i="14"/>
  <c r="Y59" i="14"/>
  <c r="AA59" i="14" s="1"/>
  <c r="X58" i="14"/>
  <c r="W58" i="14"/>
  <c r="W51" i="14" s="1"/>
  <c r="V58" i="14"/>
  <c r="U58" i="14"/>
  <c r="T58" i="14"/>
  <c r="S58" i="14"/>
  <c r="R58" i="14"/>
  <c r="Q58" i="14"/>
  <c r="P58" i="14"/>
  <c r="O58" i="14"/>
  <c r="O51" i="14" s="1"/>
  <c r="N58" i="14"/>
  <c r="M58" i="14"/>
  <c r="Z58" i="14" s="1"/>
  <c r="L58" i="14"/>
  <c r="K58" i="14"/>
  <c r="J58" i="14"/>
  <c r="I58" i="14"/>
  <c r="H58" i="14"/>
  <c r="G58" i="14"/>
  <c r="F58" i="14"/>
  <c r="AA102" i="14"/>
  <c r="X57" i="14"/>
  <c r="W57" i="14"/>
  <c r="V57" i="14"/>
  <c r="U57" i="14"/>
  <c r="T57" i="14"/>
  <c r="S57" i="14"/>
  <c r="R57" i="14"/>
  <c r="Q57" i="14"/>
  <c r="Q102" i="14" s="1"/>
  <c r="P57" i="14"/>
  <c r="O57" i="14"/>
  <c r="N57" i="14"/>
  <c r="M57" i="14"/>
  <c r="L57" i="14"/>
  <c r="K57" i="14"/>
  <c r="J57" i="14"/>
  <c r="I57" i="14"/>
  <c r="H57" i="14"/>
  <c r="G57" i="14"/>
  <c r="F57" i="14"/>
  <c r="AB56" i="14"/>
  <c r="W56" i="14"/>
  <c r="V56" i="14"/>
  <c r="AX146" i="14" s="1"/>
  <c r="U56" i="14"/>
  <c r="S56" i="14"/>
  <c r="R56" i="14"/>
  <c r="Q56" i="14"/>
  <c r="P56" i="14"/>
  <c r="O56" i="14"/>
  <c r="N56" i="14"/>
  <c r="N51" i="14" s="1"/>
  <c r="M56" i="14"/>
  <c r="L56" i="14"/>
  <c r="I56" i="14"/>
  <c r="H56" i="14"/>
  <c r="G56" i="14"/>
  <c r="X55" i="14"/>
  <c r="W55" i="14"/>
  <c r="V55" i="14"/>
  <c r="AX145" i="14"/>
  <c r="T55" i="14"/>
  <c r="S55" i="14"/>
  <c r="R55" i="14"/>
  <c r="Q55" i="14"/>
  <c r="N55" i="14"/>
  <c r="M55" i="14"/>
  <c r="L55" i="14"/>
  <c r="K55" i="14"/>
  <c r="AM145" i="14" s="1"/>
  <c r="J55" i="14"/>
  <c r="I55" i="14"/>
  <c r="G55" i="14"/>
  <c r="F55" i="14"/>
  <c r="X54" i="14"/>
  <c r="W54" i="14"/>
  <c r="V54" i="14"/>
  <c r="U54" i="14"/>
  <c r="U50" i="14" s="1"/>
  <c r="T54" i="14"/>
  <c r="S54" i="14"/>
  <c r="R54" i="14"/>
  <c r="Q54" i="14"/>
  <c r="O54" i="14"/>
  <c r="N54" i="14"/>
  <c r="M54" i="14"/>
  <c r="L54" i="14"/>
  <c r="K54" i="14"/>
  <c r="K52" i="14"/>
  <c r="K53" i="14"/>
  <c r="J54" i="14"/>
  <c r="I54" i="14"/>
  <c r="H54" i="14"/>
  <c r="G54" i="14"/>
  <c r="G50" i="14" s="1"/>
  <c r="F54" i="14"/>
  <c r="X53" i="14"/>
  <c r="Z53" i="14" s="1"/>
  <c r="W53" i="14"/>
  <c r="V53" i="14"/>
  <c r="V52" i="14"/>
  <c r="U53" i="14"/>
  <c r="T53" i="14"/>
  <c r="S53" i="14"/>
  <c r="R53" i="14"/>
  <c r="R52" i="14"/>
  <c r="R50" i="14" s="1"/>
  <c r="Q53" i="14"/>
  <c r="P53" i="14"/>
  <c r="O53" i="14"/>
  <c r="N53" i="14"/>
  <c r="M53" i="14"/>
  <c r="L53" i="14"/>
  <c r="J53" i="14"/>
  <c r="I53" i="14"/>
  <c r="H53" i="14"/>
  <c r="G53" i="14"/>
  <c r="F53" i="14"/>
  <c r="F52" i="14"/>
  <c r="F50" i="14"/>
  <c r="X52" i="14"/>
  <c r="W52" i="14"/>
  <c r="U52" i="14"/>
  <c r="T52" i="14"/>
  <c r="T50" i="14"/>
  <c r="S52" i="14"/>
  <c r="Q52" i="14"/>
  <c r="Q50" i="14" s="1"/>
  <c r="P52" i="14"/>
  <c r="O52" i="14"/>
  <c r="O50" i="14" s="1"/>
  <c r="N52" i="14"/>
  <c r="M52" i="14"/>
  <c r="L52" i="14"/>
  <c r="J52" i="14"/>
  <c r="I52" i="14"/>
  <c r="I50" i="14" s="1"/>
  <c r="H52" i="14"/>
  <c r="G52" i="14"/>
  <c r="Z45" i="14"/>
  <c r="Z135" i="14" s="1"/>
  <c r="Y45" i="14"/>
  <c r="Y44" i="14"/>
  <c r="Y134" i="14"/>
  <c r="Z43" i="14"/>
  <c r="Z133" i="14" s="1"/>
  <c r="Y43" i="14"/>
  <c r="Y133" i="14" s="1"/>
  <c r="Z41" i="14"/>
  <c r="Z131" i="14" s="1"/>
  <c r="Z40" i="14"/>
  <c r="Z130" i="14" s="1"/>
  <c r="Y40" i="14"/>
  <c r="Y130" i="14" s="1"/>
  <c r="M174" i="14"/>
  <c r="K129" i="14"/>
  <c r="N127" i="14"/>
  <c r="M127" i="14"/>
  <c r="K127" i="14"/>
  <c r="K126" i="14"/>
  <c r="Z35" i="14"/>
  <c r="Z125" i="14" s="1"/>
  <c r="Y35" i="14"/>
  <c r="Y125" i="14"/>
  <c r="Z34" i="14"/>
  <c r="Z124" i="14" s="1"/>
  <c r="Y34" i="14"/>
  <c r="AA34" i="14" s="1"/>
  <c r="AA124" i="14" s="1"/>
  <c r="Z33" i="14"/>
  <c r="Z123" i="14" s="1"/>
  <c r="Y33" i="14"/>
  <c r="Z32" i="14"/>
  <c r="Z122" i="14" s="1"/>
  <c r="Y32" i="14"/>
  <c r="Y122" i="14" s="1"/>
  <c r="AH31" i="14"/>
  <c r="Z31" i="14"/>
  <c r="Z121" i="14" s="1"/>
  <c r="Y31" i="14"/>
  <c r="Y30" i="14"/>
  <c r="Y120" i="14" s="1"/>
  <c r="X30" i="14"/>
  <c r="Z30" i="14"/>
  <c r="Z120" i="14" s="1"/>
  <c r="Z29" i="14"/>
  <c r="Z119" i="14" s="1"/>
  <c r="Y29" i="14"/>
  <c r="Y119" i="14" s="1"/>
  <c r="Y28" i="14"/>
  <c r="Y118" i="14" s="1"/>
  <c r="T12" i="14"/>
  <c r="Q12" i="14"/>
  <c r="Z27" i="14"/>
  <c r="E27" i="14"/>
  <c r="Z26" i="14"/>
  <c r="AA26" i="14" s="1"/>
  <c r="AA116" i="14" s="1"/>
  <c r="Z116" i="14"/>
  <c r="Y26" i="14"/>
  <c r="Y116" i="14"/>
  <c r="Z25" i="14"/>
  <c r="K25" i="14"/>
  <c r="Z24" i="14"/>
  <c r="J24" i="14"/>
  <c r="J69" i="14" s="1"/>
  <c r="F24" i="14"/>
  <c r="F249" i="14" s="1"/>
  <c r="F236" i="14"/>
  <c r="Y23" i="14"/>
  <c r="Y113" i="14" s="1"/>
  <c r="Y22" i="14"/>
  <c r="X129" i="14"/>
  <c r="W126" i="14"/>
  <c r="U128" i="14"/>
  <c r="Q10" i="14"/>
  <c r="Z20" i="14"/>
  <c r="Z110" i="14" s="1"/>
  <c r="Y20" i="14"/>
  <c r="Y110" i="14" s="1"/>
  <c r="Y19" i="14"/>
  <c r="Y109" i="14" s="1"/>
  <c r="Z19" i="14"/>
  <c r="Z109" i="14" s="1"/>
  <c r="AA19" i="14"/>
  <c r="AA109" i="14" s="1"/>
  <c r="Z18" i="14"/>
  <c r="Y18" i="14"/>
  <c r="Y108" i="14" s="1"/>
  <c r="Z17" i="14"/>
  <c r="Z107" i="14" s="1"/>
  <c r="Y17" i="14"/>
  <c r="Y16" i="14"/>
  <c r="Z16" i="14"/>
  <c r="Z106" i="14" s="1"/>
  <c r="Z15" i="14"/>
  <c r="Z105" i="14"/>
  <c r="Y15" i="14"/>
  <c r="AA15" i="14" s="1"/>
  <c r="AA105" i="14" s="1"/>
  <c r="Z14" i="14"/>
  <c r="Z104" i="14"/>
  <c r="Y14" i="14"/>
  <c r="Y104" i="14"/>
  <c r="W13" i="14"/>
  <c r="W103" i="14"/>
  <c r="V13" i="14"/>
  <c r="V103" i="14" s="1"/>
  <c r="U13" i="14"/>
  <c r="U103" i="14"/>
  <c r="T13" i="14"/>
  <c r="T103" i="14"/>
  <c r="R13" i="14"/>
  <c r="R103" i="14"/>
  <c r="Q13" i="14"/>
  <c r="Q103" i="14" s="1"/>
  <c r="P13" i="14"/>
  <c r="P103" i="14"/>
  <c r="O13" i="14"/>
  <c r="O103" i="14"/>
  <c r="N13" i="14"/>
  <c r="N103" i="14"/>
  <c r="M13" i="14"/>
  <c r="M103" i="14" s="1"/>
  <c r="L13" i="14"/>
  <c r="L103" i="14"/>
  <c r="K13" i="14"/>
  <c r="K103" i="14"/>
  <c r="J13" i="14"/>
  <c r="J103" i="14"/>
  <c r="I13" i="14"/>
  <c r="I103" i="14" s="1"/>
  <c r="H13" i="14"/>
  <c r="H103" i="14"/>
  <c r="G13" i="14"/>
  <c r="G103" i="14"/>
  <c r="F13" i="14"/>
  <c r="F103" i="14"/>
  <c r="AC12" i="14"/>
  <c r="W12" i="14"/>
  <c r="W102" i="14" s="1"/>
  <c r="U12" i="14"/>
  <c r="U102" i="14"/>
  <c r="S12" i="14"/>
  <c r="S102" i="14" s="1"/>
  <c r="P12" i="14"/>
  <c r="P102" i="14" s="1"/>
  <c r="O12" i="14"/>
  <c r="M12" i="14"/>
  <c r="K12" i="14"/>
  <c r="K102" i="14" s="1"/>
  <c r="I12" i="14"/>
  <c r="I102" i="14" s="1"/>
  <c r="H12" i="14"/>
  <c r="H102" i="14" s="1"/>
  <c r="G12" i="14"/>
  <c r="F12" i="14"/>
  <c r="F102" i="14" s="1"/>
  <c r="X11" i="14"/>
  <c r="W11" i="14"/>
  <c r="W101" i="14"/>
  <c r="V11" i="14"/>
  <c r="U11" i="14"/>
  <c r="U101" i="14" s="1"/>
  <c r="T11" i="14"/>
  <c r="S11" i="14"/>
  <c r="R11" i="14"/>
  <c r="R101" i="14" s="1"/>
  <c r="Q11" i="14"/>
  <c r="Q101" i="14" s="1"/>
  <c r="P11" i="14"/>
  <c r="O11" i="14"/>
  <c r="O101" i="14"/>
  <c r="N11" i="14"/>
  <c r="M11" i="14"/>
  <c r="M101" i="14" s="1"/>
  <c r="L11" i="14"/>
  <c r="I11" i="14"/>
  <c r="G11" i="14"/>
  <c r="V10" i="14"/>
  <c r="V145" i="14"/>
  <c r="Y26" i="20" s="1"/>
  <c r="S10" i="14"/>
  <c r="O10" i="14"/>
  <c r="N10" i="14"/>
  <c r="N6" i="14" s="1"/>
  <c r="L10" i="14"/>
  <c r="L100" i="14" s="1"/>
  <c r="K10" i="14"/>
  <c r="K100" i="14" s="1"/>
  <c r="J10" i="14"/>
  <c r="J145" i="14" s="1"/>
  <c r="H26" i="20" s="1"/>
  <c r="I10" i="14"/>
  <c r="G10" i="14"/>
  <c r="F10" i="14"/>
  <c r="X9" i="14"/>
  <c r="X99" i="14" s="1"/>
  <c r="W9" i="14"/>
  <c r="W99" i="14"/>
  <c r="V9" i="14"/>
  <c r="V99" i="14" s="1"/>
  <c r="U9" i="14"/>
  <c r="U99" i="14" s="1"/>
  <c r="T9" i="14"/>
  <c r="T99" i="14" s="1"/>
  <c r="S9" i="14"/>
  <c r="S99" i="14"/>
  <c r="R9" i="14"/>
  <c r="R99" i="14" s="1"/>
  <c r="Q9" i="14"/>
  <c r="Q99" i="14" s="1"/>
  <c r="P9" i="14"/>
  <c r="P99" i="14" s="1"/>
  <c r="N9" i="14"/>
  <c r="N99" i="14"/>
  <c r="M9" i="14"/>
  <c r="M99" i="14" s="1"/>
  <c r="L9" i="14"/>
  <c r="L99" i="14" s="1"/>
  <c r="K9" i="14"/>
  <c r="K99" i="14"/>
  <c r="J9" i="14"/>
  <c r="J99" i="14" s="1"/>
  <c r="I9" i="14"/>
  <c r="I99" i="14" s="1"/>
  <c r="H9" i="14"/>
  <c r="H99" i="14" s="1"/>
  <c r="F9" i="14"/>
  <c r="F99" i="14"/>
  <c r="X8" i="14"/>
  <c r="X98" i="14" s="1"/>
  <c r="W8" i="14"/>
  <c r="V8" i="14"/>
  <c r="V98" i="14"/>
  <c r="U8" i="14"/>
  <c r="U98" i="14"/>
  <c r="T8" i="14"/>
  <c r="T98" i="14"/>
  <c r="S8" i="14"/>
  <c r="R8" i="14"/>
  <c r="R98" i="14"/>
  <c r="Q8" i="14"/>
  <c r="Q5" i="14" s="1"/>
  <c r="Q7" i="14"/>
  <c r="Q95" i="14"/>
  <c r="P8" i="14"/>
  <c r="P98" i="14" s="1"/>
  <c r="O8" i="14"/>
  <c r="N8" i="14"/>
  <c r="N98" i="14" s="1"/>
  <c r="M8" i="14"/>
  <c r="M98" i="14"/>
  <c r="L8" i="14"/>
  <c r="L98" i="14"/>
  <c r="K8" i="14"/>
  <c r="J8" i="14"/>
  <c r="J98" i="14" s="1"/>
  <c r="I8" i="14"/>
  <c r="I98" i="14" s="1"/>
  <c r="H8" i="14"/>
  <c r="H98" i="14"/>
  <c r="G8" i="14"/>
  <c r="G5" i="14" s="1"/>
  <c r="F8" i="14"/>
  <c r="X7" i="14"/>
  <c r="X97" i="14" s="1"/>
  <c r="V7" i="14"/>
  <c r="V97" i="14" s="1"/>
  <c r="U7" i="14"/>
  <c r="U97" i="14" s="1"/>
  <c r="T7" i="14"/>
  <c r="S7" i="14"/>
  <c r="S97" i="14" s="1"/>
  <c r="R7" i="14"/>
  <c r="R97" i="14" s="1"/>
  <c r="Q97" i="14"/>
  <c r="P7" i="14"/>
  <c r="P97" i="14" s="1"/>
  <c r="O7" i="14"/>
  <c r="O97" i="14" s="1"/>
  <c r="N7" i="14"/>
  <c r="M7" i="14"/>
  <c r="M97" i="14"/>
  <c r="L7" i="14"/>
  <c r="K7" i="14"/>
  <c r="K5" i="14" s="1"/>
  <c r="K95" i="14" s="1"/>
  <c r="J7" i="14"/>
  <c r="Y7" i="14" s="1"/>
  <c r="I7" i="14"/>
  <c r="I97" i="14"/>
  <c r="H7" i="14"/>
  <c r="H97" i="14" s="1"/>
  <c r="F7" i="14"/>
  <c r="F97" i="14" s="1"/>
  <c r="D5" i="14"/>
  <c r="U140" i="14"/>
  <c r="AW140" i="14"/>
  <c r="AU190" i="14"/>
  <c r="V41" i="20" s="1"/>
  <c r="V9" i="20"/>
  <c r="Z117" i="14"/>
  <c r="T102" i="14"/>
  <c r="AA64" i="14"/>
  <c r="AA79" i="14"/>
  <c r="AA80" i="14"/>
  <c r="AZ140" i="14"/>
  <c r="AU145" i="14"/>
  <c r="O147" i="14"/>
  <c r="AJ147" i="14"/>
  <c r="AQ147" i="14"/>
  <c r="Z151" i="14"/>
  <c r="AU160" i="14"/>
  <c r="BA166" i="14"/>
  <c r="Y175" i="14"/>
  <c r="Z178" i="14"/>
  <c r="Y179" i="14"/>
  <c r="AO188" i="14"/>
  <c r="AW188" i="14"/>
  <c r="S191" i="14"/>
  <c r="BB213" i="14"/>
  <c r="W236" i="14"/>
  <c r="L236" i="14"/>
  <c r="M126" i="14"/>
  <c r="S5" i="14"/>
  <c r="S95" i="14" s="1"/>
  <c r="X10" i="14"/>
  <c r="X100" i="14"/>
  <c r="AA14" i="14"/>
  <c r="AA104" i="14" s="1"/>
  <c r="Y27" i="14"/>
  <c r="AA27" i="14" s="1"/>
  <c r="M50" i="14"/>
  <c r="AB51" i="14" s="1"/>
  <c r="M146" i="14"/>
  <c r="AI146" i="14"/>
  <c r="AO146" i="14"/>
  <c r="H147" i="14"/>
  <c r="T148" i="14"/>
  <c r="BB151" i="14"/>
  <c r="Y168" i="14"/>
  <c r="BA175" i="14"/>
  <c r="S186" i="14"/>
  <c r="AV193" i="14"/>
  <c r="M173" i="14"/>
  <c r="AM201" i="14"/>
  <c r="BA211" i="14"/>
  <c r="AR173" i="14"/>
  <c r="AR172" i="14"/>
  <c r="V186" i="19"/>
  <c r="V147" i="19"/>
  <c r="AX192" i="19"/>
  <c r="AX147" i="19"/>
  <c r="Z102" i="19"/>
  <c r="AA12" i="19"/>
  <c r="Q98" i="14"/>
  <c r="AJ193" i="14"/>
  <c r="L51" i="14"/>
  <c r="AX160" i="14"/>
  <c r="I111" i="14"/>
  <c r="AV140" i="14"/>
  <c r="M143" i="14"/>
  <c r="AK143" i="14"/>
  <c r="P146" i="14"/>
  <c r="AJ146" i="14"/>
  <c r="AM147" i="14"/>
  <c r="AU147" i="14"/>
  <c r="J148" i="14"/>
  <c r="U148" i="14"/>
  <c r="Y163" i="14"/>
  <c r="BA165" i="14"/>
  <c r="BB180" i="14"/>
  <c r="AA203" i="14"/>
  <c r="I232" i="14"/>
  <c r="Q232" i="14"/>
  <c r="Q233" i="14"/>
  <c r="U232" i="14"/>
  <c r="U230" i="14" s="1"/>
  <c r="G232" i="14"/>
  <c r="G230" i="14" s="1"/>
  <c r="G233" i="14"/>
  <c r="W232" i="14"/>
  <c r="W233" i="14"/>
  <c r="O233" i="14"/>
  <c r="O230" i="14" s="1"/>
  <c r="S233" i="14"/>
  <c r="I233" i="14"/>
  <c r="G236" i="14"/>
  <c r="Z180" i="14"/>
  <c r="AA225" i="14"/>
  <c r="AA180" i="14" s="1"/>
  <c r="BA225" i="14"/>
  <c r="Y180" i="14"/>
  <c r="Z81" i="14"/>
  <c r="BC207" i="19"/>
  <c r="AA162" i="19"/>
  <c r="BC162" i="19"/>
  <c r="BB148" i="19"/>
  <c r="AA193" i="19"/>
  <c r="BA147" i="19"/>
  <c r="Y147" i="19"/>
  <c r="M141" i="19"/>
  <c r="AO141" i="19"/>
  <c r="W141" i="19"/>
  <c r="BC210" i="16"/>
  <c r="BC165" i="16"/>
  <c r="W141" i="16"/>
  <c r="AN141" i="16"/>
  <c r="L141" i="16"/>
  <c r="AO141" i="16"/>
  <c r="M141" i="16"/>
  <c r="T10" i="14"/>
  <c r="T6" i="14" s="1"/>
  <c r="AV205" i="14"/>
  <c r="Q236" i="14"/>
  <c r="U236" i="14"/>
  <c r="M236" i="14"/>
  <c r="J176" i="14"/>
  <c r="AZ205" i="14"/>
  <c r="G171" i="14"/>
  <c r="G175" i="14"/>
  <c r="J177" i="14"/>
  <c r="P236" i="14"/>
  <c r="T236" i="14"/>
  <c r="AV191" i="14"/>
  <c r="X236" i="14"/>
  <c r="G172" i="14"/>
  <c r="G173" i="14"/>
  <c r="J179" i="14"/>
  <c r="R236" i="14"/>
  <c r="V236" i="14"/>
  <c r="AX191" i="14" s="1"/>
  <c r="H236" i="14"/>
  <c r="Z114" i="14"/>
  <c r="P111" i="14"/>
  <c r="Z67" i="14"/>
  <c r="AA67" i="14" s="1"/>
  <c r="P55" i="14"/>
  <c r="P51" i="14" s="1"/>
  <c r="AR141" i="14" s="1"/>
  <c r="M128" i="14"/>
  <c r="J127" i="14"/>
  <c r="G51" i="14"/>
  <c r="J171" i="14"/>
  <c r="J173" i="14"/>
  <c r="J172" i="14"/>
  <c r="J174" i="14"/>
  <c r="W10" i="14"/>
  <c r="U10" i="14"/>
  <c r="T128" i="14"/>
  <c r="R51" i="14"/>
  <c r="J12" i="14"/>
  <c r="J102" i="14"/>
  <c r="M100" i="14"/>
  <c r="AA17" i="14"/>
  <c r="AA107" i="14" s="1"/>
  <c r="Y107" i="14"/>
  <c r="F111" i="14"/>
  <c r="Y21" i="14"/>
  <c r="F156" i="14"/>
  <c r="F171" i="14" s="1"/>
  <c r="X208" i="14"/>
  <c r="L50" i="14"/>
  <c r="G101" i="14"/>
  <c r="AM188" i="14"/>
  <c r="K143" i="14"/>
  <c r="AU188" i="14"/>
  <c r="S143" i="14"/>
  <c r="S185" i="14"/>
  <c r="AY188" i="14"/>
  <c r="W143" i="14"/>
  <c r="W185" i="14"/>
  <c r="AY185" i="14" s="1"/>
  <c r="BA154" i="14"/>
  <c r="BA199" i="14"/>
  <c r="AA199" i="14"/>
  <c r="Y154" i="14"/>
  <c r="R5" i="14"/>
  <c r="R95" i="14" s="1"/>
  <c r="U6" i="14"/>
  <c r="X12" i="14"/>
  <c r="X102" i="14"/>
  <c r="Z21" i="14"/>
  <c r="Z111" i="14" s="1"/>
  <c r="K204" i="14"/>
  <c r="J205" i="14"/>
  <c r="J191" i="14" s="1"/>
  <c r="J115" i="14"/>
  <c r="H131" i="14"/>
  <c r="AA43" i="14"/>
  <c r="AA133" i="14" s="1"/>
  <c r="Y135" i="14"/>
  <c r="AA45" i="14"/>
  <c r="AA135" i="14" s="1"/>
  <c r="AL145" i="14"/>
  <c r="AA63" i="14"/>
  <c r="AH156" i="14"/>
  <c r="U55" i="14"/>
  <c r="AI82" i="14"/>
  <c r="Z84" i="14"/>
  <c r="H132" i="14"/>
  <c r="G98" i="14"/>
  <c r="O100" i="14"/>
  <c r="Y13" i="14"/>
  <c r="Y103" i="14"/>
  <c r="R127" i="14"/>
  <c r="R10" i="14"/>
  <c r="R100" i="14" s="1"/>
  <c r="J249" i="14"/>
  <c r="AL204" i="14" s="1"/>
  <c r="J204" i="14"/>
  <c r="AI188" i="14"/>
  <c r="G143" i="14"/>
  <c r="G185" i="14"/>
  <c r="AQ188" i="14"/>
  <c r="O143" i="14"/>
  <c r="Z188" i="14"/>
  <c r="O185" i="14"/>
  <c r="K145" i="14"/>
  <c r="I26" i="20"/>
  <c r="BB198" i="14"/>
  <c r="BB153" i="14"/>
  <c r="Z153" i="14"/>
  <c r="I5" i="14"/>
  <c r="I95" i="14" s="1"/>
  <c r="H6" i="14"/>
  <c r="Y8" i="14"/>
  <c r="Y98" i="14" s="1"/>
  <c r="M6" i="14"/>
  <c r="AA20" i="14"/>
  <c r="AA110" i="14"/>
  <c r="N249" i="14"/>
  <c r="N236" i="14" s="1"/>
  <c r="Q208" i="14"/>
  <c r="V208" i="14"/>
  <c r="V12" i="14"/>
  <c r="V102" i="14" s="1"/>
  <c r="Z28" i="14"/>
  <c r="Z118" i="14" s="1"/>
  <c r="AA32" i="14"/>
  <c r="AA122" i="14" s="1"/>
  <c r="AA35" i="14"/>
  <c r="AA125" i="14" s="1"/>
  <c r="AA40" i="14"/>
  <c r="AA130" i="14" s="1"/>
  <c r="N50" i="14"/>
  <c r="S51" i="14"/>
  <c r="AU141" i="14" s="1"/>
  <c r="AV146" i="14"/>
  <c r="T101" i="14"/>
  <c r="AJ156" i="14"/>
  <c r="AJ171" i="14"/>
  <c r="AH157" i="14"/>
  <c r="Y67" i="14"/>
  <c r="H111" i="14"/>
  <c r="N114" i="14"/>
  <c r="K179" i="14"/>
  <c r="K176" i="14"/>
  <c r="K177" i="14"/>
  <c r="K180" i="14"/>
  <c r="T208" i="14"/>
  <c r="AV208" i="14" s="1"/>
  <c r="X255" i="14"/>
  <c r="X210" i="14"/>
  <c r="P5" i="14"/>
  <c r="P95" i="14" s="1"/>
  <c r="U5" i="14"/>
  <c r="U95" i="14"/>
  <c r="O5" i="14"/>
  <c r="O95" i="14" s="1"/>
  <c r="W5" i="14"/>
  <c r="W95" i="14" s="1"/>
  <c r="W98" i="14"/>
  <c r="J11" i="14"/>
  <c r="J6" i="14" s="1"/>
  <c r="V146" i="14"/>
  <c r="L12" i="14"/>
  <c r="X13" i="14"/>
  <c r="X103" i="14" s="1"/>
  <c r="AY216" i="14"/>
  <c r="F112" i="14"/>
  <c r="F157" i="14"/>
  <c r="M207" i="14"/>
  <c r="AO207" i="14" s="1"/>
  <c r="R12" i="14"/>
  <c r="R102" i="14" s="1"/>
  <c r="R208" i="14"/>
  <c r="W208" i="14"/>
  <c r="AY208" i="14" s="1"/>
  <c r="AA29" i="14"/>
  <c r="AA119" i="14" s="1"/>
  <c r="Y123" i="14"/>
  <c r="AA33" i="14"/>
  <c r="AA123" i="14" s="1"/>
  <c r="I129" i="14"/>
  <c r="Y39" i="14"/>
  <c r="Q129" i="14"/>
  <c r="H55" i="14"/>
  <c r="AA65" i="14"/>
  <c r="O127" i="14"/>
  <c r="Z66" i="14"/>
  <c r="AA66" i="14" s="1"/>
  <c r="O111" i="14"/>
  <c r="AA75" i="14"/>
  <c r="K98" i="14"/>
  <c r="S98" i="14"/>
  <c r="F100" i="14"/>
  <c r="V100" i="14"/>
  <c r="H112" i="14"/>
  <c r="K185" i="14"/>
  <c r="Z70" i="14"/>
  <c r="Z115" i="14"/>
  <c r="Y187" i="14"/>
  <c r="AH187" i="14"/>
  <c r="F185" i="14"/>
  <c r="AH185" i="14" s="1"/>
  <c r="F142" i="14"/>
  <c r="AL187" i="14"/>
  <c r="J185" i="14"/>
  <c r="J142" i="14"/>
  <c r="AP187" i="14"/>
  <c r="Z187" i="14"/>
  <c r="N185" i="14"/>
  <c r="N142" i="14"/>
  <c r="AT187" i="14"/>
  <c r="R185" i="14"/>
  <c r="R142" i="14"/>
  <c r="AX187" i="14"/>
  <c r="V185" i="14"/>
  <c r="V142" i="14"/>
  <c r="AH192" i="14"/>
  <c r="F147" i="14"/>
  <c r="BB194" i="14"/>
  <c r="Z149" i="14"/>
  <c r="AO174" i="14"/>
  <c r="BA212" i="14"/>
  <c r="AA212" i="14"/>
  <c r="Y167" i="14"/>
  <c r="BA167" i="14"/>
  <c r="Y232" i="14"/>
  <c r="F230" i="14"/>
  <c r="Y234" i="14"/>
  <c r="AH191" i="14"/>
  <c r="Y193" i="14"/>
  <c r="AH193" i="14"/>
  <c r="BA195" i="14"/>
  <c r="AA195" i="14"/>
  <c r="BA150" i="14"/>
  <c r="BA200" i="14"/>
  <c r="AA200" i="14"/>
  <c r="AA155" i="14" s="1"/>
  <c r="BA155" i="14"/>
  <c r="AK201" i="14"/>
  <c r="AP201" i="14"/>
  <c r="AP156" i="14"/>
  <c r="BA209" i="14"/>
  <c r="BA164" i="14"/>
  <c r="BB212" i="14"/>
  <c r="BB167" i="14"/>
  <c r="BB220" i="14"/>
  <c r="H175" i="14"/>
  <c r="H174" i="14"/>
  <c r="H173" i="14"/>
  <c r="H172" i="14"/>
  <c r="H171" i="14"/>
  <c r="Y189" i="14"/>
  <c r="AH189" i="14"/>
  <c r="AA197" i="14"/>
  <c r="BC197" i="14" s="1"/>
  <c r="AL217" i="14"/>
  <c r="AL172" i="14"/>
  <c r="AJ202" i="14"/>
  <c r="H157" i="14"/>
  <c r="H180" i="14" s="1"/>
  <c r="J207" i="14"/>
  <c r="BB209" i="14"/>
  <c r="BB164" i="14"/>
  <c r="G157" i="14"/>
  <c r="G180" i="14" s="1"/>
  <c r="Y24" i="14"/>
  <c r="K250" i="14"/>
  <c r="K205" i="14"/>
  <c r="U208" i="14"/>
  <c r="U192" i="14" s="1"/>
  <c r="G112" i="14"/>
  <c r="G142" i="14"/>
  <c r="K142" i="14"/>
  <c r="O142" i="14"/>
  <c r="S142" i="14"/>
  <c r="W142" i="14"/>
  <c r="S145" i="14"/>
  <c r="V26" i="20"/>
  <c r="G146" i="14"/>
  <c r="O146" i="14"/>
  <c r="S146" i="14"/>
  <c r="W146" i="14"/>
  <c r="G147" i="14"/>
  <c r="K147" i="14"/>
  <c r="S147" i="14"/>
  <c r="G148" i="14"/>
  <c r="K148" i="14"/>
  <c r="O148" i="14"/>
  <c r="S148" i="14"/>
  <c r="W148" i="14"/>
  <c r="Z152" i="14"/>
  <c r="AK156" i="14"/>
  <c r="AJ157" i="14"/>
  <c r="Y164" i="14"/>
  <c r="J178" i="14"/>
  <c r="Y188" i="14"/>
  <c r="AH188" i="14"/>
  <c r="BA194" i="14"/>
  <c r="AA194" i="14"/>
  <c r="BA153" i="14"/>
  <c r="BA198" i="14"/>
  <c r="AA198" i="14"/>
  <c r="BC153" i="14" s="1"/>
  <c r="T173" i="14"/>
  <c r="Y201" i="14"/>
  <c r="BA213" i="14"/>
  <c r="AA213" i="14"/>
  <c r="AA168" i="14" s="1"/>
  <c r="I236" i="14"/>
  <c r="BA224" i="14"/>
  <c r="Y238" i="14"/>
  <c r="Y202" i="14"/>
  <c r="AD303" i="14"/>
  <c r="AD302" i="14"/>
  <c r="Z205" i="14"/>
  <c r="BA223" i="14"/>
  <c r="I230" i="14"/>
  <c r="M230" i="14"/>
  <c r="Z234" i="14"/>
  <c r="AC250" i="11"/>
  <c r="Z13" i="14"/>
  <c r="Z103" i="14" s="1"/>
  <c r="V141" i="19"/>
  <c r="AU191" i="14"/>
  <c r="AI202" i="14"/>
  <c r="AQ217" i="14"/>
  <c r="AR179" i="14"/>
  <c r="Z89" i="14"/>
  <c r="AM216" i="14"/>
  <c r="AM171" i="14"/>
  <c r="BC203" i="14"/>
  <c r="AA158" i="14"/>
  <c r="BC158" i="14"/>
  <c r="BC211" i="14"/>
  <c r="BC166" i="14"/>
  <c r="AA166" i="14"/>
  <c r="AR219" i="14"/>
  <c r="P173" i="14"/>
  <c r="Z37" i="14"/>
  <c r="P179" i="14"/>
  <c r="P157" i="14"/>
  <c r="Z36" i="14"/>
  <c r="X6" i="14"/>
  <c r="U100" i="14"/>
  <c r="AA148" i="19"/>
  <c r="O129" i="14"/>
  <c r="AO145" i="14"/>
  <c r="AO173" i="14"/>
  <c r="AH177" i="14"/>
  <c r="AM218" i="14"/>
  <c r="AM173" i="14"/>
  <c r="Y218" i="14"/>
  <c r="AA188" i="14"/>
  <c r="BA143" i="14"/>
  <c r="BA188" i="14"/>
  <c r="Y143" i="14"/>
  <c r="AQ201" i="14"/>
  <c r="AQ156" i="14"/>
  <c r="P112" i="14"/>
  <c r="Z22" i="14"/>
  <c r="P10" i="14"/>
  <c r="P145" i="14" s="1"/>
  <c r="S26" i="20" s="1"/>
  <c r="BC213" i="14"/>
  <c r="BC167" i="14"/>
  <c r="AA167" i="14"/>
  <c r="BC212" i="14"/>
  <c r="N140" i="14"/>
  <c r="AL185" i="14"/>
  <c r="J140" i="14"/>
  <c r="AL140" i="14"/>
  <c r="AM185" i="14"/>
  <c r="K140" i="14"/>
  <c r="AM140" i="14"/>
  <c r="F179" i="14"/>
  <c r="F176" i="14"/>
  <c r="F177" i="14"/>
  <c r="F178" i="14"/>
  <c r="F180" i="14"/>
  <c r="AY201" i="14"/>
  <c r="AY156" i="14"/>
  <c r="AH176" i="14"/>
  <c r="Y86" i="14"/>
  <c r="AA86" i="14" s="1"/>
  <c r="AW156" i="14"/>
  <c r="AW201" i="14"/>
  <c r="M96" i="14"/>
  <c r="AQ185" i="14"/>
  <c r="O140" i="14"/>
  <c r="AQ140" i="14"/>
  <c r="AI185" i="14"/>
  <c r="R231" i="14"/>
  <c r="BC199" i="14"/>
  <c r="AA154" i="14"/>
  <c r="BC154" i="14"/>
  <c r="F172" i="14"/>
  <c r="Y112" i="14"/>
  <c r="BA202" i="14"/>
  <c r="Y157" i="14"/>
  <c r="BA157" i="14"/>
  <c r="H177" i="14"/>
  <c r="BA148" i="14"/>
  <c r="BA193" i="14"/>
  <c r="Y148" i="14"/>
  <c r="AH140" i="14"/>
  <c r="Z160" i="14"/>
  <c r="BB205" i="14"/>
  <c r="BB160" i="14"/>
  <c r="AP145" i="14"/>
  <c r="G177" i="14"/>
  <c r="Y207" i="14"/>
  <c r="Y162" i="14" s="1"/>
  <c r="AL207" i="14"/>
  <c r="AL162" i="14"/>
  <c r="J192" i="14"/>
  <c r="BC152" i="14"/>
  <c r="BC155" i="14"/>
  <c r="AT185" i="14"/>
  <c r="R140" i="14"/>
  <c r="AT140" i="14"/>
  <c r="BB187" i="14"/>
  <c r="Z142" i="14"/>
  <c r="BB142" i="14"/>
  <c r="BA142" i="14"/>
  <c r="BA187" i="14"/>
  <c r="Y142" i="14"/>
  <c r="AA187" i="14"/>
  <c r="Y41" i="14"/>
  <c r="F131" i="14"/>
  <c r="W192" i="14"/>
  <c r="L102" i="14"/>
  <c r="Z210" i="14"/>
  <c r="X193" i="14"/>
  <c r="AZ148" i="14" s="1"/>
  <c r="AZ165" i="14"/>
  <c r="AX208" i="14"/>
  <c r="V192" i="14"/>
  <c r="V186" i="14" s="1"/>
  <c r="AX163" i="14"/>
  <c r="BB188" i="14"/>
  <c r="Z143" i="14"/>
  <c r="BB143" i="14"/>
  <c r="Y204" i="14"/>
  <c r="AM204" i="14"/>
  <c r="K191" i="14"/>
  <c r="AH201" i="14"/>
  <c r="G131" i="14"/>
  <c r="AA153" i="14"/>
  <c r="AW208" i="14"/>
  <c r="H51" i="14"/>
  <c r="AT208" i="14"/>
  <c r="AT163" i="14"/>
  <c r="R192" i="14"/>
  <c r="AH221" i="14"/>
  <c r="AH202" i="14"/>
  <c r="Q192" i="14"/>
  <c r="AS163" i="14"/>
  <c r="AS208" i="14"/>
  <c r="F127" i="14"/>
  <c r="Y37" i="14"/>
  <c r="Z216" i="14"/>
  <c r="BA201" i="14"/>
  <c r="BA156" i="14"/>
  <c r="M172" i="14"/>
  <c r="AO172" i="14"/>
  <c r="AM217" i="14"/>
  <c r="AM172" i="14"/>
  <c r="AV201" i="14"/>
  <c r="AV156" i="14"/>
  <c r="AA149" i="14"/>
  <c r="BC149" i="14"/>
  <c r="BC194" i="14"/>
  <c r="BA144" i="14"/>
  <c r="Y144" i="14"/>
  <c r="BA189" i="14"/>
  <c r="AP217" i="14"/>
  <c r="AP172" i="14"/>
  <c r="N172" i="14"/>
  <c r="M192" i="14"/>
  <c r="F132" i="14"/>
  <c r="AP204" i="14"/>
  <c r="Z204" i="14"/>
  <c r="AP159" i="14"/>
  <c r="N191" i="14"/>
  <c r="Z191" i="14" s="1"/>
  <c r="AR201" i="14"/>
  <c r="AR156" i="14"/>
  <c r="J236" i="14"/>
  <c r="K236" i="14"/>
  <c r="AU185" i="14"/>
  <c r="S140" i="14"/>
  <c r="AU140" i="14"/>
  <c r="AZ208" i="14"/>
  <c r="X192" i="14"/>
  <c r="AZ163" i="14"/>
  <c r="AR224" i="14"/>
  <c r="AR217" i="14"/>
  <c r="Z44" i="14"/>
  <c r="AR218" i="14"/>
  <c r="AZ147" i="14"/>
  <c r="X147" i="14"/>
  <c r="BB204" i="14"/>
  <c r="BB159" i="14"/>
  <c r="Z159" i="14"/>
  <c r="AS147" i="14"/>
  <c r="Q147" i="14"/>
  <c r="AR202" i="14"/>
  <c r="Z202" i="14"/>
  <c r="AA202" i="14" s="1"/>
  <c r="AR157" i="14"/>
  <c r="O186" i="14"/>
  <c r="O145" i="14"/>
  <c r="R26" i="20"/>
  <c r="AQ145" i="14"/>
  <c r="AR174" i="14"/>
  <c r="BB165" i="14"/>
  <c r="BB210" i="14"/>
  <c r="AA210" i="14"/>
  <c r="Z165" i="14"/>
  <c r="BC187" i="14"/>
  <c r="AA142" i="14"/>
  <c r="BC142" i="14"/>
  <c r="AW145" i="14"/>
  <c r="U145" i="14"/>
  <c r="X26" i="20"/>
  <c r="W147" i="14"/>
  <c r="AT192" i="14"/>
  <c r="J147" i="14"/>
  <c r="AL147" i="14"/>
  <c r="Y192" i="14"/>
  <c r="AY171" i="14"/>
  <c r="W171" i="14"/>
  <c r="P132" i="14"/>
  <c r="Z42" i="14"/>
  <c r="Z132" i="14" s="1"/>
  <c r="O172" i="14"/>
  <c r="X148" i="14"/>
  <c r="Z193" i="14"/>
  <c r="P172" i="14"/>
  <c r="AV145" i="14"/>
  <c r="T145" i="14"/>
  <c r="W26" i="20" s="1"/>
  <c r="BB216" i="14"/>
  <c r="AV218" i="14"/>
  <c r="AV173" i="14"/>
  <c r="Z218" i="14"/>
  <c r="V147" i="14"/>
  <c r="AX147" i="14"/>
  <c r="AY145" i="14"/>
  <c r="AQ219" i="14"/>
  <c r="AQ174" i="14"/>
  <c r="O174" i="14"/>
  <c r="BC188" i="14"/>
  <c r="AA143" i="14"/>
  <c r="BC143" i="14"/>
  <c r="BC210" i="14"/>
  <c r="BC165" i="14"/>
  <c r="AQ141" i="14"/>
  <c r="P186" i="14"/>
  <c r="X70" i="10"/>
  <c r="S115" i="9"/>
  <c r="D5" i="11"/>
  <c r="U115" i="11"/>
  <c r="W115" i="11"/>
  <c r="AD26" i="5"/>
  <c r="T118" i="9"/>
  <c r="Q118" i="9"/>
  <c r="P66" i="10"/>
  <c r="K250" i="10"/>
  <c r="K205" i="10"/>
  <c r="J51" i="9"/>
  <c r="P66" i="11"/>
  <c r="P39" i="11"/>
  <c r="N24" i="11"/>
  <c r="P67" i="10"/>
  <c r="P89" i="10" s="1"/>
  <c r="O66" i="10"/>
  <c r="N66" i="10"/>
  <c r="Q84" i="11"/>
  <c r="Q82" i="11"/>
  <c r="Q81" i="11"/>
  <c r="Q84" i="10"/>
  <c r="Q83" i="10"/>
  <c r="Q82" i="10"/>
  <c r="Q81" i="10"/>
  <c r="F42" i="11"/>
  <c r="P44" i="10"/>
  <c r="P39" i="10"/>
  <c r="P67" i="11"/>
  <c r="P84" i="11"/>
  <c r="P269" i="10"/>
  <c r="J21" i="9"/>
  <c r="J156" i="10"/>
  <c r="J156" i="11"/>
  <c r="J172" i="11" s="1"/>
  <c r="J201" i="9"/>
  <c r="AC20" i="11"/>
  <c r="J156" i="9"/>
  <c r="S115" i="11"/>
  <c r="K70" i="11"/>
  <c r="K25" i="11"/>
  <c r="K205" i="11" s="1"/>
  <c r="AD24" i="11"/>
  <c r="E27" i="11"/>
  <c r="H42" i="10"/>
  <c r="H201" i="9"/>
  <c r="H202" i="9"/>
  <c r="F67" i="5"/>
  <c r="F66" i="5"/>
  <c r="H67" i="11"/>
  <c r="H87" i="11" s="1"/>
  <c r="H66" i="11"/>
  <c r="H81" i="11" s="1"/>
  <c r="AC45" i="11"/>
  <c r="O66" i="11"/>
  <c r="J70" i="11"/>
  <c r="J115" i="11"/>
  <c r="AA70" i="11"/>
  <c r="AA10" i="11"/>
  <c r="G67" i="11"/>
  <c r="AA57" i="11"/>
  <c r="H131" i="11"/>
  <c r="H132" i="11"/>
  <c r="AD301" i="11"/>
  <c r="AC301" i="11"/>
  <c r="AB301" i="11"/>
  <c r="AD300" i="11"/>
  <c r="AD302" i="11" s="1"/>
  <c r="AC300" i="11"/>
  <c r="AC302" i="11" s="1"/>
  <c r="AB300" i="11"/>
  <c r="AB302" i="11" s="1"/>
  <c r="AA270" i="11"/>
  <c r="Z270" i="11"/>
  <c r="Y270" i="11"/>
  <c r="AA269" i="11"/>
  <c r="Z269" i="11"/>
  <c r="Y269" i="11"/>
  <c r="AA268" i="11"/>
  <c r="Z268" i="11"/>
  <c r="Y268" i="11"/>
  <c r="AA267" i="11"/>
  <c r="Z267" i="11"/>
  <c r="Y267" i="11"/>
  <c r="AA266" i="11"/>
  <c r="Z266" i="11"/>
  <c r="Y266" i="11"/>
  <c r="AA265" i="11"/>
  <c r="Z265" i="11"/>
  <c r="Y265" i="11"/>
  <c r="AA264" i="11"/>
  <c r="Z264" i="11"/>
  <c r="Y264" i="11"/>
  <c r="AA263" i="11"/>
  <c r="Z263" i="11"/>
  <c r="Y263" i="11"/>
  <c r="AA262" i="11"/>
  <c r="Z262" i="11"/>
  <c r="Y262" i="11"/>
  <c r="AA261" i="11"/>
  <c r="Z261" i="11"/>
  <c r="Y261" i="11"/>
  <c r="AA260" i="11"/>
  <c r="Z260" i="11"/>
  <c r="Y260" i="11"/>
  <c r="X260" i="11"/>
  <c r="W260" i="11"/>
  <c r="V260" i="11"/>
  <c r="U260" i="11"/>
  <c r="T260" i="11"/>
  <c r="S260" i="11"/>
  <c r="R260" i="11"/>
  <c r="Q260" i="11"/>
  <c r="P260" i="11"/>
  <c r="O260" i="11"/>
  <c r="N260" i="11"/>
  <c r="M260" i="11"/>
  <c r="L260" i="11"/>
  <c r="K260" i="11"/>
  <c r="J260" i="11"/>
  <c r="I260" i="11"/>
  <c r="H260" i="11"/>
  <c r="G260" i="11"/>
  <c r="F260" i="11"/>
  <c r="AA259" i="11"/>
  <c r="Z259" i="11"/>
  <c r="Y259" i="11"/>
  <c r="X259" i="11"/>
  <c r="W259" i="11"/>
  <c r="V259" i="11"/>
  <c r="U259" i="11"/>
  <c r="T259" i="11"/>
  <c r="S259" i="11"/>
  <c r="R259" i="11"/>
  <c r="Q259" i="11"/>
  <c r="P259" i="11"/>
  <c r="O259" i="11"/>
  <c r="N259" i="11"/>
  <c r="M259" i="11"/>
  <c r="L259" i="11"/>
  <c r="K259" i="11"/>
  <c r="J259" i="11"/>
  <c r="I259" i="11"/>
  <c r="H259" i="11"/>
  <c r="G259" i="11"/>
  <c r="F259" i="11"/>
  <c r="AA258" i="11"/>
  <c r="Z258" i="11"/>
  <c r="Y258" i="11"/>
  <c r="X258" i="11"/>
  <c r="W258" i="11"/>
  <c r="V258" i="11"/>
  <c r="U258" i="11"/>
  <c r="T258" i="11"/>
  <c r="S258" i="11"/>
  <c r="R258" i="11"/>
  <c r="Q258" i="11"/>
  <c r="P258" i="11"/>
  <c r="O258" i="11"/>
  <c r="N258" i="11"/>
  <c r="M258" i="11"/>
  <c r="L258" i="11"/>
  <c r="K258" i="11"/>
  <c r="J258" i="11"/>
  <c r="I258" i="11"/>
  <c r="H258" i="11"/>
  <c r="G258" i="11"/>
  <c r="F258" i="11"/>
  <c r="AA257" i="11"/>
  <c r="Z257" i="11"/>
  <c r="Y257" i="11"/>
  <c r="X257" i="11"/>
  <c r="W257" i="11"/>
  <c r="V257" i="11"/>
  <c r="U257" i="11"/>
  <c r="T257" i="11"/>
  <c r="S257" i="11"/>
  <c r="R257" i="11"/>
  <c r="Q257" i="11"/>
  <c r="P257" i="11"/>
  <c r="O257" i="11"/>
  <c r="N257" i="11"/>
  <c r="M257" i="11"/>
  <c r="L257" i="11"/>
  <c r="K257" i="11"/>
  <c r="J257" i="11"/>
  <c r="I257" i="11"/>
  <c r="H257" i="11"/>
  <c r="G257" i="11"/>
  <c r="F257" i="11"/>
  <c r="AA256" i="11"/>
  <c r="Z256" i="11"/>
  <c r="Y256" i="11"/>
  <c r="X256" i="11"/>
  <c r="W256" i="11"/>
  <c r="V256" i="11"/>
  <c r="U256" i="11"/>
  <c r="T256" i="11"/>
  <c r="S256" i="11"/>
  <c r="R256" i="11"/>
  <c r="Q256" i="11"/>
  <c r="P256" i="11"/>
  <c r="O256" i="11"/>
  <c r="N256" i="11"/>
  <c r="M256" i="11"/>
  <c r="L256" i="11"/>
  <c r="K256" i="11"/>
  <c r="J256" i="11"/>
  <c r="I256" i="11"/>
  <c r="H256" i="11"/>
  <c r="G256" i="11"/>
  <c r="F256" i="11"/>
  <c r="AA255" i="11"/>
  <c r="Z255" i="11"/>
  <c r="Y255" i="11"/>
  <c r="W255" i="11"/>
  <c r="V255" i="11"/>
  <c r="V238" i="11" s="1"/>
  <c r="U255" i="11"/>
  <c r="T255" i="11"/>
  <c r="S255" i="11"/>
  <c r="R255" i="11"/>
  <c r="R238" i="11" s="1"/>
  <c r="Q255" i="11"/>
  <c r="P255" i="11"/>
  <c r="O255" i="11"/>
  <c r="N255" i="11"/>
  <c r="N238" i="11" s="1"/>
  <c r="M255" i="11"/>
  <c r="L255" i="11"/>
  <c r="K255" i="11"/>
  <c r="J255" i="11"/>
  <c r="J238" i="11" s="1"/>
  <c r="I255" i="11"/>
  <c r="H255" i="11"/>
  <c r="G255" i="11"/>
  <c r="F255" i="11"/>
  <c r="F238" i="11" s="1"/>
  <c r="AA254" i="11"/>
  <c r="Z254" i="11"/>
  <c r="Y254" i="11"/>
  <c r="AA253" i="11"/>
  <c r="Z253" i="11"/>
  <c r="Y253" i="11"/>
  <c r="AA252" i="11"/>
  <c r="Z252" i="11"/>
  <c r="Y252" i="11"/>
  <c r="AA251" i="11"/>
  <c r="Z251" i="11"/>
  <c r="Y251" i="11"/>
  <c r="X251" i="11"/>
  <c r="W251" i="11"/>
  <c r="V251" i="11"/>
  <c r="U251" i="11"/>
  <c r="T251" i="11"/>
  <c r="S251" i="11"/>
  <c r="R251" i="11"/>
  <c r="Q251" i="11"/>
  <c r="P251" i="11"/>
  <c r="O251" i="11"/>
  <c r="N251" i="11"/>
  <c r="M251" i="11"/>
  <c r="M236" i="11" s="1"/>
  <c r="L251" i="11"/>
  <c r="K251" i="11"/>
  <c r="J251" i="11"/>
  <c r="I251" i="11"/>
  <c r="H251" i="11"/>
  <c r="G251" i="11"/>
  <c r="F251" i="11"/>
  <c r="AA250" i="11"/>
  <c r="Z250" i="11"/>
  <c r="Y250" i="11"/>
  <c r="X250" i="11"/>
  <c r="W250" i="11"/>
  <c r="V250" i="11"/>
  <c r="U250" i="11"/>
  <c r="R250" i="11"/>
  <c r="Q250" i="11"/>
  <c r="Q249" i="11"/>
  <c r="P250" i="11"/>
  <c r="O250" i="11"/>
  <c r="N250" i="11"/>
  <c r="M250" i="11"/>
  <c r="M249" i="11"/>
  <c r="L250" i="11"/>
  <c r="K250" i="11"/>
  <c r="I250" i="11"/>
  <c r="H250" i="11"/>
  <c r="H249" i="11"/>
  <c r="H236" i="11" s="1"/>
  <c r="G250" i="11"/>
  <c r="F250" i="11"/>
  <c r="AA249" i="11"/>
  <c r="Z249" i="11"/>
  <c r="Y249" i="11"/>
  <c r="X249" i="11"/>
  <c r="X236" i="11" s="1"/>
  <c r="W249" i="11"/>
  <c r="V249" i="11"/>
  <c r="V236" i="11" s="1"/>
  <c r="U249" i="11"/>
  <c r="T249" i="11"/>
  <c r="S249" i="11"/>
  <c r="R249" i="11"/>
  <c r="R236" i="11"/>
  <c r="P249" i="11"/>
  <c r="O249" i="11"/>
  <c r="N249" i="11"/>
  <c r="N236" i="11" s="1"/>
  <c r="AP191" i="11" s="1"/>
  <c r="L249" i="11"/>
  <c r="I249" i="11"/>
  <c r="G249" i="11"/>
  <c r="AA248" i="11"/>
  <c r="Z248" i="11"/>
  <c r="Y248" i="11"/>
  <c r="AA247" i="11"/>
  <c r="Z247" i="11"/>
  <c r="Y247" i="11"/>
  <c r="AA246" i="11"/>
  <c r="Z246" i="11"/>
  <c r="Y246" i="11"/>
  <c r="N262" i="11"/>
  <c r="M264" i="11"/>
  <c r="K264" i="11"/>
  <c r="J262" i="11"/>
  <c r="I262" i="11"/>
  <c r="AA245" i="11"/>
  <c r="Z245" i="11"/>
  <c r="Y245" i="11"/>
  <c r="X245" i="11"/>
  <c r="W245" i="11"/>
  <c r="V245" i="11"/>
  <c r="V234" i="11" s="1"/>
  <c r="U245" i="11"/>
  <c r="T245" i="11"/>
  <c r="S245" i="11"/>
  <c r="R245" i="11"/>
  <c r="R234" i="11" s="1"/>
  <c r="Q245" i="11"/>
  <c r="P245" i="11"/>
  <c r="O245" i="11"/>
  <c r="N245" i="11"/>
  <c r="N234" i="11" s="1"/>
  <c r="M245" i="11"/>
  <c r="L245" i="11"/>
  <c r="K245" i="11"/>
  <c r="J245" i="11"/>
  <c r="J234" i="11" s="1"/>
  <c r="I245" i="11"/>
  <c r="H245" i="11"/>
  <c r="G245" i="11"/>
  <c r="F245" i="11"/>
  <c r="F234" i="11" s="1"/>
  <c r="AA244" i="11"/>
  <c r="Z244" i="11"/>
  <c r="Y244" i="11"/>
  <c r="X244" i="11"/>
  <c r="W244" i="11"/>
  <c r="V244" i="11"/>
  <c r="U244" i="11"/>
  <c r="T244" i="11"/>
  <c r="S244" i="11"/>
  <c r="R244" i="11"/>
  <c r="Q244" i="11"/>
  <c r="P244" i="11"/>
  <c r="O244" i="11"/>
  <c r="N244" i="11"/>
  <c r="M244" i="11"/>
  <c r="L244" i="11"/>
  <c r="K244" i="11"/>
  <c r="J244" i="11"/>
  <c r="I244" i="11"/>
  <c r="H244" i="11"/>
  <c r="H233" i="11" s="1"/>
  <c r="G244" i="11"/>
  <c r="F244" i="11"/>
  <c r="AA243" i="11"/>
  <c r="Z243" i="11"/>
  <c r="Y243" i="11"/>
  <c r="X243" i="11"/>
  <c r="W243" i="11"/>
  <c r="W242" i="11"/>
  <c r="W233" i="11" s="1"/>
  <c r="V243" i="11"/>
  <c r="U243" i="11"/>
  <c r="T243" i="11"/>
  <c r="S243" i="11"/>
  <c r="S233" i="11" s="1"/>
  <c r="S242" i="11"/>
  <c r="R243" i="11"/>
  <c r="Q243" i="11"/>
  <c r="P243" i="11"/>
  <c r="O243" i="11"/>
  <c r="O242" i="11"/>
  <c r="N243" i="11"/>
  <c r="M243" i="11"/>
  <c r="L243" i="11"/>
  <c r="K243" i="11"/>
  <c r="K233" i="11" s="1"/>
  <c r="K242" i="11"/>
  <c r="J243" i="11"/>
  <c r="J233" i="11" s="1"/>
  <c r="I243" i="11"/>
  <c r="H243" i="11"/>
  <c r="G243" i="11"/>
  <c r="G242" i="11"/>
  <c r="G233" i="11" s="1"/>
  <c r="F243" i="11"/>
  <c r="AA242" i="11"/>
  <c r="Z242" i="11"/>
  <c r="Y242" i="11"/>
  <c r="X242" i="11"/>
  <c r="V242" i="11"/>
  <c r="U242" i="11"/>
  <c r="U233" i="11" s="1"/>
  <c r="T242" i="11"/>
  <c r="R242" i="11"/>
  <c r="Q242" i="11"/>
  <c r="Q233" i="11" s="1"/>
  <c r="P242" i="11"/>
  <c r="N242" i="11"/>
  <c r="M242" i="11"/>
  <c r="L242" i="11"/>
  <c r="J242" i="11"/>
  <c r="I242" i="11"/>
  <c r="I233" i="11" s="1"/>
  <c r="H242" i="11"/>
  <c r="F242" i="11"/>
  <c r="AA241" i="11"/>
  <c r="Z241" i="11"/>
  <c r="Y241" i="11"/>
  <c r="X241" i="11"/>
  <c r="W241" i="11"/>
  <c r="V241" i="11"/>
  <c r="U241" i="11"/>
  <c r="T241" i="11"/>
  <c r="S241" i="11"/>
  <c r="R241" i="11"/>
  <c r="Q241" i="11"/>
  <c r="P241" i="11"/>
  <c r="O241" i="11"/>
  <c r="N241" i="11"/>
  <c r="M241" i="11"/>
  <c r="L241" i="11"/>
  <c r="K241" i="11"/>
  <c r="J241" i="11"/>
  <c r="I241" i="11"/>
  <c r="H241" i="11"/>
  <c r="G241" i="11"/>
  <c r="F241" i="11"/>
  <c r="AA240" i="11"/>
  <c r="Z240" i="11"/>
  <c r="Y240" i="11"/>
  <c r="X240" i="11"/>
  <c r="W240" i="11"/>
  <c r="V240" i="11"/>
  <c r="U240" i="11"/>
  <c r="T240" i="11"/>
  <c r="S240" i="11"/>
  <c r="R240" i="11"/>
  <c r="Q240" i="11"/>
  <c r="Q239" i="11"/>
  <c r="P240" i="11"/>
  <c r="O240" i="11"/>
  <c r="N240" i="11"/>
  <c r="M240" i="11"/>
  <c r="L240" i="11"/>
  <c r="K240" i="11"/>
  <c r="J240" i="11"/>
  <c r="I240" i="11"/>
  <c r="H240" i="11"/>
  <c r="G240" i="11"/>
  <c r="F240" i="11"/>
  <c r="AA239" i="11"/>
  <c r="Z239" i="11"/>
  <c r="Y239" i="11"/>
  <c r="X239" i="11"/>
  <c r="W239" i="11"/>
  <c r="V239" i="11"/>
  <c r="V232" i="11" s="1"/>
  <c r="U239" i="11"/>
  <c r="T239" i="11"/>
  <c r="S239" i="11"/>
  <c r="R239" i="11"/>
  <c r="P239" i="11"/>
  <c r="O239" i="11"/>
  <c r="N239" i="11"/>
  <c r="M239" i="11"/>
  <c r="L239" i="11"/>
  <c r="K239" i="11"/>
  <c r="J239" i="11"/>
  <c r="I239" i="11"/>
  <c r="H239" i="11"/>
  <c r="H232" i="11" s="1"/>
  <c r="G239" i="11"/>
  <c r="F239" i="11"/>
  <c r="F232" i="11" s="1"/>
  <c r="W238" i="11"/>
  <c r="U238" i="11"/>
  <c r="T238" i="11"/>
  <c r="S238" i="11"/>
  <c r="Q238" i="11"/>
  <c r="P238" i="11"/>
  <c r="O238" i="11"/>
  <c r="M238" i="11"/>
  <c r="L238" i="11"/>
  <c r="K238" i="11"/>
  <c r="I238" i="11"/>
  <c r="H238" i="11"/>
  <c r="G238" i="11"/>
  <c r="T236" i="11"/>
  <c r="P236" i="11"/>
  <c r="L236" i="11"/>
  <c r="X234" i="11"/>
  <c r="W234" i="11"/>
  <c r="U234" i="11"/>
  <c r="T234" i="11"/>
  <c r="S234" i="11"/>
  <c r="Q234" i="11"/>
  <c r="P234" i="11"/>
  <c r="O234" i="11"/>
  <c r="M234" i="11"/>
  <c r="L234" i="11"/>
  <c r="K234" i="11"/>
  <c r="I234" i="11"/>
  <c r="H234" i="11"/>
  <c r="G234" i="11"/>
  <c r="V233" i="11"/>
  <c r="T233" i="11"/>
  <c r="T232" i="11"/>
  <c r="N233" i="11"/>
  <c r="L232" i="11"/>
  <c r="F233" i="11"/>
  <c r="X232" i="11"/>
  <c r="R232" i="11"/>
  <c r="P232" i="11"/>
  <c r="N232" i="11"/>
  <c r="M232" i="11"/>
  <c r="J232" i="11"/>
  <c r="I232" i="11"/>
  <c r="AZ225" i="11"/>
  <c r="AY225" i="11"/>
  <c r="AX225" i="11"/>
  <c r="AW225" i="11"/>
  <c r="AV225" i="11"/>
  <c r="AU225" i="11"/>
  <c r="AT225" i="11"/>
  <c r="AS225" i="11"/>
  <c r="AR225" i="11"/>
  <c r="AQ225" i="11"/>
  <c r="AP225" i="11"/>
  <c r="AO225" i="11"/>
  <c r="AN225" i="11"/>
  <c r="AM225" i="11"/>
  <c r="AL225" i="11"/>
  <c r="AK225" i="11"/>
  <c r="AJ225" i="11"/>
  <c r="AI225" i="11"/>
  <c r="AH225" i="11"/>
  <c r="Z225" i="11"/>
  <c r="BB225" i="11" s="1"/>
  <c r="Y225" i="11"/>
  <c r="AZ224" i="11"/>
  <c r="AY224" i="11"/>
  <c r="AX224" i="11"/>
  <c r="AW224" i="11"/>
  <c r="AV224" i="11"/>
  <c r="AU224" i="11"/>
  <c r="AT224" i="11"/>
  <c r="AS224" i="11"/>
  <c r="AQ224" i="11"/>
  <c r="AP224" i="11"/>
  <c r="AO224" i="11"/>
  <c r="AN224" i="11"/>
  <c r="AM224" i="11"/>
  <c r="AL224" i="11"/>
  <c r="AK224" i="11"/>
  <c r="AJ224" i="11"/>
  <c r="AI224" i="11"/>
  <c r="AH224" i="11"/>
  <c r="Y224" i="11"/>
  <c r="BA224" i="11" s="1"/>
  <c r="AZ223" i="11"/>
  <c r="AY223" i="11"/>
  <c r="AX223" i="11"/>
  <c r="AW223" i="11"/>
  <c r="AV223" i="11"/>
  <c r="AU223" i="11"/>
  <c r="AT223" i="11"/>
  <c r="AS223" i="11"/>
  <c r="AR223" i="11"/>
  <c r="AQ223" i="11"/>
  <c r="AP223" i="11"/>
  <c r="AO223" i="11"/>
  <c r="AN223" i="11"/>
  <c r="AM223" i="11"/>
  <c r="AL223" i="11"/>
  <c r="AK223" i="11"/>
  <c r="AJ223" i="11"/>
  <c r="AI223" i="11"/>
  <c r="AH223" i="11"/>
  <c r="Z223" i="11"/>
  <c r="Y223" i="11"/>
  <c r="BA223" i="11" s="1"/>
  <c r="AZ222" i="11"/>
  <c r="AY222" i="11"/>
  <c r="AX222" i="11"/>
  <c r="AW222" i="11"/>
  <c r="AV222" i="11"/>
  <c r="AU222" i="11"/>
  <c r="AT222" i="11"/>
  <c r="AS222" i="11"/>
  <c r="AR222" i="11"/>
  <c r="AQ222" i="11"/>
  <c r="AP222" i="11"/>
  <c r="AO222" i="11"/>
  <c r="AN222" i="11"/>
  <c r="AM222" i="11"/>
  <c r="AL222" i="11"/>
  <c r="AK222" i="11"/>
  <c r="Z222" i="11"/>
  <c r="AZ221" i="11"/>
  <c r="AY221" i="11"/>
  <c r="AX221" i="11"/>
  <c r="AW221" i="11"/>
  <c r="AV221" i="11"/>
  <c r="AU221" i="11"/>
  <c r="AT221" i="11"/>
  <c r="AS221" i="11"/>
  <c r="AR221" i="11"/>
  <c r="AQ221" i="11"/>
  <c r="AP221" i="11"/>
  <c r="AO221" i="11"/>
  <c r="AN221" i="11"/>
  <c r="AM221" i="11"/>
  <c r="AL221" i="11"/>
  <c r="AK221" i="11"/>
  <c r="Z221" i="11"/>
  <c r="BB221" i="11" s="1"/>
  <c r="AZ220" i="11"/>
  <c r="AY220" i="11"/>
  <c r="AX220" i="11"/>
  <c r="AW220" i="11"/>
  <c r="AV220" i="11"/>
  <c r="AU220" i="11"/>
  <c r="AT220" i="11"/>
  <c r="AS220" i="11"/>
  <c r="AR220" i="11"/>
  <c r="AQ220" i="11"/>
  <c r="AP220" i="11"/>
  <c r="AO220" i="11"/>
  <c r="AN220" i="11"/>
  <c r="AM220" i="11"/>
  <c r="AL220" i="11"/>
  <c r="AK220" i="11"/>
  <c r="AJ220" i="11"/>
  <c r="AI220" i="11"/>
  <c r="AH220" i="11"/>
  <c r="Z220" i="11"/>
  <c r="BB175" i="11"/>
  <c r="Y220" i="11"/>
  <c r="BA220" i="11" s="1"/>
  <c r="AY219" i="11"/>
  <c r="AX219" i="11"/>
  <c r="AW219" i="11"/>
  <c r="AV219" i="11"/>
  <c r="AU219" i="11"/>
  <c r="AT219" i="11"/>
  <c r="AP219" i="11"/>
  <c r="AN219" i="11"/>
  <c r="AL219" i="11"/>
  <c r="AJ219" i="11"/>
  <c r="AI219" i="11"/>
  <c r="AH219" i="11"/>
  <c r="AZ218" i="11"/>
  <c r="AY218" i="11"/>
  <c r="AX218" i="11"/>
  <c r="AU218" i="11"/>
  <c r="AT218" i="11"/>
  <c r="AS218" i="11"/>
  <c r="AR218" i="11"/>
  <c r="AQ218" i="11"/>
  <c r="AP218" i="11"/>
  <c r="AN218" i="11"/>
  <c r="AL218" i="11"/>
  <c r="AK218" i="11"/>
  <c r="AJ218" i="11"/>
  <c r="AI218" i="11"/>
  <c r="AH218" i="11"/>
  <c r="AZ217" i="11"/>
  <c r="AY217" i="11"/>
  <c r="AX217" i="11"/>
  <c r="AW217" i="11"/>
  <c r="AV217" i="11"/>
  <c r="AU217" i="11"/>
  <c r="AS217" i="11"/>
  <c r="AN217" i="11"/>
  <c r="AJ217" i="11"/>
  <c r="AI217" i="11"/>
  <c r="AZ216" i="11"/>
  <c r="AX216" i="11"/>
  <c r="AW216" i="11"/>
  <c r="AV216" i="11"/>
  <c r="AU216" i="11"/>
  <c r="AT216" i="11"/>
  <c r="AS216" i="11"/>
  <c r="AR216" i="11"/>
  <c r="AQ216" i="11"/>
  <c r="AP216" i="11"/>
  <c r="AN216" i="11"/>
  <c r="AM216" i="11"/>
  <c r="AL216" i="11"/>
  <c r="AI216" i="11"/>
  <c r="AZ215" i="11"/>
  <c r="AY215" i="11"/>
  <c r="AX215" i="11"/>
  <c r="AW215" i="11"/>
  <c r="AV215" i="11"/>
  <c r="AU215" i="11"/>
  <c r="AT215" i="11"/>
  <c r="AS215" i="11"/>
  <c r="AR215" i="11"/>
  <c r="AQ215" i="11"/>
  <c r="AP215" i="11"/>
  <c r="AO215" i="11"/>
  <c r="AN215" i="11"/>
  <c r="AM215" i="11"/>
  <c r="AL215" i="11"/>
  <c r="AK215" i="11"/>
  <c r="AJ215" i="11"/>
  <c r="AI215" i="11"/>
  <c r="AH215" i="11"/>
  <c r="Z215" i="11"/>
  <c r="BB215" i="11" s="1"/>
  <c r="Y215" i="11"/>
  <c r="BA215" i="11"/>
  <c r="AZ214" i="11"/>
  <c r="AY214" i="11"/>
  <c r="AX214" i="11"/>
  <c r="AW214" i="11"/>
  <c r="AV214" i="11"/>
  <c r="AU214" i="11"/>
  <c r="AT214" i="11"/>
  <c r="AS214" i="11"/>
  <c r="AR214" i="11"/>
  <c r="AQ214" i="11"/>
  <c r="AP214" i="11"/>
  <c r="AO214" i="11"/>
  <c r="AN214" i="11"/>
  <c r="AM214" i="11"/>
  <c r="AL214" i="11"/>
  <c r="AK214" i="11"/>
  <c r="AJ214" i="11"/>
  <c r="AI214" i="11"/>
  <c r="AH214" i="11"/>
  <c r="Z214" i="11"/>
  <c r="Y214" i="11"/>
  <c r="Y169" i="11"/>
  <c r="AZ213" i="11"/>
  <c r="AY213" i="11"/>
  <c r="AX213" i="11"/>
  <c r="AW213" i="11"/>
  <c r="AV213" i="11"/>
  <c r="AU213" i="11"/>
  <c r="AT213" i="11"/>
  <c r="AS213" i="11"/>
  <c r="AR213" i="11"/>
  <c r="AQ213" i="11"/>
  <c r="AP213" i="11"/>
  <c r="AO213" i="11"/>
  <c r="AN213" i="11"/>
  <c r="AM213" i="11"/>
  <c r="AL213" i="11"/>
  <c r="AK213" i="11"/>
  <c r="AJ213" i="11"/>
  <c r="AI213" i="11"/>
  <c r="AH213" i="11"/>
  <c r="Z213" i="11"/>
  <c r="BB213" i="11" s="1"/>
  <c r="Y213" i="11"/>
  <c r="BA213" i="11" s="1"/>
  <c r="AZ212" i="11"/>
  <c r="AY212" i="11"/>
  <c r="AX212" i="11"/>
  <c r="AW212" i="11"/>
  <c r="AV212" i="11"/>
  <c r="AU212" i="11"/>
  <c r="AT212" i="11"/>
  <c r="AS212" i="11"/>
  <c r="AR212" i="11"/>
  <c r="AQ212" i="11"/>
  <c r="AP212" i="11"/>
  <c r="AO212" i="11"/>
  <c r="AN212" i="11"/>
  <c r="AM212" i="11"/>
  <c r="AL212" i="11"/>
  <c r="AK212" i="11"/>
  <c r="AJ212" i="11"/>
  <c r="AI212" i="11"/>
  <c r="AH212" i="11"/>
  <c r="Z212" i="11"/>
  <c r="BB212" i="11"/>
  <c r="Y212" i="11"/>
  <c r="AA212" i="11" s="1"/>
  <c r="AZ211" i="11"/>
  <c r="AY211" i="11"/>
  <c r="AX211" i="11"/>
  <c r="AW211" i="11"/>
  <c r="AV211" i="11"/>
  <c r="AU211" i="11"/>
  <c r="AT211" i="11"/>
  <c r="AS211" i="11"/>
  <c r="AR211" i="11"/>
  <c r="AQ211" i="11"/>
  <c r="AP211" i="11"/>
  <c r="AO211" i="11"/>
  <c r="AN211" i="11"/>
  <c r="AM211" i="11"/>
  <c r="AL211" i="11"/>
  <c r="AK211" i="11"/>
  <c r="AJ211" i="11"/>
  <c r="AI211" i="11"/>
  <c r="AH211" i="11"/>
  <c r="Z211" i="11"/>
  <c r="BB211" i="11" s="1"/>
  <c r="Y211" i="11"/>
  <c r="BA211" i="11" s="1"/>
  <c r="Y210" i="11"/>
  <c r="BA210" i="11" s="1"/>
  <c r="AY210" i="11"/>
  <c r="AX210" i="11"/>
  <c r="AW210" i="11"/>
  <c r="AV210" i="11"/>
  <c r="AU210" i="11"/>
  <c r="AT210" i="11"/>
  <c r="AS210" i="11"/>
  <c r="AR210" i="11"/>
  <c r="AQ210" i="11"/>
  <c r="AP210" i="11"/>
  <c r="AO210" i="11"/>
  <c r="AN210" i="11"/>
  <c r="AM210" i="11"/>
  <c r="AL210" i="11"/>
  <c r="AK210" i="11"/>
  <c r="AJ210" i="11"/>
  <c r="AI210" i="11"/>
  <c r="AH210" i="11"/>
  <c r="AZ209" i="11"/>
  <c r="AY209" i="11"/>
  <c r="AX209" i="11"/>
  <c r="AW209" i="11"/>
  <c r="AV209" i="11"/>
  <c r="AU209" i="11"/>
  <c r="AT209" i="11"/>
  <c r="AS209" i="11"/>
  <c r="AR209" i="11"/>
  <c r="AQ209" i="11"/>
  <c r="AP209" i="11"/>
  <c r="AO209" i="11"/>
  <c r="AM209" i="11"/>
  <c r="AL209" i="11"/>
  <c r="AK209" i="11"/>
  <c r="AJ209" i="11"/>
  <c r="AI209" i="11"/>
  <c r="AH209" i="11"/>
  <c r="Z209" i="11"/>
  <c r="BB209" i="11" s="1"/>
  <c r="Y209" i="11"/>
  <c r="BA209" i="11" s="1"/>
  <c r="AU208" i="11"/>
  <c r="AR208" i="11"/>
  <c r="AQ208" i="11"/>
  <c r="AP208" i="11"/>
  <c r="AO208" i="11"/>
  <c r="AN208" i="11"/>
  <c r="AM208" i="11"/>
  <c r="AL208" i="11"/>
  <c r="AK208" i="11"/>
  <c r="AJ208" i="11"/>
  <c r="AI208" i="11"/>
  <c r="AH208" i="11"/>
  <c r="Y208" i="11"/>
  <c r="BA208" i="11"/>
  <c r="AZ207" i="11"/>
  <c r="AY207" i="11"/>
  <c r="AX207" i="11"/>
  <c r="AW207" i="11"/>
  <c r="AV207" i="11"/>
  <c r="AU207" i="11"/>
  <c r="AT207" i="11"/>
  <c r="AS207" i="11"/>
  <c r="AR207" i="11"/>
  <c r="AQ207" i="11"/>
  <c r="AP207" i="11"/>
  <c r="AN207" i="11"/>
  <c r="AM207" i="11"/>
  <c r="AK207" i="11"/>
  <c r="AJ207" i="11"/>
  <c r="AI207" i="11"/>
  <c r="AH207" i="11"/>
  <c r="AZ206" i="11"/>
  <c r="AY206" i="11"/>
  <c r="AX206" i="11"/>
  <c r="AW206" i="11"/>
  <c r="AV206" i="11"/>
  <c r="AU206" i="11"/>
  <c r="AT206" i="11"/>
  <c r="AS206" i="11"/>
  <c r="AR206" i="11"/>
  <c r="AQ206" i="11"/>
  <c r="AP206" i="11"/>
  <c r="AO206" i="11"/>
  <c r="AN206" i="11"/>
  <c r="AM206" i="11"/>
  <c r="AL206" i="11"/>
  <c r="AK206" i="11"/>
  <c r="AJ206" i="11"/>
  <c r="AI206" i="11"/>
  <c r="AH206" i="11"/>
  <c r="Z206" i="11"/>
  <c r="BB206" i="11" s="1"/>
  <c r="Y206" i="11"/>
  <c r="BA206" i="11" s="1"/>
  <c r="AY205" i="11"/>
  <c r="AW205" i="11"/>
  <c r="AT205" i="11"/>
  <c r="AS205" i="11"/>
  <c r="AR205" i="11"/>
  <c r="AQ205" i="11"/>
  <c r="AP205" i="11"/>
  <c r="AO205" i="11"/>
  <c r="AN205" i="11"/>
  <c r="AK205" i="11"/>
  <c r="AJ205" i="11"/>
  <c r="AI205" i="11"/>
  <c r="AH205" i="11"/>
  <c r="X205" i="11"/>
  <c r="AZ205" i="11"/>
  <c r="V205" i="11"/>
  <c r="AX205" i="11" s="1"/>
  <c r="T205" i="11"/>
  <c r="AV205" i="11" s="1"/>
  <c r="S205" i="11"/>
  <c r="AZ204" i="11"/>
  <c r="AY204" i="11"/>
  <c r="AX204" i="11"/>
  <c r="AW204" i="11"/>
  <c r="AV204" i="11"/>
  <c r="AU204" i="11"/>
  <c r="AT204" i="11"/>
  <c r="AS204" i="11"/>
  <c r="AR204" i="11"/>
  <c r="AQ204" i="11"/>
  <c r="AO204" i="11"/>
  <c r="AN204" i="11"/>
  <c r="AK204" i="11"/>
  <c r="AJ204" i="11"/>
  <c r="AI204" i="11"/>
  <c r="N204" i="11"/>
  <c r="Z204" i="11" s="1"/>
  <c r="K204" i="11"/>
  <c r="AM204" i="11"/>
  <c r="AZ203" i="11"/>
  <c r="AY203" i="11"/>
  <c r="AX203" i="11"/>
  <c r="AW203" i="11"/>
  <c r="AV203" i="11"/>
  <c r="AU203" i="11"/>
  <c r="AT203" i="11"/>
  <c r="AS203" i="11"/>
  <c r="AR203" i="11"/>
  <c r="AQ203" i="11"/>
  <c r="AP203" i="11"/>
  <c r="AO203" i="11"/>
  <c r="AN203" i="11"/>
  <c r="AM203" i="11"/>
  <c r="AL203" i="11"/>
  <c r="AK203" i="11"/>
  <c r="AJ203" i="11"/>
  <c r="AI203" i="11"/>
  <c r="AH203" i="11"/>
  <c r="Z203" i="11"/>
  <c r="Z158" i="11" s="1"/>
  <c r="Y203" i="11"/>
  <c r="BA203" i="11" s="1"/>
  <c r="AZ202" i="11"/>
  <c r="AY202" i="11"/>
  <c r="AX202" i="11"/>
  <c r="AW202" i="11"/>
  <c r="AV202" i="11"/>
  <c r="AU202" i="11"/>
  <c r="AT202" i="11"/>
  <c r="AS202" i="11"/>
  <c r="AQ202" i="11"/>
  <c r="AP202" i="11"/>
  <c r="AO202" i="11"/>
  <c r="AN202" i="11"/>
  <c r="AM202" i="11"/>
  <c r="AL202" i="11"/>
  <c r="AK202" i="11"/>
  <c r="AI202" i="11"/>
  <c r="AU201" i="11"/>
  <c r="AN201" i="11"/>
  <c r="AI201" i="11"/>
  <c r="AX201" i="11"/>
  <c r="N217" i="11"/>
  <c r="J217" i="11"/>
  <c r="AZ200" i="11"/>
  <c r="AY200" i="11"/>
  <c r="AX200" i="11"/>
  <c r="AW200" i="11"/>
  <c r="AV200" i="11"/>
  <c r="AU200" i="11"/>
  <c r="AT200" i="11"/>
  <c r="AS200" i="11"/>
  <c r="AR200" i="11"/>
  <c r="AQ200" i="11"/>
  <c r="AP200" i="11"/>
  <c r="AO200" i="11"/>
  <c r="AN200" i="11"/>
  <c r="AM200" i="11"/>
  <c r="AL200" i="11"/>
  <c r="AK200" i="11"/>
  <c r="AJ200" i="11"/>
  <c r="AI200" i="11"/>
  <c r="AH200" i="11"/>
  <c r="Z200" i="11"/>
  <c r="BB200" i="11" s="1"/>
  <c r="Y200" i="11"/>
  <c r="BA200" i="11"/>
  <c r="AZ199" i="11"/>
  <c r="AY199" i="11"/>
  <c r="AX199" i="11"/>
  <c r="AW199" i="11"/>
  <c r="AV199" i="11"/>
  <c r="AU199" i="11"/>
  <c r="AT199" i="11"/>
  <c r="AS199" i="11"/>
  <c r="AR199" i="11"/>
  <c r="AQ199" i="11"/>
  <c r="AP199" i="11"/>
  <c r="AO199" i="11"/>
  <c r="AN199" i="11"/>
  <c r="AM199" i="11"/>
  <c r="AL199" i="11"/>
  <c r="AK199" i="11"/>
  <c r="AJ199" i="11"/>
  <c r="AI199" i="11"/>
  <c r="AH199" i="11"/>
  <c r="Z199" i="11"/>
  <c r="Y199" i="11"/>
  <c r="BA199" i="11"/>
  <c r="AZ198" i="11"/>
  <c r="AY198" i="11"/>
  <c r="AX198" i="11"/>
  <c r="AW198" i="11"/>
  <c r="AV198" i="11"/>
  <c r="AU198" i="11"/>
  <c r="AT198" i="11"/>
  <c r="AS198" i="11"/>
  <c r="AR198" i="11"/>
  <c r="AQ198" i="11"/>
  <c r="AP198" i="11"/>
  <c r="AO198" i="11"/>
  <c r="AN198" i="11"/>
  <c r="AM198" i="11"/>
  <c r="AL198" i="11"/>
  <c r="AK198" i="11"/>
  <c r="AJ198" i="11"/>
  <c r="AI198" i="11"/>
  <c r="AH198" i="11"/>
  <c r="Z198" i="11"/>
  <c r="BB198" i="11" s="1"/>
  <c r="Y198" i="11"/>
  <c r="BA198" i="11" s="1"/>
  <c r="AZ197" i="11"/>
  <c r="AY197" i="11"/>
  <c r="AX197" i="11"/>
  <c r="AW197" i="11"/>
  <c r="AV197" i="11"/>
  <c r="AU197" i="11"/>
  <c r="AT197" i="11"/>
  <c r="AS197" i="11"/>
  <c r="AR197" i="11"/>
  <c r="AQ197" i="11"/>
  <c r="AP197" i="11"/>
  <c r="AO197" i="11"/>
  <c r="AN197" i="11"/>
  <c r="AM197" i="11"/>
  <c r="AL197" i="11"/>
  <c r="AK197" i="11"/>
  <c r="AJ197" i="11"/>
  <c r="AI197" i="11"/>
  <c r="AH197" i="11"/>
  <c r="Z197" i="11"/>
  <c r="BB197" i="11" s="1"/>
  <c r="Y197" i="11"/>
  <c r="AZ196" i="11"/>
  <c r="AY196" i="11"/>
  <c r="AX196" i="11"/>
  <c r="AW196" i="11"/>
  <c r="AV196" i="11"/>
  <c r="AU196" i="11"/>
  <c r="AT196" i="11"/>
  <c r="AS196" i="11"/>
  <c r="AR196" i="11"/>
  <c r="AQ196" i="11"/>
  <c r="AP196" i="11"/>
  <c r="AO196" i="11"/>
  <c r="AN196" i="11"/>
  <c r="AM196" i="11"/>
  <c r="AL196" i="11"/>
  <c r="AK196" i="11"/>
  <c r="AJ196" i="11"/>
  <c r="AI196" i="11"/>
  <c r="AH196" i="11"/>
  <c r="Z196" i="11"/>
  <c r="BB196" i="11" s="1"/>
  <c r="Y196" i="11"/>
  <c r="BA196" i="11" s="1"/>
  <c r="AZ195" i="11"/>
  <c r="AY195" i="11"/>
  <c r="AX195" i="11"/>
  <c r="AW195" i="11"/>
  <c r="AV195" i="11"/>
  <c r="AU195" i="11"/>
  <c r="AT195" i="11"/>
  <c r="AS195" i="11"/>
  <c r="AR195" i="11"/>
  <c r="AQ195" i="11"/>
  <c r="AP195" i="11"/>
  <c r="AO195" i="11"/>
  <c r="AN195" i="11"/>
  <c r="AM195" i="11"/>
  <c r="AL195" i="11"/>
  <c r="AK195" i="11"/>
  <c r="AJ195" i="11"/>
  <c r="AI195" i="11"/>
  <c r="AH195" i="11"/>
  <c r="Z195" i="11"/>
  <c r="Y195" i="11"/>
  <c r="BA195" i="11" s="1"/>
  <c r="AZ194" i="11"/>
  <c r="AY194" i="11"/>
  <c r="AX194" i="11"/>
  <c r="AW194" i="11"/>
  <c r="AV194" i="11"/>
  <c r="AU194" i="11"/>
  <c r="AT194" i="11"/>
  <c r="AS194" i="11"/>
  <c r="AR194" i="11"/>
  <c r="AQ194" i="11"/>
  <c r="AP194" i="11"/>
  <c r="AO194" i="11"/>
  <c r="AN194" i="11"/>
  <c r="AM194" i="11"/>
  <c r="AL194" i="11"/>
  <c r="AK194" i="11"/>
  <c r="AJ194" i="11"/>
  <c r="AI194" i="11"/>
  <c r="AH194" i="11"/>
  <c r="Z194" i="11"/>
  <c r="BB194" i="11" s="1"/>
  <c r="Y194" i="11"/>
  <c r="BA194" i="11" s="1"/>
  <c r="W193" i="11"/>
  <c r="AY193" i="11"/>
  <c r="V193" i="11"/>
  <c r="AX193" i="11" s="1"/>
  <c r="U193" i="11"/>
  <c r="AW193" i="11" s="1"/>
  <c r="T193" i="11"/>
  <c r="AV193" i="11" s="1"/>
  <c r="S193" i="11"/>
  <c r="AU193" i="11"/>
  <c r="R193" i="11"/>
  <c r="R148" i="11" s="1"/>
  <c r="Q193" i="11"/>
  <c r="AS193" i="11"/>
  <c r="P193" i="11"/>
  <c r="AR193" i="11" s="1"/>
  <c r="O193" i="11"/>
  <c r="AQ193" i="11"/>
  <c r="N193" i="11"/>
  <c r="N148" i="11" s="1"/>
  <c r="M193" i="11"/>
  <c r="AO193" i="11" s="1"/>
  <c r="L193" i="11"/>
  <c r="K193" i="11"/>
  <c r="AM193" i="11" s="1"/>
  <c r="J193" i="11"/>
  <c r="AL193" i="11" s="1"/>
  <c r="I193" i="11"/>
  <c r="AK193" i="11" s="1"/>
  <c r="H193" i="11"/>
  <c r="G193" i="11"/>
  <c r="AI193" i="11" s="1"/>
  <c r="F193" i="11"/>
  <c r="S192" i="11"/>
  <c r="AU192" i="11"/>
  <c r="P192" i="11"/>
  <c r="AR192" i="11" s="1"/>
  <c r="O192" i="11"/>
  <c r="AQ192" i="11" s="1"/>
  <c r="N192" i="11"/>
  <c r="AP192" i="11" s="1"/>
  <c r="K192" i="11"/>
  <c r="AM192" i="11"/>
  <c r="I192" i="11"/>
  <c r="AK192" i="11" s="1"/>
  <c r="H192" i="11"/>
  <c r="AJ192" i="11"/>
  <c r="G192" i="11"/>
  <c r="AI192" i="11" s="1"/>
  <c r="F192" i="11"/>
  <c r="AH192" i="11"/>
  <c r="W191" i="11"/>
  <c r="AY191" i="11" s="1"/>
  <c r="V191" i="11"/>
  <c r="U191" i="11"/>
  <c r="AW191" i="11" s="1"/>
  <c r="T191" i="11"/>
  <c r="AV191" i="11"/>
  <c r="S191" i="11"/>
  <c r="R191" i="11"/>
  <c r="AT191" i="11"/>
  <c r="Q191" i="11"/>
  <c r="P191" i="11"/>
  <c r="AR191" i="11" s="1"/>
  <c r="O191" i="11"/>
  <c r="M191" i="11"/>
  <c r="AO191" i="11"/>
  <c r="L191" i="11"/>
  <c r="I191" i="11"/>
  <c r="AK191" i="11" s="1"/>
  <c r="H191" i="11"/>
  <c r="AJ191" i="11"/>
  <c r="G191" i="11"/>
  <c r="AI191" i="11" s="1"/>
  <c r="F191" i="11"/>
  <c r="X189" i="11"/>
  <c r="W189" i="11"/>
  <c r="AY189" i="11" s="1"/>
  <c r="V189" i="11"/>
  <c r="AX144" i="11" s="1"/>
  <c r="U189" i="11"/>
  <c r="AW189" i="11"/>
  <c r="T189" i="11"/>
  <c r="S189" i="11"/>
  <c r="AU189" i="11"/>
  <c r="R189" i="11"/>
  <c r="Q189" i="11"/>
  <c r="Q144" i="11"/>
  <c r="P189" i="11"/>
  <c r="O189" i="11"/>
  <c r="AQ189" i="11" s="1"/>
  <c r="N189" i="11"/>
  <c r="M189" i="11"/>
  <c r="AO189" i="11" s="1"/>
  <c r="L189" i="11"/>
  <c r="K189" i="11"/>
  <c r="AM189" i="11" s="1"/>
  <c r="J189" i="11"/>
  <c r="AL189" i="11"/>
  <c r="I189" i="11"/>
  <c r="I144" i="11" s="1"/>
  <c r="H189" i="11"/>
  <c r="AJ189" i="11"/>
  <c r="G189" i="11"/>
  <c r="AI189" i="11" s="1"/>
  <c r="F189" i="11"/>
  <c r="AH189" i="11"/>
  <c r="V188" i="11"/>
  <c r="AX188" i="11" s="1"/>
  <c r="F188" i="11"/>
  <c r="AH188" i="11" s="1"/>
  <c r="X188" i="11"/>
  <c r="AZ188" i="11" s="1"/>
  <c r="W188" i="11"/>
  <c r="AY188" i="11"/>
  <c r="U188" i="11"/>
  <c r="AW188" i="11" s="1"/>
  <c r="T188" i="11"/>
  <c r="AV188" i="11" s="1"/>
  <c r="S188" i="11"/>
  <c r="AU188" i="11" s="1"/>
  <c r="R188" i="11"/>
  <c r="AT188" i="11"/>
  <c r="Q188" i="11"/>
  <c r="AS188" i="11" s="1"/>
  <c r="P188" i="11"/>
  <c r="AR188" i="11" s="1"/>
  <c r="O188" i="11"/>
  <c r="AQ188" i="11" s="1"/>
  <c r="N188" i="11"/>
  <c r="AP188" i="11"/>
  <c r="M188" i="11"/>
  <c r="AO188" i="11" s="1"/>
  <c r="L188" i="11"/>
  <c r="K188" i="11"/>
  <c r="J188" i="11"/>
  <c r="AL188" i="11" s="1"/>
  <c r="I188" i="11"/>
  <c r="H188" i="11"/>
  <c r="AJ188" i="11"/>
  <c r="G188" i="11"/>
  <c r="V187" i="11"/>
  <c r="AX187" i="11"/>
  <c r="R187" i="11"/>
  <c r="N187" i="11"/>
  <c r="AP187" i="11"/>
  <c r="F187" i="11"/>
  <c r="X187" i="11"/>
  <c r="AZ187" i="11" s="1"/>
  <c r="W187" i="11"/>
  <c r="U187" i="11"/>
  <c r="AW187" i="11" s="1"/>
  <c r="T187" i="11"/>
  <c r="S187" i="11"/>
  <c r="AU187" i="11" s="1"/>
  <c r="Q187" i="11"/>
  <c r="Q185" i="11" s="1"/>
  <c r="AS140" i="11" s="1"/>
  <c r="P187" i="11"/>
  <c r="AR187" i="11" s="1"/>
  <c r="O187" i="11"/>
  <c r="M187" i="11"/>
  <c r="AO187" i="11" s="1"/>
  <c r="L187" i="11"/>
  <c r="K187" i="11"/>
  <c r="AM187" i="11"/>
  <c r="J187" i="11"/>
  <c r="I187" i="11"/>
  <c r="H187" i="11"/>
  <c r="G187" i="11"/>
  <c r="AI187" i="11" s="1"/>
  <c r="S186" i="11"/>
  <c r="BB180" i="11"/>
  <c r="AZ180" i="11"/>
  <c r="AY180" i="11"/>
  <c r="AX180" i="11"/>
  <c r="AW180" i="11"/>
  <c r="AV180" i="11"/>
  <c r="AU180" i="11"/>
  <c r="AT180" i="11"/>
  <c r="AS180" i="11"/>
  <c r="AR180" i="11"/>
  <c r="AQ180" i="11"/>
  <c r="AP180" i="11"/>
  <c r="AO180" i="11"/>
  <c r="AN180" i="11"/>
  <c r="AM180" i="11"/>
  <c r="AL180" i="11"/>
  <c r="AK180" i="11"/>
  <c r="AJ180" i="11"/>
  <c r="AI180" i="11"/>
  <c r="AH180" i="11"/>
  <c r="Z180" i="11"/>
  <c r="X180" i="11"/>
  <c r="W180" i="11"/>
  <c r="V180" i="11"/>
  <c r="U180" i="11"/>
  <c r="T180" i="11"/>
  <c r="S180" i="11"/>
  <c r="R180" i="11"/>
  <c r="Q180" i="11"/>
  <c r="P180" i="11"/>
  <c r="O180" i="11"/>
  <c r="N180" i="11"/>
  <c r="M180" i="11"/>
  <c r="L180" i="11"/>
  <c r="I180" i="11"/>
  <c r="BA179" i="11"/>
  <c r="AZ179" i="11"/>
  <c r="AY179" i="11"/>
  <c r="AX179" i="11"/>
  <c r="AW179" i="11"/>
  <c r="AV179" i="11"/>
  <c r="AU179" i="11"/>
  <c r="AT179" i="11"/>
  <c r="AS179" i="11"/>
  <c r="AQ179" i="11"/>
  <c r="AP179" i="11"/>
  <c r="AO179" i="11"/>
  <c r="AN179" i="11"/>
  <c r="AM179" i="11"/>
  <c r="AL179" i="11"/>
  <c r="AK179" i="11"/>
  <c r="AJ179" i="11"/>
  <c r="AI179" i="11"/>
  <c r="AH179" i="11"/>
  <c r="Y179" i="11"/>
  <c r="X179" i="11"/>
  <c r="W179" i="11"/>
  <c r="V179" i="11"/>
  <c r="U179" i="11"/>
  <c r="T179" i="11"/>
  <c r="S179" i="11"/>
  <c r="R179" i="11"/>
  <c r="Q179" i="11"/>
  <c r="O179" i="11"/>
  <c r="N179" i="11"/>
  <c r="M179" i="11"/>
  <c r="L179" i="11"/>
  <c r="I179" i="11"/>
  <c r="BA178" i="11"/>
  <c r="AZ178" i="11"/>
  <c r="AY178" i="11"/>
  <c r="AX178" i="11"/>
  <c r="AW178" i="11"/>
  <c r="AV178" i="11"/>
  <c r="AU178" i="11"/>
  <c r="AT178" i="11"/>
  <c r="AS178" i="11"/>
  <c r="AR178" i="11"/>
  <c r="AQ178" i="11"/>
  <c r="AP178" i="11"/>
  <c r="AO178" i="11"/>
  <c r="AN178" i="11"/>
  <c r="AM178" i="11"/>
  <c r="AL178" i="11"/>
  <c r="AK178" i="11"/>
  <c r="AJ178" i="11"/>
  <c r="AI178" i="11"/>
  <c r="AH178" i="11"/>
  <c r="Y178" i="11"/>
  <c r="X178" i="11"/>
  <c r="W178" i="11"/>
  <c r="V178" i="11"/>
  <c r="U178" i="11"/>
  <c r="T178" i="11"/>
  <c r="S178" i="11"/>
  <c r="R178" i="11"/>
  <c r="Q178" i="11"/>
  <c r="P178" i="11"/>
  <c r="O178" i="11"/>
  <c r="N178" i="11"/>
  <c r="M178" i="11"/>
  <c r="L178" i="11"/>
  <c r="I178" i="11"/>
  <c r="BB177" i="11"/>
  <c r="AZ177" i="11"/>
  <c r="AY177" i="11"/>
  <c r="AX177" i="11"/>
  <c r="AW177" i="11"/>
  <c r="AV177" i="11"/>
  <c r="AU177" i="11"/>
  <c r="AT177" i="11"/>
  <c r="AS177" i="11"/>
  <c r="AR177" i="11"/>
  <c r="AQ177" i="11"/>
  <c r="AP177" i="11"/>
  <c r="AO177" i="11"/>
  <c r="AN177" i="11"/>
  <c r="AM177" i="11"/>
  <c r="AL177" i="11"/>
  <c r="AK177" i="11"/>
  <c r="X177" i="11"/>
  <c r="W177" i="11"/>
  <c r="V177" i="11"/>
  <c r="U177" i="11"/>
  <c r="T177" i="11"/>
  <c r="S177" i="11"/>
  <c r="R177" i="11"/>
  <c r="Q177" i="11"/>
  <c r="P177" i="11"/>
  <c r="O177" i="11"/>
  <c r="N177" i="11"/>
  <c r="M177" i="11"/>
  <c r="L177" i="11"/>
  <c r="I177" i="11"/>
  <c r="BB176" i="11"/>
  <c r="AZ176" i="11"/>
  <c r="AY176" i="11"/>
  <c r="AX176" i="11"/>
  <c r="AW176" i="11"/>
  <c r="AV176" i="11"/>
  <c r="AU176" i="11"/>
  <c r="AT176" i="11"/>
  <c r="AS176" i="11"/>
  <c r="AR176" i="11"/>
  <c r="AQ176" i="11"/>
  <c r="AP176" i="11"/>
  <c r="AO176" i="11"/>
  <c r="AN176" i="11"/>
  <c r="AM176" i="11"/>
  <c r="AL176" i="11"/>
  <c r="AK176" i="11"/>
  <c r="AH176" i="11"/>
  <c r="Z176" i="11"/>
  <c r="X176" i="11"/>
  <c r="W176" i="11"/>
  <c r="V176" i="11"/>
  <c r="U176" i="11"/>
  <c r="T176" i="11"/>
  <c r="S176" i="11"/>
  <c r="R176" i="11"/>
  <c r="Q176" i="11"/>
  <c r="P176" i="11"/>
  <c r="O176" i="11"/>
  <c r="N176" i="11"/>
  <c r="M176" i="11"/>
  <c r="L176" i="11"/>
  <c r="I176" i="11"/>
  <c r="BA175" i="11"/>
  <c r="AZ175" i="11"/>
  <c r="AY175" i="11"/>
  <c r="AX175" i="11"/>
  <c r="AW175" i="11"/>
  <c r="AV175" i="11"/>
  <c r="AU175" i="11"/>
  <c r="AT175" i="11"/>
  <c r="AS175" i="11"/>
  <c r="AR175" i="11"/>
  <c r="AQ175" i="11"/>
  <c r="AP175" i="11"/>
  <c r="AO175" i="11"/>
  <c r="AN175" i="11"/>
  <c r="AM175" i="11"/>
  <c r="AL175" i="11"/>
  <c r="AK175" i="11"/>
  <c r="AJ175" i="11"/>
  <c r="AI175" i="11"/>
  <c r="AH175" i="11"/>
  <c r="Z175" i="11"/>
  <c r="Y175" i="11"/>
  <c r="X175" i="11"/>
  <c r="W175" i="11"/>
  <c r="V175" i="11"/>
  <c r="U175" i="11"/>
  <c r="T175" i="11"/>
  <c r="S175" i="11"/>
  <c r="R175" i="11"/>
  <c r="Q175" i="11"/>
  <c r="P175" i="11"/>
  <c r="O175" i="11"/>
  <c r="N175" i="11"/>
  <c r="M175" i="11"/>
  <c r="L175" i="11"/>
  <c r="K175" i="11"/>
  <c r="I175" i="11"/>
  <c r="AY174" i="11"/>
  <c r="AX174" i="11"/>
  <c r="AW174" i="11"/>
  <c r="AV174" i="11"/>
  <c r="AU174" i="11"/>
  <c r="AT174" i="11"/>
  <c r="AP174" i="11"/>
  <c r="AN174" i="11"/>
  <c r="AL174" i="11"/>
  <c r="AJ174" i="11"/>
  <c r="AI174" i="11"/>
  <c r="AH174" i="11"/>
  <c r="W174" i="11"/>
  <c r="V174" i="11"/>
  <c r="U174" i="11"/>
  <c r="T174" i="11"/>
  <c r="S174" i="11"/>
  <c r="R174" i="11"/>
  <c r="N174" i="11"/>
  <c r="L174" i="11"/>
  <c r="K174" i="11"/>
  <c r="I174" i="11"/>
  <c r="AZ173" i="11"/>
  <c r="AY173" i="11"/>
  <c r="AX173" i="11"/>
  <c r="AU173" i="11"/>
  <c r="AT173" i="11"/>
  <c r="AS173" i="11"/>
  <c r="AR173" i="11"/>
  <c r="AQ173" i="11"/>
  <c r="AP173" i="11"/>
  <c r="AN173" i="11"/>
  <c r="AL173" i="11"/>
  <c r="AK173" i="11"/>
  <c r="AJ173" i="11"/>
  <c r="AI173" i="11"/>
  <c r="AH173" i="11"/>
  <c r="X173" i="11"/>
  <c r="W173" i="11"/>
  <c r="V173" i="11"/>
  <c r="S173" i="11"/>
  <c r="R173" i="11"/>
  <c r="Q173" i="11"/>
  <c r="P173" i="11"/>
  <c r="O173" i="11"/>
  <c r="N173" i="11"/>
  <c r="L173" i="11"/>
  <c r="K173" i="11"/>
  <c r="I173" i="11"/>
  <c r="AZ172" i="11"/>
  <c r="AY172" i="11"/>
  <c r="AX172" i="11"/>
  <c r="AW172" i="11"/>
  <c r="AV172" i="11"/>
  <c r="AU172" i="11"/>
  <c r="AS172" i="11"/>
  <c r="AN172" i="11"/>
  <c r="AJ172" i="11"/>
  <c r="AI172" i="11"/>
  <c r="X172" i="11"/>
  <c r="W172" i="11"/>
  <c r="V172" i="11"/>
  <c r="U172" i="11"/>
  <c r="T172" i="11"/>
  <c r="S172" i="11"/>
  <c r="R172" i="11"/>
  <c r="Q172" i="11"/>
  <c r="L172" i="11"/>
  <c r="K172" i="11"/>
  <c r="I172" i="11"/>
  <c r="AZ171" i="11"/>
  <c r="AX171" i="11"/>
  <c r="AW171" i="11"/>
  <c r="AV171" i="11"/>
  <c r="AU171" i="11"/>
  <c r="AT171" i="11"/>
  <c r="AS171" i="11"/>
  <c r="AR171" i="11"/>
  <c r="AQ171" i="11"/>
  <c r="AP171" i="11"/>
  <c r="AN171" i="11"/>
  <c r="AM171" i="11"/>
  <c r="AL171" i="11"/>
  <c r="AI171" i="11"/>
  <c r="X171" i="11"/>
  <c r="V171" i="11"/>
  <c r="U171" i="11"/>
  <c r="T171" i="11"/>
  <c r="S171" i="11"/>
  <c r="R171" i="11"/>
  <c r="Q171" i="11"/>
  <c r="P171" i="11"/>
  <c r="O171" i="11"/>
  <c r="N171" i="11"/>
  <c r="L171" i="11"/>
  <c r="K171" i="11"/>
  <c r="I171" i="11"/>
  <c r="BA170" i="11"/>
  <c r="AZ170" i="11"/>
  <c r="AY170" i="11"/>
  <c r="AX170" i="11"/>
  <c r="AW170" i="11"/>
  <c r="AV170" i="11"/>
  <c r="AU170" i="11"/>
  <c r="AT170" i="11"/>
  <c r="AS170" i="11"/>
  <c r="AR170" i="11"/>
  <c r="AQ170" i="11"/>
  <c r="AP170" i="11"/>
  <c r="AO170" i="11"/>
  <c r="AN170" i="11"/>
  <c r="AM170" i="11"/>
  <c r="AL170" i="11"/>
  <c r="AK170" i="11"/>
  <c r="AJ170" i="11"/>
  <c r="AI170" i="11"/>
  <c r="AH170" i="11"/>
  <c r="Z170" i="11"/>
  <c r="Y170" i="11"/>
  <c r="X170" i="11"/>
  <c r="W170" i="11"/>
  <c r="V170" i="11"/>
  <c r="U170" i="11"/>
  <c r="T170" i="11"/>
  <c r="S170" i="11"/>
  <c r="R170" i="11"/>
  <c r="Q170" i="11"/>
  <c r="P170" i="11"/>
  <c r="O170" i="11"/>
  <c r="N170" i="11"/>
  <c r="M170" i="11"/>
  <c r="L170" i="11"/>
  <c r="K170" i="11"/>
  <c r="J170" i="11"/>
  <c r="I170" i="11"/>
  <c r="H170" i="11"/>
  <c r="G170" i="11"/>
  <c r="F170" i="11"/>
  <c r="AZ169" i="11"/>
  <c r="AY169" i="11"/>
  <c r="AX169" i="11"/>
  <c r="AW169" i="11"/>
  <c r="AV169" i="11"/>
  <c r="AU169" i="11"/>
  <c r="AT169" i="11"/>
  <c r="AS169" i="11"/>
  <c r="AR169" i="11"/>
  <c r="AQ169" i="11"/>
  <c r="AP169" i="11"/>
  <c r="AO169" i="11"/>
  <c r="AN169" i="11"/>
  <c r="AM169" i="11"/>
  <c r="AL169" i="11"/>
  <c r="AK169" i="11"/>
  <c r="AJ169" i="11"/>
  <c r="AI169" i="11"/>
  <c r="AH169" i="11"/>
  <c r="X169" i="11"/>
  <c r="W169" i="11"/>
  <c r="V169" i="11"/>
  <c r="U169" i="11"/>
  <c r="T169" i="11"/>
  <c r="S169" i="11"/>
  <c r="R169" i="11"/>
  <c r="Q169" i="11"/>
  <c r="P169" i="11"/>
  <c r="O169" i="11"/>
  <c r="N169" i="11"/>
  <c r="M169" i="11"/>
  <c r="L169" i="11"/>
  <c r="K169" i="11"/>
  <c r="J169" i="11"/>
  <c r="I169" i="11"/>
  <c r="H169" i="11"/>
  <c r="G169" i="11"/>
  <c r="F169" i="11"/>
  <c r="BB168" i="11"/>
  <c r="BA168" i="11"/>
  <c r="AZ168" i="11"/>
  <c r="AY168" i="11"/>
  <c r="AX168" i="11"/>
  <c r="AW168" i="11"/>
  <c r="AV168" i="11"/>
  <c r="AU168" i="11"/>
  <c r="AT168" i="11"/>
  <c r="AS168" i="11"/>
  <c r="AR168" i="11"/>
  <c r="AQ168" i="11"/>
  <c r="AP168" i="11"/>
  <c r="AO168" i="11"/>
  <c r="AN168" i="11"/>
  <c r="AM168" i="11"/>
  <c r="AL168" i="11"/>
  <c r="AK168" i="11"/>
  <c r="AJ168" i="11"/>
  <c r="AI168" i="11"/>
  <c r="AH168" i="11"/>
  <c r="Z168" i="11"/>
  <c r="Y168" i="11"/>
  <c r="X168" i="11"/>
  <c r="W168" i="11"/>
  <c r="V168" i="11"/>
  <c r="U168" i="11"/>
  <c r="T168" i="11"/>
  <c r="S168" i="11"/>
  <c r="R168" i="11"/>
  <c r="Q168" i="11"/>
  <c r="P168" i="11"/>
  <c r="O168" i="11"/>
  <c r="N168" i="11"/>
  <c r="M168" i="11"/>
  <c r="L168" i="11"/>
  <c r="K168" i="11"/>
  <c r="J168" i="11"/>
  <c r="I168" i="11"/>
  <c r="H168" i="11"/>
  <c r="G168" i="11"/>
  <c r="F168" i="11"/>
  <c r="BB167" i="11"/>
  <c r="AZ167" i="11"/>
  <c r="AY167" i="11"/>
  <c r="AX167" i="11"/>
  <c r="AW167" i="11"/>
  <c r="AV167" i="11"/>
  <c r="AU167" i="11"/>
  <c r="AT167" i="11"/>
  <c r="AS167" i="11"/>
  <c r="AR167" i="11"/>
  <c r="AQ167" i="11"/>
  <c r="AP167" i="11"/>
  <c r="AO167" i="11"/>
  <c r="AN167" i="11"/>
  <c r="AM167" i="11"/>
  <c r="AL167" i="11"/>
  <c r="AK167" i="11"/>
  <c r="AJ167" i="11"/>
  <c r="AI167" i="11"/>
  <c r="AH167" i="11"/>
  <c r="Z167" i="11"/>
  <c r="X167" i="11"/>
  <c r="W167" i="11"/>
  <c r="V167" i="11"/>
  <c r="U167" i="11"/>
  <c r="T167" i="11"/>
  <c r="S167" i="11"/>
  <c r="R167" i="11"/>
  <c r="Q167" i="11"/>
  <c r="P167" i="11"/>
  <c r="O167" i="11"/>
  <c r="N167" i="11"/>
  <c r="M167" i="11"/>
  <c r="L167" i="11"/>
  <c r="K167" i="11"/>
  <c r="J167" i="11"/>
  <c r="I167" i="11"/>
  <c r="H167" i="11"/>
  <c r="G167" i="11"/>
  <c r="F167" i="11"/>
  <c r="BA166" i="11"/>
  <c r="AZ166" i="11"/>
  <c r="AY166" i="11"/>
  <c r="AX166" i="11"/>
  <c r="AW166" i="11"/>
  <c r="AV166" i="11"/>
  <c r="AU166" i="11"/>
  <c r="AT166" i="11"/>
  <c r="AS166" i="11"/>
  <c r="AR166" i="11"/>
  <c r="AQ166" i="11"/>
  <c r="AP166" i="11"/>
  <c r="AO166" i="11"/>
  <c r="AN166" i="11"/>
  <c r="AM166" i="11"/>
  <c r="AL166" i="11"/>
  <c r="AK166" i="11"/>
  <c r="AJ166" i="11"/>
  <c r="AI166" i="11"/>
  <c r="AH166" i="11"/>
  <c r="Z166" i="11"/>
  <c r="Y166" i="11"/>
  <c r="X166" i="11"/>
  <c r="W166" i="11"/>
  <c r="V166" i="11"/>
  <c r="U166" i="11"/>
  <c r="T166" i="11"/>
  <c r="S166" i="11"/>
  <c r="R166" i="11"/>
  <c r="Q166" i="11"/>
  <c r="P166" i="11"/>
  <c r="O166" i="11"/>
  <c r="N166" i="11"/>
  <c r="M166" i="11"/>
  <c r="L166" i="11"/>
  <c r="K166" i="11"/>
  <c r="J166" i="11"/>
  <c r="I166" i="11"/>
  <c r="H166" i="11"/>
  <c r="G166" i="11"/>
  <c r="F166" i="11"/>
  <c r="BA165" i="11"/>
  <c r="AY165" i="11"/>
  <c r="AX165" i="11"/>
  <c r="AW165" i="11"/>
  <c r="AV165" i="11"/>
  <c r="AU165" i="11"/>
  <c r="AT165" i="11"/>
  <c r="AS165" i="11"/>
  <c r="AR165" i="11"/>
  <c r="AQ165" i="11"/>
  <c r="AP165" i="11"/>
  <c r="AO165" i="11"/>
  <c r="AN165" i="11"/>
  <c r="AM165" i="11"/>
  <c r="AL165" i="11"/>
  <c r="AK165" i="11"/>
  <c r="AJ165" i="11"/>
  <c r="AI165" i="11"/>
  <c r="AH165" i="11"/>
  <c r="Y165" i="11"/>
  <c r="W165" i="11"/>
  <c r="V165" i="11"/>
  <c r="U165" i="11"/>
  <c r="T165" i="11"/>
  <c r="S165" i="11"/>
  <c r="R165" i="11"/>
  <c r="Q165" i="11"/>
  <c r="P165" i="11"/>
  <c r="O165" i="11"/>
  <c r="N165" i="11"/>
  <c r="M165" i="11"/>
  <c r="L165" i="11"/>
  <c r="K165" i="11"/>
  <c r="J165" i="11"/>
  <c r="I165" i="11"/>
  <c r="H165" i="11"/>
  <c r="G165" i="11"/>
  <c r="F165" i="11"/>
  <c r="BA164" i="11"/>
  <c r="AZ164" i="11"/>
  <c r="AY164" i="11"/>
  <c r="AX164" i="11"/>
  <c r="AW164" i="11"/>
  <c r="AV164" i="11"/>
  <c r="AU164" i="11"/>
  <c r="AT164" i="11"/>
  <c r="AS164" i="11"/>
  <c r="AR164" i="11"/>
  <c r="AQ164" i="11"/>
  <c r="AP164" i="11"/>
  <c r="AO164" i="11"/>
  <c r="AM164" i="11"/>
  <c r="AL164" i="11"/>
  <c r="AK164" i="11"/>
  <c r="AJ164" i="11"/>
  <c r="AI164" i="11"/>
  <c r="AH164" i="11"/>
  <c r="Y164" i="11"/>
  <c r="X164" i="11"/>
  <c r="W164" i="11"/>
  <c r="V164" i="11"/>
  <c r="U164" i="11"/>
  <c r="T164" i="11"/>
  <c r="S164" i="11"/>
  <c r="R164" i="11"/>
  <c r="Q164" i="11"/>
  <c r="P164" i="11"/>
  <c r="O164" i="11"/>
  <c r="N164" i="11"/>
  <c r="M164" i="11"/>
  <c r="K164" i="11"/>
  <c r="J164" i="11"/>
  <c r="I164" i="11"/>
  <c r="H164" i="11"/>
  <c r="G164" i="11"/>
  <c r="F164" i="11"/>
  <c r="BA163" i="11"/>
  <c r="AU163" i="11"/>
  <c r="AR163" i="11"/>
  <c r="AQ163" i="11"/>
  <c r="AP163" i="11"/>
  <c r="AO163" i="11"/>
  <c r="AN163" i="11"/>
  <c r="AM163" i="11"/>
  <c r="AL163" i="11"/>
  <c r="AK163" i="11"/>
  <c r="AJ163" i="11"/>
  <c r="AI163" i="11"/>
  <c r="AH163" i="11"/>
  <c r="Y163" i="11"/>
  <c r="S163" i="11"/>
  <c r="P163" i="11"/>
  <c r="O163" i="11"/>
  <c r="N163" i="11"/>
  <c r="M163" i="11"/>
  <c r="L163" i="11"/>
  <c r="K163" i="11"/>
  <c r="J163" i="11"/>
  <c r="I163" i="11"/>
  <c r="H163" i="11"/>
  <c r="G163" i="11"/>
  <c r="F163" i="11"/>
  <c r="AZ162" i="11"/>
  <c r="AY162" i="11"/>
  <c r="AX162" i="11"/>
  <c r="AW162" i="11"/>
  <c r="AV162" i="11"/>
  <c r="AU162" i="11"/>
  <c r="AT162" i="11"/>
  <c r="AS162" i="11"/>
  <c r="AR162" i="11"/>
  <c r="AQ162" i="11"/>
  <c r="AP162" i="11"/>
  <c r="AN162" i="11"/>
  <c r="AM162" i="11"/>
  <c r="AK162" i="11"/>
  <c r="AJ162" i="11"/>
  <c r="AI162" i="11"/>
  <c r="AH162" i="11"/>
  <c r="X162" i="11"/>
  <c r="W162" i="11"/>
  <c r="V162" i="11"/>
  <c r="U162" i="11"/>
  <c r="T162" i="11"/>
  <c r="S162" i="11"/>
  <c r="R162" i="11"/>
  <c r="Q162" i="11"/>
  <c r="P162" i="11"/>
  <c r="O162" i="11"/>
  <c r="N162" i="11"/>
  <c r="M162" i="11"/>
  <c r="M207" i="11" s="1"/>
  <c r="L162" i="11"/>
  <c r="K162" i="11"/>
  <c r="I162" i="11"/>
  <c r="H162" i="11"/>
  <c r="G162" i="11"/>
  <c r="F162" i="11"/>
  <c r="BB161" i="11"/>
  <c r="BA161" i="11"/>
  <c r="AZ161" i="11"/>
  <c r="AY161" i="11"/>
  <c r="AX161" i="11"/>
  <c r="AW161" i="11"/>
  <c r="AV161" i="11"/>
  <c r="AU161" i="11"/>
  <c r="AT161" i="11"/>
  <c r="AS161" i="11"/>
  <c r="AR161" i="11"/>
  <c r="AQ161" i="11"/>
  <c r="AP161" i="11"/>
  <c r="AO161" i="11"/>
  <c r="AN161" i="11"/>
  <c r="AM161" i="11"/>
  <c r="AL161" i="11"/>
  <c r="AK161" i="11"/>
  <c r="AJ161" i="11"/>
  <c r="AI161" i="11"/>
  <c r="AH161" i="11"/>
  <c r="Y161" i="11"/>
  <c r="X161" i="11"/>
  <c r="W161" i="11"/>
  <c r="V161" i="11"/>
  <c r="U161" i="11"/>
  <c r="T161" i="11"/>
  <c r="S161" i="11"/>
  <c r="R161" i="11"/>
  <c r="Q161" i="11"/>
  <c r="P161" i="11"/>
  <c r="O161" i="11"/>
  <c r="N161" i="11"/>
  <c r="M161" i="11"/>
  <c r="L161" i="11"/>
  <c r="K161" i="11"/>
  <c r="J161" i="11"/>
  <c r="I161" i="11"/>
  <c r="H161" i="11"/>
  <c r="G161" i="11"/>
  <c r="F161" i="11"/>
  <c r="AY160" i="11"/>
  <c r="AW160" i="11"/>
  <c r="AT160" i="11"/>
  <c r="AS160" i="11"/>
  <c r="AR160" i="11"/>
  <c r="AQ160" i="11"/>
  <c r="AP160" i="11"/>
  <c r="AO160" i="11"/>
  <c r="AN160" i="11"/>
  <c r="AK160" i="11"/>
  <c r="AJ160" i="11"/>
  <c r="AI160" i="11"/>
  <c r="AH160" i="11"/>
  <c r="W160" i="11"/>
  <c r="U160" i="11"/>
  <c r="R160" i="11"/>
  <c r="Q160" i="11"/>
  <c r="P160" i="11"/>
  <c r="O160" i="11"/>
  <c r="N160" i="11"/>
  <c r="M160" i="11"/>
  <c r="L160" i="11"/>
  <c r="I160" i="11"/>
  <c r="H160" i="11"/>
  <c r="G160" i="11"/>
  <c r="F160" i="11"/>
  <c r="AZ159" i="11"/>
  <c r="AY159" i="11"/>
  <c r="AX159" i="11"/>
  <c r="AW159" i="11"/>
  <c r="AV159" i="11"/>
  <c r="AU159" i="11"/>
  <c r="AT159" i="11"/>
  <c r="AS159" i="11"/>
  <c r="AR159" i="11"/>
  <c r="AQ159" i="11"/>
  <c r="AP159" i="11"/>
  <c r="AO159" i="11"/>
  <c r="AN159" i="11"/>
  <c r="AK159" i="11"/>
  <c r="AJ159" i="11"/>
  <c r="AI159" i="11"/>
  <c r="X159" i="11"/>
  <c r="W159" i="11"/>
  <c r="U159" i="11"/>
  <c r="T159" i="11"/>
  <c r="S159" i="11"/>
  <c r="R159" i="11"/>
  <c r="Q159" i="11"/>
  <c r="P159" i="11"/>
  <c r="O159" i="11"/>
  <c r="M159" i="11"/>
  <c r="L159" i="11"/>
  <c r="I159" i="11"/>
  <c r="H159" i="11"/>
  <c r="G159" i="11"/>
  <c r="BA158" i="11"/>
  <c r="AZ158" i="11"/>
  <c r="AY158" i="11"/>
  <c r="AX158" i="11"/>
  <c r="AW158" i="11"/>
  <c r="AV158" i="11"/>
  <c r="AU158" i="11"/>
  <c r="AT158" i="11"/>
  <c r="AS158" i="11"/>
  <c r="AR158" i="11"/>
  <c r="AQ158" i="11"/>
  <c r="AP158" i="11"/>
  <c r="AO158" i="11"/>
  <c r="AN158" i="11"/>
  <c r="AM158" i="11"/>
  <c r="AL158" i="11"/>
  <c r="AK158" i="11"/>
  <c r="AJ158" i="11"/>
  <c r="AI158" i="11"/>
  <c r="AH158" i="11"/>
  <c r="AB158" i="11"/>
  <c r="Y158" i="11"/>
  <c r="X158" i="11"/>
  <c r="W158" i="11"/>
  <c r="V158" i="11"/>
  <c r="U158" i="11"/>
  <c r="T158" i="11"/>
  <c r="S158" i="11"/>
  <c r="R158" i="11"/>
  <c r="Q158" i="11"/>
  <c r="P158" i="11"/>
  <c r="O158" i="11"/>
  <c r="N158" i="11"/>
  <c r="M158" i="11"/>
  <c r="L158" i="11"/>
  <c r="K158" i="11"/>
  <c r="J158" i="11"/>
  <c r="I158" i="11"/>
  <c r="H158" i="11"/>
  <c r="G158" i="11"/>
  <c r="F158" i="11"/>
  <c r="AZ157" i="11"/>
  <c r="AY157" i="11"/>
  <c r="AX157" i="11"/>
  <c r="AW157" i="11"/>
  <c r="AV157" i="11"/>
  <c r="AU157" i="11"/>
  <c r="AT157" i="11"/>
  <c r="AS157" i="11"/>
  <c r="AQ157" i="11"/>
  <c r="AP157" i="11"/>
  <c r="AO157" i="11"/>
  <c r="AN157" i="11"/>
  <c r="AM157" i="11"/>
  <c r="AL157" i="11"/>
  <c r="AK157" i="11"/>
  <c r="AI157" i="11"/>
  <c r="AB157" i="11"/>
  <c r="X157" i="11"/>
  <c r="W157" i="11"/>
  <c r="V157" i="11"/>
  <c r="U157" i="11"/>
  <c r="T157" i="11"/>
  <c r="S157" i="11"/>
  <c r="R157" i="11"/>
  <c r="Q157" i="11"/>
  <c r="O157" i="11"/>
  <c r="N157" i="11"/>
  <c r="M157" i="11"/>
  <c r="L157" i="11"/>
  <c r="K157" i="11"/>
  <c r="K176" i="11" s="1"/>
  <c r="J157" i="11"/>
  <c r="J176" i="11" s="1"/>
  <c r="G157" i="11"/>
  <c r="G180" i="11" s="1"/>
  <c r="AU156" i="11"/>
  <c r="AP156" i="11"/>
  <c r="AN156" i="11"/>
  <c r="AM156" i="11"/>
  <c r="AL156" i="11"/>
  <c r="AK156" i="11"/>
  <c r="AI156" i="11"/>
  <c r="S156" i="11"/>
  <c r="L156" i="11"/>
  <c r="G156" i="11"/>
  <c r="G175" i="11"/>
  <c r="BB155" i="11"/>
  <c r="BA155" i="11"/>
  <c r="AZ155" i="11"/>
  <c r="AY155" i="11"/>
  <c r="AX155" i="11"/>
  <c r="AW155" i="11"/>
  <c r="AV155" i="11"/>
  <c r="AU155" i="11"/>
  <c r="AT155" i="11"/>
  <c r="AS155" i="11"/>
  <c r="AR155" i="11"/>
  <c r="AQ155" i="11"/>
  <c r="AP155" i="11"/>
  <c r="AO155" i="11"/>
  <c r="AN155" i="11"/>
  <c r="AM155" i="11"/>
  <c r="AL155" i="11"/>
  <c r="AK155" i="11"/>
  <c r="AJ155" i="11"/>
  <c r="AI155" i="11"/>
  <c r="AH155" i="11"/>
  <c r="Z155" i="11"/>
  <c r="Y155" i="11"/>
  <c r="X155" i="11"/>
  <c r="W155" i="11"/>
  <c r="V155" i="11"/>
  <c r="U155" i="11"/>
  <c r="T155" i="11"/>
  <c r="S155" i="11"/>
  <c r="R155" i="11"/>
  <c r="Q155" i="11"/>
  <c r="P155" i="11"/>
  <c r="O155" i="11"/>
  <c r="N155" i="11"/>
  <c r="M155" i="11"/>
  <c r="L155" i="11"/>
  <c r="K155" i="11"/>
  <c r="J155" i="11"/>
  <c r="I155" i="11"/>
  <c r="H155" i="11"/>
  <c r="G155" i="11"/>
  <c r="F155" i="11"/>
  <c r="BA154" i="11"/>
  <c r="AZ154" i="11"/>
  <c r="AY154" i="11"/>
  <c r="AX154" i="11"/>
  <c r="AW154" i="11"/>
  <c r="AV154" i="11"/>
  <c r="AU154" i="11"/>
  <c r="AT154" i="11"/>
  <c r="AS154" i="11"/>
  <c r="AR154" i="11"/>
  <c r="AQ154" i="11"/>
  <c r="AP154" i="11"/>
  <c r="AO154" i="11"/>
  <c r="AN154" i="11"/>
  <c r="AM154" i="11"/>
  <c r="AL154" i="11"/>
  <c r="AK154" i="11"/>
  <c r="AJ154" i="11"/>
  <c r="AI154" i="11"/>
  <c r="AH154" i="11"/>
  <c r="Y154" i="11"/>
  <c r="X154" i="11"/>
  <c r="W154" i="11"/>
  <c r="V154" i="11"/>
  <c r="U154" i="11"/>
  <c r="T154" i="11"/>
  <c r="S154" i="11"/>
  <c r="R154" i="11"/>
  <c r="Q154" i="11"/>
  <c r="P154" i="11"/>
  <c r="O154" i="11"/>
  <c r="N154" i="11"/>
  <c r="M154" i="11"/>
  <c r="L154" i="11"/>
  <c r="K154" i="11"/>
  <c r="J154" i="11"/>
  <c r="I154" i="11"/>
  <c r="H154" i="11"/>
  <c r="G154" i="11"/>
  <c r="F154" i="11"/>
  <c r="BB153" i="11"/>
  <c r="BA153" i="11"/>
  <c r="AZ153" i="11"/>
  <c r="AY153" i="11"/>
  <c r="AX153" i="11"/>
  <c r="AW153" i="11"/>
  <c r="AV153" i="11"/>
  <c r="AU153" i="11"/>
  <c r="AT153" i="11"/>
  <c r="AS153" i="11"/>
  <c r="AR153" i="11"/>
  <c r="AQ153" i="11"/>
  <c r="AP153" i="11"/>
  <c r="AO153" i="11"/>
  <c r="AN153" i="11"/>
  <c r="AM153" i="11"/>
  <c r="AL153" i="11"/>
  <c r="AK153" i="11"/>
  <c r="AJ153" i="11"/>
  <c r="AI153" i="11"/>
  <c r="AH153" i="11"/>
  <c r="Z153" i="11"/>
  <c r="Y153" i="11"/>
  <c r="X153" i="11"/>
  <c r="W153" i="11"/>
  <c r="V153" i="11"/>
  <c r="U153" i="11"/>
  <c r="T153" i="11"/>
  <c r="S153" i="11"/>
  <c r="R153" i="11"/>
  <c r="Q153" i="11"/>
  <c r="P153" i="11"/>
  <c r="O153" i="11"/>
  <c r="N153" i="11"/>
  <c r="M153" i="11"/>
  <c r="L153" i="11"/>
  <c r="K153" i="11"/>
  <c r="J153" i="11"/>
  <c r="I153" i="11"/>
  <c r="H153" i="11"/>
  <c r="G153" i="11"/>
  <c r="F153" i="11"/>
  <c r="BB152" i="11"/>
  <c r="AZ152" i="11"/>
  <c r="AY152" i="11"/>
  <c r="AX152" i="11"/>
  <c r="AW152" i="11"/>
  <c r="AV152" i="11"/>
  <c r="AU152" i="11"/>
  <c r="AT152" i="11"/>
  <c r="AS152" i="11"/>
  <c r="AR152" i="11"/>
  <c r="AQ152" i="11"/>
  <c r="AP152" i="11"/>
  <c r="AO152" i="11"/>
  <c r="AN152" i="11"/>
  <c r="AM152" i="11"/>
  <c r="AL152" i="11"/>
  <c r="AK152" i="11"/>
  <c r="AJ152" i="11"/>
  <c r="AI152" i="11"/>
  <c r="AH152" i="11"/>
  <c r="Z152" i="11"/>
  <c r="X152" i="11"/>
  <c r="W152" i="11"/>
  <c r="V152" i="11"/>
  <c r="U152" i="11"/>
  <c r="T152" i="11"/>
  <c r="S152" i="11"/>
  <c r="R152" i="11"/>
  <c r="Q152" i="11"/>
  <c r="P152" i="11"/>
  <c r="O152" i="11"/>
  <c r="N152" i="11"/>
  <c r="M152" i="11"/>
  <c r="L152" i="11"/>
  <c r="K152" i="11"/>
  <c r="J152" i="11"/>
  <c r="I152" i="11"/>
  <c r="H152" i="11"/>
  <c r="G152" i="11"/>
  <c r="F152" i="11"/>
  <c r="BA151" i="11"/>
  <c r="AZ151" i="11"/>
  <c r="AY151" i="11"/>
  <c r="AX151" i="11"/>
  <c r="AW151" i="11"/>
  <c r="AV151" i="11"/>
  <c r="AU151" i="11"/>
  <c r="AT151" i="11"/>
  <c r="AS151" i="11"/>
  <c r="AR151" i="11"/>
  <c r="AQ151" i="11"/>
  <c r="AP151" i="11"/>
  <c r="AO151" i="11"/>
  <c r="AN151" i="11"/>
  <c r="AM151" i="11"/>
  <c r="AL151" i="11"/>
  <c r="AK151" i="11"/>
  <c r="AJ151" i="11"/>
  <c r="AI151" i="11"/>
  <c r="AH151" i="11"/>
  <c r="Y151" i="11"/>
  <c r="X151" i="11"/>
  <c r="W151" i="11"/>
  <c r="V151" i="11"/>
  <c r="U151" i="11"/>
  <c r="T151" i="11"/>
  <c r="S151" i="11"/>
  <c r="R151" i="11"/>
  <c r="Q151" i="11"/>
  <c r="P151" i="11"/>
  <c r="O151" i="11"/>
  <c r="N151" i="11"/>
  <c r="M151" i="11"/>
  <c r="L151" i="11"/>
  <c r="K151" i="11"/>
  <c r="J151" i="11"/>
  <c r="I151" i="11"/>
  <c r="H151" i="11"/>
  <c r="G151" i="11"/>
  <c r="F151" i="11"/>
  <c r="BA150" i="11"/>
  <c r="AZ150" i="11"/>
  <c r="AY150" i="11"/>
  <c r="AX150" i="11"/>
  <c r="AW150" i="11"/>
  <c r="AV150" i="11"/>
  <c r="AU150" i="11"/>
  <c r="AT150" i="11"/>
  <c r="AS150" i="11"/>
  <c r="AR150" i="11"/>
  <c r="AQ150" i="11"/>
  <c r="AP150" i="11"/>
  <c r="AO150" i="11"/>
  <c r="AN150" i="11"/>
  <c r="AM150" i="11"/>
  <c r="AL150" i="11"/>
  <c r="AK150" i="11"/>
  <c r="AJ150" i="11"/>
  <c r="AI150" i="11"/>
  <c r="AH150" i="11"/>
  <c r="Z150" i="11"/>
  <c r="Y150" i="11"/>
  <c r="X150" i="11"/>
  <c r="W150" i="11"/>
  <c r="V150" i="11"/>
  <c r="U150" i="11"/>
  <c r="T150" i="11"/>
  <c r="S150" i="11"/>
  <c r="R150" i="11"/>
  <c r="Q150" i="11"/>
  <c r="P150" i="11"/>
  <c r="O150" i="11"/>
  <c r="N150" i="11"/>
  <c r="M150" i="11"/>
  <c r="L150" i="11"/>
  <c r="K150" i="11"/>
  <c r="J150" i="11"/>
  <c r="I150" i="11"/>
  <c r="H150" i="11"/>
  <c r="G150" i="11"/>
  <c r="F150" i="11"/>
  <c r="BA149" i="11"/>
  <c r="AZ149" i="11"/>
  <c r="AY149" i="11"/>
  <c r="AX149" i="11"/>
  <c r="AW149" i="11"/>
  <c r="AV149" i="11"/>
  <c r="AU149" i="11"/>
  <c r="AT149" i="11"/>
  <c r="AS149" i="11"/>
  <c r="AR149" i="11"/>
  <c r="AQ149" i="11"/>
  <c r="AP149" i="11"/>
  <c r="AO149" i="11"/>
  <c r="AN149" i="11"/>
  <c r="AM149" i="11"/>
  <c r="AL149" i="11"/>
  <c r="AK149" i="11"/>
  <c r="AJ149" i="11"/>
  <c r="AI149" i="11"/>
  <c r="AH149" i="11"/>
  <c r="Z149" i="11"/>
  <c r="Y149" i="11"/>
  <c r="X149" i="11"/>
  <c r="W149" i="11"/>
  <c r="V149" i="11"/>
  <c r="U149" i="11"/>
  <c r="T149" i="11"/>
  <c r="S149" i="11"/>
  <c r="R149" i="11"/>
  <c r="Q149" i="11"/>
  <c r="P149" i="11"/>
  <c r="O149" i="11"/>
  <c r="N149" i="11"/>
  <c r="M149" i="11"/>
  <c r="L149" i="11"/>
  <c r="K149" i="11"/>
  <c r="J149" i="11"/>
  <c r="I149" i="11"/>
  <c r="H149" i="11"/>
  <c r="G149" i="11"/>
  <c r="F149" i="11"/>
  <c r="AY148" i="11"/>
  <c r="AW148" i="11"/>
  <c r="AV148" i="11"/>
  <c r="AU148" i="11"/>
  <c r="AS148" i="11"/>
  <c r="AR148" i="11"/>
  <c r="AQ148" i="11"/>
  <c r="AO148" i="11"/>
  <c r="AN148" i="11"/>
  <c r="AM148" i="11"/>
  <c r="AK148" i="11"/>
  <c r="AI148" i="11"/>
  <c r="W148" i="11"/>
  <c r="U148" i="11"/>
  <c r="T148" i="11"/>
  <c r="S148" i="11"/>
  <c r="Q148" i="11"/>
  <c r="P148" i="11"/>
  <c r="O148" i="11"/>
  <c r="M148" i="11"/>
  <c r="L148" i="11"/>
  <c r="K148" i="11"/>
  <c r="I148" i="11"/>
  <c r="G148" i="11"/>
  <c r="AU147" i="11"/>
  <c r="AR147" i="11"/>
  <c r="AQ147" i="11"/>
  <c r="AP147" i="11"/>
  <c r="AM147" i="11"/>
  <c r="AK147" i="11"/>
  <c r="AJ147" i="11"/>
  <c r="AI147" i="11"/>
  <c r="AH147" i="11"/>
  <c r="S147" i="11"/>
  <c r="O147" i="11"/>
  <c r="N147" i="11"/>
  <c r="K147" i="11"/>
  <c r="H147" i="11"/>
  <c r="G147" i="11"/>
  <c r="F147" i="11"/>
  <c r="AY146" i="11"/>
  <c r="AW146" i="11"/>
  <c r="AR146" i="11"/>
  <c r="AK146" i="11"/>
  <c r="AI146" i="11"/>
  <c r="W146" i="11"/>
  <c r="U146" i="11"/>
  <c r="P146" i="11"/>
  <c r="I146" i="11"/>
  <c r="G146" i="11"/>
  <c r="AU145" i="11"/>
  <c r="AN145" i="11"/>
  <c r="S145" i="11"/>
  <c r="V25" i="20"/>
  <c r="L145" i="11"/>
  <c r="AY144" i="11"/>
  <c r="AW144" i="11"/>
  <c r="AU144" i="11"/>
  <c r="AT144" i="11"/>
  <c r="AS144" i="11"/>
  <c r="AQ144" i="11"/>
  <c r="AP144" i="11"/>
  <c r="AO144" i="11"/>
  <c r="AM144" i="11"/>
  <c r="AL144" i="11"/>
  <c r="AK144" i="11"/>
  <c r="AJ144" i="11"/>
  <c r="AI144" i="11"/>
  <c r="AH144" i="11"/>
  <c r="W144" i="11"/>
  <c r="S144" i="11"/>
  <c r="O144" i="11"/>
  <c r="K144" i="11"/>
  <c r="J144" i="11"/>
  <c r="H144" i="11"/>
  <c r="G144" i="11"/>
  <c r="F144" i="11"/>
  <c r="AZ143" i="11"/>
  <c r="AY143" i="11"/>
  <c r="AX143" i="11"/>
  <c r="AW143" i="11"/>
  <c r="AV143" i="11"/>
  <c r="AU143" i="11"/>
  <c r="AT143" i="11"/>
  <c r="AS143" i="11"/>
  <c r="AR143" i="11"/>
  <c r="AQ143" i="11"/>
  <c r="AP143" i="11"/>
  <c r="AO143" i="11"/>
  <c r="AN143" i="11"/>
  <c r="AL143" i="11"/>
  <c r="AJ143" i="11"/>
  <c r="AH143" i="11"/>
  <c r="X143" i="11"/>
  <c r="W143" i="11"/>
  <c r="V143" i="11"/>
  <c r="T143" i="11"/>
  <c r="S143" i="11"/>
  <c r="R143" i="11"/>
  <c r="P143" i="11"/>
  <c r="O143" i="11"/>
  <c r="N143" i="11"/>
  <c r="L143" i="11"/>
  <c r="J143" i="11"/>
  <c r="H143" i="11"/>
  <c r="F143" i="11"/>
  <c r="AZ142" i="11"/>
  <c r="AX142" i="11"/>
  <c r="AU142" i="11"/>
  <c r="AR142" i="11"/>
  <c r="AP142" i="11"/>
  <c r="AM142" i="11"/>
  <c r="AI142" i="11"/>
  <c r="AH142" i="11"/>
  <c r="X142" i="11"/>
  <c r="V142" i="11"/>
  <c r="S142" i="11"/>
  <c r="P142" i="11"/>
  <c r="O142" i="11"/>
  <c r="N142" i="11"/>
  <c r="K142" i="11"/>
  <c r="J142" i="11"/>
  <c r="G142" i="11"/>
  <c r="X135" i="11"/>
  <c r="W135" i="11"/>
  <c r="V135" i="11"/>
  <c r="U135" i="11"/>
  <c r="T135" i="11"/>
  <c r="S135" i="11"/>
  <c r="R135" i="11"/>
  <c r="Q135" i="11"/>
  <c r="P135" i="11"/>
  <c r="O135" i="11"/>
  <c r="N135" i="11"/>
  <c r="M135" i="11"/>
  <c r="L135" i="11"/>
  <c r="K135" i="11"/>
  <c r="J135" i="11"/>
  <c r="I135" i="11"/>
  <c r="H135" i="11"/>
  <c r="G135" i="11"/>
  <c r="F135" i="11"/>
  <c r="X134" i="11"/>
  <c r="W134" i="11"/>
  <c r="V134" i="11"/>
  <c r="U134" i="11"/>
  <c r="T134" i="11"/>
  <c r="S134" i="11"/>
  <c r="R134" i="11"/>
  <c r="Q134" i="11"/>
  <c r="O134" i="11"/>
  <c r="N134" i="11"/>
  <c r="M134" i="11"/>
  <c r="L134" i="11"/>
  <c r="K134" i="11"/>
  <c r="J134" i="11"/>
  <c r="I134" i="11"/>
  <c r="H134" i="11"/>
  <c r="G134" i="11"/>
  <c r="F134" i="11"/>
  <c r="X133" i="11"/>
  <c r="W133" i="11"/>
  <c r="V133" i="11"/>
  <c r="U133" i="11"/>
  <c r="T133" i="11"/>
  <c r="S133" i="11"/>
  <c r="R133" i="11"/>
  <c r="Q133" i="11"/>
  <c r="P133" i="11"/>
  <c r="O133" i="11"/>
  <c r="N133" i="11"/>
  <c r="M133" i="11"/>
  <c r="L133" i="11"/>
  <c r="K133" i="11"/>
  <c r="J133" i="11"/>
  <c r="I133" i="11"/>
  <c r="H133" i="11"/>
  <c r="G133" i="11"/>
  <c r="F133" i="11"/>
  <c r="X132" i="11"/>
  <c r="W132" i="11"/>
  <c r="V132" i="11"/>
  <c r="U132" i="11"/>
  <c r="T132" i="11"/>
  <c r="S132" i="11"/>
  <c r="R132" i="11"/>
  <c r="Q132" i="11"/>
  <c r="P132" i="11"/>
  <c r="O132" i="11"/>
  <c r="N132" i="11"/>
  <c r="M132" i="11"/>
  <c r="L132" i="11"/>
  <c r="K132" i="11"/>
  <c r="J132" i="11"/>
  <c r="I132" i="11"/>
  <c r="X131" i="11"/>
  <c r="W131" i="11"/>
  <c r="V131" i="11"/>
  <c r="U131" i="11"/>
  <c r="T131" i="11"/>
  <c r="S131" i="11"/>
  <c r="R131" i="11"/>
  <c r="Q131" i="11"/>
  <c r="P131" i="11"/>
  <c r="O131" i="11"/>
  <c r="N131" i="11"/>
  <c r="M131" i="11"/>
  <c r="L131" i="11"/>
  <c r="K131" i="11"/>
  <c r="J131" i="11"/>
  <c r="I131" i="11"/>
  <c r="G131" i="11"/>
  <c r="F131" i="11"/>
  <c r="X130" i="11"/>
  <c r="W130" i="11"/>
  <c r="V130" i="11"/>
  <c r="U130" i="11"/>
  <c r="T130" i="11"/>
  <c r="S130" i="11"/>
  <c r="R130" i="11"/>
  <c r="Q130" i="11"/>
  <c r="P130" i="11"/>
  <c r="O130" i="11"/>
  <c r="N130" i="11"/>
  <c r="M130" i="11"/>
  <c r="L130" i="11"/>
  <c r="K130" i="11"/>
  <c r="J130" i="11"/>
  <c r="I130" i="11"/>
  <c r="H130" i="11"/>
  <c r="G130" i="11"/>
  <c r="F130" i="11"/>
  <c r="W129" i="11"/>
  <c r="V129" i="11"/>
  <c r="U129" i="11"/>
  <c r="T129" i="11"/>
  <c r="S129" i="11"/>
  <c r="R129" i="11"/>
  <c r="N129" i="11"/>
  <c r="L129" i="11"/>
  <c r="J129" i="11"/>
  <c r="H129" i="11"/>
  <c r="G129" i="11"/>
  <c r="F129" i="11"/>
  <c r="X128" i="11"/>
  <c r="W128" i="11"/>
  <c r="V128" i="11"/>
  <c r="S128" i="11"/>
  <c r="R128" i="11"/>
  <c r="Q128" i="11"/>
  <c r="P128" i="11"/>
  <c r="O128" i="11"/>
  <c r="N128" i="11"/>
  <c r="L128" i="11"/>
  <c r="J128" i="11"/>
  <c r="I128" i="11"/>
  <c r="H128" i="11"/>
  <c r="G128" i="11"/>
  <c r="F128" i="11"/>
  <c r="X127" i="11"/>
  <c r="W127" i="11"/>
  <c r="V127" i="11"/>
  <c r="U127" i="11"/>
  <c r="T127" i="11"/>
  <c r="S127" i="11"/>
  <c r="Q127" i="11"/>
  <c r="L127" i="11"/>
  <c r="H127" i="11"/>
  <c r="G127" i="11"/>
  <c r="X126" i="11"/>
  <c r="V126" i="11"/>
  <c r="U126" i="11"/>
  <c r="T126" i="11"/>
  <c r="S126" i="11"/>
  <c r="R126" i="11"/>
  <c r="Q126" i="11"/>
  <c r="P126" i="11"/>
  <c r="O126" i="11"/>
  <c r="N126" i="11"/>
  <c r="L126" i="11"/>
  <c r="J126" i="11"/>
  <c r="X125" i="11"/>
  <c r="W125" i="11"/>
  <c r="V125" i="11"/>
  <c r="U125" i="11"/>
  <c r="T125" i="11"/>
  <c r="S125" i="11"/>
  <c r="R125" i="11"/>
  <c r="Q125" i="11"/>
  <c r="P125" i="11"/>
  <c r="O125" i="11"/>
  <c r="N125" i="11"/>
  <c r="M125" i="11"/>
  <c r="L125" i="11"/>
  <c r="K125" i="11"/>
  <c r="J125" i="11"/>
  <c r="I125" i="11"/>
  <c r="H125" i="11"/>
  <c r="G125" i="11"/>
  <c r="F125" i="11"/>
  <c r="X124" i="11"/>
  <c r="W124" i="11"/>
  <c r="V124" i="11"/>
  <c r="U124" i="11"/>
  <c r="T124" i="11"/>
  <c r="S124" i="11"/>
  <c r="R124" i="11"/>
  <c r="Q124" i="11"/>
  <c r="P124" i="11"/>
  <c r="O124" i="11"/>
  <c r="N124" i="11"/>
  <c r="M124" i="11"/>
  <c r="L124" i="11"/>
  <c r="K124" i="11"/>
  <c r="J124" i="11"/>
  <c r="I124" i="11"/>
  <c r="H124" i="11"/>
  <c r="G124" i="11"/>
  <c r="F124" i="11"/>
  <c r="X123" i="11"/>
  <c r="W123" i="11"/>
  <c r="V123" i="11"/>
  <c r="U123" i="11"/>
  <c r="T123" i="11"/>
  <c r="S123" i="11"/>
  <c r="R123" i="11"/>
  <c r="Q123" i="11"/>
  <c r="P123" i="11"/>
  <c r="O123" i="11"/>
  <c r="N123" i="11"/>
  <c r="M123" i="11"/>
  <c r="L123" i="11"/>
  <c r="K123" i="11"/>
  <c r="J123" i="11"/>
  <c r="I123" i="11"/>
  <c r="H123" i="11"/>
  <c r="G123" i="11"/>
  <c r="F123" i="11"/>
  <c r="X122" i="11"/>
  <c r="W122" i="11"/>
  <c r="V122" i="11"/>
  <c r="U122" i="11"/>
  <c r="T122" i="11"/>
  <c r="S122" i="11"/>
  <c r="R122" i="11"/>
  <c r="Q122" i="11"/>
  <c r="P122" i="11"/>
  <c r="O122" i="11"/>
  <c r="N122" i="11"/>
  <c r="M122" i="11"/>
  <c r="L122" i="11"/>
  <c r="K122" i="11"/>
  <c r="J122" i="11"/>
  <c r="I122" i="11"/>
  <c r="H122" i="11"/>
  <c r="G122" i="11"/>
  <c r="F122" i="11"/>
  <c r="X121" i="11"/>
  <c r="W121" i="11"/>
  <c r="V121" i="11"/>
  <c r="U121" i="11"/>
  <c r="T121" i="11"/>
  <c r="S121" i="11"/>
  <c r="R121" i="11"/>
  <c r="Q121" i="11"/>
  <c r="P121" i="11"/>
  <c r="O121" i="11"/>
  <c r="N121" i="11"/>
  <c r="M121" i="11"/>
  <c r="L121" i="11"/>
  <c r="K121" i="11"/>
  <c r="J121" i="11"/>
  <c r="I121" i="11"/>
  <c r="H121" i="11"/>
  <c r="G121" i="11"/>
  <c r="F121" i="11"/>
  <c r="W120" i="11"/>
  <c r="V120" i="11"/>
  <c r="U120" i="11"/>
  <c r="T120" i="11"/>
  <c r="S120" i="11"/>
  <c r="R120" i="11"/>
  <c r="Q120" i="11"/>
  <c r="P120" i="11"/>
  <c r="O120" i="11"/>
  <c r="N120" i="11"/>
  <c r="M120" i="11"/>
  <c r="L120" i="11"/>
  <c r="K120" i="11"/>
  <c r="J120" i="11"/>
  <c r="I120" i="11"/>
  <c r="H120" i="11"/>
  <c r="G120" i="11"/>
  <c r="F120" i="11"/>
  <c r="X119" i="11"/>
  <c r="W119" i="11"/>
  <c r="V119" i="11"/>
  <c r="U119" i="11"/>
  <c r="T119" i="11"/>
  <c r="S119" i="11"/>
  <c r="R119" i="11"/>
  <c r="Q119" i="11"/>
  <c r="P119" i="11"/>
  <c r="O119" i="11"/>
  <c r="N119" i="11"/>
  <c r="M119" i="11"/>
  <c r="K119" i="11"/>
  <c r="J119" i="11"/>
  <c r="I119" i="11"/>
  <c r="H119" i="11"/>
  <c r="G119" i="11"/>
  <c r="F119" i="11"/>
  <c r="S118" i="11"/>
  <c r="P118" i="11"/>
  <c r="O118" i="11"/>
  <c r="N118" i="11"/>
  <c r="M118" i="11"/>
  <c r="L118" i="11"/>
  <c r="K118" i="11"/>
  <c r="J118" i="11"/>
  <c r="I118" i="11"/>
  <c r="H118" i="11"/>
  <c r="G118" i="11"/>
  <c r="F118" i="11"/>
  <c r="X117" i="11"/>
  <c r="W117" i="11"/>
  <c r="V117" i="11"/>
  <c r="U117" i="11"/>
  <c r="T117" i="11"/>
  <c r="S117" i="11"/>
  <c r="R117" i="11"/>
  <c r="Q117" i="11"/>
  <c r="P117" i="11"/>
  <c r="O117" i="11"/>
  <c r="N117" i="11"/>
  <c r="L117" i="11"/>
  <c r="K117" i="11"/>
  <c r="I117" i="11"/>
  <c r="H117" i="11"/>
  <c r="G117" i="11"/>
  <c r="F117" i="11"/>
  <c r="X116" i="11"/>
  <c r="W116" i="11"/>
  <c r="V116" i="11"/>
  <c r="U116" i="11"/>
  <c r="T116" i="11"/>
  <c r="S116" i="11"/>
  <c r="R116" i="11"/>
  <c r="Q116" i="11"/>
  <c r="P116" i="11"/>
  <c r="O116" i="11"/>
  <c r="N116" i="11"/>
  <c r="M116" i="11"/>
  <c r="L116" i="11"/>
  <c r="K116" i="11"/>
  <c r="J116" i="11"/>
  <c r="I116" i="11"/>
  <c r="H116" i="11"/>
  <c r="G116" i="11"/>
  <c r="F116" i="11"/>
  <c r="R115" i="11"/>
  <c r="Q115" i="11"/>
  <c r="P115" i="11"/>
  <c r="O115" i="11"/>
  <c r="N115" i="11"/>
  <c r="M115" i="11"/>
  <c r="L115" i="11"/>
  <c r="K115" i="11"/>
  <c r="I115" i="11"/>
  <c r="H115" i="11"/>
  <c r="G115" i="11"/>
  <c r="F115" i="11"/>
  <c r="X114" i="11"/>
  <c r="W114" i="11"/>
  <c r="V114" i="11"/>
  <c r="U114" i="11"/>
  <c r="T114" i="11"/>
  <c r="S114" i="11"/>
  <c r="R114" i="11"/>
  <c r="Q114" i="11"/>
  <c r="P114" i="11"/>
  <c r="O114" i="11"/>
  <c r="N114" i="11"/>
  <c r="M114" i="11"/>
  <c r="L114" i="11"/>
  <c r="I114" i="11"/>
  <c r="H114" i="11"/>
  <c r="G114" i="11"/>
  <c r="X113" i="11"/>
  <c r="W113" i="11"/>
  <c r="V113" i="11"/>
  <c r="U113" i="11"/>
  <c r="T113" i="11"/>
  <c r="S113" i="11"/>
  <c r="R113" i="11"/>
  <c r="Q113" i="11"/>
  <c r="P113" i="11"/>
  <c r="O113" i="11"/>
  <c r="N113" i="11"/>
  <c r="M113" i="11"/>
  <c r="L113" i="11"/>
  <c r="K113" i="11"/>
  <c r="J113" i="11"/>
  <c r="I113" i="11"/>
  <c r="H113" i="11"/>
  <c r="G113" i="11"/>
  <c r="F113" i="11"/>
  <c r="X112" i="11"/>
  <c r="W112" i="11"/>
  <c r="V112" i="11"/>
  <c r="U112" i="11"/>
  <c r="T112" i="11"/>
  <c r="S112" i="11"/>
  <c r="R112" i="11"/>
  <c r="Q112" i="11"/>
  <c r="O112" i="11"/>
  <c r="N112" i="11"/>
  <c r="M112" i="11"/>
  <c r="L112" i="11"/>
  <c r="K112" i="11"/>
  <c r="J112" i="11"/>
  <c r="I112" i="11"/>
  <c r="G112" i="11"/>
  <c r="S111" i="11"/>
  <c r="N111" i="11"/>
  <c r="M111" i="11"/>
  <c r="L111" i="11"/>
  <c r="K111" i="11"/>
  <c r="J111" i="11"/>
  <c r="I111" i="11"/>
  <c r="G111" i="11"/>
  <c r="X110" i="11"/>
  <c r="W110" i="11"/>
  <c r="V110" i="11"/>
  <c r="U110" i="11"/>
  <c r="T110" i="11"/>
  <c r="S110" i="11"/>
  <c r="R110" i="11"/>
  <c r="Q110" i="11"/>
  <c r="P110" i="11"/>
  <c r="O110" i="11"/>
  <c r="N110" i="11"/>
  <c r="M110" i="11"/>
  <c r="L110" i="11"/>
  <c r="K110" i="11"/>
  <c r="J110" i="11"/>
  <c r="I110" i="11"/>
  <c r="H110" i="11"/>
  <c r="G110" i="11"/>
  <c r="F110" i="11"/>
  <c r="X109" i="11"/>
  <c r="W109" i="11"/>
  <c r="V109" i="11"/>
  <c r="U109" i="11"/>
  <c r="T109" i="11"/>
  <c r="S109" i="11"/>
  <c r="R109" i="11"/>
  <c r="Q109" i="11"/>
  <c r="P109" i="11"/>
  <c r="O109" i="11"/>
  <c r="N109" i="11"/>
  <c r="M109" i="11"/>
  <c r="L109" i="11"/>
  <c r="K109" i="11"/>
  <c r="J109" i="11"/>
  <c r="I109" i="11"/>
  <c r="H109" i="11"/>
  <c r="G109" i="11"/>
  <c r="F109" i="11"/>
  <c r="X108" i="11"/>
  <c r="W108" i="11"/>
  <c r="V108" i="11"/>
  <c r="U108" i="11"/>
  <c r="T108" i="11"/>
  <c r="S108" i="11"/>
  <c r="R108" i="11"/>
  <c r="Q108" i="11"/>
  <c r="P108" i="11"/>
  <c r="O108" i="11"/>
  <c r="N108" i="11"/>
  <c r="M108" i="11"/>
  <c r="L108" i="11"/>
  <c r="K108" i="11"/>
  <c r="J108" i="11"/>
  <c r="I108" i="11"/>
  <c r="H108" i="11"/>
  <c r="G108" i="11"/>
  <c r="F108" i="11"/>
  <c r="X107" i="11"/>
  <c r="W107" i="11"/>
  <c r="V107" i="11"/>
  <c r="U107" i="11"/>
  <c r="T107" i="11"/>
  <c r="S107" i="11"/>
  <c r="R107" i="11"/>
  <c r="Q107" i="11"/>
  <c r="P107" i="11"/>
  <c r="O107" i="11"/>
  <c r="N107" i="11"/>
  <c r="M107" i="11"/>
  <c r="L107" i="11"/>
  <c r="K107" i="11"/>
  <c r="J107" i="11"/>
  <c r="I107" i="11"/>
  <c r="H107" i="11"/>
  <c r="G107" i="11"/>
  <c r="F107" i="11"/>
  <c r="X106" i="11"/>
  <c r="W106" i="11"/>
  <c r="V106" i="11"/>
  <c r="U106" i="11"/>
  <c r="T106" i="11"/>
  <c r="S106" i="11"/>
  <c r="R106" i="11"/>
  <c r="Q106" i="11"/>
  <c r="P106" i="11"/>
  <c r="O106" i="11"/>
  <c r="N106" i="11"/>
  <c r="M106" i="11"/>
  <c r="L106" i="11"/>
  <c r="K106" i="11"/>
  <c r="J106" i="11"/>
  <c r="I106" i="11"/>
  <c r="H106" i="11"/>
  <c r="G106" i="11"/>
  <c r="F106" i="11"/>
  <c r="X105" i="11"/>
  <c r="W105" i="11"/>
  <c r="V105" i="11"/>
  <c r="U105" i="11"/>
  <c r="T105" i="11"/>
  <c r="S105" i="11"/>
  <c r="R105" i="11"/>
  <c r="Q105" i="11"/>
  <c r="P105" i="11"/>
  <c r="O105" i="11"/>
  <c r="N105" i="11"/>
  <c r="M105" i="11"/>
  <c r="L105" i="11"/>
  <c r="K105" i="11"/>
  <c r="J105" i="11"/>
  <c r="I105" i="11"/>
  <c r="H105" i="11"/>
  <c r="G105" i="11"/>
  <c r="F105" i="11"/>
  <c r="X104" i="11"/>
  <c r="W104" i="11"/>
  <c r="V104" i="11"/>
  <c r="U104" i="11"/>
  <c r="T104" i="11"/>
  <c r="S104" i="11"/>
  <c r="R104" i="11"/>
  <c r="Q104" i="11"/>
  <c r="P104" i="11"/>
  <c r="O104" i="11"/>
  <c r="N104" i="11"/>
  <c r="M104" i="11"/>
  <c r="L104" i="11"/>
  <c r="K104" i="11"/>
  <c r="J104" i="11"/>
  <c r="I104" i="11"/>
  <c r="H104" i="11"/>
  <c r="G104" i="11"/>
  <c r="F104" i="11"/>
  <c r="AA103" i="11"/>
  <c r="AA100" i="11"/>
  <c r="Z90" i="11"/>
  <c r="Y90" i="11"/>
  <c r="AA90" i="11" s="1"/>
  <c r="Y89" i="11"/>
  <c r="Z88" i="11"/>
  <c r="Y88" i="11"/>
  <c r="AA88" i="11" s="1"/>
  <c r="Z87" i="11"/>
  <c r="Z86" i="11"/>
  <c r="Y86" i="11"/>
  <c r="Z85" i="11"/>
  <c r="Y85" i="11"/>
  <c r="AA85" i="11" s="1"/>
  <c r="X84" i="11"/>
  <c r="M84" i="11"/>
  <c r="K84" i="11"/>
  <c r="I84" i="11"/>
  <c r="U83" i="11"/>
  <c r="T83" i="11"/>
  <c r="M83" i="11"/>
  <c r="K83" i="11"/>
  <c r="Y83" i="11" s="1"/>
  <c r="AG82" i="11"/>
  <c r="AH82" i="11" s="1"/>
  <c r="R82" i="11"/>
  <c r="N82" i="11"/>
  <c r="AP172" i="11" s="1"/>
  <c r="M82" i="11"/>
  <c r="K82" i="11"/>
  <c r="J82" i="11"/>
  <c r="I82" i="11"/>
  <c r="AG81" i="11"/>
  <c r="AH81" i="11"/>
  <c r="W81" i="11"/>
  <c r="M81" i="11"/>
  <c r="I81" i="11"/>
  <c r="AG80" i="11"/>
  <c r="AH80" i="11" s="1"/>
  <c r="AI80" i="11" s="1"/>
  <c r="Z80" i="11"/>
  <c r="Y80" i="11"/>
  <c r="AA80" i="11" s="1"/>
  <c r="AG79" i="11"/>
  <c r="AH79" i="11" s="1"/>
  <c r="Z79" i="11"/>
  <c r="Y79" i="11"/>
  <c r="Z78" i="11"/>
  <c r="Y78" i="11"/>
  <c r="Z77" i="11"/>
  <c r="AA77" i="11" s="1"/>
  <c r="Y77" i="11"/>
  <c r="AC76" i="11"/>
  <c r="Z76" i="11"/>
  <c r="Y76" i="11"/>
  <c r="AA76" i="11" s="1"/>
  <c r="Z75" i="11"/>
  <c r="Y75" i="11"/>
  <c r="AA75" i="11" s="1"/>
  <c r="Z74" i="11"/>
  <c r="Y74" i="11"/>
  <c r="Y73" i="11"/>
  <c r="Z73" i="11"/>
  <c r="Z72" i="11"/>
  <c r="Y72" i="11"/>
  <c r="Z71" i="11"/>
  <c r="Y71" i="11"/>
  <c r="Y70" i="11"/>
  <c r="AU160" i="11"/>
  <c r="Z69" i="11"/>
  <c r="Z114" i="11" s="1"/>
  <c r="Z68" i="11"/>
  <c r="AA68" i="11" s="1"/>
  <c r="Y68" i="11"/>
  <c r="AC67" i="11"/>
  <c r="Y67" i="11"/>
  <c r="AJ157" i="11"/>
  <c r="AH157" i="11"/>
  <c r="AC66" i="11"/>
  <c r="V66" i="11"/>
  <c r="AX156" i="11"/>
  <c r="AJ156" i="11"/>
  <c r="AH156" i="11"/>
  <c r="Z65" i="11"/>
  <c r="Y65" i="11"/>
  <c r="AC64" i="11"/>
  <c r="Z64" i="11"/>
  <c r="Y64" i="11"/>
  <c r="AC63" i="11"/>
  <c r="Z63" i="11"/>
  <c r="Y63" i="11"/>
  <c r="Y62" i="11"/>
  <c r="Z62" i="11"/>
  <c r="AA62" i="11" s="1"/>
  <c r="Z61" i="11"/>
  <c r="Y61" i="11"/>
  <c r="AD60" i="11"/>
  <c r="Z60" i="11"/>
  <c r="AA60" i="11" s="1"/>
  <c r="Y60" i="11"/>
  <c r="Z59" i="11"/>
  <c r="Y59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AA102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AB56" i="11"/>
  <c r="W56" i="11"/>
  <c r="U56" i="11"/>
  <c r="R56" i="11"/>
  <c r="Q56" i="11"/>
  <c r="P56" i="11"/>
  <c r="O56" i="11"/>
  <c r="N56" i="11"/>
  <c r="N51" i="11" s="1"/>
  <c r="AP141" i="11" s="1"/>
  <c r="M56" i="11"/>
  <c r="L56" i="11"/>
  <c r="I56" i="11"/>
  <c r="H56" i="11"/>
  <c r="G56" i="11"/>
  <c r="X55" i="11"/>
  <c r="W55" i="11"/>
  <c r="V55" i="11"/>
  <c r="AX145" i="11" s="1"/>
  <c r="U55" i="11"/>
  <c r="T55" i="11"/>
  <c r="S55" i="11"/>
  <c r="R55" i="11"/>
  <c r="R51" i="11"/>
  <c r="Q55" i="11"/>
  <c r="N55" i="11"/>
  <c r="M55" i="11"/>
  <c r="L55" i="11"/>
  <c r="K55" i="11"/>
  <c r="AM145" i="11"/>
  <c r="J55" i="11"/>
  <c r="AL145" i="11"/>
  <c r="I55" i="11"/>
  <c r="H55" i="11"/>
  <c r="G55" i="11"/>
  <c r="F55" i="11"/>
  <c r="AH145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X53" i="11"/>
  <c r="W53" i="11"/>
  <c r="W52" i="11"/>
  <c r="W50" i="11" s="1"/>
  <c r="V53" i="11"/>
  <c r="U53" i="11"/>
  <c r="T53" i="11"/>
  <c r="S53" i="11"/>
  <c r="R53" i="11"/>
  <c r="Q53" i="11"/>
  <c r="P53" i="11"/>
  <c r="O53" i="11"/>
  <c r="O52" i="11"/>
  <c r="N53" i="11"/>
  <c r="M53" i="11"/>
  <c r="L53" i="11"/>
  <c r="K53" i="11"/>
  <c r="J53" i="11"/>
  <c r="I53" i="11"/>
  <c r="H53" i="11"/>
  <c r="G53" i="11"/>
  <c r="G52" i="11"/>
  <c r="F53" i="11"/>
  <c r="X52" i="11"/>
  <c r="V52" i="11"/>
  <c r="V50" i="11" s="1"/>
  <c r="U52" i="11"/>
  <c r="T52" i="11"/>
  <c r="S52" i="11"/>
  <c r="S50" i="11" s="1"/>
  <c r="R52" i="11"/>
  <c r="R50" i="11" s="1"/>
  <c r="Q52" i="11"/>
  <c r="P52" i="11"/>
  <c r="N52" i="11"/>
  <c r="M52" i="11"/>
  <c r="L52" i="11"/>
  <c r="K52" i="11"/>
  <c r="J52" i="11"/>
  <c r="J50" i="11" s="1"/>
  <c r="I52" i="11"/>
  <c r="H52" i="11"/>
  <c r="F52" i="11"/>
  <c r="Z45" i="11"/>
  <c r="Z135" i="11" s="1"/>
  <c r="Y45" i="11"/>
  <c r="Y135" i="11" s="1"/>
  <c r="Y44" i="11"/>
  <c r="Y134" i="11"/>
  <c r="Z43" i="11"/>
  <c r="Z133" i="11" s="1"/>
  <c r="Y43" i="11"/>
  <c r="Y133" i="11" s="1"/>
  <c r="Z42" i="11"/>
  <c r="Z132" i="11" s="1"/>
  <c r="Z41" i="11"/>
  <c r="Z131" i="11" s="1"/>
  <c r="Y41" i="11"/>
  <c r="Y131" i="11" s="1"/>
  <c r="Z40" i="11"/>
  <c r="Z130" i="11" s="1"/>
  <c r="Y40" i="11"/>
  <c r="Y130" i="11" s="1"/>
  <c r="O39" i="11"/>
  <c r="M39" i="11"/>
  <c r="K39" i="11"/>
  <c r="K129" i="11" s="1"/>
  <c r="I39" i="11"/>
  <c r="I129" i="11" s="1"/>
  <c r="M38" i="11"/>
  <c r="K38" i="11"/>
  <c r="K128" i="11" s="1"/>
  <c r="O37" i="11"/>
  <c r="N37" i="11"/>
  <c r="M37" i="11"/>
  <c r="M127" i="11" s="1"/>
  <c r="K37" i="11"/>
  <c r="J37" i="11"/>
  <c r="I37" i="11"/>
  <c r="I127" i="11" s="1"/>
  <c r="M36" i="11"/>
  <c r="M126" i="11" s="1"/>
  <c r="K36" i="11"/>
  <c r="K126" i="11" s="1"/>
  <c r="I36" i="11"/>
  <c r="I126" i="11" s="1"/>
  <c r="Z35" i="11"/>
  <c r="Z125" i="11" s="1"/>
  <c r="Y35" i="11"/>
  <c r="Y125" i="11" s="1"/>
  <c r="Z34" i="11"/>
  <c r="Z124" i="11" s="1"/>
  <c r="Y34" i="11"/>
  <c r="Y124" i="11" s="1"/>
  <c r="Z33" i="11"/>
  <c r="Y33" i="11"/>
  <c r="Y123" i="11" s="1"/>
  <c r="Z32" i="11"/>
  <c r="Z122" i="11" s="1"/>
  <c r="Y32" i="11"/>
  <c r="Y122" i="11" s="1"/>
  <c r="AH31" i="11"/>
  <c r="Z31" i="11"/>
  <c r="Z121" i="11" s="1"/>
  <c r="Y31" i="11"/>
  <c r="Y121" i="11"/>
  <c r="Y30" i="11"/>
  <c r="Y120" i="11"/>
  <c r="X30" i="11"/>
  <c r="X13" i="11"/>
  <c r="X103" i="11" s="1"/>
  <c r="Z29" i="11"/>
  <c r="Z119" i="11" s="1"/>
  <c r="Y29" i="11"/>
  <c r="Y119" i="11" s="1"/>
  <c r="L12" i="11"/>
  <c r="L102" i="11" s="1"/>
  <c r="Y28" i="11"/>
  <c r="Y118" i="11" s="1"/>
  <c r="W12" i="11"/>
  <c r="W102" i="11" s="1"/>
  <c r="V12" i="11"/>
  <c r="V102" i="11" s="1"/>
  <c r="U12" i="11"/>
  <c r="U102" i="11" s="1"/>
  <c r="T12" i="11"/>
  <c r="T102" i="11" s="1"/>
  <c r="R12" i="11"/>
  <c r="Q12" i="11"/>
  <c r="Z27" i="11"/>
  <c r="Z26" i="11"/>
  <c r="Z116" i="11" s="1"/>
  <c r="Y26" i="11"/>
  <c r="Y116" i="11"/>
  <c r="Z25" i="11"/>
  <c r="Y25" i="11"/>
  <c r="AA114" i="11"/>
  <c r="Z24" i="11"/>
  <c r="J24" i="11"/>
  <c r="J69" i="11" s="1"/>
  <c r="F24" i="11"/>
  <c r="F249" i="11" s="1"/>
  <c r="F236" i="11" s="1"/>
  <c r="Z23" i="11"/>
  <c r="Z113" i="11"/>
  <c r="Y23" i="11"/>
  <c r="H112" i="11"/>
  <c r="F10" i="11"/>
  <c r="X39" i="11"/>
  <c r="X129" i="11" s="1"/>
  <c r="W10" i="11"/>
  <c r="U10" i="11"/>
  <c r="T10" i="11"/>
  <c r="R37" i="11"/>
  <c r="Q10" i="11"/>
  <c r="Q100" i="11" s="1"/>
  <c r="Z20" i="11"/>
  <c r="Z110" i="11" s="1"/>
  <c r="Y20" i="11"/>
  <c r="Y110" i="11" s="1"/>
  <c r="Z19" i="11"/>
  <c r="Z109" i="11" s="1"/>
  <c r="Y19" i="11"/>
  <c r="Y109" i="11" s="1"/>
  <c r="Z18" i="11"/>
  <c r="Z108" i="11" s="1"/>
  <c r="Y18" i="11"/>
  <c r="Y108" i="11" s="1"/>
  <c r="Z17" i="11"/>
  <c r="Z107" i="11" s="1"/>
  <c r="Y17" i="11"/>
  <c r="Z16" i="11"/>
  <c r="Z106" i="11" s="1"/>
  <c r="Y16" i="11"/>
  <c r="Y106" i="11" s="1"/>
  <c r="Z15" i="11"/>
  <c r="Z105" i="11" s="1"/>
  <c r="Y15" i="11"/>
  <c r="Y105" i="11" s="1"/>
  <c r="AF14" i="11"/>
  <c r="Z14" i="11"/>
  <c r="Z104" i="11" s="1"/>
  <c r="Y14" i="11"/>
  <c r="Y104" i="11" s="1"/>
  <c r="W13" i="11"/>
  <c r="W103" i="11" s="1"/>
  <c r="V13" i="11"/>
  <c r="V103" i="11" s="1"/>
  <c r="U13" i="11"/>
  <c r="U103" i="11" s="1"/>
  <c r="T13" i="11"/>
  <c r="T103" i="11" s="1"/>
  <c r="S13" i="11"/>
  <c r="S103" i="11" s="1"/>
  <c r="R13" i="11"/>
  <c r="R103" i="11" s="1"/>
  <c r="Q13" i="11"/>
  <c r="Q103" i="11" s="1"/>
  <c r="P13" i="11"/>
  <c r="P103" i="11" s="1"/>
  <c r="O13" i="11"/>
  <c r="O103" i="11" s="1"/>
  <c r="N13" i="11"/>
  <c r="N103" i="11" s="1"/>
  <c r="M13" i="11"/>
  <c r="M103" i="11" s="1"/>
  <c r="L13" i="11"/>
  <c r="L103" i="11" s="1"/>
  <c r="K13" i="11"/>
  <c r="K103" i="11" s="1"/>
  <c r="J13" i="11"/>
  <c r="J103" i="11" s="1"/>
  <c r="I13" i="11"/>
  <c r="I103" i="11" s="1"/>
  <c r="H13" i="11"/>
  <c r="H103" i="11" s="1"/>
  <c r="G13" i="11"/>
  <c r="G103" i="11" s="1"/>
  <c r="F13" i="11"/>
  <c r="F103" i="11" s="1"/>
  <c r="AC12" i="11"/>
  <c r="X12" i="11"/>
  <c r="X102" i="11" s="1"/>
  <c r="S12" i="11"/>
  <c r="S102" i="11" s="1"/>
  <c r="P12" i="11"/>
  <c r="P102" i="11" s="1"/>
  <c r="O12" i="11"/>
  <c r="O102" i="11" s="1"/>
  <c r="N12" i="11"/>
  <c r="N102" i="11" s="1"/>
  <c r="K12" i="11"/>
  <c r="K102" i="11" s="1"/>
  <c r="I12" i="11"/>
  <c r="H12" i="11"/>
  <c r="H102" i="11" s="1"/>
  <c r="G12" i="11"/>
  <c r="F12" i="11"/>
  <c r="F102" i="11" s="1"/>
  <c r="X11" i="11"/>
  <c r="W11" i="11"/>
  <c r="W101" i="11" s="1"/>
  <c r="V11" i="11"/>
  <c r="U11" i="11"/>
  <c r="U101" i="11" s="1"/>
  <c r="T11" i="11"/>
  <c r="S11" i="11"/>
  <c r="S146" i="11"/>
  <c r="R11" i="11"/>
  <c r="R101" i="11" s="1"/>
  <c r="Q11" i="11"/>
  <c r="Q101" i="11"/>
  <c r="P11" i="11"/>
  <c r="P101" i="11" s="1"/>
  <c r="O11" i="11"/>
  <c r="O101" i="11"/>
  <c r="N11" i="11"/>
  <c r="M11" i="11"/>
  <c r="M101" i="11" s="1"/>
  <c r="L11" i="11"/>
  <c r="L101" i="11" s="1"/>
  <c r="K11" i="11"/>
  <c r="I11" i="11"/>
  <c r="I101" i="11" s="1"/>
  <c r="H11" i="11"/>
  <c r="H101" i="11"/>
  <c r="G11" i="11"/>
  <c r="G101" i="11"/>
  <c r="V10" i="11"/>
  <c r="S10" i="11"/>
  <c r="S100" i="11" s="1"/>
  <c r="O10" i="11"/>
  <c r="N10" i="11"/>
  <c r="L10" i="11"/>
  <c r="L100" i="11" s="1"/>
  <c r="K10" i="11"/>
  <c r="K145" i="11" s="1"/>
  <c r="I25" i="20" s="1"/>
  <c r="J10" i="11"/>
  <c r="I10" i="11"/>
  <c r="G10" i="11"/>
  <c r="X9" i="11"/>
  <c r="X99" i="11" s="1"/>
  <c r="W9" i="11"/>
  <c r="W99" i="11" s="1"/>
  <c r="V9" i="11"/>
  <c r="V99" i="11" s="1"/>
  <c r="U9" i="11"/>
  <c r="U99" i="11" s="1"/>
  <c r="T9" i="11"/>
  <c r="T99" i="11" s="1"/>
  <c r="S9" i="11"/>
  <c r="S99" i="11" s="1"/>
  <c r="R9" i="11"/>
  <c r="R99" i="11" s="1"/>
  <c r="Q9" i="11"/>
  <c r="P9" i="11"/>
  <c r="P99" i="11" s="1"/>
  <c r="O9" i="11"/>
  <c r="O99" i="11" s="1"/>
  <c r="N9" i="11"/>
  <c r="N99" i="11" s="1"/>
  <c r="M9" i="11"/>
  <c r="L9" i="11"/>
  <c r="L99" i="11" s="1"/>
  <c r="K9" i="11"/>
  <c r="K99" i="11" s="1"/>
  <c r="J9" i="11"/>
  <c r="J99" i="11" s="1"/>
  <c r="I9" i="11"/>
  <c r="H9" i="11"/>
  <c r="H99" i="11"/>
  <c r="G9" i="11"/>
  <c r="G99" i="11"/>
  <c r="F9" i="11"/>
  <c r="F99" i="11"/>
  <c r="X8" i="11"/>
  <c r="X98" i="11"/>
  <c r="W8" i="11"/>
  <c r="W98" i="11" s="1"/>
  <c r="V8" i="11"/>
  <c r="V98" i="11"/>
  <c r="U8" i="11"/>
  <c r="U98" i="11"/>
  <c r="T8" i="11"/>
  <c r="T98" i="11"/>
  <c r="S8" i="11"/>
  <c r="S98" i="11"/>
  <c r="R8" i="11"/>
  <c r="R98" i="11"/>
  <c r="Q8" i="11"/>
  <c r="Q98" i="11" s="1"/>
  <c r="P8" i="11"/>
  <c r="P98" i="11"/>
  <c r="O8" i="11"/>
  <c r="O98" i="11"/>
  <c r="N8" i="11"/>
  <c r="N98" i="11"/>
  <c r="M8" i="11"/>
  <c r="M98" i="11" s="1"/>
  <c r="L8" i="11"/>
  <c r="L98" i="11"/>
  <c r="K8" i="11"/>
  <c r="K98" i="11" s="1"/>
  <c r="J8" i="11"/>
  <c r="J98" i="11" s="1"/>
  <c r="I8" i="11"/>
  <c r="I98" i="11" s="1"/>
  <c r="H8" i="11"/>
  <c r="H98" i="11"/>
  <c r="G8" i="11"/>
  <c r="F8" i="11"/>
  <c r="X7" i="11"/>
  <c r="W7" i="11"/>
  <c r="W97" i="11" s="1"/>
  <c r="V7" i="11"/>
  <c r="U7" i="11"/>
  <c r="U97" i="11" s="1"/>
  <c r="T7" i="11"/>
  <c r="T97" i="11" s="1"/>
  <c r="S7" i="11"/>
  <c r="S97" i="11" s="1"/>
  <c r="R7" i="11"/>
  <c r="Q7" i="11"/>
  <c r="Q97" i="11" s="1"/>
  <c r="P7" i="11"/>
  <c r="O7" i="11"/>
  <c r="O97" i="11" s="1"/>
  <c r="N7" i="11"/>
  <c r="M7" i="11"/>
  <c r="L7" i="11"/>
  <c r="L97" i="11"/>
  <c r="K7" i="11"/>
  <c r="K97" i="11"/>
  <c r="J7" i="11"/>
  <c r="J97" i="11"/>
  <c r="I7" i="11"/>
  <c r="I97" i="11"/>
  <c r="H7" i="11"/>
  <c r="H97" i="11" s="1"/>
  <c r="G7" i="11"/>
  <c r="G97" i="11"/>
  <c r="F7" i="11"/>
  <c r="F97" i="11" s="1"/>
  <c r="AA17" i="11"/>
  <c r="AA107" i="11"/>
  <c r="U50" i="11"/>
  <c r="AA198" i="11"/>
  <c r="BC198" i="11" s="1"/>
  <c r="J230" i="11"/>
  <c r="X10" i="11"/>
  <c r="X100" i="11" s="1"/>
  <c r="K127" i="11"/>
  <c r="AU190" i="11"/>
  <c r="V40" i="20" s="1"/>
  <c r="V8" i="20"/>
  <c r="G236" i="11"/>
  <c r="W236" i="11"/>
  <c r="AS185" i="11"/>
  <c r="Q140" i="11"/>
  <c r="Y233" i="11"/>
  <c r="AP193" i="11"/>
  <c r="BB220" i="11"/>
  <c r="G5" i="11"/>
  <c r="G95" i="11" s="1"/>
  <c r="K5" i="11"/>
  <c r="K95" i="11" s="1"/>
  <c r="O5" i="11"/>
  <c r="O95" i="11" s="1"/>
  <c r="O6" i="11"/>
  <c r="R127" i="11"/>
  <c r="Y113" i="11"/>
  <c r="Y39" i="11"/>
  <c r="AA45" i="11"/>
  <c r="AA135" i="11" s="1"/>
  <c r="Y58" i="11"/>
  <c r="AA61" i="11"/>
  <c r="AA63" i="11"/>
  <c r="AA71" i="11"/>
  <c r="AA74" i="11"/>
  <c r="Z81" i="11"/>
  <c r="M143" i="11"/>
  <c r="Q143" i="11"/>
  <c r="U143" i="11"/>
  <c r="AO146" i="11"/>
  <c r="AT146" i="11"/>
  <c r="AL148" i="11"/>
  <c r="AP148" i="11"/>
  <c r="AT148" i="11"/>
  <c r="AX148" i="11"/>
  <c r="BC153" i="11"/>
  <c r="Z164" i="11"/>
  <c r="BB164" i="11"/>
  <c r="BB166" i="11"/>
  <c r="BA169" i="11"/>
  <c r="BB170" i="11"/>
  <c r="G185" i="11"/>
  <c r="AI185" i="11" s="1"/>
  <c r="O185" i="11"/>
  <c r="AQ185" i="11" s="1"/>
  <c r="S185" i="11"/>
  <c r="AK187" i="11"/>
  <c r="AS187" i="11"/>
  <c r="Y189" i="11"/>
  <c r="Z189" i="11"/>
  <c r="BB189" i="11" s="1"/>
  <c r="AK189" i="11"/>
  <c r="AS189" i="11"/>
  <c r="AT193" i="11"/>
  <c r="AA194" i="11"/>
  <c r="BB204" i="11"/>
  <c r="K236" i="11"/>
  <c r="AB303" i="11"/>
  <c r="H5" i="11"/>
  <c r="H95" i="11"/>
  <c r="R102" i="11"/>
  <c r="H50" i="11"/>
  <c r="P50" i="11"/>
  <c r="AC51" i="11"/>
  <c r="T50" i="11"/>
  <c r="AK142" i="11"/>
  <c r="AO142" i="11"/>
  <c r="AS142" i="11"/>
  <c r="AW142" i="11"/>
  <c r="M146" i="11"/>
  <c r="R146" i="11"/>
  <c r="AJ146" i="11"/>
  <c r="J148" i="11"/>
  <c r="V148" i="11"/>
  <c r="BB149" i="11"/>
  <c r="Z151" i="11"/>
  <c r="BA167" i="11"/>
  <c r="BA180" i="11"/>
  <c r="X191" i="11"/>
  <c r="AZ191" i="11"/>
  <c r="AA214" i="11"/>
  <c r="AA169" i="11" s="1"/>
  <c r="BA214" i="11"/>
  <c r="S236" i="11"/>
  <c r="L5" i="11"/>
  <c r="L95" i="11" s="1"/>
  <c r="Y8" i="11"/>
  <c r="AA18" i="11"/>
  <c r="AA108" i="11"/>
  <c r="U5" i="11"/>
  <c r="U95" i="11" s="1"/>
  <c r="Y9" i="11"/>
  <c r="Y99" i="11" s="1"/>
  <c r="M129" i="11"/>
  <c r="I51" i="11"/>
  <c r="Z53" i="11"/>
  <c r="H51" i="11"/>
  <c r="Z58" i="11"/>
  <c r="AA59" i="11"/>
  <c r="AA65" i="11"/>
  <c r="Y84" i="11"/>
  <c r="I142" i="11"/>
  <c r="M142" i="11"/>
  <c r="Q142" i="11"/>
  <c r="U142" i="11"/>
  <c r="M144" i="11"/>
  <c r="U144" i="11"/>
  <c r="H146" i="11"/>
  <c r="I147" i="11"/>
  <c r="P147" i="11"/>
  <c r="BB151" i="11"/>
  <c r="Y152" i="11"/>
  <c r="AA153" i="11"/>
  <c r="Z161" i="11"/>
  <c r="M185" i="11"/>
  <c r="AO185" i="11" s="1"/>
  <c r="U185" i="11"/>
  <c r="AA213" i="11"/>
  <c r="AD303" i="11"/>
  <c r="K6" i="11"/>
  <c r="R10" i="11"/>
  <c r="R100" i="11"/>
  <c r="N191" i="11"/>
  <c r="AA79" i="11"/>
  <c r="N145" i="11"/>
  <c r="Q25" i="20"/>
  <c r="AU205" i="11"/>
  <c r="S6" i="11"/>
  <c r="AP217" i="11"/>
  <c r="AP201" i="11"/>
  <c r="AA64" i="11"/>
  <c r="AO145" i="11"/>
  <c r="AO156" i="11"/>
  <c r="Y115" i="11"/>
  <c r="AA25" i="11"/>
  <c r="AA115" i="11" s="1"/>
  <c r="W51" i="11"/>
  <c r="U51" i="11"/>
  <c r="T100" i="11"/>
  <c r="Z83" i="11"/>
  <c r="Q39" i="11"/>
  <c r="Q129" i="11" s="1"/>
  <c r="Q51" i="11"/>
  <c r="Z117" i="11"/>
  <c r="M12" i="11"/>
  <c r="G51" i="11"/>
  <c r="S56" i="11"/>
  <c r="AU146" i="11" s="1"/>
  <c r="J11" i="11"/>
  <c r="W6" i="11"/>
  <c r="W96" i="11" s="1"/>
  <c r="Z57" i="11"/>
  <c r="Q102" i="11"/>
  <c r="Q6" i="11"/>
  <c r="Q96" i="11" s="1"/>
  <c r="AA73" i="11"/>
  <c r="M128" i="11"/>
  <c r="Y57" i="11"/>
  <c r="AA72" i="11"/>
  <c r="F100" i="11"/>
  <c r="F145" i="11"/>
  <c r="D25" i="20" s="1"/>
  <c r="Y10" i="11"/>
  <c r="AJ82" i="11"/>
  <c r="AI82" i="11"/>
  <c r="U100" i="11"/>
  <c r="U6" i="11"/>
  <c r="U96" i="11" s="1"/>
  <c r="AJ81" i="11"/>
  <c r="AI81" i="11"/>
  <c r="Y98" i="11"/>
  <c r="J145" i="11"/>
  <c r="H25" i="20" s="1"/>
  <c r="J100" i="11"/>
  <c r="N100" i="11"/>
  <c r="V145" i="11"/>
  <c r="Y25" i="20" s="1"/>
  <c r="V100" i="11"/>
  <c r="P111" i="11"/>
  <c r="Z21" i="11"/>
  <c r="Y24" i="11"/>
  <c r="N6" i="11"/>
  <c r="R6" i="11"/>
  <c r="R96" i="11" s="1"/>
  <c r="V6" i="11"/>
  <c r="Z8" i="11"/>
  <c r="Z98" i="11" s="1"/>
  <c r="F11" i="11"/>
  <c r="F101" i="11" s="1"/>
  <c r="N146" i="11"/>
  <c r="V146" i="11"/>
  <c r="Z11" i="11"/>
  <c r="Y13" i="11"/>
  <c r="Y103" i="11" s="1"/>
  <c r="AA14" i="11"/>
  <c r="AA104" i="11"/>
  <c r="AA19" i="11"/>
  <c r="AA109" i="11" s="1"/>
  <c r="F156" i="11"/>
  <c r="F111" i="11"/>
  <c r="AA23" i="11"/>
  <c r="AA113" i="11" s="1"/>
  <c r="Z159" i="11"/>
  <c r="AA26" i="11"/>
  <c r="AA116" i="11" s="1"/>
  <c r="T208" i="11"/>
  <c r="X208" i="11"/>
  <c r="X210" i="11"/>
  <c r="Z210" i="11" s="1"/>
  <c r="X255" i="11"/>
  <c r="X238" i="11" s="1"/>
  <c r="Z238" i="11" s="1"/>
  <c r="AA34" i="11"/>
  <c r="AA124" i="11"/>
  <c r="P37" i="11"/>
  <c r="Z37" i="11" s="1"/>
  <c r="Y38" i="11"/>
  <c r="AA40" i="11"/>
  <c r="AA130" i="11" s="1"/>
  <c r="AA41" i="11"/>
  <c r="L50" i="11"/>
  <c r="Y55" i="11"/>
  <c r="Z66" i="11"/>
  <c r="F69" i="11"/>
  <c r="M97" i="11"/>
  <c r="G98" i="11"/>
  <c r="I99" i="11"/>
  <c r="K100" i="11"/>
  <c r="Y107" i="11"/>
  <c r="Y7" i="11"/>
  <c r="Z13" i="11"/>
  <c r="Z103" i="11"/>
  <c r="AJ201" i="11"/>
  <c r="H156" i="11"/>
  <c r="H111" i="11"/>
  <c r="AH222" i="11"/>
  <c r="F157" i="11"/>
  <c r="J207" i="11"/>
  <c r="Y129" i="11"/>
  <c r="O82" i="11"/>
  <c r="O84" i="11"/>
  <c r="O129" i="11" s="1"/>
  <c r="M100" i="11"/>
  <c r="AH191" i="11"/>
  <c r="U208" i="11"/>
  <c r="H6" i="11"/>
  <c r="Z9" i="11"/>
  <c r="Z99" i="11" s="1"/>
  <c r="T146" i="11"/>
  <c r="J12" i="11"/>
  <c r="J102" i="11" s="1"/>
  <c r="Y21" i="11"/>
  <c r="H157" i="11"/>
  <c r="H176" i="11" s="1"/>
  <c r="J204" i="11"/>
  <c r="Y204" i="11" s="1"/>
  <c r="J249" i="11"/>
  <c r="AL204" i="11" s="1"/>
  <c r="J205" i="11"/>
  <c r="AL205" i="11" s="1"/>
  <c r="Q208" i="11"/>
  <c r="V208" i="11"/>
  <c r="Z28" i="11"/>
  <c r="Z118" i="11" s="1"/>
  <c r="Z30" i="11"/>
  <c r="AA30" i="11" s="1"/>
  <c r="AA120" i="11" s="1"/>
  <c r="Z120" i="11"/>
  <c r="AA31" i="11"/>
  <c r="AA121" i="11" s="1"/>
  <c r="AA32" i="11"/>
  <c r="AA122" i="11" s="1"/>
  <c r="W36" i="11"/>
  <c r="W126" i="11" s="1"/>
  <c r="N172" i="11"/>
  <c r="N127" i="11"/>
  <c r="T38" i="11"/>
  <c r="T128" i="11" s="1"/>
  <c r="P129" i="11"/>
  <c r="N50" i="11"/>
  <c r="L51" i="11"/>
  <c r="P82" i="11"/>
  <c r="Z82" i="11" s="1"/>
  <c r="G100" i="11"/>
  <c r="AA16" i="11"/>
  <c r="AA106" i="11"/>
  <c r="AA20" i="11"/>
  <c r="AA110" i="11" s="1"/>
  <c r="Y22" i="11"/>
  <c r="Y112" i="11" s="1"/>
  <c r="Y27" i="11"/>
  <c r="AA27" i="11" s="1"/>
  <c r="AA117" i="11" s="1"/>
  <c r="R208" i="11"/>
  <c r="W208" i="11"/>
  <c r="AA29" i="11"/>
  <c r="AA119" i="11" s="1"/>
  <c r="AA35" i="11"/>
  <c r="AA125" i="11" s="1"/>
  <c r="U38" i="11"/>
  <c r="U128" i="11"/>
  <c r="AA43" i="11"/>
  <c r="AA133" i="11" s="1"/>
  <c r="H100" i="11"/>
  <c r="Y66" i="11"/>
  <c r="AA66" i="11" s="1"/>
  <c r="I100" i="11"/>
  <c r="F112" i="11"/>
  <c r="G178" i="11"/>
  <c r="G177" i="11"/>
  <c r="Z188" i="11"/>
  <c r="BB143" i="11" s="1"/>
  <c r="AN190" i="11"/>
  <c r="G171" i="11"/>
  <c r="G172" i="11"/>
  <c r="G173" i="11"/>
  <c r="G174" i="11"/>
  <c r="J177" i="11"/>
  <c r="AN187" i="11"/>
  <c r="AH204" i="11"/>
  <c r="J178" i="11"/>
  <c r="J179" i="11"/>
  <c r="J180" i="11"/>
  <c r="AN188" i="11"/>
  <c r="K180" i="11"/>
  <c r="K179" i="11"/>
  <c r="K178" i="11"/>
  <c r="K177" i="11"/>
  <c r="Y187" i="11"/>
  <c r="BA187" i="11" s="1"/>
  <c r="AN189" i="11"/>
  <c r="AA195" i="11"/>
  <c r="BC195" i="11" s="1"/>
  <c r="AA199" i="11"/>
  <c r="K217" i="11"/>
  <c r="K218" i="11"/>
  <c r="AM173" i="11" s="1"/>
  <c r="K219" i="11"/>
  <c r="AM219" i="11" s="1"/>
  <c r="Y201" i="11"/>
  <c r="AM201" i="11"/>
  <c r="AA203" i="11"/>
  <c r="BC158" i="11" s="1"/>
  <c r="AN191" i="11"/>
  <c r="AN193" i="11"/>
  <c r="AA196" i="11"/>
  <c r="AA200" i="11"/>
  <c r="BC200" i="11" s="1"/>
  <c r="M218" i="11"/>
  <c r="M219" i="11"/>
  <c r="M216" i="11"/>
  <c r="M217" i="11"/>
  <c r="Y202" i="11"/>
  <c r="BA202" i="11" s="1"/>
  <c r="AH202" i="11"/>
  <c r="AP204" i="11"/>
  <c r="AA197" i="11"/>
  <c r="BC197" i="11" s="1"/>
  <c r="AK201" i="11"/>
  <c r="AO201" i="11"/>
  <c r="AL201" i="11"/>
  <c r="I261" i="11"/>
  <c r="Z205" i="11"/>
  <c r="BB205" i="11" s="1"/>
  <c r="AA220" i="11"/>
  <c r="AA225" i="11"/>
  <c r="M261" i="11"/>
  <c r="AO216" i="11" s="1"/>
  <c r="K262" i="11"/>
  <c r="I264" i="11"/>
  <c r="M262" i="11"/>
  <c r="K263" i="11"/>
  <c r="AM218" i="11" s="1"/>
  <c r="AC303" i="11"/>
  <c r="AA206" i="11"/>
  <c r="AA211" i="11"/>
  <c r="AA166" i="11" s="1"/>
  <c r="AA215" i="11"/>
  <c r="BC215" i="11" s="1"/>
  <c r="AA223" i="11"/>
  <c r="M263" i="11"/>
  <c r="Z191" i="11"/>
  <c r="Z146" i="11" s="1"/>
  <c r="N186" i="11"/>
  <c r="AA9" i="11"/>
  <c r="AA99" i="11" s="1"/>
  <c r="U140" i="11"/>
  <c r="AW140" i="11"/>
  <c r="AW185" i="11"/>
  <c r="AO140" i="11"/>
  <c r="BC169" i="11"/>
  <c r="BB144" i="11"/>
  <c r="BA189" i="11"/>
  <c r="Y144" i="11"/>
  <c r="BA144" i="11"/>
  <c r="G140" i="11"/>
  <c r="AI140" i="11"/>
  <c r="BC213" i="11"/>
  <c r="BC168" i="11"/>
  <c r="AA168" i="11"/>
  <c r="BC194" i="11"/>
  <c r="BC149" i="11"/>
  <c r="AA149" i="11"/>
  <c r="AU185" i="11"/>
  <c r="S140" i="11"/>
  <c r="AU140" i="11"/>
  <c r="AH221" i="11"/>
  <c r="AP145" i="11"/>
  <c r="S101" i="11"/>
  <c r="Z39" i="11"/>
  <c r="AA39" i="11" s="1"/>
  <c r="AB39" i="11" s="1"/>
  <c r="M102" i="11"/>
  <c r="M6" i="11"/>
  <c r="M96" i="11" s="1"/>
  <c r="H126" i="11"/>
  <c r="O127" i="11"/>
  <c r="S51" i="11"/>
  <c r="AU141" i="11"/>
  <c r="BC203" i="11"/>
  <c r="Y218" i="11"/>
  <c r="BC199" i="11"/>
  <c r="AA154" i="11"/>
  <c r="BC154" i="11"/>
  <c r="BB188" i="11"/>
  <c r="Z143" i="11"/>
  <c r="J236" i="11"/>
  <c r="O264" i="11"/>
  <c r="O262" i="11"/>
  <c r="H96" i="11"/>
  <c r="X264" i="11"/>
  <c r="BC223" i="11"/>
  <c r="AA178" i="11"/>
  <c r="BC178" i="11"/>
  <c r="BC220" i="11"/>
  <c r="BC175" i="11"/>
  <c r="AA175" i="11"/>
  <c r="BA157" i="11"/>
  <c r="AO172" i="11"/>
  <c r="AM217" i="11"/>
  <c r="AM172" i="11"/>
  <c r="BC150" i="11"/>
  <c r="AY208" i="11"/>
  <c r="W192" i="11"/>
  <c r="AY163" i="11"/>
  <c r="Y117" i="11"/>
  <c r="T218" i="11"/>
  <c r="AV218" i="11" s="1"/>
  <c r="AV201" i="11"/>
  <c r="AV156" i="11"/>
  <c r="F180" i="11"/>
  <c r="F179" i="11"/>
  <c r="F178" i="11"/>
  <c r="F176" i="11"/>
  <c r="F177" i="11"/>
  <c r="AH159" i="11"/>
  <c r="F56" i="11"/>
  <c r="AB40" i="11"/>
  <c r="AV208" i="11"/>
  <c r="T192" i="11"/>
  <c r="AV163" i="11"/>
  <c r="Q219" i="11"/>
  <c r="Q174" i="11" s="1"/>
  <c r="AS201" i="11"/>
  <c r="AS156" i="11"/>
  <c r="N141" i="11"/>
  <c r="AA170" i="11"/>
  <c r="M171" i="11"/>
  <c r="AO171" i="11"/>
  <c r="T263" i="11"/>
  <c r="H175" i="11"/>
  <c r="H174" i="11"/>
  <c r="H173" i="11"/>
  <c r="H172" i="11"/>
  <c r="H171" i="11"/>
  <c r="Y97" i="11"/>
  <c r="Q264" i="11"/>
  <c r="J6" i="11"/>
  <c r="BC206" i="11"/>
  <c r="AA161" i="11"/>
  <c r="BC161" i="11"/>
  <c r="AH177" i="11"/>
  <c r="AA155" i="11"/>
  <c r="BC155" i="11"/>
  <c r="BA201" i="11"/>
  <c r="Y156" i="11"/>
  <c r="AS208" i="11"/>
  <c r="Q192" i="11"/>
  <c r="AS163" i="11"/>
  <c r="H177" i="11"/>
  <c r="H178" i="11"/>
  <c r="AW208" i="11"/>
  <c r="U192" i="11"/>
  <c r="AW163" i="11"/>
  <c r="R217" i="11"/>
  <c r="AT201" i="11"/>
  <c r="AT156" i="11"/>
  <c r="BC211" i="11"/>
  <c r="BC166" i="11"/>
  <c r="BC152" i="11"/>
  <c r="AO219" i="11"/>
  <c r="M174" i="11"/>
  <c r="AO174" i="11"/>
  <c r="BC196" i="11"/>
  <c r="AA151" i="11"/>
  <c r="BC151" i="11"/>
  <c r="AT208" i="11"/>
  <c r="R192" i="11"/>
  <c r="AT163" i="11"/>
  <c r="F132" i="11"/>
  <c r="AJ202" i="11"/>
  <c r="R262" i="11"/>
  <c r="R231" i="11"/>
  <c r="X219" i="11"/>
  <c r="AZ201" i="11"/>
  <c r="AZ156" i="11"/>
  <c r="AZ210" i="11"/>
  <c r="AZ165" i="11"/>
  <c r="AZ208" i="11"/>
  <c r="X192" i="11"/>
  <c r="AZ163" i="11"/>
  <c r="AA8" i="11"/>
  <c r="AA98" i="11" s="1"/>
  <c r="BC225" i="11"/>
  <c r="AA180" i="11"/>
  <c r="BC180" i="11"/>
  <c r="AX208" i="11"/>
  <c r="AA21" i="11"/>
  <c r="Z38" i="11"/>
  <c r="Z128" i="11" s="1"/>
  <c r="AL207" i="11"/>
  <c r="Y207" i="11"/>
  <c r="BA162" i="11" s="1"/>
  <c r="J192" i="11"/>
  <c r="AL162" i="11"/>
  <c r="AA131" i="11"/>
  <c r="AB41" i="11"/>
  <c r="Z36" i="11"/>
  <c r="Z126" i="11" s="1"/>
  <c r="F175" i="11"/>
  <c r="F174" i="11"/>
  <c r="F173" i="11"/>
  <c r="F172" i="11"/>
  <c r="F171" i="11"/>
  <c r="F146" i="11"/>
  <c r="Y11" i="11"/>
  <c r="Z111" i="11"/>
  <c r="S96" i="11"/>
  <c r="AL192" i="11"/>
  <c r="AL147" i="11"/>
  <c r="Y192" i="11"/>
  <c r="X147" i="11"/>
  <c r="AZ147" i="11"/>
  <c r="AS219" i="11"/>
  <c r="AA38" i="11"/>
  <c r="AH146" i="11"/>
  <c r="F51" i="11"/>
  <c r="X145" i="11"/>
  <c r="AA25" i="20" s="1"/>
  <c r="AZ145" i="11"/>
  <c r="AV192" i="11"/>
  <c r="AV147" i="11"/>
  <c r="T145" i="11"/>
  <c r="W25" i="20" s="1"/>
  <c r="T186" i="11"/>
  <c r="AV145" i="11"/>
  <c r="BA218" i="11"/>
  <c r="AA11" i="11"/>
  <c r="Q186" i="11"/>
  <c r="AS145" i="11"/>
  <c r="Q145" i="11"/>
  <c r="T25" i="20" s="1"/>
  <c r="AY192" i="11"/>
  <c r="W147" i="11"/>
  <c r="AY147" i="11"/>
  <c r="AT192" i="11"/>
  <c r="AT147" i="11"/>
  <c r="R147" i="11"/>
  <c r="R186" i="11"/>
  <c r="AT145" i="11"/>
  <c r="R145" i="11"/>
  <c r="U25" i="20" s="1"/>
  <c r="AW192" i="11"/>
  <c r="AW147" i="11"/>
  <c r="U147" i="11"/>
  <c r="AS147" i="11"/>
  <c r="Q147" i="11"/>
  <c r="X174" i="11"/>
  <c r="AZ174" i="11"/>
  <c r="AG82" i="10"/>
  <c r="AH82" i="10" s="1"/>
  <c r="AG81" i="10"/>
  <c r="AH81" i="10"/>
  <c r="AJ81" i="10" s="1"/>
  <c r="AG80" i="10"/>
  <c r="AH80" i="10"/>
  <c r="AI80" i="10" s="1"/>
  <c r="AG79" i="10"/>
  <c r="AH79" i="10" s="1"/>
  <c r="F204" i="10"/>
  <c r="H67" i="10"/>
  <c r="H112" i="10" s="1"/>
  <c r="H66" i="10"/>
  <c r="AH31" i="10"/>
  <c r="F67" i="10"/>
  <c r="F112" i="10" s="1"/>
  <c r="F66" i="10"/>
  <c r="F82" i="10" s="1"/>
  <c r="AA70" i="10"/>
  <c r="AC76" i="10"/>
  <c r="J24" i="10"/>
  <c r="J249" i="10" s="1"/>
  <c r="AB56" i="10"/>
  <c r="AC12" i="5"/>
  <c r="AC12" i="10"/>
  <c r="AF14" i="10"/>
  <c r="AA24" i="10"/>
  <c r="AA25" i="10"/>
  <c r="AD301" i="10"/>
  <c r="AC301" i="10"/>
  <c r="AB301" i="10"/>
  <c r="AD300" i="10"/>
  <c r="AC300" i="10"/>
  <c r="AC302" i="10"/>
  <c r="AB300" i="10"/>
  <c r="AB302" i="10" s="1"/>
  <c r="AA270" i="10"/>
  <c r="Z270" i="10"/>
  <c r="Y270" i="10"/>
  <c r="AA269" i="10"/>
  <c r="Z269" i="10"/>
  <c r="Y269" i="10"/>
  <c r="AA268" i="10"/>
  <c r="Z268" i="10"/>
  <c r="Y268" i="10"/>
  <c r="AA267" i="10"/>
  <c r="Z267" i="10"/>
  <c r="Y267" i="10"/>
  <c r="AA266" i="10"/>
  <c r="Z266" i="10"/>
  <c r="Y266" i="10"/>
  <c r="AA265" i="10"/>
  <c r="Z265" i="10"/>
  <c r="Y265" i="10"/>
  <c r="AA264" i="10"/>
  <c r="Z264" i="10"/>
  <c r="Y264" i="10"/>
  <c r="AA263" i="10"/>
  <c r="Z263" i="10"/>
  <c r="Y263" i="10"/>
  <c r="AA262" i="10"/>
  <c r="Z262" i="10"/>
  <c r="Y262" i="10"/>
  <c r="AA261" i="10"/>
  <c r="Z261" i="10"/>
  <c r="Y261" i="10"/>
  <c r="AA260" i="10"/>
  <c r="Z260" i="10"/>
  <c r="Y260" i="10"/>
  <c r="X260" i="10"/>
  <c r="W260" i="10"/>
  <c r="V260" i="10"/>
  <c r="U260" i="10"/>
  <c r="T260" i="10"/>
  <c r="S260" i="10"/>
  <c r="R260" i="10"/>
  <c r="Q260" i="10"/>
  <c r="P260" i="10"/>
  <c r="O260" i="10"/>
  <c r="N260" i="10"/>
  <c r="M260" i="10"/>
  <c r="L260" i="10"/>
  <c r="K260" i="10"/>
  <c r="J260" i="10"/>
  <c r="I260" i="10"/>
  <c r="H260" i="10"/>
  <c r="G260" i="10"/>
  <c r="F260" i="10"/>
  <c r="AA259" i="10"/>
  <c r="Z259" i="10"/>
  <c r="Y259" i="10"/>
  <c r="X259" i="10"/>
  <c r="W259" i="10"/>
  <c r="V259" i="10"/>
  <c r="U259" i="10"/>
  <c r="T259" i="10"/>
  <c r="S259" i="10"/>
  <c r="R259" i="10"/>
  <c r="Q259" i="10"/>
  <c r="P259" i="10"/>
  <c r="O259" i="10"/>
  <c r="N259" i="10"/>
  <c r="M259" i="10"/>
  <c r="L259" i="10"/>
  <c r="K259" i="10"/>
  <c r="J259" i="10"/>
  <c r="I259" i="10"/>
  <c r="H259" i="10"/>
  <c r="G259" i="10"/>
  <c r="F259" i="10"/>
  <c r="AA258" i="10"/>
  <c r="Z258" i="10"/>
  <c r="Y258" i="10"/>
  <c r="X258" i="10"/>
  <c r="W258" i="10"/>
  <c r="V258" i="10"/>
  <c r="U258" i="10"/>
  <c r="T258" i="10"/>
  <c r="S258" i="10"/>
  <c r="R258" i="10"/>
  <c r="Q258" i="10"/>
  <c r="P258" i="10"/>
  <c r="O258" i="10"/>
  <c r="N258" i="10"/>
  <c r="M258" i="10"/>
  <c r="L258" i="10"/>
  <c r="K258" i="10"/>
  <c r="J258" i="10"/>
  <c r="I258" i="10"/>
  <c r="H258" i="10"/>
  <c r="G258" i="10"/>
  <c r="F258" i="10"/>
  <c r="AA257" i="10"/>
  <c r="Z257" i="10"/>
  <c r="Y257" i="10"/>
  <c r="X257" i="10"/>
  <c r="W257" i="10"/>
  <c r="V257" i="10"/>
  <c r="U257" i="10"/>
  <c r="T257" i="10"/>
  <c r="S257" i="10"/>
  <c r="R257" i="10"/>
  <c r="Q257" i="10"/>
  <c r="P257" i="10"/>
  <c r="O257" i="10"/>
  <c r="N257" i="10"/>
  <c r="M257" i="10"/>
  <c r="L257" i="10"/>
  <c r="K257" i="10"/>
  <c r="J257" i="10"/>
  <c r="I257" i="10"/>
  <c r="H257" i="10"/>
  <c r="G257" i="10"/>
  <c r="F257" i="10"/>
  <c r="AA256" i="10"/>
  <c r="Z256" i="10"/>
  <c r="Y256" i="10"/>
  <c r="X256" i="10"/>
  <c r="W256" i="10"/>
  <c r="V256" i="10"/>
  <c r="U256" i="10"/>
  <c r="T256" i="10"/>
  <c r="S256" i="10"/>
  <c r="R256" i="10"/>
  <c r="Q256" i="10"/>
  <c r="P256" i="10"/>
  <c r="O256" i="10"/>
  <c r="N256" i="10"/>
  <c r="M256" i="10"/>
  <c r="L256" i="10"/>
  <c r="K256" i="10"/>
  <c r="J256" i="10"/>
  <c r="I256" i="10"/>
  <c r="H256" i="10"/>
  <c r="G256" i="10"/>
  <c r="F256" i="10"/>
  <c r="AA255" i="10"/>
  <c r="Z255" i="10"/>
  <c r="Y255" i="10"/>
  <c r="W255" i="10"/>
  <c r="V255" i="10"/>
  <c r="U255" i="10"/>
  <c r="T255" i="10"/>
  <c r="S255" i="10"/>
  <c r="R255" i="10"/>
  <c r="Q255" i="10"/>
  <c r="P255" i="10"/>
  <c r="O255" i="10"/>
  <c r="N255" i="10"/>
  <c r="M255" i="10"/>
  <c r="L255" i="10"/>
  <c r="K255" i="10"/>
  <c r="J255" i="10"/>
  <c r="I255" i="10"/>
  <c r="H255" i="10"/>
  <c r="H238" i="10" s="1"/>
  <c r="G255" i="10"/>
  <c r="F255" i="10"/>
  <c r="AA254" i="10"/>
  <c r="Z254" i="10"/>
  <c r="Y254" i="10"/>
  <c r="AA253" i="10"/>
  <c r="Z253" i="10"/>
  <c r="Y253" i="10"/>
  <c r="AA252" i="10"/>
  <c r="Z252" i="10"/>
  <c r="Y252" i="10"/>
  <c r="AA251" i="10"/>
  <c r="Z251" i="10"/>
  <c r="Y251" i="10"/>
  <c r="X251" i="10"/>
  <c r="W251" i="10"/>
  <c r="V251" i="10"/>
  <c r="U251" i="10"/>
  <c r="T251" i="10"/>
  <c r="S251" i="10"/>
  <c r="R251" i="10"/>
  <c r="Q251" i="10"/>
  <c r="P251" i="10"/>
  <c r="O251" i="10"/>
  <c r="N251" i="10"/>
  <c r="M251" i="10"/>
  <c r="L251" i="10"/>
  <c r="K251" i="10"/>
  <c r="K236" i="10" s="1"/>
  <c r="J251" i="10"/>
  <c r="I251" i="10"/>
  <c r="H251" i="10"/>
  <c r="G251" i="10"/>
  <c r="F251" i="10"/>
  <c r="AA250" i="10"/>
  <c r="Z250" i="10"/>
  <c r="Y250" i="10"/>
  <c r="X250" i="10"/>
  <c r="W250" i="10"/>
  <c r="V250" i="10"/>
  <c r="U250" i="10"/>
  <c r="U236" i="10" s="1"/>
  <c r="R250" i="10"/>
  <c r="Q250" i="10"/>
  <c r="P250" i="10"/>
  <c r="O250" i="10"/>
  <c r="N250" i="10"/>
  <c r="M250" i="10"/>
  <c r="L250" i="10"/>
  <c r="I250" i="10"/>
  <c r="I236" i="10" s="1"/>
  <c r="H250" i="10"/>
  <c r="G250" i="10"/>
  <c r="F250" i="10"/>
  <c r="AA249" i="10"/>
  <c r="Z249" i="10"/>
  <c r="Y249" i="10"/>
  <c r="X249" i="10"/>
  <c r="W249" i="10"/>
  <c r="W236" i="10" s="1"/>
  <c r="V249" i="10"/>
  <c r="U249" i="10"/>
  <c r="T249" i="10"/>
  <c r="S249" i="10"/>
  <c r="R249" i="10"/>
  <c r="Q249" i="10"/>
  <c r="P249" i="10"/>
  <c r="O249" i="10"/>
  <c r="N249" i="10"/>
  <c r="N236" i="10" s="1"/>
  <c r="M249" i="10"/>
  <c r="M236" i="10" s="1"/>
  <c r="L249" i="10"/>
  <c r="L236" i="10" s="1"/>
  <c r="I249" i="10"/>
  <c r="H249" i="10"/>
  <c r="G249" i="10"/>
  <c r="G236" i="10" s="1"/>
  <c r="AA248" i="10"/>
  <c r="Z248" i="10"/>
  <c r="Y248" i="10"/>
  <c r="AA247" i="10"/>
  <c r="Z247" i="10"/>
  <c r="Y247" i="10"/>
  <c r="G267" i="10"/>
  <c r="AA246" i="10"/>
  <c r="Z246" i="10"/>
  <c r="Y246" i="10"/>
  <c r="N262" i="10"/>
  <c r="M264" i="10"/>
  <c r="K264" i="10"/>
  <c r="I262" i="10"/>
  <c r="AA245" i="10"/>
  <c r="Z245" i="10"/>
  <c r="Y245" i="10"/>
  <c r="X245" i="10"/>
  <c r="W245" i="10"/>
  <c r="V245" i="10"/>
  <c r="U245" i="10"/>
  <c r="T245" i="10"/>
  <c r="S245" i="10"/>
  <c r="R245" i="10"/>
  <c r="Q245" i="10"/>
  <c r="P245" i="10"/>
  <c r="O245" i="10"/>
  <c r="N245" i="10"/>
  <c r="M245" i="10"/>
  <c r="L245" i="10"/>
  <c r="K245" i="10"/>
  <c r="J245" i="10"/>
  <c r="I245" i="10"/>
  <c r="H245" i="10"/>
  <c r="G245" i="10"/>
  <c r="F245" i="10"/>
  <c r="AA244" i="10"/>
  <c r="Z244" i="10"/>
  <c r="Y244" i="10"/>
  <c r="X244" i="10"/>
  <c r="W244" i="10"/>
  <c r="V244" i="10"/>
  <c r="U244" i="10"/>
  <c r="T244" i="10"/>
  <c r="S244" i="10"/>
  <c r="R244" i="10"/>
  <c r="Q244" i="10"/>
  <c r="P244" i="10"/>
  <c r="O244" i="10"/>
  <c r="N244" i="10"/>
  <c r="M244" i="10"/>
  <c r="L244" i="10"/>
  <c r="K244" i="10"/>
  <c r="J244" i="10"/>
  <c r="I244" i="10"/>
  <c r="H244" i="10"/>
  <c r="G244" i="10"/>
  <c r="F244" i="10"/>
  <c r="AA243" i="10"/>
  <c r="Z243" i="10"/>
  <c r="Y243" i="10"/>
  <c r="X243" i="10"/>
  <c r="W243" i="10"/>
  <c r="V243" i="10"/>
  <c r="U243" i="10"/>
  <c r="T243" i="10"/>
  <c r="S243" i="10"/>
  <c r="R243" i="10"/>
  <c r="Q243" i="10"/>
  <c r="P243" i="10"/>
  <c r="O243" i="10"/>
  <c r="N243" i="10"/>
  <c r="M243" i="10"/>
  <c r="L243" i="10"/>
  <c r="K243" i="10"/>
  <c r="J243" i="10"/>
  <c r="I243" i="10"/>
  <c r="H243" i="10"/>
  <c r="G243" i="10"/>
  <c r="F243" i="10"/>
  <c r="AA242" i="10"/>
  <c r="Z242" i="10"/>
  <c r="Y242" i="10"/>
  <c r="X242" i="10"/>
  <c r="X233" i="10" s="1"/>
  <c r="W242" i="10"/>
  <c r="V242" i="10"/>
  <c r="U242" i="10"/>
  <c r="T242" i="10"/>
  <c r="T233" i="10" s="1"/>
  <c r="S242" i="10"/>
  <c r="R242" i="10"/>
  <c r="Q242" i="10"/>
  <c r="P242" i="10"/>
  <c r="P233" i="10" s="1"/>
  <c r="O242" i="10"/>
  <c r="N242" i="10"/>
  <c r="M242" i="10"/>
  <c r="L242" i="10"/>
  <c r="L233" i="10" s="1"/>
  <c r="K242" i="10"/>
  <c r="J242" i="10"/>
  <c r="I242" i="10"/>
  <c r="H242" i="10"/>
  <c r="H233" i="10" s="1"/>
  <c r="G242" i="10"/>
  <c r="F242" i="10"/>
  <c r="AA241" i="10"/>
  <c r="Z241" i="10"/>
  <c r="Y241" i="10"/>
  <c r="X241" i="10"/>
  <c r="W241" i="10"/>
  <c r="V241" i="10"/>
  <c r="U241" i="10"/>
  <c r="T241" i="10"/>
  <c r="S241" i="10"/>
  <c r="R241" i="10"/>
  <c r="Q241" i="10"/>
  <c r="P241" i="10"/>
  <c r="O241" i="10"/>
  <c r="N241" i="10"/>
  <c r="M241" i="10"/>
  <c r="L241" i="10"/>
  <c r="K241" i="10"/>
  <c r="J241" i="10"/>
  <c r="I241" i="10"/>
  <c r="H241" i="10"/>
  <c r="G241" i="10"/>
  <c r="F241" i="10"/>
  <c r="AA240" i="10"/>
  <c r="Z240" i="10"/>
  <c r="Y240" i="10"/>
  <c r="X240" i="10"/>
  <c r="W240" i="10"/>
  <c r="V240" i="10"/>
  <c r="U240" i="10"/>
  <c r="T240" i="10"/>
  <c r="T232" i="10" s="1"/>
  <c r="S240" i="10"/>
  <c r="R240" i="10"/>
  <c r="Q240" i="10"/>
  <c r="Q232" i="10" s="1"/>
  <c r="P240" i="10"/>
  <c r="P232" i="10" s="1"/>
  <c r="O240" i="10"/>
  <c r="N240" i="10"/>
  <c r="M240" i="10"/>
  <c r="L240" i="10"/>
  <c r="L232" i="10" s="1"/>
  <c r="K240" i="10"/>
  <c r="J240" i="10"/>
  <c r="I240" i="10"/>
  <c r="I232" i="10" s="1"/>
  <c r="H240" i="10"/>
  <c r="H232" i="10" s="1"/>
  <c r="G240" i="10"/>
  <c r="F240" i="10"/>
  <c r="AA239" i="10"/>
  <c r="Z239" i="10"/>
  <c r="Y239" i="10"/>
  <c r="X239" i="10"/>
  <c r="W239" i="10"/>
  <c r="W232" i="10" s="1"/>
  <c r="V239" i="10"/>
  <c r="V232" i="10" s="1"/>
  <c r="U239" i="10"/>
  <c r="T239" i="10"/>
  <c r="S239" i="10"/>
  <c r="S232" i="10" s="1"/>
  <c r="R239" i="10"/>
  <c r="R232" i="10" s="1"/>
  <c r="Q239" i="10"/>
  <c r="P239" i="10"/>
  <c r="O239" i="10"/>
  <c r="N239" i="10"/>
  <c r="N232" i="10" s="1"/>
  <c r="M239" i="10"/>
  <c r="L239" i="10"/>
  <c r="K239" i="10"/>
  <c r="K232" i="10" s="1"/>
  <c r="J239" i="10"/>
  <c r="J232" i="10" s="1"/>
  <c r="I239" i="10"/>
  <c r="H239" i="10"/>
  <c r="G239" i="10"/>
  <c r="G232" i="10" s="1"/>
  <c r="F239" i="10"/>
  <c r="F232" i="10" s="1"/>
  <c r="W238" i="10"/>
  <c r="V238" i="10"/>
  <c r="U238" i="10"/>
  <c r="T238" i="10"/>
  <c r="S238" i="10"/>
  <c r="R238" i="10"/>
  <c r="Q238" i="10"/>
  <c r="P238" i="10"/>
  <c r="O238" i="10"/>
  <c r="N238" i="10"/>
  <c r="M238" i="10"/>
  <c r="L238" i="10"/>
  <c r="K238" i="10"/>
  <c r="J238" i="10"/>
  <c r="I238" i="10"/>
  <c r="F238" i="10"/>
  <c r="Y238" i="10" s="1"/>
  <c r="G238" i="10"/>
  <c r="X236" i="10"/>
  <c r="S236" i="10"/>
  <c r="R236" i="10"/>
  <c r="Q236" i="10"/>
  <c r="P236" i="10"/>
  <c r="O236" i="10"/>
  <c r="H236" i="10"/>
  <c r="X234" i="10"/>
  <c r="W234" i="10"/>
  <c r="V234" i="10"/>
  <c r="U234" i="10"/>
  <c r="T234" i="10"/>
  <c r="S234" i="10"/>
  <c r="R234" i="10"/>
  <c r="Q234" i="10"/>
  <c r="P234" i="10"/>
  <c r="O234" i="10"/>
  <c r="N234" i="10"/>
  <c r="M234" i="10"/>
  <c r="L234" i="10"/>
  <c r="K234" i="10"/>
  <c r="J234" i="10"/>
  <c r="I234" i="10"/>
  <c r="H234" i="10"/>
  <c r="G234" i="10"/>
  <c r="F234" i="10"/>
  <c r="U233" i="10"/>
  <c r="Q233" i="10"/>
  <c r="M233" i="10"/>
  <c r="I233" i="10"/>
  <c r="X232" i="10"/>
  <c r="X230" i="10" s="1"/>
  <c r="U232" i="10"/>
  <c r="U230" i="10" s="1"/>
  <c r="O232" i="10"/>
  <c r="M232" i="10"/>
  <c r="M230" i="10" s="1"/>
  <c r="AZ225" i="10"/>
  <c r="AY225" i="10"/>
  <c r="AX225" i="10"/>
  <c r="AW225" i="10"/>
  <c r="AV225" i="10"/>
  <c r="AU225" i="10"/>
  <c r="AT225" i="10"/>
  <c r="AS225" i="10"/>
  <c r="AR225" i="10"/>
  <c r="AQ225" i="10"/>
  <c r="AP225" i="10"/>
  <c r="AO225" i="10"/>
  <c r="AN225" i="10"/>
  <c r="AM225" i="10"/>
  <c r="AL225" i="10"/>
  <c r="AK225" i="10"/>
  <c r="AJ225" i="10"/>
  <c r="AI225" i="10"/>
  <c r="AH225" i="10"/>
  <c r="Z225" i="10"/>
  <c r="Z180" i="10" s="1"/>
  <c r="Y225" i="10"/>
  <c r="BA225" i="10" s="1"/>
  <c r="AZ224" i="10"/>
  <c r="AY224" i="10"/>
  <c r="AX224" i="10"/>
  <c r="AW224" i="10"/>
  <c r="AV224" i="10"/>
  <c r="AU224" i="10"/>
  <c r="AT224" i="10"/>
  <c r="AS224" i="10"/>
  <c r="AQ224" i="10"/>
  <c r="AP224" i="10"/>
  <c r="AO224" i="10"/>
  <c r="AN224" i="10"/>
  <c r="AM224" i="10"/>
  <c r="AL224" i="10"/>
  <c r="AK224" i="10"/>
  <c r="AJ224" i="10"/>
  <c r="AI224" i="10"/>
  <c r="AH224" i="10"/>
  <c r="Y224" i="10"/>
  <c r="BA224" i="10" s="1"/>
  <c r="AZ223" i="10"/>
  <c r="AY223" i="10"/>
  <c r="AX223" i="10"/>
  <c r="AW223" i="10"/>
  <c r="AV223" i="10"/>
  <c r="AU223" i="10"/>
  <c r="AT223" i="10"/>
  <c r="AS223" i="10"/>
  <c r="AR223" i="10"/>
  <c r="AQ223" i="10"/>
  <c r="AP223" i="10"/>
  <c r="AO223" i="10"/>
  <c r="AN223" i="10"/>
  <c r="AM223" i="10"/>
  <c r="AL223" i="10"/>
  <c r="AK223" i="10"/>
  <c r="AJ223" i="10"/>
  <c r="AI223" i="10"/>
  <c r="AH223" i="10"/>
  <c r="Z223" i="10"/>
  <c r="BB223" i="10" s="1"/>
  <c r="Y223" i="10"/>
  <c r="BA178" i="10" s="1"/>
  <c r="BA223" i="10"/>
  <c r="AZ222" i="10"/>
  <c r="AY222" i="10"/>
  <c r="AX222" i="10"/>
  <c r="AW222" i="10"/>
  <c r="AV222" i="10"/>
  <c r="AU222" i="10"/>
  <c r="AT222" i="10"/>
  <c r="AS222" i="10"/>
  <c r="AR222" i="10"/>
  <c r="AQ222" i="10"/>
  <c r="AP222" i="10"/>
  <c r="AO222" i="10"/>
  <c r="AN222" i="10"/>
  <c r="AM222" i="10"/>
  <c r="AL222" i="10"/>
  <c r="AK222" i="10"/>
  <c r="Z222" i="10"/>
  <c r="BB222" i="10" s="1"/>
  <c r="G222" i="10"/>
  <c r="AI222" i="10"/>
  <c r="AZ221" i="10"/>
  <c r="AY221" i="10"/>
  <c r="AX221" i="10"/>
  <c r="AW221" i="10"/>
  <c r="AV221" i="10"/>
  <c r="AU221" i="10"/>
  <c r="AT221" i="10"/>
  <c r="AS221" i="10"/>
  <c r="AR221" i="10"/>
  <c r="AQ221" i="10"/>
  <c r="AP221" i="10"/>
  <c r="AO221" i="10"/>
  <c r="AN221" i="10"/>
  <c r="AM221" i="10"/>
  <c r="AL221" i="10"/>
  <c r="AK221" i="10"/>
  <c r="AJ221" i="10"/>
  <c r="AI221" i="10"/>
  <c r="AH221" i="10"/>
  <c r="Z221" i="10"/>
  <c r="BB221" i="10" s="1"/>
  <c r="Y221" i="10"/>
  <c r="BA221" i="10" s="1"/>
  <c r="AZ220" i="10"/>
  <c r="AY220" i="10"/>
  <c r="AX220" i="10"/>
  <c r="AW220" i="10"/>
  <c r="AV220" i="10"/>
  <c r="AU220" i="10"/>
  <c r="AT220" i="10"/>
  <c r="AS220" i="10"/>
  <c r="AR220" i="10"/>
  <c r="AQ220" i="10"/>
  <c r="AP220" i="10"/>
  <c r="AO220" i="10"/>
  <c r="AN220" i="10"/>
  <c r="AM220" i="10"/>
  <c r="AL220" i="10"/>
  <c r="AK220" i="10"/>
  <c r="AJ220" i="10"/>
  <c r="AI220" i="10"/>
  <c r="AH220" i="10"/>
  <c r="Z220" i="10"/>
  <c r="BB175" i="10" s="1"/>
  <c r="Y220" i="10"/>
  <c r="BA220" i="10"/>
  <c r="AY219" i="10"/>
  <c r="AX219" i="10"/>
  <c r="AW219" i="10"/>
  <c r="AV219" i="10"/>
  <c r="AU219" i="10"/>
  <c r="AT219" i="10"/>
  <c r="AP219" i="10"/>
  <c r="AN219" i="10"/>
  <c r="AL219" i="10"/>
  <c r="AJ219" i="10"/>
  <c r="AI219" i="10"/>
  <c r="AH219" i="10"/>
  <c r="AZ218" i="10"/>
  <c r="AY218" i="10"/>
  <c r="AX218" i="10"/>
  <c r="AU218" i="10"/>
  <c r="AT218" i="10"/>
  <c r="AS218" i="10"/>
  <c r="AR218" i="10"/>
  <c r="AQ218" i="10"/>
  <c r="AP218" i="10"/>
  <c r="AN218" i="10"/>
  <c r="AL218" i="10"/>
  <c r="AK218" i="10"/>
  <c r="AJ218" i="10"/>
  <c r="AI218" i="10"/>
  <c r="AH218" i="10"/>
  <c r="AZ217" i="10"/>
  <c r="AY217" i="10"/>
  <c r="AX217" i="10"/>
  <c r="AW217" i="10"/>
  <c r="AV217" i="10"/>
  <c r="AU217" i="10"/>
  <c r="AS217" i="10"/>
  <c r="AN217" i="10"/>
  <c r="AJ217" i="10"/>
  <c r="AI217" i="10"/>
  <c r="AZ216" i="10"/>
  <c r="AX216" i="10"/>
  <c r="AW216" i="10"/>
  <c r="AV216" i="10"/>
  <c r="AU216" i="10"/>
  <c r="AT216" i="10"/>
  <c r="AS216" i="10"/>
  <c r="AR216" i="10"/>
  <c r="AQ216" i="10"/>
  <c r="AP216" i="10"/>
  <c r="AN216" i="10"/>
  <c r="AM216" i="10"/>
  <c r="AL216" i="10"/>
  <c r="AI216" i="10"/>
  <c r="AZ215" i="10"/>
  <c r="AY215" i="10"/>
  <c r="AX215" i="10"/>
  <c r="AW215" i="10"/>
  <c r="AV215" i="10"/>
  <c r="AU215" i="10"/>
  <c r="AT215" i="10"/>
  <c r="AS215" i="10"/>
  <c r="AR215" i="10"/>
  <c r="AQ215" i="10"/>
  <c r="AP215" i="10"/>
  <c r="AO215" i="10"/>
  <c r="AN215" i="10"/>
  <c r="AM215" i="10"/>
  <c r="AL215" i="10"/>
  <c r="AK215" i="10"/>
  <c r="AJ215" i="10"/>
  <c r="AI215" i="10"/>
  <c r="AH215" i="10"/>
  <c r="Z215" i="10"/>
  <c r="BB215" i="10" s="1"/>
  <c r="Y215" i="10"/>
  <c r="BA170" i="10" s="1"/>
  <c r="AZ214" i="10"/>
  <c r="AY214" i="10"/>
  <c r="AX214" i="10"/>
  <c r="AW214" i="10"/>
  <c r="AV214" i="10"/>
  <c r="AU214" i="10"/>
  <c r="AT214" i="10"/>
  <c r="AS214" i="10"/>
  <c r="AR214" i="10"/>
  <c r="AQ214" i="10"/>
  <c r="AP214" i="10"/>
  <c r="AO214" i="10"/>
  <c r="AN214" i="10"/>
  <c r="AM214" i="10"/>
  <c r="AL214" i="10"/>
  <c r="AK214" i="10"/>
  <c r="AJ214" i="10"/>
  <c r="AI214" i="10"/>
  <c r="AH214" i="10"/>
  <c r="Z214" i="10"/>
  <c r="BB214" i="10" s="1"/>
  <c r="Y214" i="10"/>
  <c r="BA214" i="10" s="1"/>
  <c r="AZ213" i="10"/>
  <c r="AY213" i="10"/>
  <c r="AX213" i="10"/>
  <c r="AW213" i="10"/>
  <c r="AV213" i="10"/>
  <c r="AU213" i="10"/>
  <c r="AT213" i="10"/>
  <c r="AS213" i="10"/>
  <c r="AR213" i="10"/>
  <c r="AQ213" i="10"/>
  <c r="AP213" i="10"/>
  <c r="AO213" i="10"/>
  <c r="AN213" i="10"/>
  <c r="AM213" i="10"/>
  <c r="AL213" i="10"/>
  <c r="AK213" i="10"/>
  <c r="AJ213" i="10"/>
  <c r="AI213" i="10"/>
  <c r="AH213" i="10"/>
  <c r="Z213" i="10"/>
  <c r="BB168" i="10" s="1"/>
  <c r="BB213" i="10"/>
  <c r="Y213" i="10"/>
  <c r="BA213" i="10" s="1"/>
  <c r="AZ212" i="10"/>
  <c r="AY212" i="10"/>
  <c r="AX212" i="10"/>
  <c r="AW212" i="10"/>
  <c r="AV212" i="10"/>
  <c r="AU212" i="10"/>
  <c r="AT212" i="10"/>
  <c r="AS212" i="10"/>
  <c r="AR212" i="10"/>
  <c r="AQ212" i="10"/>
  <c r="AP212" i="10"/>
  <c r="AO212" i="10"/>
  <c r="AN212" i="10"/>
  <c r="AM212" i="10"/>
  <c r="AL212" i="10"/>
  <c r="AK212" i="10"/>
  <c r="AJ212" i="10"/>
  <c r="AI212" i="10"/>
  <c r="AH212" i="10"/>
  <c r="Z212" i="10"/>
  <c r="BB212" i="10" s="1"/>
  <c r="Y212" i="10"/>
  <c r="BA212" i="10" s="1"/>
  <c r="AZ211" i="10"/>
  <c r="AY211" i="10"/>
  <c r="AX211" i="10"/>
  <c r="AW211" i="10"/>
  <c r="AV211" i="10"/>
  <c r="AU211" i="10"/>
  <c r="AT211" i="10"/>
  <c r="AS211" i="10"/>
  <c r="AR211" i="10"/>
  <c r="AQ211" i="10"/>
  <c r="AP211" i="10"/>
  <c r="AO211" i="10"/>
  <c r="AN211" i="10"/>
  <c r="AM211" i="10"/>
  <c r="AL211" i="10"/>
  <c r="AK211" i="10"/>
  <c r="AJ211" i="10"/>
  <c r="AI211" i="10"/>
  <c r="AH211" i="10"/>
  <c r="Z211" i="10"/>
  <c r="BB211" i="10"/>
  <c r="Y211" i="10"/>
  <c r="BA166" i="10" s="1"/>
  <c r="AY210" i="10"/>
  <c r="AX210" i="10"/>
  <c r="AW210" i="10"/>
  <c r="AV210" i="10"/>
  <c r="AU210" i="10"/>
  <c r="AT210" i="10"/>
  <c r="AS210" i="10"/>
  <c r="AR210" i="10"/>
  <c r="AQ210" i="10"/>
  <c r="AP210" i="10"/>
  <c r="AO210" i="10"/>
  <c r="AN210" i="10"/>
  <c r="AM210" i="10"/>
  <c r="AL210" i="10"/>
  <c r="AK210" i="10"/>
  <c r="AJ210" i="10"/>
  <c r="AI210" i="10"/>
  <c r="AH210" i="10"/>
  <c r="Y210" i="10"/>
  <c r="Y165" i="10" s="1"/>
  <c r="BA210" i="10"/>
  <c r="AZ209" i="10"/>
  <c r="AY209" i="10"/>
  <c r="AX209" i="10"/>
  <c r="AW209" i="10"/>
  <c r="AV209" i="10"/>
  <c r="AU209" i="10"/>
  <c r="AT209" i="10"/>
  <c r="AS209" i="10"/>
  <c r="AR209" i="10"/>
  <c r="AQ209" i="10"/>
  <c r="AP209" i="10"/>
  <c r="AO209" i="10"/>
  <c r="AM209" i="10"/>
  <c r="AL209" i="10"/>
  <c r="AK209" i="10"/>
  <c r="AJ209" i="10"/>
  <c r="AI209" i="10"/>
  <c r="AH209" i="10"/>
  <c r="Z209" i="10"/>
  <c r="BB164" i="10" s="1"/>
  <c r="Y209" i="10"/>
  <c r="BA209" i="10"/>
  <c r="AU208" i="10"/>
  <c r="AR208" i="10"/>
  <c r="AQ208" i="10"/>
  <c r="AP208" i="10"/>
  <c r="AO208" i="10"/>
  <c r="AN208" i="10"/>
  <c r="AM208" i="10"/>
  <c r="AL208" i="10"/>
  <c r="AK208" i="10"/>
  <c r="AJ208" i="10"/>
  <c r="AI208" i="10"/>
  <c r="AH208" i="10"/>
  <c r="Y208" i="10"/>
  <c r="BA163" i="10" s="1"/>
  <c r="AZ207" i="10"/>
  <c r="AY207" i="10"/>
  <c r="AX207" i="10"/>
  <c r="AW207" i="10"/>
  <c r="AV207" i="10"/>
  <c r="AU207" i="10"/>
  <c r="AT207" i="10"/>
  <c r="AS207" i="10"/>
  <c r="AR207" i="10"/>
  <c r="AQ207" i="10"/>
  <c r="AP207" i="10"/>
  <c r="AN207" i="10"/>
  <c r="AM207" i="10"/>
  <c r="AK207" i="10"/>
  <c r="AJ207" i="10"/>
  <c r="AI207" i="10"/>
  <c r="AH207" i="10"/>
  <c r="AZ206" i="10"/>
  <c r="AY206" i="10"/>
  <c r="AX206" i="10"/>
  <c r="AW206" i="10"/>
  <c r="AV206" i="10"/>
  <c r="AU206" i="10"/>
  <c r="AT206" i="10"/>
  <c r="AS206" i="10"/>
  <c r="AR206" i="10"/>
  <c r="AQ206" i="10"/>
  <c r="AP206" i="10"/>
  <c r="AO206" i="10"/>
  <c r="AN206" i="10"/>
  <c r="AM206" i="10"/>
  <c r="AL206" i="10"/>
  <c r="AK206" i="10"/>
  <c r="AJ206" i="10"/>
  <c r="AI206" i="10"/>
  <c r="AH206" i="10"/>
  <c r="Z206" i="10"/>
  <c r="BB206" i="10"/>
  <c r="Y206" i="10"/>
  <c r="AA206" i="10" s="1"/>
  <c r="AY205" i="10"/>
  <c r="AW205" i="10"/>
  <c r="AT205" i="10"/>
  <c r="AS205" i="10"/>
  <c r="AR205" i="10"/>
  <c r="AQ205" i="10"/>
  <c r="AP205" i="10"/>
  <c r="AO205" i="10"/>
  <c r="AN205" i="10"/>
  <c r="AM205" i="10"/>
  <c r="AK205" i="10"/>
  <c r="AJ205" i="10"/>
  <c r="AI205" i="10"/>
  <c r="AH205" i="10"/>
  <c r="X205" i="10"/>
  <c r="X191" i="10" s="1"/>
  <c r="V205" i="10"/>
  <c r="AX205" i="10" s="1"/>
  <c r="T205" i="10"/>
  <c r="AV205" i="10" s="1"/>
  <c r="S205" i="10"/>
  <c r="AU205" i="10" s="1"/>
  <c r="AZ204" i="10"/>
  <c r="AY204" i="10"/>
  <c r="AX204" i="10"/>
  <c r="AW204" i="10"/>
  <c r="AV204" i="10"/>
  <c r="AU204" i="10"/>
  <c r="AT204" i="10"/>
  <c r="AS204" i="10"/>
  <c r="AR204" i="10"/>
  <c r="AQ204" i="10"/>
  <c r="AO204" i="10"/>
  <c r="AN204" i="10"/>
  <c r="AK204" i="10"/>
  <c r="AJ204" i="10"/>
  <c r="AI204" i="10"/>
  <c r="N204" i="10"/>
  <c r="AP204" i="10" s="1"/>
  <c r="K204" i="10"/>
  <c r="AM204" i="10" s="1"/>
  <c r="AZ203" i="10"/>
  <c r="AY203" i="10"/>
  <c r="AX203" i="10"/>
  <c r="AW203" i="10"/>
  <c r="AV203" i="10"/>
  <c r="AU203" i="10"/>
  <c r="AT203" i="10"/>
  <c r="AS203" i="10"/>
  <c r="AR203" i="10"/>
  <c r="AQ203" i="10"/>
  <c r="AP203" i="10"/>
  <c r="AO203" i="10"/>
  <c r="AN203" i="10"/>
  <c r="AM203" i="10"/>
  <c r="AL203" i="10"/>
  <c r="AK203" i="10"/>
  <c r="AJ203" i="10"/>
  <c r="AI203" i="10"/>
  <c r="AH203" i="10"/>
  <c r="Z203" i="10"/>
  <c r="BB203" i="10" s="1"/>
  <c r="Y203" i="10"/>
  <c r="Y158" i="10" s="1"/>
  <c r="BA203" i="10"/>
  <c r="AZ202" i="10"/>
  <c r="AY202" i="10"/>
  <c r="AX202" i="10"/>
  <c r="AW202" i="10"/>
  <c r="AV202" i="10"/>
  <c r="AU202" i="10"/>
  <c r="AT202" i="10"/>
  <c r="AS202" i="10"/>
  <c r="AQ202" i="10"/>
  <c r="AP202" i="10"/>
  <c r="AO202" i="10"/>
  <c r="AN202" i="10"/>
  <c r="AM202" i="10"/>
  <c r="AL202" i="10"/>
  <c r="AK202" i="10"/>
  <c r="AI202" i="10"/>
  <c r="H222" i="10"/>
  <c r="F222" i="10"/>
  <c r="AU201" i="10"/>
  <c r="AN201" i="10"/>
  <c r="AI201" i="10"/>
  <c r="AX201" i="10"/>
  <c r="N217" i="10"/>
  <c r="AP217" i="10"/>
  <c r="H216" i="10"/>
  <c r="AZ200" i="10"/>
  <c r="AY200" i="10"/>
  <c r="AX200" i="10"/>
  <c r="AW200" i="10"/>
  <c r="AV200" i="10"/>
  <c r="AU200" i="10"/>
  <c r="AT200" i="10"/>
  <c r="AS200" i="10"/>
  <c r="AR200" i="10"/>
  <c r="AQ200" i="10"/>
  <c r="AP200" i="10"/>
  <c r="AO200" i="10"/>
  <c r="AN200" i="10"/>
  <c r="AM200" i="10"/>
  <c r="AL200" i="10"/>
  <c r="AK200" i="10"/>
  <c r="AJ200" i="10"/>
  <c r="AI200" i="10"/>
  <c r="AH200" i="10"/>
  <c r="Z200" i="10"/>
  <c r="BB200" i="10"/>
  <c r="Y200" i="10"/>
  <c r="Y155" i="10" s="1"/>
  <c r="BA200" i="10"/>
  <c r="AZ199" i="10"/>
  <c r="AY199" i="10"/>
  <c r="AX199" i="10"/>
  <c r="AW199" i="10"/>
  <c r="AV199" i="10"/>
  <c r="AU199" i="10"/>
  <c r="AT199" i="10"/>
  <c r="AS199" i="10"/>
  <c r="AR199" i="10"/>
  <c r="AQ199" i="10"/>
  <c r="AP199" i="10"/>
  <c r="AO199" i="10"/>
  <c r="AN199" i="10"/>
  <c r="AM199" i="10"/>
  <c r="AL199" i="10"/>
  <c r="AK199" i="10"/>
  <c r="AJ199" i="10"/>
  <c r="AI199" i="10"/>
  <c r="AH199" i="10"/>
  <c r="Z199" i="10"/>
  <c r="BB199" i="10" s="1"/>
  <c r="Y199" i="10"/>
  <c r="BA199" i="10"/>
  <c r="AZ198" i="10"/>
  <c r="AY198" i="10"/>
  <c r="AX198" i="10"/>
  <c r="AW198" i="10"/>
  <c r="AV198" i="10"/>
  <c r="AU198" i="10"/>
  <c r="AT198" i="10"/>
  <c r="AS198" i="10"/>
  <c r="AR198" i="10"/>
  <c r="AQ198" i="10"/>
  <c r="AP198" i="10"/>
  <c r="AO198" i="10"/>
  <c r="AN198" i="10"/>
  <c r="AM198" i="10"/>
  <c r="AL198" i="10"/>
  <c r="AK198" i="10"/>
  <c r="AJ198" i="10"/>
  <c r="AI198" i="10"/>
  <c r="AH198" i="10"/>
  <c r="Z198" i="10"/>
  <c r="AA198" i="10" s="1"/>
  <c r="AA153" i="10" s="1"/>
  <c r="Y198" i="10"/>
  <c r="BA198" i="10" s="1"/>
  <c r="AZ197" i="10"/>
  <c r="AY197" i="10"/>
  <c r="AX197" i="10"/>
  <c r="AW197" i="10"/>
  <c r="AV197" i="10"/>
  <c r="AU197" i="10"/>
  <c r="AT197" i="10"/>
  <c r="AS197" i="10"/>
  <c r="AR197" i="10"/>
  <c r="AQ197" i="10"/>
  <c r="AP197" i="10"/>
  <c r="AO197" i="10"/>
  <c r="AN197" i="10"/>
  <c r="AM197" i="10"/>
  <c r="AL197" i="10"/>
  <c r="AK197" i="10"/>
  <c r="AJ197" i="10"/>
  <c r="AI197" i="10"/>
  <c r="AH197" i="10"/>
  <c r="Z197" i="10"/>
  <c r="BB197" i="10"/>
  <c r="Y197" i="10"/>
  <c r="BA197" i="10" s="1"/>
  <c r="AZ196" i="10"/>
  <c r="AY196" i="10"/>
  <c r="AX196" i="10"/>
  <c r="AW196" i="10"/>
  <c r="AV196" i="10"/>
  <c r="AU196" i="10"/>
  <c r="AT196" i="10"/>
  <c r="AS196" i="10"/>
  <c r="AR196" i="10"/>
  <c r="AQ196" i="10"/>
  <c r="AP196" i="10"/>
  <c r="AO196" i="10"/>
  <c r="AN196" i="10"/>
  <c r="AM196" i="10"/>
  <c r="AL196" i="10"/>
  <c r="AK196" i="10"/>
  <c r="AJ196" i="10"/>
  <c r="AI196" i="10"/>
  <c r="AH196" i="10"/>
  <c r="Z196" i="10"/>
  <c r="BB196" i="10"/>
  <c r="Y196" i="10"/>
  <c r="Y151" i="10" s="1"/>
  <c r="BA196" i="10"/>
  <c r="AZ195" i="10"/>
  <c r="AY195" i="10"/>
  <c r="AX195" i="10"/>
  <c r="AW195" i="10"/>
  <c r="AV195" i="10"/>
  <c r="AU195" i="10"/>
  <c r="AT195" i="10"/>
  <c r="AS195" i="10"/>
  <c r="AR195" i="10"/>
  <c r="AQ195" i="10"/>
  <c r="AP195" i="10"/>
  <c r="AO195" i="10"/>
  <c r="AN195" i="10"/>
  <c r="AM195" i="10"/>
  <c r="AL195" i="10"/>
  <c r="AK195" i="10"/>
  <c r="AJ195" i="10"/>
  <c r="AI195" i="10"/>
  <c r="AH195" i="10"/>
  <c r="Z195" i="10"/>
  <c r="BB195" i="10" s="1"/>
  <c r="Y195" i="10"/>
  <c r="BA195" i="10" s="1"/>
  <c r="AZ194" i="10"/>
  <c r="AY194" i="10"/>
  <c r="AX194" i="10"/>
  <c r="AW194" i="10"/>
  <c r="AV194" i="10"/>
  <c r="AU194" i="10"/>
  <c r="AT194" i="10"/>
  <c r="AS194" i="10"/>
  <c r="AR194" i="10"/>
  <c r="AQ194" i="10"/>
  <c r="AP194" i="10"/>
  <c r="AO194" i="10"/>
  <c r="AN194" i="10"/>
  <c r="AM194" i="10"/>
  <c r="AL194" i="10"/>
  <c r="AK194" i="10"/>
  <c r="AJ194" i="10"/>
  <c r="AI194" i="10"/>
  <c r="AH194" i="10"/>
  <c r="Z194" i="10"/>
  <c r="BB194" i="10"/>
  <c r="Y194" i="10"/>
  <c r="BA194" i="10" s="1"/>
  <c r="W193" i="10"/>
  <c r="AY148" i="10" s="1"/>
  <c r="V193" i="10"/>
  <c r="AX193" i="10" s="1"/>
  <c r="U193" i="10"/>
  <c r="U148" i="10" s="1"/>
  <c r="AW193" i="10"/>
  <c r="T193" i="10"/>
  <c r="AV193" i="10" s="1"/>
  <c r="S193" i="10"/>
  <c r="AU148" i="10" s="1"/>
  <c r="R193" i="10"/>
  <c r="AT193" i="10" s="1"/>
  <c r="Q193" i="10"/>
  <c r="Q148" i="10" s="1"/>
  <c r="AS193" i="10"/>
  <c r="P193" i="10"/>
  <c r="AR193" i="10" s="1"/>
  <c r="O193" i="10"/>
  <c r="AQ148" i="10" s="1"/>
  <c r="N193" i="10"/>
  <c r="M193" i="10"/>
  <c r="AO193" i="10" s="1"/>
  <c r="L193" i="10"/>
  <c r="AN193" i="10" s="1"/>
  <c r="K193" i="10"/>
  <c r="AM193" i="10" s="1"/>
  <c r="J193" i="10"/>
  <c r="AL193" i="10" s="1"/>
  <c r="I193" i="10"/>
  <c r="AK193" i="10"/>
  <c r="H193" i="10"/>
  <c r="AJ193" i="10" s="1"/>
  <c r="G193" i="10"/>
  <c r="AI193" i="10"/>
  <c r="F193" i="10"/>
  <c r="Y193" i="10" s="1"/>
  <c r="S192" i="10"/>
  <c r="AU192" i="10"/>
  <c r="P192" i="10"/>
  <c r="AR147" i="10" s="1"/>
  <c r="AR192" i="10"/>
  <c r="O192" i="10"/>
  <c r="AQ192" i="10" s="1"/>
  <c r="N192" i="10"/>
  <c r="N147" i="10" s="1"/>
  <c r="AP192" i="10"/>
  <c r="K192" i="10"/>
  <c r="AM192" i="10" s="1"/>
  <c r="I192" i="10"/>
  <c r="AK147" i="10" s="1"/>
  <c r="AK192" i="10"/>
  <c r="H192" i="10"/>
  <c r="AJ192" i="10" s="1"/>
  <c r="G192" i="10"/>
  <c r="G147" i="10" s="1"/>
  <c r="F192" i="10"/>
  <c r="W191" i="10"/>
  <c r="AY191" i="10" s="1"/>
  <c r="V191" i="10"/>
  <c r="U191" i="10"/>
  <c r="AW191" i="10" s="1"/>
  <c r="R191" i="10"/>
  <c r="AT146" i="10" s="1"/>
  <c r="Q191" i="10"/>
  <c r="AS191" i="10" s="1"/>
  <c r="P191" i="10"/>
  <c r="P146" i="10" s="1"/>
  <c r="O191" i="10"/>
  <c r="AQ191" i="10" s="1"/>
  <c r="N191" i="10"/>
  <c r="M191" i="10"/>
  <c r="AO191" i="10" s="1"/>
  <c r="L191" i="10"/>
  <c r="AN191" i="10" s="1"/>
  <c r="I191" i="10"/>
  <c r="AK191" i="10" s="1"/>
  <c r="H191" i="10"/>
  <c r="AJ191" i="10" s="1"/>
  <c r="G191" i="10"/>
  <c r="AI191" i="10" s="1"/>
  <c r="F191" i="10"/>
  <c r="X189" i="10"/>
  <c r="AZ189" i="10" s="1"/>
  <c r="W189" i="10"/>
  <c r="AY189" i="10" s="1"/>
  <c r="V189" i="10"/>
  <c r="U189" i="10"/>
  <c r="AW189" i="10" s="1"/>
  <c r="T189" i="10"/>
  <c r="AV189" i="10"/>
  <c r="S189" i="10"/>
  <c r="AU189" i="10" s="1"/>
  <c r="R189" i="10"/>
  <c r="Q189" i="10"/>
  <c r="AS189" i="10" s="1"/>
  <c r="P189" i="10"/>
  <c r="AR189" i="10" s="1"/>
  <c r="O189" i="10"/>
  <c r="AQ189" i="10" s="1"/>
  <c r="N189" i="10"/>
  <c r="N144" i="10" s="1"/>
  <c r="M189" i="10"/>
  <c r="AO189" i="10" s="1"/>
  <c r="L189" i="10"/>
  <c r="AN189" i="10"/>
  <c r="K189" i="10"/>
  <c r="AM189" i="10" s="1"/>
  <c r="J189" i="10"/>
  <c r="J144" i="10" s="1"/>
  <c r="AL189" i="10"/>
  <c r="I189" i="10"/>
  <c r="AK189" i="10" s="1"/>
  <c r="H189" i="10"/>
  <c r="AJ189" i="10" s="1"/>
  <c r="G189" i="10"/>
  <c r="AI189" i="10" s="1"/>
  <c r="F189" i="10"/>
  <c r="F144" i="10" s="1"/>
  <c r="X188" i="10"/>
  <c r="AZ188" i="10" s="1"/>
  <c r="W188" i="10"/>
  <c r="AY188" i="10"/>
  <c r="V188" i="10"/>
  <c r="AX188" i="10" s="1"/>
  <c r="U188" i="10"/>
  <c r="AW188" i="10" s="1"/>
  <c r="T188" i="10"/>
  <c r="AV188" i="10" s="1"/>
  <c r="S188" i="10"/>
  <c r="AU188" i="10" s="1"/>
  <c r="R188" i="10"/>
  <c r="AT188" i="10" s="1"/>
  <c r="Q188" i="10"/>
  <c r="AS188" i="10"/>
  <c r="P188" i="10"/>
  <c r="AR188" i="10" s="1"/>
  <c r="O188" i="10"/>
  <c r="AQ188" i="10" s="1"/>
  <c r="N188" i="10"/>
  <c r="AP188" i="10" s="1"/>
  <c r="M188" i="10"/>
  <c r="AO188" i="10" s="1"/>
  <c r="L188" i="10"/>
  <c r="AN188" i="10" s="1"/>
  <c r="K188" i="10"/>
  <c r="AM188" i="10" s="1"/>
  <c r="J188" i="10"/>
  <c r="AL188" i="10" s="1"/>
  <c r="I188" i="10"/>
  <c r="AK188" i="10"/>
  <c r="H188" i="10"/>
  <c r="AJ188" i="10" s="1"/>
  <c r="G188" i="10"/>
  <c r="AI188" i="10"/>
  <c r="F188" i="10"/>
  <c r="AH188" i="10" s="1"/>
  <c r="X187" i="10"/>
  <c r="AZ187" i="10" s="1"/>
  <c r="W187" i="10"/>
  <c r="V187" i="10"/>
  <c r="U187" i="10"/>
  <c r="T187" i="10"/>
  <c r="AV187" i="10" s="1"/>
  <c r="S187" i="10"/>
  <c r="AU142" i="10" s="1"/>
  <c r="R187" i="10"/>
  <c r="AT187" i="10" s="1"/>
  <c r="Q187" i="10"/>
  <c r="Q142" i="10" s="1"/>
  <c r="AS187" i="10"/>
  <c r="P187" i="10"/>
  <c r="AR187" i="10" s="1"/>
  <c r="O187" i="10"/>
  <c r="AQ142" i="10" s="1"/>
  <c r="AQ187" i="10"/>
  <c r="N187" i="10"/>
  <c r="AP187" i="10" s="1"/>
  <c r="M187" i="10"/>
  <c r="M185" i="10" s="1"/>
  <c r="AO187" i="10"/>
  <c r="L187" i="10"/>
  <c r="AN187" i="10" s="1"/>
  <c r="K187" i="10"/>
  <c r="AM142" i="10" s="1"/>
  <c r="AM187" i="10"/>
  <c r="J187" i="10"/>
  <c r="AL187" i="10" s="1"/>
  <c r="I187" i="10"/>
  <c r="I142" i="10" s="1"/>
  <c r="AK187" i="10"/>
  <c r="H187" i="10"/>
  <c r="AJ187" i="10" s="1"/>
  <c r="G187" i="10"/>
  <c r="F187" i="10"/>
  <c r="G186" i="10"/>
  <c r="T185" i="10"/>
  <c r="AV185" i="10" s="1"/>
  <c r="Q185" i="10"/>
  <c r="AS185" i="10" s="1"/>
  <c r="I185" i="10"/>
  <c r="BB180" i="10"/>
  <c r="BA180" i="10"/>
  <c r="AZ180" i="10"/>
  <c r="AY180" i="10"/>
  <c r="AX180" i="10"/>
  <c r="AW180" i="10"/>
  <c r="AV180" i="10"/>
  <c r="AU180" i="10"/>
  <c r="AT180" i="10"/>
  <c r="AS180" i="10"/>
  <c r="AR180" i="10"/>
  <c r="AQ180" i="10"/>
  <c r="AP180" i="10"/>
  <c r="AO180" i="10"/>
  <c r="AN180" i="10"/>
  <c r="AM180" i="10"/>
  <c r="AL180" i="10"/>
  <c r="AK180" i="10"/>
  <c r="AJ180" i="10"/>
  <c r="AI180" i="10"/>
  <c r="AH180" i="10"/>
  <c r="Y180" i="10"/>
  <c r="X180" i="10"/>
  <c r="W180" i="10"/>
  <c r="V180" i="10"/>
  <c r="U180" i="10"/>
  <c r="T180" i="10"/>
  <c r="S180" i="10"/>
  <c r="R180" i="10"/>
  <c r="Q180" i="10"/>
  <c r="P180" i="10"/>
  <c r="O180" i="10"/>
  <c r="N180" i="10"/>
  <c r="M180" i="10"/>
  <c r="L180" i="10"/>
  <c r="I180" i="10"/>
  <c r="AZ179" i="10"/>
  <c r="AY179" i="10"/>
  <c r="AX179" i="10"/>
  <c r="AW179" i="10"/>
  <c r="AV179" i="10"/>
  <c r="AU179" i="10"/>
  <c r="AT179" i="10"/>
  <c r="AS179" i="10"/>
  <c r="AQ179" i="10"/>
  <c r="AP179" i="10"/>
  <c r="AO179" i="10"/>
  <c r="AN179" i="10"/>
  <c r="AM179" i="10"/>
  <c r="AL179" i="10"/>
  <c r="AK179" i="10"/>
  <c r="AJ179" i="10"/>
  <c r="AI179" i="10"/>
  <c r="AH179" i="10"/>
  <c r="X179" i="10"/>
  <c r="W179" i="10"/>
  <c r="V179" i="10"/>
  <c r="U179" i="10"/>
  <c r="T179" i="10"/>
  <c r="S179" i="10"/>
  <c r="R179" i="10"/>
  <c r="Q179" i="10"/>
  <c r="O179" i="10"/>
  <c r="N179" i="10"/>
  <c r="M179" i="10"/>
  <c r="L179" i="10"/>
  <c r="I179" i="10"/>
  <c r="BB178" i="10"/>
  <c r="AZ178" i="10"/>
  <c r="AY178" i="10"/>
  <c r="AX178" i="10"/>
  <c r="AW178" i="10"/>
  <c r="AV178" i="10"/>
  <c r="AU178" i="10"/>
  <c r="AT178" i="10"/>
  <c r="AS178" i="10"/>
  <c r="AR178" i="10"/>
  <c r="AQ178" i="10"/>
  <c r="AP178" i="10"/>
  <c r="AO178" i="10"/>
  <c r="AN178" i="10"/>
  <c r="AM178" i="10"/>
  <c r="AL178" i="10"/>
  <c r="AK178" i="10"/>
  <c r="AJ178" i="10"/>
  <c r="AI178" i="10"/>
  <c r="AH178" i="10"/>
  <c r="Z178" i="10"/>
  <c r="X178" i="10"/>
  <c r="W178" i="10"/>
  <c r="V178" i="10"/>
  <c r="U178" i="10"/>
  <c r="T178" i="10"/>
  <c r="S178" i="10"/>
  <c r="R178" i="10"/>
  <c r="Q178" i="10"/>
  <c r="P178" i="10"/>
  <c r="O178" i="10"/>
  <c r="N178" i="10"/>
  <c r="M178" i="10"/>
  <c r="L178" i="10"/>
  <c r="I178" i="10"/>
  <c r="BB177" i="10"/>
  <c r="AZ177" i="10"/>
  <c r="AY177" i="10"/>
  <c r="AX177" i="10"/>
  <c r="AW177" i="10"/>
  <c r="AV177" i="10"/>
  <c r="AU177" i="10"/>
  <c r="AT177" i="10"/>
  <c r="AS177" i="10"/>
  <c r="AR177" i="10"/>
  <c r="AQ177" i="10"/>
  <c r="AP177" i="10"/>
  <c r="AO177" i="10"/>
  <c r="AN177" i="10"/>
  <c r="AM177" i="10"/>
  <c r="AL177" i="10"/>
  <c r="AK177" i="10"/>
  <c r="Z177" i="10"/>
  <c r="X177" i="10"/>
  <c r="W177" i="10"/>
  <c r="V177" i="10"/>
  <c r="U177" i="10"/>
  <c r="T177" i="10"/>
  <c r="S177" i="10"/>
  <c r="R177" i="10"/>
  <c r="Q177" i="10"/>
  <c r="P177" i="10"/>
  <c r="O177" i="10"/>
  <c r="N177" i="10"/>
  <c r="M177" i="10"/>
  <c r="L177" i="10"/>
  <c r="I177" i="10"/>
  <c r="BA176" i="10"/>
  <c r="AZ176" i="10"/>
  <c r="AY176" i="10"/>
  <c r="AX176" i="10"/>
  <c r="AW176" i="10"/>
  <c r="AV176" i="10"/>
  <c r="AU176" i="10"/>
  <c r="AT176" i="10"/>
  <c r="AS176" i="10"/>
  <c r="AR176" i="10"/>
  <c r="AQ176" i="10"/>
  <c r="AP176" i="10"/>
  <c r="AO176" i="10"/>
  <c r="AN176" i="10"/>
  <c r="AM176" i="10"/>
  <c r="AL176" i="10"/>
  <c r="AK176" i="10"/>
  <c r="AJ176" i="10"/>
  <c r="AI176" i="10"/>
  <c r="AH176" i="10"/>
  <c r="Y176" i="10"/>
  <c r="X176" i="10"/>
  <c r="W176" i="10"/>
  <c r="V176" i="10"/>
  <c r="U176" i="10"/>
  <c r="T176" i="10"/>
  <c r="S176" i="10"/>
  <c r="R176" i="10"/>
  <c r="Q176" i="10"/>
  <c r="P176" i="10"/>
  <c r="O176" i="10"/>
  <c r="N176" i="10"/>
  <c r="M176" i="10"/>
  <c r="L176" i="10"/>
  <c r="I176" i="10"/>
  <c r="BA175" i="10"/>
  <c r="AZ175" i="10"/>
  <c r="AY175" i="10"/>
  <c r="AX175" i="10"/>
  <c r="AW175" i="10"/>
  <c r="AV175" i="10"/>
  <c r="AU175" i="10"/>
  <c r="AT175" i="10"/>
  <c r="AS175" i="10"/>
  <c r="AR175" i="10"/>
  <c r="AQ175" i="10"/>
  <c r="AP175" i="10"/>
  <c r="AO175" i="10"/>
  <c r="AN175" i="10"/>
  <c r="AM175" i="10"/>
  <c r="AL175" i="10"/>
  <c r="AK175" i="10"/>
  <c r="AJ175" i="10"/>
  <c r="AI175" i="10"/>
  <c r="AH175" i="10"/>
  <c r="Z175" i="10"/>
  <c r="Y175" i="10"/>
  <c r="X175" i="10"/>
  <c r="W175" i="10"/>
  <c r="V175" i="10"/>
  <c r="U175" i="10"/>
  <c r="T175" i="10"/>
  <c r="S175" i="10"/>
  <c r="R175" i="10"/>
  <c r="Q175" i="10"/>
  <c r="P175" i="10"/>
  <c r="O175" i="10"/>
  <c r="N175" i="10"/>
  <c r="M175" i="10"/>
  <c r="L175" i="10"/>
  <c r="K175" i="10"/>
  <c r="J175" i="10"/>
  <c r="I175" i="10"/>
  <c r="AY174" i="10"/>
  <c r="AX174" i="10"/>
  <c r="AW174" i="10"/>
  <c r="AV174" i="10"/>
  <c r="AU174" i="10"/>
  <c r="AT174" i="10"/>
  <c r="AP174" i="10"/>
  <c r="AN174" i="10"/>
  <c r="AL174" i="10"/>
  <c r="AJ174" i="10"/>
  <c r="AI174" i="10"/>
  <c r="AH174" i="10"/>
  <c r="W174" i="10"/>
  <c r="V174" i="10"/>
  <c r="U174" i="10"/>
  <c r="T174" i="10"/>
  <c r="S174" i="10"/>
  <c r="R174" i="10"/>
  <c r="N174" i="10"/>
  <c r="L174" i="10"/>
  <c r="K174" i="10"/>
  <c r="J174" i="10"/>
  <c r="I174" i="10"/>
  <c r="AZ173" i="10"/>
  <c r="AY173" i="10"/>
  <c r="AX173" i="10"/>
  <c r="AU173" i="10"/>
  <c r="AT173" i="10"/>
  <c r="AS173" i="10"/>
  <c r="AR173" i="10"/>
  <c r="AQ173" i="10"/>
  <c r="AP173" i="10"/>
  <c r="AN173" i="10"/>
  <c r="AL173" i="10"/>
  <c r="AK173" i="10"/>
  <c r="AJ173" i="10"/>
  <c r="AI173" i="10"/>
  <c r="AH173" i="10"/>
  <c r="X173" i="10"/>
  <c r="W173" i="10"/>
  <c r="V173" i="10"/>
  <c r="S173" i="10"/>
  <c r="R173" i="10"/>
  <c r="Q173" i="10"/>
  <c r="P173" i="10"/>
  <c r="O173" i="10"/>
  <c r="N173" i="10"/>
  <c r="L173" i="10"/>
  <c r="K173" i="10"/>
  <c r="J173" i="10"/>
  <c r="I173" i="10"/>
  <c r="AZ172" i="10"/>
  <c r="AY172" i="10"/>
  <c r="AX172" i="10"/>
  <c r="AW172" i="10"/>
  <c r="AV172" i="10"/>
  <c r="AU172" i="10"/>
  <c r="AS172" i="10"/>
  <c r="AN172" i="10"/>
  <c r="AJ172" i="10"/>
  <c r="AI172" i="10"/>
  <c r="X172" i="10"/>
  <c r="W172" i="10"/>
  <c r="V172" i="10"/>
  <c r="U172" i="10"/>
  <c r="T172" i="10"/>
  <c r="S172" i="10"/>
  <c r="Q172" i="10"/>
  <c r="L172" i="10"/>
  <c r="K172" i="10"/>
  <c r="J172" i="10"/>
  <c r="I172" i="10"/>
  <c r="AZ171" i="10"/>
  <c r="AX171" i="10"/>
  <c r="AW171" i="10"/>
  <c r="AV171" i="10"/>
  <c r="AU171" i="10"/>
  <c r="AT171" i="10"/>
  <c r="AS171" i="10"/>
  <c r="AR171" i="10"/>
  <c r="AQ171" i="10"/>
  <c r="AP171" i="10"/>
  <c r="AN171" i="10"/>
  <c r="AM171" i="10"/>
  <c r="AL171" i="10"/>
  <c r="AI171" i="10"/>
  <c r="X171" i="10"/>
  <c r="V171" i="10"/>
  <c r="U171" i="10"/>
  <c r="T171" i="10"/>
  <c r="S171" i="10"/>
  <c r="R171" i="10"/>
  <c r="Q171" i="10"/>
  <c r="P171" i="10"/>
  <c r="O171" i="10"/>
  <c r="N171" i="10"/>
  <c r="L171" i="10"/>
  <c r="K171" i="10"/>
  <c r="J171" i="10"/>
  <c r="I171" i="10"/>
  <c r="BB170" i="10"/>
  <c r="AZ170" i="10"/>
  <c r="AY170" i="10"/>
  <c r="AX170" i="10"/>
  <c r="AW170" i="10"/>
  <c r="AV170" i="10"/>
  <c r="AU170" i="10"/>
  <c r="AT170" i="10"/>
  <c r="AS170" i="10"/>
  <c r="AR170" i="10"/>
  <c r="AQ170" i="10"/>
  <c r="AP170" i="10"/>
  <c r="AO170" i="10"/>
  <c r="AN170" i="10"/>
  <c r="AM170" i="10"/>
  <c r="AL170" i="10"/>
  <c r="AK170" i="10"/>
  <c r="AJ170" i="10"/>
  <c r="AI170" i="10"/>
  <c r="AH170" i="10"/>
  <c r="Z170" i="10"/>
  <c r="Y170" i="10"/>
  <c r="X170" i="10"/>
  <c r="W170" i="10"/>
  <c r="V170" i="10"/>
  <c r="U170" i="10"/>
  <c r="T170" i="10"/>
  <c r="S170" i="10"/>
  <c r="R170" i="10"/>
  <c r="Q170" i="10"/>
  <c r="P170" i="10"/>
  <c r="O170" i="10"/>
  <c r="N170" i="10"/>
  <c r="M170" i="10"/>
  <c r="L170" i="10"/>
  <c r="K170" i="10"/>
  <c r="J170" i="10"/>
  <c r="I170" i="10"/>
  <c r="H170" i="10"/>
  <c r="G170" i="10"/>
  <c r="F170" i="10"/>
  <c r="BB169" i="10"/>
  <c r="BA169" i="10"/>
  <c r="AZ169" i="10"/>
  <c r="AY169" i="10"/>
  <c r="AX169" i="10"/>
  <c r="AW169" i="10"/>
  <c r="AV169" i="10"/>
  <c r="AU169" i="10"/>
  <c r="AT169" i="10"/>
  <c r="AS169" i="10"/>
  <c r="AR169" i="10"/>
  <c r="AQ169" i="10"/>
  <c r="AP169" i="10"/>
  <c r="AO169" i="10"/>
  <c r="AN169" i="10"/>
  <c r="AM169" i="10"/>
  <c r="AL169" i="10"/>
  <c r="AK169" i="10"/>
  <c r="AJ169" i="10"/>
  <c r="AI169" i="10"/>
  <c r="AH169" i="10"/>
  <c r="Z169" i="10"/>
  <c r="Y169" i="10"/>
  <c r="X169" i="10"/>
  <c r="W169" i="10"/>
  <c r="V169" i="10"/>
  <c r="U169" i="10"/>
  <c r="T169" i="10"/>
  <c r="S169" i="10"/>
  <c r="R169" i="10"/>
  <c r="Q169" i="10"/>
  <c r="P169" i="10"/>
  <c r="O169" i="10"/>
  <c r="N169" i="10"/>
  <c r="M169" i="10"/>
  <c r="L169" i="10"/>
  <c r="K169" i="10"/>
  <c r="J169" i="10"/>
  <c r="I169" i="10"/>
  <c r="H169" i="10"/>
  <c r="G169" i="10"/>
  <c r="F169" i="10"/>
  <c r="BA168" i="10"/>
  <c r="AZ168" i="10"/>
  <c r="AY168" i="10"/>
  <c r="AX168" i="10"/>
  <c r="AW168" i="10"/>
  <c r="AV168" i="10"/>
  <c r="AU168" i="10"/>
  <c r="AT168" i="10"/>
  <c r="AS168" i="10"/>
  <c r="AR168" i="10"/>
  <c r="AQ168" i="10"/>
  <c r="AP168" i="10"/>
  <c r="AO168" i="10"/>
  <c r="AN168" i="10"/>
  <c r="AM168" i="10"/>
  <c r="AL168" i="10"/>
  <c r="AK168" i="10"/>
  <c r="AJ168" i="10"/>
  <c r="AI168" i="10"/>
  <c r="AH168" i="10"/>
  <c r="Y168" i="10"/>
  <c r="X168" i="10"/>
  <c r="W168" i="10"/>
  <c r="V168" i="10"/>
  <c r="U168" i="10"/>
  <c r="T168" i="10"/>
  <c r="S168" i="10"/>
  <c r="R168" i="10"/>
  <c r="Q168" i="10"/>
  <c r="P168" i="10"/>
  <c r="O168" i="10"/>
  <c r="N168" i="10"/>
  <c r="M168" i="10"/>
  <c r="L168" i="10"/>
  <c r="K168" i="10"/>
  <c r="J168" i="10"/>
  <c r="I168" i="10"/>
  <c r="H168" i="10"/>
  <c r="G168" i="10"/>
  <c r="F168" i="10"/>
  <c r="BB167" i="10"/>
  <c r="BA167" i="10"/>
  <c r="AZ167" i="10"/>
  <c r="AY167" i="10"/>
  <c r="AX167" i="10"/>
  <c r="AW167" i="10"/>
  <c r="AV167" i="10"/>
  <c r="AU167" i="10"/>
  <c r="AT167" i="10"/>
  <c r="AS167" i="10"/>
  <c r="AR167" i="10"/>
  <c r="AQ167" i="10"/>
  <c r="AP167" i="10"/>
  <c r="AO167" i="10"/>
  <c r="AN167" i="10"/>
  <c r="AM167" i="10"/>
  <c r="AL167" i="10"/>
  <c r="AK167" i="10"/>
  <c r="AJ167" i="10"/>
  <c r="AI167" i="10"/>
  <c r="AH167" i="10"/>
  <c r="Z167" i="10"/>
  <c r="X167" i="10"/>
  <c r="W167" i="10"/>
  <c r="V167" i="10"/>
  <c r="U167" i="10"/>
  <c r="T167" i="10"/>
  <c r="S167" i="10"/>
  <c r="R167" i="10"/>
  <c r="Q167" i="10"/>
  <c r="P167" i="10"/>
  <c r="O167" i="10"/>
  <c r="N167" i="10"/>
  <c r="M167" i="10"/>
  <c r="L167" i="10"/>
  <c r="K167" i="10"/>
  <c r="J167" i="10"/>
  <c r="I167" i="10"/>
  <c r="H167" i="10"/>
  <c r="G167" i="10"/>
  <c r="F167" i="10"/>
  <c r="BB166" i="10"/>
  <c r="AZ166" i="10"/>
  <c r="AY166" i="10"/>
  <c r="AX166" i="10"/>
  <c r="AW166" i="10"/>
  <c r="AV166" i="10"/>
  <c r="AU166" i="10"/>
  <c r="AT166" i="10"/>
  <c r="AS166" i="10"/>
  <c r="AR166" i="10"/>
  <c r="AQ166" i="10"/>
  <c r="AP166" i="10"/>
  <c r="AO166" i="10"/>
  <c r="AN166" i="10"/>
  <c r="AM166" i="10"/>
  <c r="AL166" i="10"/>
  <c r="AK166" i="10"/>
  <c r="AJ166" i="10"/>
  <c r="AI166" i="10"/>
  <c r="AH166" i="10"/>
  <c r="Z166" i="10"/>
  <c r="Y166" i="10"/>
  <c r="X166" i="10"/>
  <c r="W166" i="10"/>
  <c r="V166" i="10"/>
  <c r="U166" i="10"/>
  <c r="T166" i="10"/>
  <c r="S166" i="10"/>
  <c r="R166" i="10"/>
  <c r="Q166" i="10"/>
  <c r="P166" i="10"/>
  <c r="O166" i="10"/>
  <c r="N166" i="10"/>
  <c r="M166" i="10"/>
  <c r="L166" i="10"/>
  <c r="K166" i="10"/>
  <c r="J166" i="10"/>
  <c r="I166" i="10"/>
  <c r="H166" i="10"/>
  <c r="G166" i="10"/>
  <c r="F166" i="10"/>
  <c r="BA165" i="10"/>
  <c r="AY165" i="10"/>
  <c r="AX165" i="10"/>
  <c r="AW165" i="10"/>
  <c r="AV165" i="10"/>
  <c r="AU165" i="10"/>
  <c r="AT165" i="10"/>
  <c r="AS165" i="10"/>
  <c r="AR165" i="10"/>
  <c r="AQ165" i="10"/>
  <c r="AP165" i="10"/>
  <c r="AO165" i="10"/>
  <c r="AN165" i="10"/>
  <c r="AM165" i="10"/>
  <c r="AL165" i="10"/>
  <c r="AK165" i="10"/>
  <c r="AJ165" i="10"/>
  <c r="AI165" i="10"/>
  <c r="AH165" i="10"/>
  <c r="W165" i="10"/>
  <c r="V165" i="10"/>
  <c r="U165" i="10"/>
  <c r="T165" i="10"/>
  <c r="S165" i="10"/>
  <c r="R165" i="10"/>
  <c r="Q165" i="10"/>
  <c r="P165" i="10"/>
  <c r="O165" i="10"/>
  <c r="N165" i="10"/>
  <c r="M165" i="10"/>
  <c r="L165" i="10"/>
  <c r="K165" i="10"/>
  <c r="J165" i="10"/>
  <c r="I165" i="10"/>
  <c r="H165" i="10"/>
  <c r="G165" i="10"/>
  <c r="F165" i="10"/>
  <c r="BA164" i="10"/>
  <c r="AZ164" i="10"/>
  <c r="AY164" i="10"/>
  <c r="AX164" i="10"/>
  <c r="AW164" i="10"/>
  <c r="AV164" i="10"/>
  <c r="AU164" i="10"/>
  <c r="AT164" i="10"/>
  <c r="AS164" i="10"/>
  <c r="AR164" i="10"/>
  <c r="AQ164" i="10"/>
  <c r="AP164" i="10"/>
  <c r="AO164" i="10"/>
  <c r="AM164" i="10"/>
  <c r="AL164" i="10"/>
  <c r="AK164" i="10"/>
  <c r="AJ164" i="10"/>
  <c r="AI164" i="10"/>
  <c r="AH164" i="10"/>
  <c r="Y164" i="10"/>
  <c r="X164" i="10"/>
  <c r="W164" i="10"/>
  <c r="V164" i="10"/>
  <c r="U164" i="10"/>
  <c r="T164" i="10"/>
  <c r="S164" i="10"/>
  <c r="R164" i="10"/>
  <c r="Q164" i="10"/>
  <c r="P164" i="10"/>
  <c r="O164" i="10"/>
  <c r="N164" i="10"/>
  <c r="M164" i="10"/>
  <c r="K164" i="10"/>
  <c r="J164" i="10"/>
  <c r="I164" i="10"/>
  <c r="H164" i="10"/>
  <c r="G164" i="10"/>
  <c r="F164" i="10"/>
  <c r="AU163" i="10"/>
  <c r="AR163" i="10"/>
  <c r="AQ163" i="10"/>
  <c r="AP163" i="10"/>
  <c r="AO163" i="10"/>
  <c r="AN163" i="10"/>
  <c r="AM163" i="10"/>
  <c r="AL163" i="10"/>
  <c r="AK163" i="10"/>
  <c r="AJ163" i="10"/>
  <c r="AI163" i="10"/>
  <c r="AH163" i="10"/>
  <c r="S163" i="10"/>
  <c r="P163" i="10"/>
  <c r="O163" i="10"/>
  <c r="N163" i="10"/>
  <c r="M163" i="10"/>
  <c r="L163" i="10"/>
  <c r="K163" i="10"/>
  <c r="J163" i="10"/>
  <c r="I163" i="10"/>
  <c r="H163" i="10"/>
  <c r="G163" i="10"/>
  <c r="F163" i="10"/>
  <c r="AZ162" i="10"/>
  <c r="AY162" i="10"/>
  <c r="AX162" i="10"/>
  <c r="AW162" i="10"/>
  <c r="AV162" i="10"/>
  <c r="AU162" i="10"/>
  <c r="AT162" i="10"/>
  <c r="AS162" i="10"/>
  <c r="AR162" i="10"/>
  <c r="AQ162" i="10"/>
  <c r="AP162" i="10"/>
  <c r="AN162" i="10"/>
  <c r="AM162" i="10"/>
  <c r="AK162" i="10"/>
  <c r="AJ162" i="10"/>
  <c r="AI162" i="10"/>
  <c r="AH162" i="10"/>
  <c r="X162" i="10"/>
  <c r="W162" i="10"/>
  <c r="V162" i="10"/>
  <c r="U162" i="10"/>
  <c r="T162" i="10"/>
  <c r="S162" i="10"/>
  <c r="R162" i="10"/>
  <c r="Q162" i="10"/>
  <c r="P162" i="10"/>
  <c r="O162" i="10"/>
  <c r="N162" i="10"/>
  <c r="M162" i="10"/>
  <c r="L162" i="10"/>
  <c r="K162" i="10"/>
  <c r="I162" i="10"/>
  <c r="H162" i="10"/>
  <c r="G162" i="10"/>
  <c r="F162" i="10"/>
  <c r="BB161" i="10"/>
  <c r="BA161" i="10"/>
  <c r="AZ161" i="10"/>
  <c r="AY161" i="10"/>
  <c r="AX161" i="10"/>
  <c r="AW161" i="10"/>
  <c r="AV161" i="10"/>
  <c r="AU161" i="10"/>
  <c r="AT161" i="10"/>
  <c r="AS161" i="10"/>
  <c r="AR161" i="10"/>
  <c r="AQ161" i="10"/>
  <c r="AP161" i="10"/>
  <c r="AO161" i="10"/>
  <c r="AN161" i="10"/>
  <c r="AM161" i="10"/>
  <c r="AL161" i="10"/>
  <c r="AK161" i="10"/>
  <c r="AJ161" i="10"/>
  <c r="AI161" i="10"/>
  <c r="AH161" i="10"/>
  <c r="Z161" i="10"/>
  <c r="Y161" i="10"/>
  <c r="X161" i="10"/>
  <c r="W161" i="10"/>
  <c r="V161" i="10"/>
  <c r="U161" i="10"/>
  <c r="T161" i="10"/>
  <c r="S161" i="10"/>
  <c r="R161" i="10"/>
  <c r="Q161" i="10"/>
  <c r="P161" i="10"/>
  <c r="O161" i="10"/>
  <c r="N161" i="10"/>
  <c r="M161" i="10"/>
  <c r="L161" i="10"/>
  <c r="K161" i="10"/>
  <c r="J161" i="10"/>
  <c r="I161" i="10"/>
  <c r="H161" i="10"/>
  <c r="G161" i="10"/>
  <c r="F161" i="10"/>
  <c r="AY160" i="10"/>
  <c r="AW160" i="10"/>
  <c r="AT160" i="10"/>
  <c r="AS160" i="10"/>
  <c r="AR160" i="10"/>
  <c r="AQ160" i="10"/>
  <c r="AP160" i="10"/>
  <c r="AO160" i="10"/>
  <c r="AN160" i="10"/>
  <c r="AM160" i="10"/>
  <c r="AK160" i="10"/>
  <c r="AJ160" i="10"/>
  <c r="AI160" i="10"/>
  <c r="AH160" i="10"/>
  <c r="W160" i="10"/>
  <c r="U160" i="10"/>
  <c r="R160" i="10"/>
  <c r="Q160" i="10"/>
  <c r="P160" i="10"/>
  <c r="O160" i="10"/>
  <c r="N160" i="10"/>
  <c r="M160" i="10"/>
  <c r="L160" i="10"/>
  <c r="I160" i="10"/>
  <c r="H160" i="10"/>
  <c r="G160" i="10"/>
  <c r="F160" i="10"/>
  <c r="AZ159" i="10"/>
  <c r="AY159" i="10"/>
  <c r="AX159" i="10"/>
  <c r="AW159" i="10"/>
  <c r="AV159" i="10"/>
  <c r="AU159" i="10"/>
  <c r="AT159" i="10"/>
  <c r="AS159" i="10"/>
  <c r="AR159" i="10"/>
  <c r="AQ159" i="10"/>
  <c r="AP159" i="10"/>
  <c r="AO159" i="10"/>
  <c r="AN159" i="10"/>
  <c r="AM159" i="10"/>
  <c r="AK159" i="10"/>
  <c r="AJ159" i="10"/>
  <c r="AI159" i="10"/>
  <c r="X159" i="10"/>
  <c r="W159" i="10"/>
  <c r="U159" i="10"/>
  <c r="T159" i="10"/>
  <c r="S159" i="10"/>
  <c r="R159" i="10"/>
  <c r="Q159" i="10"/>
  <c r="P159" i="10"/>
  <c r="O159" i="10"/>
  <c r="M159" i="10"/>
  <c r="L159" i="10"/>
  <c r="I159" i="10"/>
  <c r="H159" i="10"/>
  <c r="G159" i="10"/>
  <c r="BB158" i="10"/>
  <c r="BA158" i="10"/>
  <c r="AZ158" i="10"/>
  <c r="AY158" i="10"/>
  <c r="AX158" i="10"/>
  <c r="AW158" i="10"/>
  <c r="AV158" i="10"/>
  <c r="AU158" i="10"/>
  <c r="AT158" i="10"/>
  <c r="AS158" i="10"/>
  <c r="AR158" i="10"/>
  <c r="AQ158" i="10"/>
  <c r="AP158" i="10"/>
  <c r="AO158" i="10"/>
  <c r="AN158" i="10"/>
  <c r="AM158" i="10"/>
  <c r="AL158" i="10"/>
  <c r="AK158" i="10"/>
  <c r="AJ158" i="10"/>
  <c r="AI158" i="10"/>
  <c r="AH158" i="10"/>
  <c r="AB158" i="10"/>
  <c r="Z158" i="10"/>
  <c r="X158" i="10"/>
  <c r="W158" i="10"/>
  <c r="V158" i="10"/>
  <c r="U158" i="10"/>
  <c r="T158" i="10"/>
  <c r="S158" i="10"/>
  <c r="R158" i="10"/>
  <c r="Q158" i="10"/>
  <c r="P158" i="10"/>
  <c r="O158" i="10"/>
  <c r="N158" i="10"/>
  <c r="M158" i="10"/>
  <c r="L158" i="10"/>
  <c r="K158" i="10"/>
  <c r="J158" i="10"/>
  <c r="I158" i="10"/>
  <c r="H158" i="10"/>
  <c r="G158" i="10"/>
  <c r="F158" i="10"/>
  <c r="AZ157" i="10"/>
  <c r="AY157" i="10"/>
  <c r="AX157" i="10"/>
  <c r="AW157" i="10"/>
  <c r="AV157" i="10"/>
  <c r="AU157" i="10"/>
  <c r="AT157" i="10"/>
  <c r="AS157" i="10"/>
  <c r="AQ157" i="10"/>
  <c r="AP157" i="10"/>
  <c r="AO157" i="10"/>
  <c r="AN157" i="10"/>
  <c r="AM157" i="10"/>
  <c r="AL157" i="10"/>
  <c r="AK157" i="10"/>
  <c r="AI157" i="10"/>
  <c r="AB157" i="10"/>
  <c r="X157" i="10"/>
  <c r="W157" i="10"/>
  <c r="V157" i="10"/>
  <c r="U157" i="10"/>
  <c r="T157" i="10"/>
  <c r="S157" i="10"/>
  <c r="R157" i="10"/>
  <c r="Q157" i="10"/>
  <c r="O157" i="10"/>
  <c r="N157" i="10"/>
  <c r="M157" i="10"/>
  <c r="L157" i="10"/>
  <c r="K157" i="10"/>
  <c r="K180" i="10" s="1"/>
  <c r="J157" i="10"/>
  <c r="J180" i="10" s="1"/>
  <c r="G157" i="10"/>
  <c r="G180" i="10" s="1"/>
  <c r="AU156" i="10"/>
  <c r="AP156" i="10"/>
  <c r="AO156" i="10"/>
  <c r="AN156" i="10"/>
  <c r="AM156" i="10"/>
  <c r="AK156" i="10"/>
  <c r="AI156" i="10"/>
  <c r="S156" i="10"/>
  <c r="L156" i="10"/>
  <c r="G156" i="10"/>
  <c r="G175" i="10" s="1"/>
  <c r="BB155" i="10"/>
  <c r="BA155" i="10"/>
  <c r="AZ155" i="10"/>
  <c r="AY155" i="10"/>
  <c r="AX155" i="10"/>
  <c r="AW155" i="10"/>
  <c r="AV155" i="10"/>
  <c r="AU155" i="10"/>
  <c r="AT155" i="10"/>
  <c r="AS155" i="10"/>
  <c r="AR155" i="10"/>
  <c r="AQ155" i="10"/>
  <c r="AP155" i="10"/>
  <c r="AO155" i="10"/>
  <c r="AN155" i="10"/>
  <c r="AM155" i="10"/>
  <c r="AL155" i="10"/>
  <c r="AK155" i="10"/>
  <c r="AJ155" i="10"/>
  <c r="AI155" i="10"/>
  <c r="AH155" i="10"/>
  <c r="Z155" i="10"/>
  <c r="X155" i="10"/>
  <c r="W155" i="10"/>
  <c r="V155" i="10"/>
  <c r="U155" i="10"/>
  <c r="T155" i="10"/>
  <c r="S155" i="10"/>
  <c r="R155" i="10"/>
  <c r="Q155" i="10"/>
  <c r="P155" i="10"/>
  <c r="O155" i="10"/>
  <c r="N155" i="10"/>
  <c r="M155" i="10"/>
  <c r="L155" i="10"/>
  <c r="K155" i="10"/>
  <c r="J155" i="10"/>
  <c r="I155" i="10"/>
  <c r="H155" i="10"/>
  <c r="G155" i="10"/>
  <c r="F155" i="10"/>
  <c r="BA154" i="10"/>
  <c r="AZ154" i="10"/>
  <c r="AY154" i="10"/>
  <c r="AX154" i="10"/>
  <c r="AW154" i="10"/>
  <c r="AV154" i="10"/>
  <c r="AU154" i="10"/>
  <c r="AT154" i="10"/>
  <c r="AS154" i="10"/>
  <c r="AR154" i="10"/>
  <c r="AQ154" i="10"/>
  <c r="AP154" i="10"/>
  <c r="AO154" i="10"/>
  <c r="AN154" i="10"/>
  <c r="AM154" i="10"/>
  <c r="AL154" i="10"/>
  <c r="AK154" i="10"/>
  <c r="AJ154" i="10"/>
  <c r="AI154" i="10"/>
  <c r="AH154" i="10"/>
  <c r="Y154" i="10"/>
  <c r="X154" i="10"/>
  <c r="W154" i="10"/>
  <c r="V154" i="10"/>
  <c r="U154" i="10"/>
  <c r="T154" i="10"/>
  <c r="S154" i="10"/>
  <c r="R154" i="10"/>
  <c r="Q154" i="10"/>
  <c r="P154" i="10"/>
  <c r="O154" i="10"/>
  <c r="N154" i="10"/>
  <c r="M154" i="10"/>
  <c r="L154" i="10"/>
  <c r="K154" i="10"/>
  <c r="J154" i="10"/>
  <c r="I154" i="10"/>
  <c r="H154" i="10"/>
  <c r="G154" i="10"/>
  <c r="F154" i="10"/>
  <c r="BB153" i="10"/>
  <c r="BA153" i="10"/>
  <c r="AZ153" i="10"/>
  <c r="AY153" i="10"/>
  <c r="AX153" i="10"/>
  <c r="AW153" i="10"/>
  <c r="AV153" i="10"/>
  <c r="AU153" i="10"/>
  <c r="AT153" i="10"/>
  <c r="AS153" i="10"/>
  <c r="AR153" i="10"/>
  <c r="AQ153" i="10"/>
  <c r="AP153" i="10"/>
  <c r="AO153" i="10"/>
  <c r="AN153" i="10"/>
  <c r="AM153" i="10"/>
  <c r="AL153" i="10"/>
  <c r="AK153" i="10"/>
  <c r="AJ153" i="10"/>
  <c r="AI153" i="10"/>
  <c r="AH153" i="10"/>
  <c r="Z153" i="10"/>
  <c r="Y153" i="10"/>
  <c r="X153" i="10"/>
  <c r="W153" i="10"/>
  <c r="V153" i="10"/>
  <c r="U153" i="10"/>
  <c r="T153" i="10"/>
  <c r="S153" i="10"/>
  <c r="R153" i="10"/>
  <c r="Q153" i="10"/>
  <c r="P153" i="10"/>
  <c r="O153" i="10"/>
  <c r="N153" i="10"/>
  <c r="M153" i="10"/>
  <c r="L153" i="10"/>
  <c r="K153" i="10"/>
  <c r="J153" i="10"/>
  <c r="I153" i="10"/>
  <c r="H153" i="10"/>
  <c r="G153" i="10"/>
  <c r="F153" i="10"/>
  <c r="BB152" i="10"/>
  <c r="AZ152" i="10"/>
  <c r="AY152" i="10"/>
  <c r="AX152" i="10"/>
  <c r="AW152" i="10"/>
  <c r="AV152" i="10"/>
  <c r="AU152" i="10"/>
  <c r="AT152" i="10"/>
  <c r="AS152" i="10"/>
  <c r="AR152" i="10"/>
  <c r="AQ152" i="10"/>
  <c r="AP152" i="10"/>
  <c r="AO152" i="10"/>
  <c r="AN152" i="10"/>
  <c r="AM152" i="10"/>
  <c r="AL152" i="10"/>
  <c r="AK152" i="10"/>
  <c r="AJ152" i="10"/>
  <c r="AI152" i="10"/>
  <c r="AH152" i="10"/>
  <c r="Z152" i="10"/>
  <c r="Y152" i="10"/>
  <c r="X152" i="10"/>
  <c r="W152" i="10"/>
  <c r="V152" i="10"/>
  <c r="U152" i="10"/>
  <c r="T152" i="10"/>
  <c r="S152" i="10"/>
  <c r="R152" i="10"/>
  <c r="Q152" i="10"/>
  <c r="P152" i="10"/>
  <c r="O152" i="10"/>
  <c r="N152" i="10"/>
  <c r="M152" i="10"/>
  <c r="L152" i="10"/>
  <c r="K152" i="10"/>
  <c r="J152" i="10"/>
  <c r="I152" i="10"/>
  <c r="H152" i="10"/>
  <c r="G152" i="10"/>
  <c r="F152" i="10"/>
  <c r="BB151" i="10"/>
  <c r="BA151" i="10"/>
  <c r="AZ151" i="10"/>
  <c r="AY151" i="10"/>
  <c r="AX151" i="10"/>
  <c r="AW151" i="10"/>
  <c r="AV151" i="10"/>
  <c r="AU151" i="10"/>
  <c r="AT151" i="10"/>
  <c r="AS151" i="10"/>
  <c r="AR151" i="10"/>
  <c r="AQ151" i="10"/>
  <c r="AP151" i="10"/>
  <c r="AO151" i="10"/>
  <c r="AN151" i="10"/>
  <c r="AM151" i="10"/>
  <c r="AL151" i="10"/>
  <c r="AK151" i="10"/>
  <c r="AJ151" i="10"/>
  <c r="AI151" i="10"/>
  <c r="AH151" i="10"/>
  <c r="Z151" i="10"/>
  <c r="X151" i="10"/>
  <c r="W151" i="10"/>
  <c r="V151" i="10"/>
  <c r="U151" i="10"/>
  <c r="T151" i="10"/>
  <c r="S151" i="10"/>
  <c r="R151" i="10"/>
  <c r="Q151" i="10"/>
  <c r="P151" i="10"/>
  <c r="O151" i="10"/>
  <c r="N151" i="10"/>
  <c r="M151" i="10"/>
  <c r="L151" i="10"/>
  <c r="K151" i="10"/>
  <c r="J151" i="10"/>
  <c r="I151" i="10"/>
  <c r="H151" i="10"/>
  <c r="G151" i="10"/>
  <c r="F151" i="10"/>
  <c r="BA150" i="10"/>
  <c r="AZ150" i="10"/>
  <c r="AY150" i="10"/>
  <c r="AX150" i="10"/>
  <c r="AW150" i="10"/>
  <c r="AV150" i="10"/>
  <c r="AU150" i="10"/>
  <c r="AT150" i="10"/>
  <c r="AS150" i="10"/>
  <c r="AR150" i="10"/>
  <c r="AQ150" i="10"/>
  <c r="AP150" i="10"/>
  <c r="AO150" i="10"/>
  <c r="AN150" i="10"/>
  <c r="AM150" i="10"/>
  <c r="AL150" i="10"/>
  <c r="AK150" i="10"/>
  <c r="AJ150" i="10"/>
  <c r="AI150" i="10"/>
  <c r="AH150" i="10"/>
  <c r="Y150" i="10"/>
  <c r="X150" i="10"/>
  <c r="W150" i="10"/>
  <c r="V150" i="10"/>
  <c r="U150" i="10"/>
  <c r="T150" i="10"/>
  <c r="S150" i="10"/>
  <c r="R150" i="10"/>
  <c r="Q150" i="10"/>
  <c r="P150" i="10"/>
  <c r="O150" i="10"/>
  <c r="N150" i="10"/>
  <c r="M150" i="10"/>
  <c r="L150" i="10"/>
  <c r="K150" i="10"/>
  <c r="J150" i="10"/>
  <c r="I150" i="10"/>
  <c r="H150" i="10"/>
  <c r="G150" i="10"/>
  <c r="F150" i="10"/>
  <c r="BB149" i="10"/>
  <c r="BA149" i="10"/>
  <c r="AZ149" i="10"/>
  <c r="AY149" i="10"/>
  <c r="AX149" i="10"/>
  <c r="AW149" i="10"/>
  <c r="AV149" i="10"/>
  <c r="AU149" i="10"/>
  <c r="AT149" i="10"/>
  <c r="AS149" i="10"/>
  <c r="AR149" i="10"/>
  <c r="AQ149" i="10"/>
  <c r="AP149" i="10"/>
  <c r="AO149" i="10"/>
  <c r="AN149" i="10"/>
  <c r="AM149" i="10"/>
  <c r="AL149" i="10"/>
  <c r="AK149" i="10"/>
  <c r="AJ149" i="10"/>
  <c r="AI149" i="10"/>
  <c r="AH149" i="10"/>
  <c r="Z149" i="10"/>
  <c r="Y149" i="10"/>
  <c r="X149" i="10"/>
  <c r="W149" i="10"/>
  <c r="V149" i="10"/>
  <c r="U149" i="10"/>
  <c r="T149" i="10"/>
  <c r="S149" i="10"/>
  <c r="R149" i="10"/>
  <c r="Q149" i="10"/>
  <c r="P149" i="10"/>
  <c r="O149" i="10"/>
  <c r="N149" i="10"/>
  <c r="M149" i="10"/>
  <c r="L149" i="10"/>
  <c r="K149" i="10"/>
  <c r="J149" i="10"/>
  <c r="I149" i="10"/>
  <c r="H149" i="10"/>
  <c r="G149" i="10"/>
  <c r="F149" i="10"/>
  <c r="AX148" i="10"/>
  <c r="AW148" i="10"/>
  <c r="AV148" i="10"/>
  <c r="AT148" i="10"/>
  <c r="AS148" i="10"/>
  <c r="AR148" i="10"/>
  <c r="AP148" i="10"/>
  <c r="AO148" i="10"/>
  <c r="AN148" i="10"/>
  <c r="AM148" i="10"/>
  <c r="AK148" i="10"/>
  <c r="AJ148" i="10"/>
  <c r="AI148" i="10"/>
  <c r="W148" i="10"/>
  <c r="V148" i="10"/>
  <c r="T148" i="10"/>
  <c r="S148" i="10"/>
  <c r="R148" i="10"/>
  <c r="P148" i="10"/>
  <c r="O148" i="10"/>
  <c r="N148" i="10"/>
  <c r="M148" i="10"/>
  <c r="K148" i="10"/>
  <c r="J148" i="10"/>
  <c r="I148" i="10"/>
  <c r="G148" i="10"/>
  <c r="F148" i="10"/>
  <c r="AU147" i="10"/>
  <c r="AQ147" i="10"/>
  <c r="AP147" i="10"/>
  <c r="AM147" i="10"/>
  <c r="AJ147" i="10"/>
  <c r="AI147" i="10"/>
  <c r="AH147" i="10"/>
  <c r="S147" i="10"/>
  <c r="P147" i="10"/>
  <c r="O147" i="10"/>
  <c r="K147" i="10"/>
  <c r="I147" i="10"/>
  <c r="H147" i="10"/>
  <c r="F147" i="10"/>
  <c r="AY146" i="10"/>
  <c r="AW146" i="10"/>
  <c r="AS146" i="10"/>
  <c r="AR146" i="10"/>
  <c r="AQ146" i="10"/>
  <c r="AN146" i="10"/>
  <c r="AK146" i="10"/>
  <c r="AJ146" i="10"/>
  <c r="U146" i="10"/>
  <c r="R146" i="10"/>
  <c r="Q146" i="10"/>
  <c r="O146" i="10"/>
  <c r="M146" i="10"/>
  <c r="L146" i="10"/>
  <c r="H146" i="10"/>
  <c r="G146" i="10"/>
  <c r="AU145" i="10"/>
  <c r="AN145" i="10"/>
  <c r="S145" i="10"/>
  <c r="V24" i="20"/>
  <c r="L145" i="10"/>
  <c r="AZ144" i="10"/>
  <c r="AY144" i="10"/>
  <c r="AW144" i="10"/>
  <c r="AV144" i="10"/>
  <c r="AU144" i="10"/>
  <c r="AS144" i="10"/>
  <c r="AR144" i="10"/>
  <c r="AQ144" i="10"/>
  <c r="AO144" i="10"/>
  <c r="AN144" i="10"/>
  <c r="AM144" i="10"/>
  <c r="AK144" i="10"/>
  <c r="AJ144" i="10"/>
  <c r="AI144" i="10"/>
  <c r="X144" i="10"/>
  <c r="W144" i="10"/>
  <c r="U144" i="10"/>
  <c r="T144" i="10"/>
  <c r="S144" i="10"/>
  <c r="Q144" i="10"/>
  <c r="P144" i="10"/>
  <c r="O144" i="10"/>
  <c r="M144" i="10"/>
  <c r="L144" i="10"/>
  <c r="K144" i="10"/>
  <c r="I144" i="10"/>
  <c r="H144" i="10"/>
  <c r="G144" i="10"/>
  <c r="AY143" i="10"/>
  <c r="AX143" i="10"/>
  <c r="AW143" i="10"/>
  <c r="AU143" i="10"/>
  <c r="AT143" i="10"/>
  <c r="AS143" i="10"/>
  <c r="AQ143" i="10"/>
  <c r="AP143" i="10"/>
  <c r="AO143" i="10"/>
  <c r="AM143" i="10"/>
  <c r="AL143" i="10"/>
  <c r="AK143" i="10"/>
  <c r="AI143" i="10"/>
  <c r="AH143" i="10"/>
  <c r="W143" i="10"/>
  <c r="V143" i="10"/>
  <c r="U143" i="10"/>
  <c r="S143" i="10"/>
  <c r="R143" i="10"/>
  <c r="Q143" i="10"/>
  <c r="O143" i="10"/>
  <c r="N143" i="10"/>
  <c r="M143" i="10"/>
  <c r="K143" i="10"/>
  <c r="J143" i="10"/>
  <c r="I143" i="10"/>
  <c r="G143" i="10"/>
  <c r="F143" i="10"/>
  <c r="AZ142" i="10"/>
  <c r="AX142" i="10"/>
  <c r="AW142" i="10"/>
  <c r="AV142" i="10"/>
  <c r="AT142" i="10"/>
  <c r="AS142" i="10"/>
  <c r="AR142" i="10"/>
  <c r="AP142" i="10"/>
  <c r="AO142" i="10"/>
  <c r="AN142" i="10"/>
  <c r="AL142" i="10"/>
  <c r="AK142" i="10"/>
  <c r="AJ142" i="10"/>
  <c r="AH142" i="10"/>
  <c r="X142" i="10"/>
  <c r="W142" i="10"/>
  <c r="V142" i="10"/>
  <c r="T142" i="10"/>
  <c r="S142" i="10"/>
  <c r="R142" i="10"/>
  <c r="P142" i="10"/>
  <c r="O142" i="10"/>
  <c r="N142" i="10"/>
  <c r="L142" i="10"/>
  <c r="K142" i="10"/>
  <c r="J142" i="10"/>
  <c r="H142" i="10"/>
  <c r="G142" i="10"/>
  <c r="F142" i="10"/>
  <c r="AS140" i="10"/>
  <c r="T140" i="10"/>
  <c r="I140" i="10"/>
  <c r="X135" i="10"/>
  <c r="W135" i="10"/>
  <c r="V135" i="10"/>
  <c r="U135" i="10"/>
  <c r="T135" i="10"/>
  <c r="S135" i="10"/>
  <c r="R135" i="10"/>
  <c r="Q135" i="10"/>
  <c r="P135" i="10"/>
  <c r="O135" i="10"/>
  <c r="N135" i="10"/>
  <c r="M135" i="10"/>
  <c r="L135" i="10"/>
  <c r="K135" i="10"/>
  <c r="J135" i="10"/>
  <c r="I135" i="10"/>
  <c r="H135" i="10"/>
  <c r="G135" i="10"/>
  <c r="F135" i="10"/>
  <c r="X134" i="10"/>
  <c r="W134" i="10"/>
  <c r="V134" i="10"/>
  <c r="U134" i="10"/>
  <c r="T134" i="10"/>
  <c r="S134" i="10"/>
  <c r="R134" i="10"/>
  <c r="Q134" i="10"/>
  <c r="P134" i="10"/>
  <c r="O134" i="10"/>
  <c r="N134" i="10"/>
  <c r="M134" i="10"/>
  <c r="L134" i="10"/>
  <c r="K134" i="10"/>
  <c r="J134" i="10"/>
  <c r="I134" i="10"/>
  <c r="H134" i="10"/>
  <c r="G134" i="10"/>
  <c r="F134" i="10"/>
  <c r="X133" i="10"/>
  <c r="W133" i="10"/>
  <c r="V133" i="10"/>
  <c r="U133" i="10"/>
  <c r="T133" i="10"/>
  <c r="S133" i="10"/>
  <c r="R133" i="10"/>
  <c r="Q133" i="10"/>
  <c r="P133" i="10"/>
  <c r="O133" i="10"/>
  <c r="N133" i="10"/>
  <c r="M133" i="10"/>
  <c r="L133" i="10"/>
  <c r="K133" i="10"/>
  <c r="J133" i="10"/>
  <c r="I133" i="10"/>
  <c r="H133" i="10"/>
  <c r="G133" i="10"/>
  <c r="F133" i="10"/>
  <c r="X132" i="10"/>
  <c r="W132" i="10"/>
  <c r="V132" i="10"/>
  <c r="U132" i="10"/>
  <c r="T132" i="10"/>
  <c r="S132" i="10"/>
  <c r="R132" i="10"/>
  <c r="Q132" i="10"/>
  <c r="P132" i="10"/>
  <c r="O132" i="10"/>
  <c r="N132" i="10"/>
  <c r="M132" i="10"/>
  <c r="L132" i="10"/>
  <c r="K132" i="10"/>
  <c r="J132" i="10"/>
  <c r="I132" i="10"/>
  <c r="X131" i="10"/>
  <c r="W131" i="10"/>
  <c r="V131" i="10"/>
  <c r="U131" i="10"/>
  <c r="T131" i="10"/>
  <c r="S131" i="10"/>
  <c r="R131" i="10"/>
  <c r="Q131" i="10"/>
  <c r="P131" i="10"/>
  <c r="O131" i="10"/>
  <c r="N131" i="10"/>
  <c r="M131" i="10"/>
  <c r="L131" i="10"/>
  <c r="K131" i="10"/>
  <c r="J131" i="10"/>
  <c r="I131" i="10"/>
  <c r="G131" i="10"/>
  <c r="F131" i="10"/>
  <c r="X130" i="10"/>
  <c r="W130" i="10"/>
  <c r="V130" i="10"/>
  <c r="U130" i="10"/>
  <c r="T130" i="10"/>
  <c r="S130" i="10"/>
  <c r="R130" i="10"/>
  <c r="Q130" i="10"/>
  <c r="P130" i="10"/>
  <c r="O130" i="10"/>
  <c r="N130" i="10"/>
  <c r="M130" i="10"/>
  <c r="L130" i="10"/>
  <c r="K130" i="10"/>
  <c r="J130" i="10"/>
  <c r="I130" i="10"/>
  <c r="H130" i="10"/>
  <c r="G130" i="10"/>
  <c r="F130" i="10"/>
  <c r="W129" i="10"/>
  <c r="V129" i="10"/>
  <c r="U129" i="10"/>
  <c r="T129" i="10"/>
  <c r="S129" i="10"/>
  <c r="R129" i="10"/>
  <c r="N129" i="10"/>
  <c r="L129" i="10"/>
  <c r="J129" i="10"/>
  <c r="H129" i="10"/>
  <c r="G129" i="10"/>
  <c r="F129" i="10"/>
  <c r="X128" i="10"/>
  <c r="W128" i="10"/>
  <c r="V128" i="10"/>
  <c r="S128" i="10"/>
  <c r="R128" i="10"/>
  <c r="Q128" i="10"/>
  <c r="P128" i="10"/>
  <c r="O128" i="10"/>
  <c r="N128" i="10"/>
  <c r="L128" i="10"/>
  <c r="J128" i="10"/>
  <c r="I128" i="10"/>
  <c r="H128" i="10"/>
  <c r="G128" i="10"/>
  <c r="F128" i="10"/>
  <c r="X127" i="10"/>
  <c r="W127" i="10"/>
  <c r="V127" i="10"/>
  <c r="U127" i="10"/>
  <c r="T127" i="10"/>
  <c r="S127" i="10"/>
  <c r="Q127" i="10"/>
  <c r="L127" i="10"/>
  <c r="H127" i="10"/>
  <c r="G127" i="10"/>
  <c r="X126" i="10"/>
  <c r="V126" i="10"/>
  <c r="U126" i="10"/>
  <c r="T126" i="10"/>
  <c r="S126" i="10"/>
  <c r="R126" i="10"/>
  <c r="Q126" i="10"/>
  <c r="P126" i="10"/>
  <c r="O126" i="10"/>
  <c r="N126" i="10"/>
  <c r="L126" i="10"/>
  <c r="J126" i="10"/>
  <c r="G126" i="10"/>
  <c r="X125" i="10"/>
  <c r="W125" i="10"/>
  <c r="V125" i="10"/>
  <c r="U125" i="10"/>
  <c r="T125" i="10"/>
  <c r="S125" i="10"/>
  <c r="R125" i="10"/>
  <c r="Q125" i="10"/>
  <c r="P125" i="10"/>
  <c r="O125" i="10"/>
  <c r="N125" i="10"/>
  <c r="M125" i="10"/>
  <c r="L125" i="10"/>
  <c r="K125" i="10"/>
  <c r="J125" i="10"/>
  <c r="I125" i="10"/>
  <c r="H125" i="10"/>
  <c r="G125" i="10"/>
  <c r="F125" i="10"/>
  <c r="X124" i="10"/>
  <c r="W124" i="10"/>
  <c r="V124" i="10"/>
  <c r="U124" i="10"/>
  <c r="T124" i="10"/>
  <c r="S124" i="10"/>
  <c r="R124" i="10"/>
  <c r="Q124" i="10"/>
  <c r="P124" i="10"/>
  <c r="O124" i="10"/>
  <c r="N124" i="10"/>
  <c r="M124" i="10"/>
  <c r="L124" i="10"/>
  <c r="K124" i="10"/>
  <c r="J124" i="10"/>
  <c r="I124" i="10"/>
  <c r="H124" i="10"/>
  <c r="G124" i="10"/>
  <c r="F124" i="10"/>
  <c r="X123" i="10"/>
  <c r="W123" i="10"/>
  <c r="V123" i="10"/>
  <c r="U123" i="10"/>
  <c r="T123" i="10"/>
  <c r="S123" i="10"/>
  <c r="R123" i="10"/>
  <c r="Q123" i="10"/>
  <c r="P123" i="10"/>
  <c r="O123" i="10"/>
  <c r="N123" i="10"/>
  <c r="M123" i="10"/>
  <c r="L123" i="10"/>
  <c r="K123" i="10"/>
  <c r="J123" i="10"/>
  <c r="I123" i="10"/>
  <c r="H123" i="10"/>
  <c r="G123" i="10"/>
  <c r="F123" i="10"/>
  <c r="X122" i="10"/>
  <c r="W122" i="10"/>
  <c r="V122" i="10"/>
  <c r="U122" i="10"/>
  <c r="T122" i="10"/>
  <c r="S122" i="10"/>
  <c r="R122" i="10"/>
  <c r="Q122" i="10"/>
  <c r="P122" i="10"/>
  <c r="O122" i="10"/>
  <c r="N122" i="10"/>
  <c r="M122" i="10"/>
  <c r="L122" i="10"/>
  <c r="K122" i="10"/>
  <c r="J122" i="10"/>
  <c r="I122" i="10"/>
  <c r="H122" i="10"/>
  <c r="G122" i="10"/>
  <c r="F122" i="10"/>
  <c r="X121" i="10"/>
  <c r="W121" i="10"/>
  <c r="V121" i="10"/>
  <c r="U121" i="10"/>
  <c r="T121" i="10"/>
  <c r="S121" i="10"/>
  <c r="R121" i="10"/>
  <c r="Q121" i="10"/>
  <c r="P121" i="10"/>
  <c r="O121" i="10"/>
  <c r="N121" i="10"/>
  <c r="M121" i="10"/>
  <c r="L121" i="10"/>
  <c r="K121" i="10"/>
  <c r="J121" i="10"/>
  <c r="I121" i="10"/>
  <c r="H121" i="10"/>
  <c r="G121" i="10"/>
  <c r="F121" i="10"/>
  <c r="W120" i="10"/>
  <c r="V120" i="10"/>
  <c r="U120" i="10"/>
  <c r="T120" i="10"/>
  <c r="S120" i="10"/>
  <c r="R120" i="10"/>
  <c r="Q120" i="10"/>
  <c r="P120" i="10"/>
  <c r="O120" i="10"/>
  <c r="N120" i="10"/>
  <c r="M120" i="10"/>
  <c r="L120" i="10"/>
  <c r="K120" i="10"/>
  <c r="J120" i="10"/>
  <c r="I120" i="10"/>
  <c r="H120" i="10"/>
  <c r="G120" i="10"/>
  <c r="F120" i="10"/>
  <c r="X119" i="10"/>
  <c r="W119" i="10"/>
  <c r="V119" i="10"/>
  <c r="U119" i="10"/>
  <c r="T119" i="10"/>
  <c r="S119" i="10"/>
  <c r="R119" i="10"/>
  <c r="Q119" i="10"/>
  <c r="P119" i="10"/>
  <c r="O119" i="10"/>
  <c r="N119" i="10"/>
  <c r="M119" i="10"/>
  <c r="K119" i="10"/>
  <c r="J119" i="10"/>
  <c r="I119" i="10"/>
  <c r="H119" i="10"/>
  <c r="G119" i="10"/>
  <c r="F119" i="10"/>
  <c r="S118" i="10"/>
  <c r="P118" i="10"/>
  <c r="O118" i="10"/>
  <c r="N118" i="10"/>
  <c r="M118" i="10"/>
  <c r="L118" i="10"/>
  <c r="K118" i="10"/>
  <c r="J118" i="10"/>
  <c r="I118" i="10"/>
  <c r="H118" i="10"/>
  <c r="G118" i="10"/>
  <c r="F118" i="10"/>
  <c r="X117" i="10"/>
  <c r="W117" i="10"/>
  <c r="V117" i="10"/>
  <c r="U117" i="10"/>
  <c r="T117" i="10"/>
  <c r="S117" i="10"/>
  <c r="R117" i="10"/>
  <c r="Q117" i="10"/>
  <c r="P117" i="10"/>
  <c r="O117" i="10"/>
  <c r="N117" i="10"/>
  <c r="L117" i="10"/>
  <c r="K117" i="10"/>
  <c r="I117" i="10"/>
  <c r="H117" i="10"/>
  <c r="G117" i="10"/>
  <c r="F117" i="10"/>
  <c r="X116" i="10"/>
  <c r="W116" i="10"/>
  <c r="V116" i="10"/>
  <c r="U116" i="10"/>
  <c r="T116" i="10"/>
  <c r="S116" i="10"/>
  <c r="R116" i="10"/>
  <c r="Q116" i="10"/>
  <c r="P116" i="10"/>
  <c r="O116" i="10"/>
  <c r="N116" i="10"/>
  <c r="M116" i="10"/>
  <c r="L116" i="10"/>
  <c r="K116" i="10"/>
  <c r="J116" i="10"/>
  <c r="I116" i="10"/>
  <c r="H116" i="10"/>
  <c r="G116" i="10"/>
  <c r="F116" i="10"/>
  <c r="AA115" i="10"/>
  <c r="W115" i="10"/>
  <c r="U115" i="10"/>
  <c r="R115" i="10"/>
  <c r="Q115" i="10"/>
  <c r="P115" i="10"/>
  <c r="O115" i="10"/>
  <c r="N115" i="10"/>
  <c r="M115" i="10"/>
  <c r="L115" i="10"/>
  <c r="I115" i="10"/>
  <c r="H115" i="10"/>
  <c r="G115" i="10"/>
  <c r="F115" i="10"/>
  <c r="AA114" i="10"/>
  <c r="X114" i="10"/>
  <c r="W114" i="10"/>
  <c r="V114" i="10"/>
  <c r="U114" i="10"/>
  <c r="T114" i="10"/>
  <c r="S114" i="10"/>
  <c r="R114" i="10"/>
  <c r="Q114" i="10"/>
  <c r="P114" i="10"/>
  <c r="O114" i="10"/>
  <c r="N114" i="10"/>
  <c r="M114" i="10"/>
  <c r="L114" i="10"/>
  <c r="K114" i="10"/>
  <c r="I114" i="10"/>
  <c r="H114" i="10"/>
  <c r="G114" i="10"/>
  <c r="X113" i="10"/>
  <c r="W113" i="10"/>
  <c r="V113" i="10"/>
  <c r="U113" i="10"/>
  <c r="T113" i="10"/>
  <c r="S113" i="10"/>
  <c r="R113" i="10"/>
  <c r="Q113" i="10"/>
  <c r="P113" i="10"/>
  <c r="O113" i="10"/>
  <c r="N113" i="10"/>
  <c r="M113" i="10"/>
  <c r="L113" i="10"/>
  <c r="K113" i="10"/>
  <c r="J113" i="10"/>
  <c r="I113" i="10"/>
  <c r="H113" i="10"/>
  <c r="G113" i="10"/>
  <c r="F113" i="10"/>
  <c r="X112" i="10"/>
  <c r="W112" i="10"/>
  <c r="V112" i="10"/>
  <c r="U112" i="10"/>
  <c r="T112" i="10"/>
  <c r="S112" i="10"/>
  <c r="R112" i="10"/>
  <c r="Q112" i="10"/>
  <c r="P112" i="10"/>
  <c r="O112" i="10"/>
  <c r="N112" i="10"/>
  <c r="M112" i="10"/>
  <c r="L112" i="10"/>
  <c r="K112" i="10"/>
  <c r="J112" i="10"/>
  <c r="I112" i="10"/>
  <c r="G112" i="10"/>
  <c r="S111" i="10"/>
  <c r="N111" i="10"/>
  <c r="M111" i="10"/>
  <c r="L111" i="10"/>
  <c r="K111" i="10"/>
  <c r="I111" i="10"/>
  <c r="G111" i="10"/>
  <c r="X110" i="10"/>
  <c r="W110" i="10"/>
  <c r="V110" i="10"/>
  <c r="U110" i="10"/>
  <c r="T110" i="10"/>
  <c r="S110" i="10"/>
  <c r="R110" i="10"/>
  <c r="Q110" i="10"/>
  <c r="P110" i="10"/>
  <c r="O110" i="10"/>
  <c r="N110" i="10"/>
  <c r="M110" i="10"/>
  <c r="L110" i="10"/>
  <c r="K110" i="10"/>
  <c r="J110" i="10"/>
  <c r="I110" i="10"/>
  <c r="H110" i="10"/>
  <c r="G110" i="10"/>
  <c r="F110" i="10"/>
  <c r="X109" i="10"/>
  <c r="W109" i="10"/>
  <c r="V109" i="10"/>
  <c r="U109" i="10"/>
  <c r="T109" i="10"/>
  <c r="S109" i="10"/>
  <c r="R109" i="10"/>
  <c r="Q109" i="10"/>
  <c r="P109" i="10"/>
  <c r="O109" i="10"/>
  <c r="N109" i="10"/>
  <c r="M109" i="10"/>
  <c r="L109" i="10"/>
  <c r="K109" i="10"/>
  <c r="J109" i="10"/>
  <c r="I109" i="10"/>
  <c r="H109" i="10"/>
  <c r="G109" i="10"/>
  <c r="F109" i="10"/>
  <c r="X108" i="10"/>
  <c r="W108" i="10"/>
  <c r="V108" i="10"/>
  <c r="U108" i="10"/>
  <c r="T108" i="10"/>
  <c r="S108" i="10"/>
  <c r="R108" i="10"/>
  <c r="Q108" i="10"/>
  <c r="P108" i="10"/>
  <c r="O108" i="10"/>
  <c r="N108" i="10"/>
  <c r="M108" i="10"/>
  <c r="L108" i="10"/>
  <c r="K108" i="10"/>
  <c r="J108" i="10"/>
  <c r="I108" i="10"/>
  <c r="H108" i="10"/>
  <c r="G108" i="10"/>
  <c r="F108" i="10"/>
  <c r="X107" i="10"/>
  <c r="W107" i="10"/>
  <c r="V107" i="10"/>
  <c r="U107" i="10"/>
  <c r="T107" i="10"/>
  <c r="S107" i="10"/>
  <c r="R107" i="10"/>
  <c r="Q107" i="10"/>
  <c r="P107" i="10"/>
  <c r="O107" i="10"/>
  <c r="N107" i="10"/>
  <c r="M107" i="10"/>
  <c r="L107" i="10"/>
  <c r="K107" i="10"/>
  <c r="J107" i="10"/>
  <c r="I107" i="10"/>
  <c r="H107" i="10"/>
  <c r="G107" i="10"/>
  <c r="F107" i="10"/>
  <c r="X106" i="10"/>
  <c r="W106" i="10"/>
  <c r="V106" i="10"/>
  <c r="U106" i="10"/>
  <c r="T106" i="10"/>
  <c r="S106" i="10"/>
  <c r="R106" i="10"/>
  <c r="Q106" i="10"/>
  <c r="P106" i="10"/>
  <c r="O106" i="10"/>
  <c r="N106" i="10"/>
  <c r="M106" i="10"/>
  <c r="L106" i="10"/>
  <c r="K106" i="10"/>
  <c r="J106" i="10"/>
  <c r="I106" i="10"/>
  <c r="H106" i="10"/>
  <c r="G106" i="10"/>
  <c r="F106" i="10"/>
  <c r="X105" i="10"/>
  <c r="W105" i="10"/>
  <c r="V105" i="10"/>
  <c r="U105" i="10"/>
  <c r="T105" i="10"/>
  <c r="S105" i="10"/>
  <c r="R105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X104" i="10"/>
  <c r="W104" i="10"/>
  <c r="V104" i="10"/>
  <c r="U104" i="10"/>
  <c r="T104" i="10"/>
  <c r="S104" i="10"/>
  <c r="R104" i="10"/>
  <c r="Q104" i="10"/>
  <c r="P104" i="10"/>
  <c r="O104" i="10"/>
  <c r="N104" i="10"/>
  <c r="M104" i="10"/>
  <c r="L104" i="10"/>
  <c r="K104" i="10"/>
  <c r="J104" i="10"/>
  <c r="I104" i="10"/>
  <c r="H104" i="10"/>
  <c r="G104" i="10"/>
  <c r="F104" i="10"/>
  <c r="AA103" i="10"/>
  <c r="AA100" i="10"/>
  <c r="Z90" i="10"/>
  <c r="Y90" i="10"/>
  <c r="Z89" i="10"/>
  <c r="Y89" i="10"/>
  <c r="Z88" i="10"/>
  <c r="AA88" i="10" s="1"/>
  <c r="Y88" i="10"/>
  <c r="Z87" i="10"/>
  <c r="G87" i="10"/>
  <c r="AI177" i="10"/>
  <c r="Z86" i="10"/>
  <c r="Z85" i="10"/>
  <c r="Y85" i="10"/>
  <c r="AA85" i="10"/>
  <c r="X84" i="10"/>
  <c r="P84" i="10"/>
  <c r="O84" i="10"/>
  <c r="M84" i="10"/>
  <c r="Z84" i="10" s="1"/>
  <c r="K84" i="10"/>
  <c r="Y84" i="10" s="1"/>
  <c r="I84" i="10"/>
  <c r="T83" i="10"/>
  <c r="M83" i="10"/>
  <c r="K83" i="10"/>
  <c r="Y83" i="10" s="1"/>
  <c r="R82" i="10"/>
  <c r="P82" i="10"/>
  <c r="O82" i="10"/>
  <c r="N82" i="10"/>
  <c r="AP172" i="10"/>
  <c r="M82" i="10"/>
  <c r="K82" i="10"/>
  <c r="J82" i="10"/>
  <c r="I82" i="10"/>
  <c r="W81" i="10"/>
  <c r="M81" i="10"/>
  <c r="I81" i="10"/>
  <c r="Z80" i="10"/>
  <c r="Y80" i="10"/>
  <c r="Z79" i="10"/>
  <c r="Y79" i="10"/>
  <c r="Z78" i="10"/>
  <c r="Y78" i="10"/>
  <c r="Z77" i="10"/>
  <c r="Y77" i="10"/>
  <c r="AA77" i="10" s="1"/>
  <c r="Z76" i="10"/>
  <c r="Y76" i="10"/>
  <c r="Z75" i="10"/>
  <c r="Y75" i="10"/>
  <c r="Z74" i="10"/>
  <c r="Y74" i="10"/>
  <c r="Y73" i="10"/>
  <c r="T57" i="10"/>
  <c r="Z72" i="10"/>
  <c r="Y72" i="10"/>
  <c r="Z71" i="10"/>
  <c r="Y71" i="10"/>
  <c r="V70" i="10"/>
  <c r="AX160" i="10" s="1"/>
  <c r="T70" i="10"/>
  <c r="T56" i="10" s="1"/>
  <c r="S70" i="10"/>
  <c r="S56" i="10"/>
  <c r="Z69" i="10"/>
  <c r="Z68" i="10"/>
  <c r="Y68" i="10"/>
  <c r="AA68" i="10"/>
  <c r="AC67" i="10"/>
  <c r="Z67" i="10"/>
  <c r="AC66" i="10"/>
  <c r="V66" i="10"/>
  <c r="AX156" i="10" s="1"/>
  <c r="U83" i="10"/>
  <c r="AJ156" i="10"/>
  <c r="AH156" i="10"/>
  <c r="Z65" i="10"/>
  <c r="Y65" i="10"/>
  <c r="AC64" i="10"/>
  <c r="Z64" i="10"/>
  <c r="Y64" i="10"/>
  <c r="AC63" i="10"/>
  <c r="Z63" i="10"/>
  <c r="Y63" i="10"/>
  <c r="Z62" i="10"/>
  <c r="Y62" i="10"/>
  <c r="Z61" i="10"/>
  <c r="Y61" i="10"/>
  <c r="AA61" i="10" s="1"/>
  <c r="AD60" i="10"/>
  <c r="Z60" i="10"/>
  <c r="Y60" i="10"/>
  <c r="AA60" i="10" s="1"/>
  <c r="Z59" i="10"/>
  <c r="Y59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AA57" i="10"/>
  <c r="AA102" i="10" s="1"/>
  <c r="X57" i="10"/>
  <c r="W57" i="10"/>
  <c r="V57" i="10"/>
  <c r="U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X56" i="10"/>
  <c r="W56" i="10"/>
  <c r="U56" i="10"/>
  <c r="R56" i="10"/>
  <c r="Q56" i="10"/>
  <c r="P56" i="10"/>
  <c r="O56" i="10"/>
  <c r="N56" i="10"/>
  <c r="AP146" i="10"/>
  <c r="M56" i="10"/>
  <c r="L56" i="10"/>
  <c r="K56" i="10"/>
  <c r="I56" i="10"/>
  <c r="H56" i="10"/>
  <c r="G56" i="10"/>
  <c r="X55" i="10"/>
  <c r="W55" i="10"/>
  <c r="W51" i="10" s="1"/>
  <c r="U55" i="10"/>
  <c r="T55" i="10"/>
  <c r="S55" i="10"/>
  <c r="R55" i="10"/>
  <c r="Q55" i="10"/>
  <c r="P55" i="10"/>
  <c r="P51" i="10" s="1"/>
  <c r="O55" i="10"/>
  <c r="N55" i="10"/>
  <c r="AP145" i="10" s="1"/>
  <c r="M55" i="10"/>
  <c r="AO145" i="10" s="1"/>
  <c r="L55" i="10"/>
  <c r="L51" i="10"/>
  <c r="K55" i="10"/>
  <c r="AM145" i="10" s="1"/>
  <c r="J55" i="10"/>
  <c r="I55" i="10"/>
  <c r="AK145" i="10" s="1"/>
  <c r="G55" i="10"/>
  <c r="AI145" i="10" s="1"/>
  <c r="X54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X53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H52" i="10"/>
  <c r="H50" i="10"/>
  <c r="G53" i="10"/>
  <c r="F53" i="10"/>
  <c r="X52" i="10"/>
  <c r="W52" i="10"/>
  <c r="V52" i="10"/>
  <c r="U52" i="10"/>
  <c r="T52" i="10"/>
  <c r="S52" i="10"/>
  <c r="S50" i="10" s="1"/>
  <c r="R52" i="10"/>
  <c r="Q52" i="10"/>
  <c r="Q50" i="10" s="1"/>
  <c r="P52" i="10"/>
  <c r="O52" i="10"/>
  <c r="N52" i="10"/>
  <c r="M52" i="10"/>
  <c r="M50" i="10" s="1"/>
  <c r="L52" i="10"/>
  <c r="K52" i="10"/>
  <c r="J52" i="10"/>
  <c r="J50" i="10" s="1"/>
  <c r="I52" i="10"/>
  <c r="G52" i="10"/>
  <c r="Y52" i="10" s="1"/>
  <c r="F52" i="10"/>
  <c r="Z45" i="10"/>
  <c r="Z135" i="10" s="1"/>
  <c r="Y45" i="10"/>
  <c r="AA45" i="10" s="1"/>
  <c r="AA135" i="10" s="1"/>
  <c r="Z44" i="10"/>
  <c r="Z134" i="10" s="1"/>
  <c r="Y44" i="10"/>
  <c r="Y134" i="10" s="1"/>
  <c r="Z43" i="10"/>
  <c r="Z133" i="10" s="1"/>
  <c r="Y43" i="10"/>
  <c r="AA43" i="10" s="1"/>
  <c r="AA133" i="10" s="1"/>
  <c r="Z42" i="10"/>
  <c r="Z132" i="10" s="1"/>
  <c r="G42" i="10"/>
  <c r="G132" i="10"/>
  <c r="Z41" i="10"/>
  <c r="Z131" i="10" s="1"/>
  <c r="Y41" i="10"/>
  <c r="Z40" i="10"/>
  <c r="Z130" i="10" s="1"/>
  <c r="Y40" i="10"/>
  <c r="Y130" i="10" s="1"/>
  <c r="M39" i="10"/>
  <c r="M129" i="10" s="1"/>
  <c r="K39" i="10"/>
  <c r="K129" i="10"/>
  <c r="I39" i="10"/>
  <c r="I129" i="10" s="1"/>
  <c r="M38" i="10"/>
  <c r="M128" i="10"/>
  <c r="K38" i="10"/>
  <c r="K128" i="10" s="1"/>
  <c r="N37" i="10"/>
  <c r="M37" i="10"/>
  <c r="M127" i="10" s="1"/>
  <c r="K37" i="10"/>
  <c r="K127" i="10" s="1"/>
  <c r="I37" i="10"/>
  <c r="I127" i="10" s="1"/>
  <c r="M36" i="10"/>
  <c r="M126" i="10" s="1"/>
  <c r="K36" i="10"/>
  <c r="K126" i="10" s="1"/>
  <c r="I36" i="10"/>
  <c r="I126" i="10" s="1"/>
  <c r="F36" i="10"/>
  <c r="Z35" i="10"/>
  <c r="Z125" i="10" s="1"/>
  <c r="Y35" i="10"/>
  <c r="Y125" i="10" s="1"/>
  <c r="Z34" i="10"/>
  <c r="Z124" i="10" s="1"/>
  <c r="Y34" i="10"/>
  <c r="Y124" i="10" s="1"/>
  <c r="Z33" i="10"/>
  <c r="Z123" i="10" s="1"/>
  <c r="Y33" i="10"/>
  <c r="Y123" i="10"/>
  <c r="Z32" i="10"/>
  <c r="Z122" i="10" s="1"/>
  <c r="Y32" i="10"/>
  <c r="Y122" i="10"/>
  <c r="Z31" i="10"/>
  <c r="Z121" i="10" s="1"/>
  <c r="Y31" i="10"/>
  <c r="Y121" i="10"/>
  <c r="Y30" i="10"/>
  <c r="Y120" i="10" s="1"/>
  <c r="X30" i="10"/>
  <c r="Z30" i="10" s="1"/>
  <c r="Z165" i="10" s="1"/>
  <c r="Z29" i="10"/>
  <c r="Z119" i="10" s="1"/>
  <c r="Y29" i="10"/>
  <c r="Y119" i="10"/>
  <c r="Y28" i="10"/>
  <c r="Y118" i="10" s="1"/>
  <c r="X12" i="10"/>
  <c r="X102" i="10" s="1"/>
  <c r="T12" i="10"/>
  <c r="T102" i="10" s="1"/>
  <c r="R12" i="10"/>
  <c r="Q12" i="10"/>
  <c r="Q102" i="10"/>
  <c r="M12" i="10"/>
  <c r="Y27" i="10"/>
  <c r="Y117" i="10"/>
  <c r="Z26" i="10"/>
  <c r="Z116" i="10" s="1"/>
  <c r="Y26" i="10"/>
  <c r="Y116" i="10" s="1"/>
  <c r="Z25" i="10"/>
  <c r="Z24" i="10"/>
  <c r="J69" i="10"/>
  <c r="F24" i="10"/>
  <c r="Y24" i="10" s="1"/>
  <c r="Z23" i="10"/>
  <c r="Z113" i="10" s="1"/>
  <c r="Y23" i="10"/>
  <c r="Y113" i="10" s="1"/>
  <c r="Z22" i="10"/>
  <c r="Z112" i="10" s="1"/>
  <c r="F42" i="10"/>
  <c r="Y42" i="10" s="1"/>
  <c r="X10" i="10"/>
  <c r="W36" i="10"/>
  <c r="Z36" i="10" s="1"/>
  <c r="W126" i="10"/>
  <c r="T38" i="10"/>
  <c r="R10" i="10"/>
  <c r="Q10" i="10"/>
  <c r="Q100" i="10" s="1"/>
  <c r="O37" i="10"/>
  <c r="J37" i="10"/>
  <c r="J127" i="10"/>
  <c r="H36" i="10"/>
  <c r="Z20" i="10"/>
  <c r="Z110" i="10" s="1"/>
  <c r="Y20" i="10"/>
  <c r="Y110" i="10" s="1"/>
  <c r="Z19" i="10"/>
  <c r="Z109" i="10" s="1"/>
  <c r="Y19" i="10"/>
  <c r="Y109" i="10" s="1"/>
  <c r="Z18" i="10"/>
  <c r="Z108" i="10" s="1"/>
  <c r="Y18" i="10"/>
  <c r="Y108" i="10" s="1"/>
  <c r="Z17" i="10"/>
  <c r="Z107" i="10"/>
  <c r="Y17" i="10"/>
  <c r="Y107" i="10" s="1"/>
  <c r="Z16" i="10"/>
  <c r="Z106" i="10"/>
  <c r="Y16" i="10"/>
  <c r="Y106" i="10" s="1"/>
  <c r="Z15" i="10"/>
  <c r="Z105" i="10"/>
  <c r="Y15" i="10"/>
  <c r="Y105" i="10" s="1"/>
  <c r="Z14" i="10"/>
  <c r="Z104" i="10" s="1"/>
  <c r="Y14" i="10"/>
  <c r="Y104" i="10" s="1"/>
  <c r="W13" i="10"/>
  <c r="W103" i="10"/>
  <c r="V13" i="10"/>
  <c r="V103" i="10" s="1"/>
  <c r="U13" i="10"/>
  <c r="U103" i="10" s="1"/>
  <c r="T13" i="10"/>
  <c r="T103" i="10" s="1"/>
  <c r="S13" i="10"/>
  <c r="S103" i="10" s="1"/>
  <c r="R13" i="10"/>
  <c r="R103" i="10" s="1"/>
  <c r="Q13" i="10"/>
  <c r="Q103" i="10" s="1"/>
  <c r="P13" i="10"/>
  <c r="P103" i="10" s="1"/>
  <c r="O13" i="10"/>
  <c r="O103" i="10"/>
  <c r="N13" i="10"/>
  <c r="N103" i="10" s="1"/>
  <c r="M13" i="10"/>
  <c r="M103" i="10"/>
  <c r="L13" i="10"/>
  <c r="L103" i="10" s="1"/>
  <c r="K13" i="10"/>
  <c r="K103" i="10"/>
  <c r="J13" i="10"/>
  <c r="J103" i="10" s="1"/>
  <c r="I13" i="10"/>
  <c r="I103" i="10" s="1"/>
  <c r="H13" i="10"/>
  <c r="H103" i="10" s="1"/>
  <c r="G13" i="10"/>
  <c r="G103" i="10"/>
  <c r="F13" i="10"/>
  <c r="F103" i="10" s="1"/>
  <c r="W12" i="10"/>
  <c r="V12" i="10"/>
  <c r="V102" i="10" s="1"/>
  <c r="U12" i="10"/>
  <c r="U102" i="10" s="1"/>
  <c r="S12" i="10"/>
  <c r="S102" i="10" s="1"/>
  <c r="P12" i="10"/>
  <c r="P102" i="10"/>
  <c r="O12" i="10"/>
  <c r="O102" i="10" s="1"/>
  <c r="N12" i="10"/>
  <c r="N102" i="10" s="1"/>
  <c r="L12" i="10"/>
  <c r="L102" i="10" s="1"/>
  <c r="K12" i="10"/>
  <c r="K102" i="10" s="1"/>
  <c r="I12" i="10"/>
  <c r="I102" i="10" s="1"/>
  <c r="H12" i="10"/>
  <c r="H102" i="10"/>
  <c r="G12" i="10"/>
  <c r="G102" i="10" s="1"/>
  <c r="F12" i="10"/>
  <c r="F102" i="10"/>
  <c r="X11" i="10"/>
  <c r="X101" i="10" s="1"/>
  <c r="W11" i="10"/>
  <c r="W101" i="10"/>
  <c r="V11" i="10"/>
  <c r="V146" i="10" s="1"/>
  <c r="U11" i="10"/>
  <c r="U101" i="10" s="1"/>
  <c r="T11" i="10"/>
  <c r="S11" i="10"/>
  <c r="R11" i="10"/>
  <c r="R101" i="10" s="1"/>
  <c r="Q11" i="10"/>
  <c r="Q101" i="10" s="1"/>
  <c r="P11" i="10"/>
  <c r="P101" i="10" s="1"/>
  <c r="O11" i="10"/>
  <c r="O101" i="10" s="1"/>
  <c r="N11" i="10"/>
  <c r="M11" i="10"/>
  <c r="M101" i="10"/>
  <c r="L11" i="10"/>
  <c r="L101" i="10" s="1"/>
  <c r="I11" i="10"/>
  <c r="I101" i="10"/>
  <c r="H11" i="10"/>
  <c r="H101" i="10" s="1"/>
  <c r="G11" i="10"/>
  <c r="G101" i="10"/>
  <c r="F11" i="10"/>
  <c r="F146" i="10" s="1"/>
  <c r="W10" i="10"/>
  <c r="V10" i="10"/>
  <c r="V6" i="10" s="1"/>
  <c r="U10" i="10"/>
  <c r="T10" i="10"/>
  <c r="T100" i="10"/>
  <c r="S10" i="10"/>
  <c r="S100" i="10"/>
  <c r="P10" i="10"/>
  <c r="P100" i="10" s="1"/>
  <c r="O10" i="10"/>
  <c r="Z10" i="10" s="1"/>
  <c r="N10" i="10"/>
  <c r="L10" i="10"/>
  <c r="L100" i="10"/>
  <c r="K10" i="10"/>
  <c r="K145" i="10" s="1"/>
  <c r="I24" i="20" s="1"/>
  <c r="J10" i="10"/>
  <c r="I10" i="10"/>
  <c r="I6" i="10" s="1"/>
  <c r="G10" i="10"/>
  <c r="G145" i="10" s="1"/>
  <c r="E24" i="20" s="1"/>
  <c r="F10" i="10"/>
  <c r="X9" i="10"/>
  <c r="X99" i="10" s="1"/>
  <c r="W9" i="10"/>
  <c r="W99" i="10"/>
  <c r="V9" i="10"/>
  <c r="V99" i="10"/>
  <c r="U9" i="10"/>
  <c r="U99" i="10"/>
  <c r="T9" i="10"/>
  <c r="T99" i="10" s="1"/>
  <c r="S9" i="10"/>
  <c r="S99" i="10"/>
  <c r="R9" i="10"/>
  <c r="R99" i="10"/>
  <c r="Q9" i="10"/>
  <c r="Q99" i="10"/>
  <c r="P9" i="10"/>
  <c r="P99" i="10" s="1"/>
  <c r="O9" i="10"/>
  <c r="O99" i="10"/>
  <c r="N9" i="10"/>
  <c r="N99" i="10" s="1"/>
  <c r="M9" i="10"/>
  <c r="M99" i="10" s="1"/>
  <c r="L9" i="10"/>
  <c r="L99" i="10"/>
  <c r="K9" i="10"/>
  <c r="K99" i="10" s="1"/>
  <c r="J9" i="10"/>
  <c r="J99" i="10" s="1"/>
  <c r="I9" i="10"/>
  <c r="I99" i="10" s="1"/>
  <c r="H9" i="10"/>
  <c r="H99" i="10"/>
  <c r="G9" i="10"/>
  <c r="G99" i="10" s="1"/>
  <c r="F9" i="10"/>
  <c r="F99" i="10" s="1"/>
  <c r="X8" i="10"/>
  <c r="X98" i="10" s="1"/>
  <c r="W8" i="10"/>
  <c r="W98" i="10"/>
  <c r="V8" i="10"/>
  <c r="V98" i="10" s="1"/>
  <c r="U8" i="10"/>
  <c r="U98" i="10" s="1"/>
  <c r="T8" i="10"/>
  <c r="T98" i="10" s="1"/>
  <c r="S8" i="10"/>
  <c r="S98" i="10" s="1"/>
  <c r="R8" i="10"/>
  <c r="R98" i="10" s="1"/>
  <c r="Q8" i="10"/>
  <c r="Q98" i="10" s="1"/>
  <c r="P8" i="10"/>
  <c r="P98" i="10" s="1"/>
  <c r="O8" i="10"/>
  <c r="O98" i="10"/>
  <c r="N8" i="10"/>
  <c r="M8" i="10"/>
  <c r="M98" i="10" s="1"/>
  <c r="L8" i="10"/>
  <c r="L98" i="10" s="1"/>
  <c r="K8" i="10"/>
  <c r="K98" i="10" s="1"/>
  <c r="J8" i="10"/>
  <c r="J98" i="10" s="1"/>
  <c r="I8" i="10"/>
  <c r="I98" i="10" s="1"/>
  <c r="H8" i="10"/>
  <c r="H98" i="10" s="1"/>
  <c r="G8" i="10"/>
  <c r="G98" i="10" s="1"/>
  <c r="F8" i="10"/>
  <c r="F98" i="10" s="1"/>
  <c r="X7" i="10"/>
  <c r="X97" i="10" s="1"/>
  <c r="W7" i="10"/>
  <c r="W5" i="10" s="1"/>
  <c r="W95" i="10" s="1"/>
  <c r="V7" i="10"/>
  <c r="V97" i="10" s="1"/>
  <c r="U7" i="10"/>
  <c r="U5" i="10" s="1"/>
  <c r="U95" i="10" s="1"/>
  <c r="T7" i="10"/>
  <c r="T97" i="10" s="1"/>
  <c r="S7" i="10"/>
  <c r="S97" i="10" s="1"/>
  <c r="R7" i="10"/>
  <c r="R97" i="10" s="1"/>
  <c r="Q7" i="10"/>
  <c r="Q97" i="10" s="1"/>
  <c r="P7" i="10"/>
  <c r="P97" i="10" s="1"/>
  <c r="O7" i="10"/>
  <c r="O97" i="10" s="1"/>
  <c r="N7" i="10"/>
  <c r="M7" i="10"/>
  <c r="M97" i="10"/>
  <c r="L7" i="10"/>
  <c r="L97" i="10" s="1"/>
  <c r="K7" i="10"/>
  <c r="K97" i="10" s="1"/>
  <c r="J7" i="10"/>
  <c r="J97" i="10" s="1"/>
  <c r="I7" i="10"/>
  <c r="I97" i="10"/>
  <c r="H7" i="10"/>
  <c r="H97" i="10" s="1"/>
  <c r="G7" i="10"/>
  <c r="Y7" i="10" s="1"/>
  <c r="Y97" i="10" s="1"/>
  <c r="F7" i="10"/>
  <c r="F97" i="10" s="1"/>
  <c r="S5" i="10"/>
  <c r="S95" i="10" s="1"/>
  <c r="K5" i="10"/>
  <c r="K95" i="10" s="1"/>
  <c r="AU190" i="10"/>
  <c r="V39" i="20" s="1"/>
  <c r="V7" i="20"/>
  <c r="F50" i="10"/>
  <c r="V50" i="10"/>
  <c r="AA62" i="10"/>
  <c r="AA78" i="10"/>
  <c r="Z81" i="10"/>
  <c r="AA90" i="10"/>
  <c r="AA59" i="10"/>
  <c r="L50" i="10"/>
  <c r="P50" i="10"/>
  <c r="AC51" i="10" s="1"/>
  <c r="X50" i="10"/>
  <c r="I50" i="10"/>
  <c r="U50" i="10"/>
  <c r="S51" i="10"/>
  <c r="AA89" i="10"/>
  <c r="AI82" i="10"/>
  <c r="AJ82" i="10"/>
  <c r="AA29" i="10"/>
  <c r="Y58" i="10"/>
  <c r="AA65" i="10"/>
  <c r="Z234" i="10"/>
  <c r="AD303" i="10"/>
  <c r="N6" i="10"/>
  <c r="AA74" i="10"/>
  <c r="Z189" i="10"/>
  <c r="BB144" i="10" s="1"/>
  <c r="P6" i="10"/>
  <c r="G185" i="10"/>
  <c r="AI185" i="10" s="1"/>
  <c r="K185" i="10"/>
  <c r="W185" i="10"/>
  <c r="W140" i="10" s="1"/>
  <c r="Y189" i="10"/>
  <c r="T236" i="10"/>
  <c r="S191" i="10"/>
  <c r="AU146" i="10"/>
  <c r="T6" i="10"/>
  <c r="BA147" i="11"/>
  <c r="AT141" i="11"/>
  <c r="R141" i="11"/>
  <c r="AS141" i="11"/>
  <c r="Q141" i="11"/>
  <c r="AB38" i="11"/>
  <c r="M102" i="10"/>
  <c r="N51" i="10"/>
  <c r="AP201" i="10"/>
  <c r="I51" i="10"/>
  <c r="AO201" i="10"/>
  <c r="Y57" i="10"/>
  <c r="J12" i="10"/>
  <c r="J102" i="10" s="1"/>
  <c r="J56" i="10"/>
  <c r="J51" i="10" s="1"/>
  <c r="Y70" i="10"/>
  <c r="R100" i="10"/>
  <c r="J11" i="10"/>
  <c r="AA72" i="10"/>
  <c r="O127" i="10"/>
  <c r="M6" i="10"/>
  <c r="Y8" i="10"/>
  <c r="Y98" i="10" s="1"/>
  <c r="N145" i="10"/>
  <c r="Q24" i="20" s="1"/>
  <c r="N100" i="10"/>
  <c r="V145" i="10"/>
  <c r="Y24" i="20" s="1"/>
  <c r="X13" i="10"/>
  <c r="X103" i="10" s="1"/>
  <c r="AA15" i="10"/>
  <c r="AA105" i="10" s="1"/>
  <c r="F156" i="10"/>
  <c r="P111" i="10"/>
  <c r="Z21" i="10"/>
  <c r="Y22" i="10"/>
  <c r="J207" i="10"/>
  <c r="U208" i="10"/>
  <c r="P129" i="10"/>
  <c r="AA44" i="10"/>
  <c r="V56" i="10"/>
  <c r="AA80" i="10"/>
  <c r="N98" i="10"/>
  <c r="K100" i="10"/>
  <c r="Y13" i="10"/>
  <c r="Y103" i="10" s="1"/>
  <c r="H156" i="10"/>
  <c r="H111" i="10"/>
  <c r="M207" i="10"/>
  <c r="Q208" i="10"/>
  <c r="V208" i="10"/>
  <c r="V192" i="10" s="1"/>
  <c r="Z28" i="10"/>
  <c r="U38" i="10"/>
  <c r="U128" i="10" s="1"/>
  <c r="Q39" i="10"/>
  <c r="Q129" i="10" s="1"/>
  <c r="AH157" i="10"/>
  <c r="F87" i="10"/>
  <c r="AU160" i="10"/>
  <c r="N97" i="10"/>
  <c r="W6" i="10"/>
  <c r="G100" i="10"/>
  <c r="S146" i="10"/>
  <c r="S101" i="10"/>
  <c r="J111" i="10"/>
  <c r="F267" i="10"/>
  <c r="AH222" i="10" s="1"/>
  <c r="F157" i="10"/>
  <c r="F69" i="10"/>
  <c r="J205" i="10"/>
  <c r="R208" i="10"/>
  <c r="W208" i="10"/>
  <c r="AY208" i="10" s="1"/>
  <c r="AA34" i="10"/>
  <c r="AA124" i="10" s="1"/>
  <c r="P37" i="10"/>
  <c r="P127" i="10" s="1"/>
  <c r="X39" i="10"/>
  <c r="X129" i="10"/>
  <c r="K51" i="10"/>
  <c r="F55" i="10"/>
  <c r="Y66" i="10"/>
  <c r="AA76" i="10"/>
  <c r="M100" i="10"/>
  <c r="X146" i="10"/>
  <c r="AA16" i="10"/>
  <c r="AA106" i="10" s="1"/>
  <c r="O111" i="10"/>
  <c r="Y21" i="10"/>
  <c r="Y156" i="10" s="1"/>
  <c r="H267" i="10"/>
  <c r="AJ222" i="10" s="1"/>
  <c r="H157" i="10"/>
  <c r="J204" i="10"/>
  <c r="AL204" i="10" s="1"/>
  <c r="AA26" i="10"/>
  <c r="AA116" i="10" s="1"/>
  <c r="Z27" i="10"/>
  <c r="Z117" i="10"/>
  <c r="T208" i="10"/>
  <c r="X208" i="10"/>
  <c r="X210" i="10"/>
  <c r="X255" i="10"/>
  <c r="X238" i="10" s="1"/>
  <c r="F37" i="10"/>
  <c r="Y37" i="10" s="1"/>
  <c r="R37" i="10"/>
  <c r="R127" i="10" s="1"/>
  <c r="O39" i="10"/>
  <c r="Y39" i="10"/>
  <c r="Y67" i="10"/>
  <c r="AA67" i="10" s="1"/>
  <c r="Z73" i="10"/>
  <c r="H81" i="10"/>
  <c r="AJ171" i="10"/>
  <c r="G171" i="10"/>
  <c r="G172" i="10"/>
  <c r="G173" i="10"/>
  <c r="G174" i="10"/>
  <c r="G176" i="10"/>
  <c r="K176" i="10"/>
  <c r="G177" i="10"/>
  <c r="K177" i="10"/>
  <c r="G178" i="10"/>
  <c r="K178" i="10"/>
  <c r="G179" i="10"/>
  <c r="K179" i="10"/>
  <c r="Z188" i="10"/>
  <c r="AH192" i="10"/>
  <c r="N186" i="10"/>
  <c r="Y187" i="10"/>
  <c r="BA142" i="10" s="1"/>
  <c r="AH187" i="10"/>
  <c r="AN190" i="10"/>
  <c r="J176" i="10"/>
  <c r="J179" i="10"/>
  <c r="AA197" i="10"/>
  <c r="I219" i="10"/>
  <c r="I217" i="10"/>
  <c r="I216" i="10"/>
  <c r="Y216" i="10" s="1"/>
  <c r="AK201" i="10"/>
  <c r="AH202" i="10"/>
  <c r="Z204" i="10"/>
  <c r="BB159" i="10" s="1"/>
  <c r="AP193" i="10"/>
  <c r="AA194" i="10"/>
  <c r="Y202" i="10"/>
  <c r="AA195" i="10"/>
  <c r="BC195" i="10" s="1"/>
  <c r="AA199" i="10"/>
  <c r="BC154" i="10" s="1"/>
  <c r="F216" i="10"/>
  <c r="F217" i="10"/>
  <c r="K217" i="10"/>
  <c r="AM172" i="10" s="1"/>
  <c r="K218" i="10"/>
  <c r="Y218" i="10" s="1"/>
  <c r="K219" i="10"/>
  <c r="Y201" i="10"/>
  <c r="AM201" i="10"/>
  <c r="AA203" i="10"/>
  <c r="BC203" i="10" s="1"/>
  <c r="M218" i="10"/>
  <c r="M219" i="10"/>
  <c r="AO219" i="10" s="1"/>
  <c r="M216" i="10"/>
  <c r="M217" i="10"/>
  <c r="AJ201" i="10"/>
  <c r="Y222" i="10"/>
  <c r="I261" i="10"/>
  <c r="AD302" i="10"/>
  <c r="AA225" i="10"/>
  <c r="AA180" i="10" s="1"/>
  <c r="M261" i="10"/>
  <c r="K262" i="10"/>
  <c r="I264" i="10"/>
  <c r="AB303" i="10"/>
  <c r="AA214" i="10"/>
  <c r="M262" i="10"/>
  <c r="K263" i="10"/>
  <c r="AC303" i="10"/>
  <c r="M263" i="10"/>
  <c r="Y144" i="10"/>
  <c r="BB189" i="10"/>
  <c r="AY185" i="10"/>
  <c r="AY140" i="10"/>
  <c r="AI140" i="10"/>
  <c r="G140" i="10"/>
  <c r="H131" i="10"/>
  <c r="Y86" i="10"/>
  <c r="AU191" i="10"/>
  <c r="S186" i="10"/>
  <c r="AJ202" i="10"/>
  <c r="Z38" i="10"/>
  <c r="BA201" i="10"/>
  <c r="BA156" i="10"/>
  <c r="BB204" i="10"/>
  <c r="Z159" i="10"/>
  <c r="AA152" i="10"/>
  <c r="AM219" i="10"/>
  <c r="AM174" i="10"/>
  <c r="BA202" i="10"/>
  <c r="BA157" i="10"/>
  <c r="O129" i="10"/>
  <c r="Z39" i="10"/>
  <c r="AN209" i="10"/>
  <c r="AA209" i="10"/>
  <c r="BC164" i="10" s="1"/>
  <c r="AN164" i="10"/>
  <c r="AL159" i="10"/>
  <c r="W192" i="10"/>
  <c r="AY163" i="10"/>
  <c r="AL205" i="10"/>
  <c r="Y205" i="10"/>
  <c r="AL160" i="10"/>
  <c r="X264" i="10"/>
  <c r="J217" i="10"/>
  <c r="Y217" i="10" s="1"/>
  <c r="BA217" i="10" s="1"/>
  <c r="AL201" i="10"/>
  <c r="AL156" i="10"/>
  <c r="AS208" i="10"/>
  <c r="Q192" i="10"/>
  <c r="AS163" i="10"/>
  <c r="AW208" i="10"/>
  <c r="U192" i="10"/>
  <c r="AW163" i="10"/>
  <c r="AL207" i="10"/>
  <c r="Y207" i="10"/>
  <c r="AL162" i="10"/>
  <c r="J192" i="10"/>
  <c r="F262" i="10"/>
  <c r="AH217" i="10" s="1"/>
  <c r="F261" i="10"/>
  <c r="AH216" i="10"/>
  <c r="AH201" i="10"/>
  <c r="AO218" i="10"/>
  <c r="M173" i="10"/>
  <c r="AO173" i="10"/>
  <c r="Y111" i="10"/>
  <c r="F180" i="10"/>
  <c r="F179" i="10"/>
  <c r="F178" i="10"/>
  <c r="F177" i="10"/>
  <c r="F176" i="10"/>
  <c r="J262" i="10"/>
  <c r="W261" i="10"/>
  <c r="H175" i="10"/>
  <c r="H174" i="10"/>
  <c r="H173" i="10"/>
  <c r="H172" i="10"/>
  <c r="H171" i="10"/>
  <c r="H126" i="10"/>
  <c r="AK217" i="10"/>
  <c r="BC225" i="10"/>
  <c r="BC180" i="10"/>
  <c r="Y177" i="10"/>
  <c r="AO217" i="10"/>
  <c r="AO172" i="10"/>
  <c r="AM217" i="10"/>
  <c r="AA150" i="10"/>
  <c r="Y219" i="10"/>
  <c r="Y174" i="10" s="1"/>
  <c r="AK219" i="10"/>
  <c r="AK174" i="10"/>
  <c r="AT208" i="10"/>
  <c r="R192" i="10"/>
  <c r="R147" i="10" s="1"/>
  <c r="AT163" i="10"/>
  <c r="R262" i="10"/>
  <c r="AH177" i="10"/>
  <c r="AX208" i="10"/>
  <c r="AX163" i="10"/>
  <c r="H261" i="10"/>
  <c r="AJ216" i="10" s="1"/>
  <c r="AA27" i="10"/>
  <c r="AA117" i="10" s="1"/>
  <c r="BC161" i="10"/>
  <c r="AO216" i="10"/>
  <c r="BB188" i="10"/>
  <c r="AZ210" i="10"/>
  <c r="Z210" i="10"/>
  <c r="BB210" i="10" s="1"/>
  <c r="X193" i="10"/>
  <c r="AZ148" i="10" s="1"/>
  <c r="AZ165" i="10"/>
  <c r="AZ208" i="10"/>
  <c r="X192" i="10"/>
  <c r="AZ163" i="10"/>
  <c r="F172" i="10"/>
  <c r="AA86" i="10"/>
  <c r="Y131" i="10"/>
  <c r="AA39" i="10"/>
  <c r="U147" i="10"/>
  <c r="AW147" i="10"/>
  <c r="W147" i="10"/>
  <c r="AZ192" i="10"/>
  <c r="X147" i="10"/>
  <c r="BA207" i="10"/>
  <c r="Y162" i="10"/>
  <c r="BA162" i="10"/>
  <c r="BA205" i="10"/>
  <c r="BA160" i="10"/>
  <c r="L186" i="10"/>
  <c r="AN147" i="10"/>
  <c r="BC209" i="10"/>
  <c r="J147" i="10"/>
  <c r="AS147" i="10"/>
  <c r="J145" i="10"/>
  <c r="H24" i="20" s="1"/>
  <c r="L74" i="9"/>
  <c r="L57" i="9" s="1"/>
  <c r="N69" i="9"/>
  <c r="Z69" i="9" s="1"/>
  <c r="N24" i="9"/>
  <c r="J297" i="9"/>
  <c r="M297" i="9"/>
  <c r="L299" i="9"/>
  <c r="U291" i="9"/>
  <c r="V291" i="9"/>
  <c r="W291" i="9"/>
  <c r="X291" i="9"/>
  <c r="T291" i="9"/>
  <c r="R291" i="9"/>
  <c r="Q291" i="9"/>
  <c r="P291" i="9"/>
  <c r="O291" i="9"/>
  <c r="N291" i="9"/>
  <c r="M291" i="9"/>
  <c r="K291" i="9"/>
  <c r="J291" i="9"/>
  <c r="I291" i="9"/>
  <c r="H291" i="9"/>
  <c r="H292" i="9"/>
  <c r="G292" i="9"/>
  <c r="F292" i="9"/>
  <c r="F291" i="9"/>
  <c r="V75" i="9"/>
  <c r="T115" i="9"/>
  <c r="X118" i="9"/>
  <c r="W118" i="9"/>
  <c r="V118" i="9"/>
  <c r="U118" i="9"/>
  <c r="R118" i="9"/>
  <c r="L119" i="9"/>
  <c r="M117" i="9"/>
  <c r="J117" i="9"/>
  <c r="J115" i="9"/>
  <c r="J114" i="9"/>
  <c r="F114" i="9"/>
  <c r="X73" i="9"/>
  <c r="W73" i="9"/>
  <c r="U73" i="9"/>
  <c r="U66" i="9"/>
  <c r="T66" i="9"/>
  <c r="Q66" i="9"/>
  <c r="X66" i="9"/>
  <c r="W66" i="9"/>
  <c r="M72" i="9"/>
  <c r="Z72" i="9" s="1"/>
  <c r="K69" i="9"/>
  <c r="J72" i="9"/>
  <c r="J57" i="9" s="1"/>
  <c r="H67" i="9"/>
  <c r="H66" i="9"/>
  <c r="F67" i="9"/>
  <c r="F87" i="9" s="1"/>
  <c r="F66" i="9"/>
  <c r="K24" i="9"/>
  <c r="K204" i="9" s="1"/>
  <c r="H22" i="9"/>
  <c r="H21" i="9"/>
  <c r="F22" i="9"/>
  <c r="F42" i="9" s="1"/>
  <c r="F21" i="9"/>
  <c r="F202" i="9"/>
  <c r="F201" i="9"/>
  <c r="AH156" i="9" s="1"/>
  <c r="AD301" i="9"/>
  <c r="AC301" i="9"/>
  <c r="AB301" i="9"/>
  <c r="AD300" i="9"/>
  <c r="AC300" i="9"/>
  <c r="AC302" i="9" s="1"/>
  <c r="AB300" i="9"/>
  <c r="AB302" i="9"/>
  <c r="AA270" i="9"/>
  <c r="Z270" i="9"/>
  <c r="Y270" i="9"/>
  <c r="AA269" i="9"/>
  <c r="Z269" i="9"/>
  <c r="Y269" i="9"/>
  <c r="AA268" i="9"/>
  <c r="Z268" i="9"/>
  <c r="Y268" i="9"/>
  <c r="AA267" i="9"/>
  <c r="Z267" i="9"/>
  <c r="Y267" i="9"/>
  <c r="AA266" i="9"/>
  <c r="Z266" i="9"/>
  <c r="Y266" i="9"/>
  <c r="AA265" i="9"/>
  <c r="Z265" i="9"/>
  <c r="Y265" i="9"/>
  <c r="AA264" i="9"/>
  <c r="Z264" i="9"/>
  <c r="Y264" i="9"/>
  <c r="AA263" i="9"/>
  <c r="Z263" i="9"/>
  <c r="Y263" i="9"/>
  <c r="AA262" i="9"/>
  <c r="Z262" i="9"/>
  <c r="Y262" i="9"/>
  <c r="AA261" i="9"/>
  <c r="Z261" i="9"/>
  <c r="Y261" i="9"/>
  <c r="AA260" i="9"/>
  <c r="Z260" i="9"/>
  <c r="Y260" i="9"/>
  <c r="X260" i="9"/>
  <c r="W260" i="9"/>
  <c r="V260" i="9"/>
  <c r="U260" i="9"/>
  <c r="T260" i="9"/>
  <c r="S260" i="9"/>
  <c r="R260" i="9"/>
  <c r="Q260" i="9"/>
  <c r="P260" i="9"/>
  <c r="O260" i="9"/>
  <c r="N260" i="9"/>
  <c r="M260" i="9"/>
  <c r="L260" i="9"/>
  <c r="K260" i="9"/>
  <c r="J260" i="9"/>
  <c r="I260" i="9"/>
  <c r="H260" i="9"/>
  <c r="G260" i="9"/>
  <c r="F260" i="9"/>
  <c r="AA259" i="9"/>
  <c r="Z259" i="9"/>
  <c r="Y259" i="9"/>
  <c r="X259" i="9"/>
  <c r="W259" i="9"/>
  <c r="V259" i="9"/>
  <c r="U259" i="9"/>
  <c r="T259" i="9"/>
  <c r="S259" i="9"/>
  <c r="R259" i="9"/>
  <c r="Q259" i="9"/>
  <c r="P259" i="9"/>
  <c r="O259" i="9"/>
  <c r="N259" i="9"/>
  <c r="M259" i="9"/>
  <c r="L259" i="9"/>
  <c r="K259" i="9"/>
  <c r="J259" i="9"/>
  <c r="I259" i="9"/>
  <c r="H259" i="9"/>
  <c r="G259" i="9"/>
  <c r="F259" i="9"/>
  <c r="AA258" i="9"/>
  <c r="Z258" i="9"/>
  <c r="Y258" i="9"/>
  <c r="X258" i="9"/>
  <c r="W258" i="9"/>
  <c r="V258" i="9"/>
  <c r="U258" i="9"/>
  <c r="T258" i="9"/>
  <c r="S258" i="9"/>
  <c r="R258" i="9"/>
  <c r="Q258" i="9"/>
  <c r="P258" i="9"/>
  <c r="O258" i="9"/>
  <c r="N258" i="9"/>
  <c r="M258" i="9"/>
  <c r="L258" i="9"/>
  <c r="K258" i="9"/>
  <c r="J258" i="9"/>
  <c r="I258" i="9"/>
  <c r="H258" i="9"/>
  <c r="G258" i="9"/>
  <c r="F258" i="9"/>
  <c r="AA257" i="9"/>
  <c r="Z257" i="9"/>
  <c r="Y257" i="9"/>
  <c r="X257" i="9"/>
  <c r="W257" i="9"/>
  <c r="V257" i="9"/>
  <c r="U257" i="9"/>
  <c r="T257" i="9"/>
  <c r="S257" i="9"/>
  <c r="R257" i="9"/>
  <c r="Q257" i="9"/>
  <c r="P257" i="9"/>
  <c r="O257" i="9"/>
  <c r="N257" i="9"/>
  <c r="M257" i="9"/>
  <c r="L257" i="9"/>
  <c r="K257" i="9"/>
  <c r="J257" i="9"/>
  <c r="I257" i="9"/>
  <c r="H257" i="9"/>
  <c r="G257" i="9"/>
  <c r="F257" i="9"/>
  <c r="AA256" i="9"/>
  <c r="Z256" i="9"/>
  <c r="Y256" i="9"/>
  <c r="X256" i="9"/>
  <c r="W256" i="9"/>
  <c r="V256" i="9"/>
  <c r="U256" i="9"/>
  <c r="T256" i="9"/>
  <c r="S256" i="9"/>
  <c r="R256" i="9"/>
  <c r="Q256" i="9"/>
  <c r="P256" i="9"/>
  <c r="O256" i="9"/>
  <c r="N256" i="9"/>
  <c r="M256" i="9"/>
  <c r="L256" i="9"/>
  <c r="K256" i="9"/>
  <c r="J256" i="9"/>
  <c r="I256" i="9"/>
  <c r="H256" i="9"/>
  <c r="G256" i="9"/>
  <c r="F256" i="9"/>
  <c r="AA255" i="9"/>
  <c r="Z255" i="9"/>
  <c r="Y255" i="9"/>
  <c r="W255" i="9"/>
  <c r="W238" i="9" s="1"/>
  <c r="V255" i="9"/>
  <c r="V238" i="9" s="1"/>
  <c r="U255" i="9"/>
  <c r="T255" i="9"/>
  <c r="S255" i="9"/>
  <c r="S238" i="9" s="1"/>
  <c r="R255" i="9"/>
  <c r="R238" i="9" s="1"/>
  <c r="Q255" i="9"/>
  <c r="P255" i="9"/>
  <c r="O255" i="9"/>
  <c r="N255" i="9"/>
  <c r="N238" i="9" s="1"/>
  <c r="M255" i="9"/>
  <c r="L255" i="9"/>
  <c r="K255" i="9"/>
  <c r="K238" i="9" s="1"/>
  <c r="J255" i="9"/>
  <c r="J238" i="9" s="1"/>
  <c r="I255" i="9"/>
  <c r="H255" i="9"/>
  <c r="G255" i="9"/>
  <c r="G238" i="9" s="1"/>
  <c r="F255" i="9"/>
  <c r="F238" i="9" s="1"/>
  <c r="AA254" i="9"/>
  <c r="Z254" i="9"/>
  <c r="Y254" i="9"/>
  <c r="X254" i="9"/>
  <c r="W254" i="9"/>
  <c r="V254" i="9"/>
  <c r="U254" i="9"/>
  <c r="T254" i="9"/>
  <c r="S254" i="9"/>
  <c r="R254" i="9"/>
  <c r="Q254" i="9"/>
  <c r="P254" i="9"/>
  <c r="O254" i="9"/>
  <c r="N254" i="9"/>
  <c r="M254" i="9"/>
  <c r="K254" i="9"/>
  <c r="J254" i="9"/>
  <c r="I254" i="9"/>
  <c r="H254" i="9"/>
  <c r="H237" i="9" s="1"/>
  <c r="G254" i="9"/>
  <c r="F254" i="9"/>
  <c r="AA253" i="9"/>
  <c r="Z253" i="9"/>
  <c r="Y253" i="9"/>
  <c r="S253" i="9"/>
  <c r="P253" i="9"/>
  <c r="O253" i="9"/>
  <c r="O237" i="9" s="1"/>
  <c r="N253" i="9"/>
  <c r="N237" i="9" s="1"/>
  <c r="M253" i="9"/>
  <c r="L253" i="9"/>
  <c r="K253" i="9"/>
  <c r="J253" i="9"/>
  <c r="I253" i="9"/>
  <c r="H253" i="9"/>
  <c r="G253" i="9"/>
  <c r="F253" i="9"/>
  <c r="AA252" i="9"/>
  <c r="Z252" i="9"/>
  <c r="Y252" i="9"/>
  <c r="X252" i="9"/>
  <c r="W252" i="9"/>
  <c r="V252" i="9"/>
  <c r="U252" i="9"/>
  <c r="T252" i="9"/>
  <c r="S252" i="9"/>
  <c r="R252" i="9"/>
  <c r="Q252" i="9"/>
  <c r="P252" i="9"/>
  <c r="O252" i="9"/>
  <c r="N252" i="9"/>
  <c r="L252" i="9"/>
  <c r="K252" i="9"/>
  <c r="I252" i="9"/>
  <c r="H252" i="9"/>
  <c r="G252" i="9"/>
  <c r="G237" i="9" s="1"/>
  <c r="F252" i="9"/>
  <c r="F237" i="9" s="1"/>
  <c r="AA251" i="9"/>
  <c r="Z251" i="9"/>
  <c r="Y251" i="9"/>
  <c r="X251" i="9"/>
  <c r="W251" i="9"/>
  <c r="V251" i="9"/>
  <c r="U251" i="9"/>
  <c r="U236" i="9" s="1"/>
  <c r="T251" i="9"/>
  <c r="S251" i="9"/>
  <c r="R251" i="9"/>
  <c r="Q251" i="9"/>
  <c r="Q236" i="9" s="1"/>
  <c r="P251" i="9"/>
  <c r="O251" i="9"/>
  <c r="N251" i="9"/>
  <c r="M251" i="9"/>
  <c r="M236" i="9" s="1"/>
  <c r="L251" i="9"/>
  <c r="K251" i="9"/>
  <c r="J251" i="9"/>
  <c r="I251" i="9"/>
  <c r="H251" i="9"/>
  <c r="G251" i="9"/>
  <c r="F251" i="9"/>
  <c r="AA250" i="9"/>
  <c r="Z250" i="9"/>
  <c r="Y250" i="9"/>
  <c r="X250" i="9"/>
  <c r="W250" i="9"/>
  <c r="V250" i="9"/>
  <c r="V236" i="9" s="1"/>
  <c r="U250" i="9"/>
  <c r="T250" i="9"/>
  <c r="S250" i="9"/>
  <c r="R250" i="9"/>
  <c r="R236" i="9" s="1"/>
  <c r="Q250" i="9"/>
  <c r="P250" i="9"/>
  <c r="O250" i="9"/>
  <c r="O236" i="9" s="1"/>
  <c r="N250" i="9"/>
  <c r="M250" i="9"/>
  <c r="L250" i="9"/>
  <c r="K250" i="9"/>
  <c r="I250" i="9"/>
  <c r="H250" i="9"/>
  <c r="G250" i="9"/>
  <c r="F250" i="9"/>
  <c r="AA249" i="9"/>
  <c r="Z249" i="9"/>
  <c r="Y249" i="9"/>
  <c r="X249" i="9"/>
  <c r="W249" i="9"/>
  <c r="V249" i="9"/>
  <c r="U249" i="9"/>
  <c r="T249" i="9"/>
  <c r="T236" i="9" s="1"/>
  <c r="S249" i="9"/>
  <c r="R249" i="9"/>
  <c r="Q249" i="9"/>
  <c r="P249" i="9"/>
  <c r="P236" i="9" s="1"/>
  <c r="O249" i="9"/>
  <c r="N249" i="9"/>
  <c r="M249" i="9"/>
  <c r="L249" i="9"/>
  <c r="L236" i="9" s="1"/>
  <c r="K249" i="9"/>
  <c r="I249" i="9"/>
  <c r="H249" i="9"/>
  <c r="G249" i="9"/>
  <c r="G236" i="9" s="1"/>
  <c r="AA248" i="9"/>
  <c r="Z248" i="9"/>
  <c r="Y248" i="9"/>
  <c r="X248" i="9"/>
  <c r="W248" i="9"/>
  <c r="V248" i="9"/>
  <c r="U248" i="9"/>
  <c r="T248" i="9"/>
  <c r="S248" i="9"/>
  <c r="R248" i="9"/>
  <c r="Q248" i="9"/>
  <c r="P248" i="9"/>
  <c r="O248" i="9"/>
  <c r="N248" i="9"/>
  <c r="M248" i="9"/>
  <c r="L248" i="9"/>
  <c r="L235" i="9" s="1"/>
  <c r="K248" i="9"/>
  <c r="J248" i="9"/>
  <c r="I248" i="9"/>
  <c r="H248" i="9"/>
  <c r="G248" i="9"/>
  <c r="F248" i="9"/>
  <c r="AA247" i="9"/>
  <c r="Z247" i="9"/>
  <c r="Y247" i="9"/>
  <c r="X247" i="9"/>
  <c r="W247" i="9"/>
  <c r="V247" i="9"/>
  <c r="V235" i="9" s="1"/>
  <c r="U247" i="9"/>
  <c r="T247" i="9"/>
  <c r="S247" i="9"/>
  <c r="R247" i="9"/>
  <c r="Q247" i="9"/>
  <c r="P247" i="9"/>
  <c r="O247" i="9"/>
  <c r="N247" i="9"/>
  <c r="N235" i="9" s="1"/>
  <c r="M247" i="9"/>
  <c r="L247" i="9"/>
  <c r="K247" i="9"/>
  <c r="J247" i="9"/>
  <c r="I247" i="9"/>
  <c r="AA246" i="9"/>
  <c r="Z246" i="9"/>
  <c r="Y246" i="9"/>
  <c r="V246" i="9"/>
  <c r="S246" i="9"/>
  <c r="N246" i="9"/>
  <c r="N262" i="9" s="1"/>
  <c r="M246" i="9"/>
  <c r="L246" i="9"/>
  <c r="K246" i="9"/>
  <c r="I246" i="9"/>
  <c r="G246" i="9"/>
  <c r="AA245" i="9"/>
  <c r="Z245" i="9"/>
  <c r="Y245" i="9"/>
  <c r="X245" i="9"/>
  <c r="X234" i="9" s="1"/>
  <c r="W245" i="9"/>
  <c r="V245" i="9"/>
  <c r="U245" i="9"/>
  <c r="U234" i="9" s="1"/>
  <c r="T245" i="9"/>
  <c r="T234" i="9" s="1"/>
  <c r="S245" i="9"/>
  <c r="R245" i="9"/>
  <c r="Q245" i="9"/>
  <c r="Q234" i="9" s="1"/>
  <c r="P245" i="9"/>
  <c r="O245" i="9"/>
  <c r="N245" i="9"/>
  <c r="M245" i="9"/>
  <c r="M234" i="9" s="1"/>
  <c r="L245" i="9"/>
  <c r="L234" i="9" s="1"/>
  <c r="K245" i="9"/>
  <c r="J245" i="9"/>
  <c r="I245" i="9"/>
  <c r="I234" i="9" s="1"/>
  <c r="H245" i="9"/>
  <c r="H234" i="9" s="1"/>
  <c r="G245" i="9"/>
  <c r="F245" i="9"/>
  <c r="AA244" i="9"/>
  <c r="Z244" i="9"/>
  <c r="Y244" i="9"/>
  <c r="X244" i="9"/>
  <c r="W244" i="9"/>
  <c r="V244" i="9"/>
  <c r="U244" i="9"/>
  <c r="T244" i="9"/>
  <c r="S244" i="9"/>
  <c r="R244" i="9"/>
  <c r="Q244" i="9"/>
  <c r="P244" i="9"/>
  <c r="O244" i="9"/>
  <c r="N244" i="9"/>
  <c r="M244" i="9"/>
  <c r="L244" i="9"/>
  <c r="K244" i="9"/>
  <c r="J244" i="9"/>
  <c r="I244" i="9"/>
  <c r="H244" i="9"/>
  <c r="G244" i="9"/>
  <c r="F244" i="9"/>
  <c r="AA243" i="9"/>
  <c r="Z243" i="9"/>
  <c r="Y243" i="9"/>
  <c r="X243" i="9"/>
  <c r="X233" i="9" s="1"/>
  <c r="W243" i="9"/>
  <c r="V243" i="9"/>
  <c r="U243" i="9"/>
  <c r="T243" i="9"/>
  <c r="T233" i="9" s="1"/>
  <c r="S243" i="9"/>
  <c r="R243" i="9"/>
  <c r="Q243" i="9"/>
  <c r="P243" i="9"/>
  <c r="P233" i="9" s="1"/>
  <c r="O243" i="9"/>
  <c r="N243" i="9"/>
  <c r="M243" i="9"/>
  <c r="L243" i="9"/>
  <c r="L233" i="9" s="1"/>
  <c r="K243" i="9"/>
  <c r="J243" i="9"/>
  <c r="I243" i="9"/>
  <c r="H243" i="9"/>
  <c r="H233" i="9" s="1"/>
  <c r="G243" i="9"/>
  <c r="F243" i="9"/>
  <c r="AA242" i="9"/>
  <c r="Z242" i="9"/>
  <c r="Y242" i="9"/>
  <c r="X242" i="9"/>
  <c r="W242" i="9"/>
  <c r="W233" i="9" s="1"/>
  <c r="V242" i="9"/>
  <c r="U242" i="9"/>
  <c r="T242" i="9"/>
  <c r="S242" i="9"/>
  <c r="R242" i="9"/>
  <c r="R233" i="9" s="1"/>
  <c r="Q242" i="9"/>
  <c r="P242" i="9"/>
  <c r="O242" i="9"/>
  <c r="O233" i="9" s="1"/>
  <c r="N242" i="9"/>
  <c r="N233" i="9" s="1"/>
  <c r="M242" i="9"/>
  <c r="L242" i="9"/>
  <c r="K242" i="9"/>
  <c r="J242" i="9"/>
  <c r="J233" i="9" s="1"/>
  <c r="I242" i="9"/>
  <c r="H242" i="9"/>
  <c r="G242" i="9"/>
  <c r="F242" i="9"/>
  <c r="AA241" i="9"/>
  <c r="Z241" i="9"/>
  <c r="Y241" i="9"/>
  <c r="X241" i="9"/>
  <c r="W241" i="9"/>
  <c r="V241" i="9"/>
  <c r="U241" i="9"/>
  <c r="T241" i="9"/>
  <c r="S241" i="9"/>
  <c r="R241" i="9"/>
  <c r="Q241" i="9"/>
  <c r="P241" i="9"/>
  <c r="O241" i="9"/>
  <c r="N241" i="9"/>
  <c r="M241" i="9"/>
  <c r="L241" i="9"/>
  <c r="K241" i="9"/>
  <c r="J241" i="9"/>
  <c r="I241" i="9"/>
  <c r="H241" i="9"/>
  <c r="G241" i="9"/>
  <c r="F241" i="9"/>
  <c r="AA240" i="9"/>
  <c r="Z240" i="9"/>
  <c r="Y240" i="9"/>
  <c r="X240" i="9"/>
  <c r="W240" i="9"/>
  <c r="V240" i="9"/>
  <c r="V232" i="9" s="1"/>
  <c r="U240" i="9"/>
  <c r="T240" i="9"/>
  <c r="S240" i="9"/>
  <c r="R240" i="9"/>
  <c r="R232" i="9" s="1"/>
  <c r="R230" i="9" s="1"/>
  <c r="Q240" i="9"/>
  <c r="P240" i="9"/>
  <c r="O240" i="9"/>
  <c r="N240" i="9"/>
  <c r="M240" i="9"/>
  <c r="L240" i="9"/>
  <c r="K240" i="9"/>
  <c r="J240" i="9"/>
  <c r="I240" i="9"/>
  <c r="H240" i="9"/>
  <c r="G240" i="9"/>
  <c r="F240" i="9"/>
  <c r="F232" i="9" s="1"/>
  <c r="AA239" i="9"/>
  <c r="Z239" i="9"/>
  <c r="Y239" i="9"/>
  <c r="X239" i="9"/>
  <c r="X232" i="9" s="1"/>
  <c r="X230" i="9" s="1"/>
  <c r="W239" i="9"/>
  <c r="V239" i="9"/>
  <c r="U239" i="9"/>
  <c r="T239" i="9"/>
  <c r="S239" i="9"/>
  <c r="R239" i="9"/>
  <c r="Q239" i="9"/>
  <c r="P239" i="9"/>
  <c r="O239" i="9"/>
  <c r="O232" i="9" s="1"/>
  <c r="N239" i="9"/>
  <c r="M239" i="9"/>
  <c r="L239" i="9"/>
  <c r="K239" i="9"/>
  <c r="J239" i="9"/>
  <c r="I239" i="9"/>
  <c r="I232" i="9" s="1"/>
  <c r="H239" i="9"/>
  <c r="G239" i="9"/>
  <c r="F239" i="9"/>
  <c r="U238" i="9"/>
  <c r="T238" i="9"/>
  <c r="Q238" i="9"/>
  <c r="P238" i="9"/>
  <c r="O238" i="9"/>
  <c r="M238" i="9"/>
  <c r="L238" i="9"/>
  <c r="I238" i="9"/>
  <c r="H238" i="9"/>
  <c r="S237" i="9"/>
  <c r="P237" i="9"/>
  <c r="I237" i="9"/>
  <c r="X236" i="9"/>
  <c r="H236" i="9"/>
  <c r="S235" i="9"/>
  <c r="W234" i="9"/>
  <c r="V234" i="9"/>
  <c r="S234" i="9"/>
  <c r="R234" i="9"/>
  <c r="P234" i="9"/>
  <c r="O234" i="9"/>
  <c r="O230" i="9"/>
  <c r="N234" i="9"/>
  <c r="K234" i="9"/>
  <c r="J234" i="9"/>
  <c r="G234" i="9"/>
  <c r="F234" i="9"/>
  <c r="W232" i="9"/>
  <c r="W230" i="9" s="1"/>
  <c r="S233" i="9"/>
  <c r="Q233" i="9"/>
  <c r="K233" i="9"/>
  <c r="G233" i="9"/>
  <c r="G232" i="9"/>
  <c r="U232" i="9"/>
  <c r="Q232" i="9"/>
  <c r="K232" i="9"/>
  <c r="AZ225" i="9"/>
  <c r="AY225" i="9"/>
  <c r="AX225" i="9"/>
  <c r="AW225" i="9"/>
  <c r="AV225" i="9"/>
  <c r="AU225" i="9"/>
  <c r="AT225" i="9"/>
  <c r="AS225" i="9"/>
  <c r="AR225" i="9"/>
  <c r="AQ225" i="9"/>
  <c r="AP225" i="9"/>
  <c r="AO225" i="9"/>
  <c r="AN225" i="9"/>
  <c r="AM225" i="9"/>
  <c r="AL225" i="9"/>
  <c r="AK225" i="9"/>
  <c r="AJ225" i="9"/>
  <c r="AI225" i="9"/>
  <c r="AH225" i="9"/>
  <c r="Z225" i="9"/>
  <c r="Y225" i="9"/>
  <c r="AZ224" i="9"/>
  <c r="AY224" i="9"/>
  <c r="AX224" i="9"/>
  <c r="AW224" i="9"/>
  <c r="AV224" i="9"/>
  <c r="AU224" i="9"/>
  <c r="AT224" i="9"/>
  <c r="AS224" i="9"/>
  <c r="AR224" i="9"/>
  <c r="AQ224" i="9"/>
  <c r="AP224" i="9"/>
  <c r="AO224" i="9"/>
  <c r="AN224" i="9"/>
  <c r="AM224" i="9"/>
  <c r="AL224" i="9"/>
  <c r="AK224" i="9"/>
  <c r="AJ224" i="9"/>
  <c r="AI224" i="9"/>
  <c r="AH224" i="9"/>
  <c r="Z224" i="9"/>
  <c r="Y224" i="9"/>
  <c r="AZ223" i="9"/>
  <c r="AY223" i="9"/>
  <c r="AX223" i="9"/>
  <c r="AW223" i="9"/>
  <c r="AV223" i="9"/>
  <c r="AU223" i="9"/>
  <c r="AT223" i="9"/>
  <c r="AS223" i="9"/>
  <c r="AR223" i="9"/>
  <c r="AQ223" i="9"/>
  <c r="AP223" i="9"/>
  <c r="AO223" i="9"/>
  <c r="AN223" i="9"/>
  <c r="AM223" i="9"/>
  <c r="AL223" i="9"/>
  <c r="AK223" i="9"/>
  <c r="AJ223" i="9"/>
  <c r="AI223" i="9"/>
  <c r="AH223" i="9"/>
  <c r="Z223" i="9"/>
  <c r="Y223" i="9"/>
  <c r="BA178" i="9" s="1"/>
  <c r="AZ222" i="9"/>
  <c r="AY222" i="9"/>
  <c r="AX222" i="9"/>
  <c r="AW222" i="9"/>
  <c r="AV222" i="9"/>
  <c r="AU222" i="9"/>
  <c r="AT222" i="9"/>
  <c r="AS222" i="9"/>
  <c r="AR222" i="9"/>
  <c r="AQ222" i="9"/>
  <c r="AP222" i="9"/>
  <c r="AO222" i="9"/>
  <c r="AN222" i="9"/>
  <c r="AM222" i="9"/>
  <c r="AL222" i="9"/>
  <c r="AK222" i="9"/>
  <c r="Z222" i="9"/>
  <c r="G222" i="9"/>
  <c r="AZ221" i="9"/>
  <c r="AY221" i="9"/>
  <c r="AX221" i="9"/>
  <c r="AW221" i="9"/>
  <c r="AV221" i="9"/>
  <c r="AU221" i="9"/>
  <c r="AT221" i="9"/>
  <c r="AS221" i="9"/>
  <c r="AR221" i="9"/>
  <c r="AQ221" i="9"/>
  <c r="AP221" i="9"/>
  <c r="AO221" i="9"/>
  <c r="AN221" i="9"/>
  <c r="AM221" i="9"/>
  <c r="AL221" i="9"/>
  <c r="AK221" i="9"/>
  <c r="AJ221" i="9"/>
  <c r="AI221" i="9"/>
  <c r="AH221" i="9"/>
  <c r="Z221" i="9"/>
  <c r="Y221" i="9"/>
  <c r="AZ220" i="9"/>
  <c r="AY220" i="9"/>
  <c r="AX220" i="9"/>
  <c r="AW220" i="9"/>
  <c r="AV220" i="9"/>
  <c r="AU220" i="9"/>
  <c r="AT220" i="9"/>
  <c r="AS220" i="9"/>
  <c r="AR220" i="9"/>
  <c r="AQ220" i="9"/>
  <c r="AP220" i="9"/>
  <c r="AO220" i="9"/>
  <c r="AN220" i="9"/>
  <c r="AM220" i="9"/>
  <c r="AL220" i="9"/>
  <c r="AK220" i="9"/>
  <c r="AJ220" i="9"/>
  <c r="AI220" i="9"/>
  <c r="AH220" i="9"/>
  <c r="Y220" i="9"/>
  <c r="Z220" i="9"/>
  <c r="AY219" i="9"/>
  <c r="AX219" i="9"/>
  <c r="AW219" i="9"/>
  <c r="AV219" i="9"/>
  <c r="AU219" i="9"/>
  <c r="AT219" i="9"/>
  <c r="AP219" i="9"/>
  <c r="AN219" i="9"/>
  <c r="AL219" i="9"/>
  <c r="AJ219" i="9"/>
  <c r="AI219" i="9"/>
  <c r="AH219" i="9"/>
  <c r="AZ218" i="9"/>
  <c r="AY218" i="9"/>
  <c r="AX218" i="9"/>
  <c r="AU218" i="9"/>
  <c r="AT218" i="9"/>
  <c r="AS218" i="9"/>
  <c r="AR218" i="9"/>
  <c r="AQ218" i="9"/>
  <c r="AP218" i="9"/>
  <c r="AN218" i="9"/>
  <c r="AL218" i="9"/>
  <c r="AK218" i="9"/>
  <c r="AJ218" i="9"/>
  <c r="AI218" i="9"/>
  <c r="AH218" i="9"/>
  <c r="AZ217" i="9"/>
  <c r="AY217" i="9"/>
  <c r="AX217" i="9"/>
  <c r="AW217" i="9"/>
  <c r="AV217" i="9"/>
  <c r="AU217" i="9"/>
  <c r="AS217" i="9"/>
  <c r="AN217" i="9"/>
  <c r="AJ217" i="9"/>
  <c r="AI217" i="9"/>
  <c r="AZ216" i="9"/>
  <c r="AX216" i="9"/>
  <c r="AW216" i="9"/>
  <c r="AV216" i="9"/>
  <c r="AU216" i="9"/>
  <c r="AT216" i="9"/>
  <c r="AS216" i="9"/>
  <c r="AR216" i="9"/>
  <c r="AQ216" i="9"/>
  <c r="AP216" i="9"/>
  <c r="AN216" i="9"/>
  <c r="AM216" i="9"/>
  <c r="AL216" i="9"/>
  <c r="AI216" i="9"/>
  <c r="AZ215" i="9"/>
  <c r="AY215" i="9"/>
  <c r="AX215" i="9"/>
  <c r="AW215" i="9"/>
  <c r="AV215" i="9"/>
  <c r="AU215" i="9"/>
  <c r="AT215" i="9"/>
  <c r="AS215" i="9"/>
  <c r="AR215" i="9"/>
  <c r="AQ215" i="9"/>
  <c r="AP215" i="9"/>
  <c r="AO215" i="9"/>
  <c r="AN215" i="9"/>
  <c r="AM215" i="9"/>
  <c r="AL215" i="9"/>
  <c r="AK215" i="9"/>
  <c r="AJ215" i="9"/>
  <c r="AI215" i="9"/>
  <c r="AH215" i="9"/>
  <c r="Z215" i="9"/>
  <c r="Y215" i="9"/>
  <c r="AZ214" i="9"/>
  <c r="AY214" i="9"/>
  <c r="AX214" i="9"/>
  <c r="AW214" i="9"/>
  <c r="AV214" i="9"/>
  <c r="AU214" i="9"/>
  <c r="AT214" i="9"/>
  <c r="AS214" i="9"/>
  <c r="AR214" i="9"/>
  <c r="AQ214" i="9"/>
  <c r="AP214" i="9"/>
  <c r="AO214" i="9"/>
  <c r="AN214" i="9"/>
  <c r="AM214" i="9"/>
  <c r="AL214" i="9"/>
  <c r="AK214" i="9"/>
  <c r="AJ214" i="9"/>
  <c r="AI214" i="9"/>
  <c r="AH214" i="9"/>
  <c r="Z214" i="9"/>
  <c r="Y214" i="9"/>
  <c r="AZ213" i="9"/>
  <c r="AY213" i="9"/>
  <c r="AX213" i="9"/>
  <c r="AW213" i="9"/>
  <c r="AV213" i="9"/>
  <c r="AU213" i="9"/>
  <c r="AT213" i="9"/>
  <c r="AS213" i="9"/>
  <c r="AR213" i="9"/>
  <c r="AQ213" i="9"/>
  <c r="AP213" i="9"/>
  <c r="AO213" i="9"/>
  <c r="AN213" i="9"/>
  <c r="AM213" i="9"/>
  <c r="AL213" i="9"/>
  <c r="AK213" i="9"/>
  <c r="AJ213" i="9"/>
  <c r="AI213" i="9"/>
  <c r="AH213" i="9"/>
  <c r="Z213" i="9"/>
  <c r="Y213" i="9"/>
  <c r="AZ212" i="9"/>
  <c r="AY212" i="9"/>
  <c r="AX212" i="9"/>
  <c r="AW212" i="9"/>
  <c r="AV212" i="9"/>
  <c r="AU212" i="9"/>
  <c r="AT212" i="9"/>
  <c r="AS212" i="9"/>
  <c r="AR212" i="9"/>
  <c r="AQ212" i="9"/>
  <c r="AP212" i="9"/>
  <c r="AO212" i="9"/>
  <c r="AN212" i="9"/>
  <c r="AM212" i="9"/>
  <c r="AL212" i="9"/>
  <c r="AK212" i="9"/>
  <c r="AJ212" i="9"/>
  <c r="AI212" i="9"/>
  <c r="AH212" i="9"/>
  <c r="Z212" i="9"/>
  <c r="Y212" i="9"/>
  <c r="AZ211" i="9"/>
  <c r="AY211" i="9"/>
  <c r="AX211" i="9"/>
  <c r="AW211" i="9"/>
  <c r="AV211" i="9"/>
  <c r="AU211" i="9"/>
  <c r="AT211" i="9"/>
  <c r="AS211" i="9"/>
  <c r="AR211" i="9"/>
  <c r="AQ211" i="9"/>
  <c r="AP211" i="9"/>
  <c r="AO211" i="9"/>
  <c r="AN211" i="9"/>
  <c r="AM211" i="9"/>
  <c r="AL211" i="9"/>
  <c r="AK211" i="9"/>
  <c r="AJ211" i="9"/>
  <c r="AI211" i="9"/>
  <c r="AH211" i="9"/>
  <c r="Z211" i="9"/>
  <c r="Y211" i="9"/>
  <c r="AY210" i="9"/>
  <c r="AX210" i="9"/>
  <c r="AW210" i="9"/>
  <c r="AV210" i="9"/>
  <c r="AU210" i="9"/>
  <c r="AT210" i="9"/>
  <c r="AS210" i="9"/>
  <c r="AR210" i="9"/>
  <c r="AQ210" i="9"/>
  <c r="AP210" i="9"/>
  <c r="AO210" i="9"/>
  <c r="AN210" i="9"/>
  <c r="AM210" i="9"/>
  <c r="AL210" i="9"/>
  <c r="AK210" i="9"/>
  <c r="AJ210" i="9"/>
  <c r="AI210" i="9"/>
  <c r="AH210" i="9"/>
  <c r="Y210" i="9"/>
  <c r="AZ209" i="9"/>
  <c r="AY209" i="9"/>
  <c r="AX209" i="9"/>
  <c r="AW209" i="9"/>
  <c r="AV209" i="9"/>
  <c r="AU209" i="9"/>
  <c r="AT209" i="9"/>
  <c r="AS209" i="9"/>
  <c r="AR209" i="9"/>
  <c r="AQ209" i="9"/>
  <c r="AP209" i="9"/>
  <c r="AO209" i="9"/>
  <c r="AM209" i="9"/>
  <c r="AL209" i="9"/>
  <c r="AK209" i="9"/>
  <c r="AJ209" i="9"/>
  <c r="AI209" i="9"/>
  <c r="AH209" i="9"/>
  <c r="Z209" i="9"/>
  <c r="Y209" i="9"/>
  <c r="AU208" i="9"/>
  <c r="AR208" i="9"/>
  <c r="AQ208" i="9"/>
  <c r="AP208" i="9"/>
  <c r="AO208" i="9"/>
  <c r="AN208" i="9"/>
  <c r="AM208" i="9"/>
  <c r="AL208" i="9"/>
  <c r="AK208" i="9"/>
  <c r="AJ208" i="9"/>
  <c r="AI208" i="9"/>
  <c r="AH208" i="9"/>
  <c r="Y208" i="9"/>
  <c r="AZ207" i="9"/>
  <c r="AY207" i="9"/>
  <c r="AX207" i="9"/>
  <c r="AW207" i="9"/>
  <c r="AV207" i="9"/>
  <c r="AU207" i="9"/>
  <c r="AT207" i="9"/>
  <c r="AS207" i="9"/>
  <c r="AR207" i="9"/>
  <c r="AQ207" i="9"/>
  <c r="AP207" i="9"/>
  <c r="AN207" i="9"/>
  <c r="AM207" i="9"/>
  <c r="AK207" i="9"/>
  <c r="AJ207" i="9"/>
  <c r="AI207" i="9"/>
  <c r="AH207" i="9"/>
  <c r="AZ206" i="9"/>
  <c r="AY206" i="9"/>
  <c r="AX206" i="9"/>
  <c r="AW206" i="9"/>
  <c r="AV206" i="9"/>
  <c r="AU206" i="9"/>
  <c r="AT206" i="9"/>
  <c r="AS206" i="9"/>
  <c r="AR206" i="9"/>
  <c r="AQ206" i="9"/>
  <c r="AP206" i="9"/>
  <c r="AO206" i="9"/>
  <c r="AN206" i="9"/>
  <c r="AM206" i="9"/>
  <c r="AL206" i="9"/>
  <c r="AK206" i="9"/>
  <c r="AJ206" i="9"/>
  <c r="AI206" i="9"/>
  <c r="AH206" i="9"/>
  <c r="Z206" i="9"/>
  <c r="Y206" i="9"/>
  <c r="BA161" i="9" s="1"/>
  <c r="AY205" i="9"/>
  <c r="AW205" i="9"/>
  <c r="AT205" i="9"/>
  <c r="AS205" i="9"/>
  <c r="AR205" i="9"/>
  <c r="AQ205" i="9"/>
  <c r="AP205" i="9"/>
  <c r="AO205" i="9"/>
  <c r="AN205" i="9"/>
  <c r="AM205" i="9"/>
  <c r="AK205" i="9"/>
  <c r="AJ205" i="9"/>
  <c r="AI205" i="9"/>
  <c r="AH205" i="9"/>
  <c r="X205" i="9"/>
  <c r="V205" i="9"/>
  <c r="T205" i="9"/>
  <c r="AV205" i="9" s="1"/>
  <c r="S205" i="9"/>
  <c r="AU205" i="9"/>
  <c r="AZ204" i="9"/>
  <c r="AY204" i="9"/>
  <c r="AX204" i="9"/>
  <c r="AW204" i="9"/>
  <c r="AV204" i="9"/>
  <c r="AU204" i="9"/>
  <c r="AT204" i="9"/>
  <c r="AS204" i="9"/>
  <c r="AR204" i="9"/>
  <c r="AQ204" i="9"/>
  <c r="AO204" i="9"/>
  <c r="AN204" i="9"/>
  <c r="AK204" i="9"/>
  <c r="AJ204" i="9"/>
  <c r="AI204" i="9"/>
  <c r="N204" i="9"/>
  <c r="F204" i="9"/>
  <c r="AZ203" i="9"/>
  <c r="AY203" i="9"/>
  <c r="AX203" i="9"/>
  <c r="AW203" i="9"/>
  <c r="AV203" i="9"/>
  <c r="AU203" i="9"/>
  <c r="AT203" i="9"/>
  <c r="AS203" i="9"/>
  <c r="AR203" i="9"/>
  <c r="AQ203" i="9"/>
  <c r="AP203" i="9"/>
  <c r="AO203" i="9"/>
  <c r="AN203" i="9"/>
  <c r="AM203" i="9"/>
  <c r="AL203" i="9"/>
  <c r="AK203" i="9"/>
  <c r="AJ203" i="9"/>
  <c r="AI203" i="9"/>
  <c r="AH203" i="9"/>
  <c r="Z203" i="9"/>
  <c r="Z158" i="9" s="1"/>
  <c r="Y203" i="9"/>
  <c r="AZ202" i="9"/>
  <c r="AY202" i="9"/>
  <c r="AX202" i="9"/>
  <c r="AW202" i="9"/>
  <c r="AV202" i="9"/>
  <c r="AU202" i="9"/>
  <c r="AT202" i="9"/>
  <c r="AS202" i="9"/>
  <c r="AR202" i="9"/>
  <c r="AQ202" i="9"/>
  <c r="AP202" i="9"/>
  <c r="AO202" i="9"/>
  <c r="AN202" i="9"/>
  <c r="AM202" i="9"/>
  <c r="AL202" i="9"/>
  <c r="AK202" i="9"/>
  <c r="Z202" i="9"/>
  <c r="H222" i="9"/>
  <c r="AU201" i="9"/>
  <c r="AN201" i="9"/>
  <c r="AI201" i="9"/>
  <c r="V201" i="9"/>
  <c r="N201" i="9"/>
  <c r="M201" i="9"/>
  <c r="K201" i="9"/>
  <c r="I201" i="9"/>
  <c r="H216" i="9"/>
  <c r="AZ200" i="9"/>
  <c r="AY200" i="9"/>
  <c r="AX200" i="9"/>
  <c r="AW200" i="9"/>
  <c r="AV200" i="9"/>
  <c r="AU200" i="9"/>
  <c r="AT200" i="9"/>
  <c r="AS200" i="9"/>
  <c r="AR200" i="9"/>
  <c r="AQ200" i="9"/>
  <c r="AP200" i="9"/>
  <c r="AO200" i="9"/>
  <c r="AN200" i="9"/>
  <c r="AM200" i="9"/>
  <c r="AL200" i="9"/>
  <c r="AK200" i="9"/>
  <c r="AJ200" i="9"/>
  <c r="AI200" i="9"/>
  <c r="AH200" i="9"/>
  <c r="Z200" i="9"/>
  <c r="BB200" i="9" s="1"/>
  <c r="Y200" i="9"/>
  <c r="AZ199" i="9"/>
  <c r="AY199" i="9"/>
  <c r="AX199" i="9"/>
  <c r="AW199" i="9"/>
  <c r="AV199" i="9"/>
  <c r="AU199" i="9"/>
  <c r="AT199" i="9"/>
  <c r="AS199" i="9"/>
  <c r="AR199" i="9"/>
  <c r="AQ199" i="9"/>
  <c r="AP199" i="9"/>
  <c r="AO199" i="9"/>
  <c r="AN199" i="9"/>
  <c r="AM199" i="9"/>
  <c r="AL199" i="9"/>
  <c r="AK199" i="9"/>
  <c r="AJ199" i="9"/>
  <c r="AI199" i="9"/>
  <c r="AH199" i="9"/>
  <c r="Z199" i="9"/>
  <c r="Y199" i="9"/>
  <c r="AZ198" i="9"/>
  <c r="AY198" i="9"/>
  <c r="AX198" i="9"/>
  <c r="AW198" i="9"/>
  <c r="AV198" i="9"/>
  <c r="AU198" i="9"/>
  <c r="AT198" i="9"/>
  <c r="AS198" i="9"/>
  <c r="AR198" i="9"/>
  <c r="AQ198" i="9"/>
  <c r="AP198" i="9"/>
  <c r="AO198" i="9"/>
  <c r="AN198" i="9"/>
  <c r="AM198" i="9"/>
  <c r="AL198" i="9"/>
  <c r="AK198" i="9"/>
  <c r="AJ198" i="9"/>
  <c r="AI198" i="9"/>
  <c r="AH198" i="9"/>
  <c r="Z198" i="9"/>
  <c r="Y198" i="9"/>
  <c r="AZ197" i="9"/>
  <c r="AY197" i="9"/>
  <c r="AX197" i="9"/>
  <c r="AW197" i="9"/>
  <c r="AV197" i="9"/>
  <c r="AU197" i="9"/>
  <c r="AT197" i="9"/>
  <c r="AS197" i="9"/>
  <c r="AR197" i="9"/>
  <c r="AQ197" i="9"/>
  <c r="AP197" i="9"/>
  <c r="AO197" i="9"/>
  <c r="AN197" i="9"/>
  <c r="AM197" i="9"/>
  <c r="AL197" i="9"/>
  <c r="AK197" i="9"/>
  <c r="AJ197" i="9"/>
  <c r="AI197" i="9"/>
  <c r="AH197" i="9"/>
  <c r="Z197" i="9"/>
  <c r="BB197" i="9"/>
  <c r="Y197" i="9"/>
  <c r="AZ196" i="9"/>
  <c r="AY196" i="9"/>
  <c r="AX196" i="9"/>
  <c r="AW196" i="9"/>
  <c r="AV196" i="9"/>
  <c r="AU196" i="9"/>
  <c r="AT196" i="9"/>
  <c r="AS196" i="9"/>
  <c r="AR196" i="9"/>
  <c r="AQ196" i="9"/>
  <c r="AP196" i="9"/>
  <c r="AO196" i="9"/>
  <c r="AN196" i="9"/>
  <c r="AM196" i="9"/>
  <c r="AL196" i="9"/>
  <c r="AK196" i="9"/>
  <c r="AJ196" i="9"/>
  <c r="AI196" i="9"/>
  <c r="AH196" i="9"/>
  <c r="Z196" i="9"/>
  <c r="Y196" i="9"/>
  <c r="AZ195" i="9"/>
  <c r="AY195" i="9"/>
  <c r="AX195" i="9"/>
  <c r="AW195" i="9"/>
  <c r="AV195" i="9"/>
  <c r="AU195" i="9"/>
  <c r="AT195" i="9"/>
  <c r="AS195" i="9"/>
  <c r="AR195" i="9"/>
  <c r="AQ195" i="9"/>
  <c r="AP195" i="9"/>
  <c r="AO195" i="9"/>
  <c r="AN195" i="9"/>
  <c r="AM195" i="9"/>
  <c r="AL195" i="9"/>
  <c r="AK195" i="9"/>
  <c r="AJ195" i="9"/>
  <c r="AI195" i="9"/>
  <c r="AH195" i="9"/>
  <c r="Z195" i="9"/>
  <c r="Y195" i="9"/>
  <c r="AZ194" i="9"/>
  <c r="AY194" i="9"/>
  <c r="AX194" i="9"/>
  <c r="AW194" i="9"/>
  <c r="AV194" i="9"/>
  <c r="AU194" i="9"/>
  <c r="AT194" i="9"/>
  <c r="AS194" i="9"/>
  <c r="AR194" i="9"/>
  <c r="AQ194" i="9"/>
  <c r="AP194" i="9"/>
  <c r="AO194" i="9"/>
  <c r="AN194" i="9"/>
  <c r="AM194" i="9"/>
  <c r="AL194" i="9"/>
  <c r="AK194" i="9"/>
  <c r="AJ194" i="9"/>
  <c r="AI194" i="9"/>
  <c r="AH194" i="9"/>
  <c r="Z194" i="9"/>
  <c r="Y194" i="9"/>
  <c r="N193" i="9"/>
  <c r="F193" i="9"/>
  <c r="AH193" i="9" s="1"/>
  <c r="W193" i="9"/>
  <c r="V193" i="9"/>
  <c r="AX193" i="9" s="1"/>
  <c r="U193" i="9"/>
  <c r="T193" i="9"/>
  <c r="S193" i="9"/>
  <c r="AU148" i="9" s="1"/>
  <c r="R193" i="9"/>
  <c r="Q193" i="9"/>
  <c r="P193" i="9"/>
  <c r="P148" i="9" s="1"/>
  <c r="O193" i="9"/>
  <c r="M193" i="9"/>
  <c r="L193" i="9"/>
  <c r="K193" i="9"/>
  <c r="AM148" i="9" s="1"/>
  <c r="J193" i="9"/>
  <c r="AL148" i="9" s="1"/>
  <c r="I193" i="9"/>
  <c r="H193" i="9"/>
  <c r="G193" i="9"/>
  <c r="S192" i="9"/>
  <c r="P192" i="9"/>
  <c r="O192" i="9"/>
  <c r="O147" i="9" s="1"/>
  <c r="N192" i="9"/>
  <c r="AP192" i="9" s="1"/>
  <c r="K192" i="9"/>
  <c r="AM147" i="9" s="1"/>
  <c r="I192" i="9"/>
  <c r="AK147" i="9" s="1"/>
  <c r="H192" i="9"/>
  <c r="H147" i="9" s="1"/>
  <c r="G192" i="9"/>
  <c r="F192" i="9"/>
  <c r="M191" i="9"/>
  <c r="M146" i="9" s="1"/>
  <c r="AO191" i="9"/>
  <c r="W191" i="9"/>
  <c r="AY146" i="9" s="1"/>
  <c r="V191" i="9"/>
  <c r="U191" i="9"/>
  <c r="AW191" i="9" s="1"/>
  <c r="T191" i="9"/>
  <c r="R191" i="9"/>
  <c r="Q191" i="9"/>
  <c r="AS191" i="9" s="1"/>
  <c r="P191" i="9"/>
  <c r="P146" i="9" s="1"/>
  <c r="O191" i="9"/>
  <c r="L191" i="9"/>
  <c r="L146" i="9" s="1"/>
  <c r="I191" i="9"/>
  <c r="H191" i="9"/>
  <c r="G191" i="9"/>
  <c r="F191" i="9"/>
  <c r="F186" i="9" s="1"/>
  <c r="V190" i="9"/>
  <c r="AX190" i="9"/>
  <c r="S190" i="9"/>
  <c r="L190" i="9"/>
  <c r="AN145" i="9" s="1"/>
  <c r="K190" i="9"/>
  <c r="I190" i="9"/>
  <c r="H190" i="9"/>
  <c r="G190" i="9"/>
  <c r="F190" i="9"/>
  <c r="R189" i="9"/>
  <c r="AT189" i="9" s="1"/>
  <c r="N189" i="9"/>
  <c r="AP189" i="9"/>
  <c r="F189" i="9"/>
  <c r="AH189" i="9" s="1"/>
  <c r="X189" i="9"/>
  <c r="W189" i="9"/>
  <c r="AY144" i="9" s="1"/>
  <c r="V189" i="9"/>
  <c r="AX189" i="9" s="1"/>
  <c r="U189" i="9"/>
  <c r="U144" i="9" s="1"/>
  <c r="AW189" i="9"/>
  <c r="T189" i="9"/>
  <c r="S189" i="9"/>
  <c r="AU144" i="9" s="1"/>
  <c r="Q189" i="9"/>
  <c r="Q187" i="9"/>
  <c r="Q188" i="9"/>
  <c r="P189" i="9"/>
  <c r="O189" i="9"/>
  <c r="M189" i="9"/>
  <c r="AO189" i="9" s="1"/>
  <c r="L189" i="9"/>
  <c r="K189" i="9"/>
  <c r="K144" i="9" s="1"/>
  <c r="J189" i="9"/>
  <c r="AL189" i="9" s="1"/>
  <c r="I189" i="9"/>
  <c r="H189" i="9"/>
  <c r="G189" i="9"/>
  <c r="V188" i="9"/>
  <c r="AX188" i="9"/>
  <c r="U188" i="9"/>
  <c r="AW188" i="9" s="1"/>
  <c r="M188" i="9"/>
  <c r="AO143" i="9" s="1"/>
  <c r="X188" i="9"/>
  <c r="W188" i="9"/>
  <c r="T188" i="9"/>
  <c r="S188" i="9"/>
  <c r="R188" i="9"/>
  <c r="P188" i="9"/>
  <c r="O188" i="9"/>
  <c r="N188" i="9"/>
  <c r="L188" i="9"/>
  <c r="K188" i="9"/>
  <c r="J188" i="9"/>
  <c r="I188" i="9"/>
  <c r="H188" i="9"/>
  <c r="G188" i="9"/>
  <c r="F188" i="9"/>
  <c r="AH143" i="9" s="1"/>
  <c r="R187" i="9"/>
  <c r="N187" i="9"/>
  <c r="AP187" i="9"/>
  <c r="X187" i="9"/>
  <c r="W187" i="9"/>
  <c r="V187" i="9"/>
  <c r="AX187" i="9"/>
  <c r="U187" i="9"/>
  <c r="T187" i="9"/>
  <c r="S187" i="9"/>
  <c r="P187" i="9"/>
  <c r="O187" i="9"/>
  <c r="M187" i="9"/>
  <c r="L187" i="9"/>
  <c r="K187" i="9"/>
  <c r="J187" i="9"/>
  <c r="I187" i="9"/>
  <c r="H187" i="9"/>
  <c r="G187" i="9"/>
  <c r="F187" i="9"/>
  <c r="AH187" i="9"/>
  <c r="V185" i="9"/>
  <c r="BB180" i="9"/>
  <c r="BA180" i="9"/>
  <c r="AZ180" i="9"/>
  <c r="AY180" i="9"/>
  <c r="AX180" i="9"/>
  <c r="AW180" i="9"/>
  <c r="AV180" i="9"/>
  <c r="AU180" i="9"/>
  <c r="AT180" i="9"/>
  <c r="AS180" i="9"/>
  <c r="AR180" i="9"/>
  <c r="AQ180" i="9"/>
  <c r="AP180" i="9"/>
  <c r="AO180" i="9"/>
  <c r="AN180" i="9"/>
  <c r="AM180" i="9"/>
  <c r="AL180" i="9"/>
  <c r="AK180" i="9"/>
  <c r="AJ180" i="9"/>
  <c r="AI180" i="9"/>
  <c r="AH180" i="9"/>
  <c r="Y180" i="9"/>
  <c r="X180" i="9"/>
  <c r="W180" i="9"/>
  <c r="V180" i="9"/>
  <c r="U180" i="9"/>
  <c r="T180" i="9"/>
  <c r="S180" i="9"/>
  <c r="R180" i="9"/>
  <c r="Q180" i="9"/>
  <c r="P180" i="9"/>
  <c r="O180" i="9"/>
  <c r="N180" i="9"/>
  <c r="M180" i="9"/>
  <c r="L180" i="9"/>
  <c r="I180" i="9"/>
  <c r="BB179" i="9"/>
  <c r="BA179" i="9"/>
  <c r="AZ179" i="9"/>
  <c r="AY179" i="9"/>
  <c r="AX179" i="9"/>
  <c r="AW179" i="9"/>
  <c r="AV179" i="9"/>
  <c r="AU179" i="9"/>
  <c r="AT179" i="9"/>
  <c r="AS179" i="9"/>
  <c r="AR179" i="9"/>
  <c r="AQ179" i="9"/>
  <c r="AP179" i="9"/>
  <c r="AO179" i="9"/>
  <c r="AN179" i="9"/>
  <c r="AM179" i="9"/>
  <c r="AL179" i="9"/>
  <c r="AK179" i="9"/>
  <c r="AJ179" i="9"/>
  <c r="AI179" i="9"/>
  <c r="AH179" i="9"/>
  <c r="Z179" i="9"/>
  <c r="Y179" i="9"/>
  <c r="X179" i="9"/>
  <c r="W179" i="9"/>
  <c r="V179" i="9"/>
  <c r="U179" i="9"/>
  <c r="T179" i="9"/>
  <c r="S179" i="9"/>
  <c r="R179" i="9"/>
  <c r="Q179" i="9"/>
  <c r="P179" i="9"/>
  <c r="O179" i="9"/>
  <c r="N179" i="9"/>
  <c r="M179" i="9"/>
  <c r="L179" i="9"/>
  <c r="I179" i="9"/>
  <c r="BB178" i="9"/>
  <c r="AZ178" i="9"/>
  <c r="AY178" i="9"/>
  <c r="AX178" i="9"/>
  <c r="AW178" i="9"/>
  <c r="AV178" i="9"/>
  <c r="AU178" i="9"/>
  <c r="AT178" i="9"/>
  <c r="AS178" i="9"/>
  <c r="AR178" i="9"/>
  <c r="AQ178" i="9"/>
  <c r="AP178" i="9"/>
  <c r="AO178" i="9"/>
  <c r="AN178" i="9"/>
  <c r="AM178" i="9"/>
  <c r="AL178" i="9"/>
  <c r="AK178" i="9"/>
  <c r="AJ178" i="9"/>
  <c r="AI178" i="9"/>
  <c r="AH178" i="9"/>
  <c r="Z178" i="9"/>
  <c r="X178" i="9"/>
  <c r="W178" i="9"/>
  <c r="V178" i="9"/>
  <c r="U178" i="9"/>
  <c r="T178" i="9"/>
  <c r="S178" i="9"/>
  <c r="R178" i="9"/>
  <c r="Q178" i="9"/>
  <c r="P178" i="9"/>
  <c r="O178" i="9"/>
  <c r="N178" i="9"/>
  <c r="M178" i="9"/>
  <c r="L178" i="9"/>
  <c r="I178" i="9"/>
  <c r="BB177" i="9"/>
  <c r="AZ177" i="9"/>
  <c r="AY177" i="9"/>
  <c r="AX177" i="9"/>
  <c r="AW177" i="9"/>
  <c r="AV177" i="9"/>
  <c r="AU177" i="9"/>
  <c r="AT177" i="9"/>
  <c r="AS177" i="9"/>
  <c r="AR177" i="9"/>
  <c r="AQ177" i="9"/>
  <c r="AP177" i="9"/>
  <c r="AO177" i="9"/>
  <c r="AN177" i="9"/>
  <c r="AM177" i="9"/>
  <c r="AL177" i="9"/>
  <c r="AK177" i="9"/>
  <c r="Z177" i="9"/>
  <c r="X177" i="9"/>
  <c r="W177" i="9"/>
  <c r="V177" i="9"/>
  <c r="U177" i="9"/>
  <c r="T177" i="9"/>
  <c r="S177" i="9"/>
  <c r="R177" i="9"/>
  <c r="Q177" i="9"/>
  <c r="P177" i="9"/>
  <c r="O177" i="9"/>
  <c r="N177" i="9"/>
  <c r="M177" i="9"/>
  <c r="L177" i="9"/>
  <c r="I177" i="9"/>
  <c r="BB176" i="9"/>
  <c r="BA176" i="9"/>
  <c r="AZ176" i="9"/>
  <c r="AY176" i="9"/>
  <c r="AX176" i="9"/>
  <c r="AW176" i="9"/>
  <c r="AV176" i="9"/>
  <c r="AU176" i="9"/>
  <c r="AT176" i="9"/>
  <c r="AS176" i="9"/>
  <c r="AR176" i="9"/>
  <c r="AQ176" i="9"/>
  <c r="AP176" i="9"/>
  <c r="AO176" i="9"/>
  <c r="AN176" i="9"/>
  <c r="AM176" i="9"/>
  <c r="AL176" i="9"/>
  <c r="AK176" i="9"/>
  <c r="AJ176" i="9"/>
  <c r="AI176" i="9"/>
  <c r="AH176" i="9"/>
  <c r="Z176" i="9"/>
  <c r="Y176" i="9"/>
  <c r="X176" i="9"/>
  <c r="W176" i="9"/>
  <c r="V176" i="9"/>
  <c r="U176" i="9"/>
  <c r="T176" i="9"/>
  <c r="S176" i="9"/>
  <c r="R176" i="9"/>
  <c r="Q176" i="9"/>
  <c r="P176" i="9"/>
  <c r="O176" i="9"/>
  <c r="N176" i="9"/>
  <c r="M176" i="9"/>
  <c r="L176" i="9"/>
  <c r="I176" i="9"/>
  <c r="BA175" i="9"/>
  <c r="AZ175" i="9"/>
  <c r="AY175" i="9"/>
  <c r="AX175" i="9"/>
  <c r="AW175" i="9"/>
  <c r="AV175" i="9"/>
  <c r="AU175" i="9"/>
  <c r="AT175" i="9"/>
  <c r="AS175" i="9"/>
  <c r="AR175" i="9"/>
  <c r="AQ175" i="9"/>
  <c r="AP175" i="9"/>
  <c r="AO175" i="9"/>
  <c r="AN175" i="9"/>
  <c r="AM175" i="9"/>
  <c r="AL175" i="9"/>
  <c r="AK175" i="9"/>
  <c r="AJ175" i="9"/>
  <c r="AI175" i="9"/>
  <c r="AH175" i="9"/>
  <c r="Y175" i="9"/>
  <c r="X175" i="9"/>
  <c r="W175" i="9"/>
  <c r="V175" i="9"/>
  <c r="U175" i="9"/>
  <c r="T175" i="9"/>
  <c r="S175" i="9"/>
  <c r="R175" i="9"/>
  <c r="Q175" i="9"/>
  <c r="P175" i="9"/>
  <c r="O175" i="9"/>
  <c r="N175" i="9"/>
  <c r="M175" i="9"/>
  <c r="L175" i="9"/>
  <c r="K175" i="9"/>
  <c r="J175" i="9"/>
  <c r="I175" i="9"/>
  <c r="AY174" i="9"/>
  <c r="AX174" i="9"/>
  <c r="AW174" i="9"/>
  <c r="AV174" i="9"/>
  <c r="AU174" i="9"/>
  <c r="AT174" i="9"/>
  <c r="AP174" i="9"/>
  <c r="AN174" i="9"/>
  <c r="AL174" i="9"/>
  <c r="AJ174" i="9"/>
  <c r="AI174" i="9"/>
  <c r="AH174" i="9"/>
  <c r="W174" i="9"/>
  <c r="V174" i="9"/>
  <c r="U174" i="9"/>
  <c r="T174" i="9"/>
  <c r="S174" i="9"/>
  <c r="R174" i="9"/>
  <c r="N174" i="9"/>
  <c r="L174" i="9"/>
  <c r="K174" i="9"/>
  <c r="J174" i="9"/>
  <c r="I174" i="9"/>
  <c r="AZ173" i="9"/>
  <c r="AY173" i="9"/>
  <c r="AX173" i="9"/>
  <c r="AU173" i="9"/>
  <c r="AT173" i="9"/>
  <c r="AS173" i="9"/>
  <c r="AR173" i="9"/>
  <c r="AQ173" i="9"/>
  <c r="AP173" i="9"/>
  <c r="AN173" i="9"/>
  <c r="AL173" i="9"/>
  <c r="AK173" i="9"/>
  <c r="AJ173" i="9"/>
  <c r="AI173" i="9"/>
  <c r="AH173" i="9"/>
  <c r="X173" i="9"/>
  <c r="W173" i="9"/>
  <c r="V173" i="9"/>
  <c r="S173" i="9"/>
  <c r="R173" i="9"/>
  <c r="Q173" i="9"/>
  <c r="P173" i="9"/>
  <c r="O173" i="9"/>
  <c r="N173" i="9"/>
  <c r="L173" i="9"/>
  <c r="K173" i="9"/>
  <c r="J173" i="9"/>
  <c r="I173" i="9"/>
  <c r="AZ172" i="9"/>
  <c r="AY172" i="9"/>
  <c r="AX172" i="9"/>
  <c r="AW172" i="9"/>
  <c r="AV172" i="9"/>
  <c r="AU172" i="9"/>
  <c r="AS172" i="9"/>
  <c r="AN172" i="9"/>
  <c r="AJ172" i="9"/>
  <c r="AI172" i="9"/>
  <c r="X172" i="9"/>
  <c r="W172" i="9"/>
  <c r="V172" i="9"/>
  <c r="U172" i="9"/>
  <c r="T172" i="9"/>
  <c r="S172" i="9"/>
  <c r="R172" i="9"/>
  <c r="Q172" i="9"/>
  <c r="L172" i="9"/>
  <c r="K172" i="9"/>
  <c r="J172" i="9"/>
  <c r="I172" i="9"/>
  <c r="AZ171" i="9"/>
  <c r="AX171" i="9"/>
  <c r="AW171" i="9"/>
  <c r="AV171" i="9"/>
  <c r="AU171" i="9"/>
  <c r="AT171" i="9"/>
  <c r="AS171" i="9"/>
  <c r="AR171" i="9"/>
  <c r="AQ171" i="9"/>
  <c r="AP171" i="9"/>
  <c r="AN171" i="9"/>
  <c r="AM171" i="9"/>
  <c r="AL171" i="9"/>
  <c r="AI171" i="9"/>
  <c r="X171" i="9"/>
  <c r="V171" i="9"/>
  <c r="U171" i="9"/>
  <c r="T171" i="9"/>
  <c r="S171" i="9"/>
  <c r="R171" i="9"/>
  <c r="Q171" i="9"/>
  <c r="P171" i="9"/>
  <c r="O171" i="9"/>
  <c r="N171" i="9"/>
  <c r="L171" i="9"/>
  <c r="K171" i="9"/>
  <c r="J171" i="9"/>
  <c r="I171" i="9"/>
  <c r="BA170" i="9"/>
  <c r="AZ170" i="9"/>
  <c r="AY170" i="9"/>
  <c r="AX170" i="9"/>
  <c r="AW170" i="9"/>
  <c r="AV170" i="9"/>
  <c r="AU170" i="9"/>
  <c r="AT170" i="9"/>
  <c r="AS170" i="9"/>
  <c r="AR170" i="9"/>
  <c r="AQ170" i="9"/>
  <c r="AP170" i="9"/>
  <c r="AO170" i="9"/>
  <c r="AN170" i="9"/>
  <c r="AM170" i="9"/>
  <c r="AL170" i="9"/>
  <c r="AK170" i="9"/>
  <c r="AJ170" i="9"/>
  <c r="AI170" i="9"/>
  <c r="AH170" i="9"/>
  <c r="Y170" i="9"/>
  <c r="X170" i="9"/>
  <c r="W170" i="9"/>
  <c r="V170" i="9"/>
  <c r="U170" i="9"/>
  <c r="T170" i="9"/>
  <c r="S170" i="9"/>
  <c r="R170" i="9"/>
  <c r="Q170" i="9"/>
  <c r="P170" i="9"/>
  <c r="O170" i="9"/>
  <c r="N170" i="9"/>
  <c r="M170" i="9"/>
  <c r="L170" i="9"/>
  <c r="K170" i="9"/>
  <c r="J170" i="9"/>
  <c r="I170" i="9"/>
  <c r="H170" i="9"/>
  <c r="G170" i="9"/>
  <c r="F170" i="9"/>
  <c r="BB169" i="9"/>
  <c r="BA169" i="9"/>
  <c r="AZ169" i="9"/>
  <c r="AY169" i="9"/>
  <c r="AX169" i="9"/>
  <c r="AW169" i="9"/>
  <c r="AV169" i="9"/>
  <c r="AU169" i="9"/>
  <c r="AT169" i="9"/>
  <c r="AS169" i="9"/>
  <c r="AR169" i="9"/>
  <c r="AQ169" i="9"/>
  <c r="AP169" i="9"/>
  <c r="AO169" i="9"/>
  <c r="AN169" i="9"/>
  <c r="AM169" i="9"/>
  <c r="AL169" i="9"/>
  <c r="AK169" i="9"/>
  <c r="AJ169" i="9"/>
  <c r="AI169" i="9"/>
  <c r="AH169" i="9"/>
  <c r="Y169" i="9"/>
  <c r="X169" i="9"/>
  <c r="W169" i="9"/>
  <c r="V169" i="9"/>
  <c r="U169" i="9"/>
  <c r="T169" i="9"/>
  <c r="S169" i="9"/>
  <c r="R169" i="9"/>
  <c r="Q169" i="9"/>
  <c r="P169" i="9"/>
  <c r="O169" i="9"/>
  <c r="N169" i="9"/>
  <c r="M169" i="9"/>
  <c r="L169" i="9"/>
  <c r="K169" i="9"/>
  <c r="J169" i="9"/>
  <c r="I169" i="9"/>
  <c r="H169" i="9"/>
  <c r="G169" i="9"/>
  <c r="F169" i="9"/>
  <c r="BB168" i="9"/>
  <c r="BA168" i="9"/>
  <c r="AZ168" i="9"/>
  <c r="AY168" i="9"/>
  <c r="AX168" i="9"/>
  <c r="AW168" i="9"/>
  <c r="AV168" i="9"/>
  <c r="AU168" i="9"/>
  <c r="AT168" i="9"/>
  <c r="AS168" i="9"/>
  <c r="AR168" i="9"/>
  <c r="AQ168" i="9"/>
  <c r="AP168" i="9"/>
  <c r="AO168" i="9"/>
  <c r="AN168" i="9"/>
  <c r="AM168" i="9"/>
  <c r="AL168" i="9"/>
  <c r="AK168" i="9"/>
  <c r="AJ168" i="9"/>
  <c r="AI168" i="9"/>
  <c r="AH168" i="9"/>
  <c r="Z168" i="9"/>
  <c r="Y168" i="9"/>
  <c r="X168" i="9"/>
  <c r="W168" i="9"/>
  <c r="V168" i="9"/>
  <c r="U168" i="9"/>
  <c r="T168" i="9"/>
  <c r="S168" i="9"/>
  <c r="R168" i="9"/>
  <c r="Q168" i="9"/>
  <c r="P168" i="9"/>
  <c r="O168" i="9"/>
  <c r="N168" i="9"/>
  <c r="M168" i="9"/>
  <c r="L168" i="9"/>
  <c r="K168" i="9"/>
  <c r="J168" i="9"/>
  <c r="I168" i="9"/>
  <c r="H168" i="9"/>
  <c r="G168" i="9"/>
  <c r="F168" i="9"/>
  <c r="BB167" i="9"/>
  <c r="AZ167" i="9"/>
  <c r="AY167" i="9"/>
  <c r="AX167" i="9"/>
  <c r="AW167" i="9"/>
  <c r="AV167" i="9"/>
  <c r="AU167" i="9"/>
  <c r="AT167" i="9"/>
  <c r="AS167" i="9"/>
  <c r="AR167" i="9"/>
  <c r="AQ167" i="9"/>
  <c r="AP167" i="9"/>
  <c r="AO167" i="9"/>
  <c r="AN167" i="9"/>
  <c r="AM167" i="9"/>
  <c r="AL167" i="9"/>
  <c r="AK167" i="9"/>
  <c r="AJ167" i="9"/>
  <c r="AI167" i="9"/>
  <c r="AH167" i="9"/>
  <c r="Z167" i="9"/>
  <c r="X167" i="9"/>
  <c r="W167" i="9"/>
  <c r="V167" i="9"/>
  <c r="U167" i="9"/>
  <c r="T167" i="9"/>
  <c r="S167" i="9"/>
  <c r="R167" i="9"/>
  <c r="Q167" i="9"/>
  <c r="P167" i="9"/>
  <c r="O167" i="9"/>
  <c r="N167" i="9"/>
  <c r="M167" i="9"/>
  <c r="L167" i="9"/>
  <c r="K167" i="9"/>
  <c r="J167" i="9"/>
  <c r="I167" i="9"/>
  <c r="H167" i="9"/>
  <c r="G167" i="9"/>
  <c r="F167" i="9"/>
  <c r="BA166" i="9"/>
  <c r="AZ166" i="9"/>
  <c r="AY166" i="9"/>
  <c r="AX166" i="9"/>
  <c r="AW166" i="9"/>
  <c r="AV166" i="9"/>
  <c r="AU166" i="9"/>
  <c r="AT166" i="9"/>
  <c r="AS166" i="9"/>
  <c r="AR166" i="9"/>
  <c r="AQ166" i="9"/>
  <c r="AP166" i="9"/>
  <c r="AO166" i="9"/>
  <c r="AN166" i="9"/>
  <c r="AM166" i="9"/>
  <c r="AL166" i="9"/>
  <c r="AK166" i="9"/>
  <c r="AJ166" i="9"/>
  <c r="AI166" i="9"/>
  <c r="AH166" i="9"/>
  <c r="Y166" i="9"/>
  <c r="X166" i="9"/>
  <c r="W166" i="9"/>
  <c r="V166" i="9"/>
  <c r="U166" i="9"/>
  <c r="T166" i="9"/>
  <c r="S166" i="9"/>
  <c r="R166" i="9"/>
  <c r="Q166" i="9"/>
  <c r="P166" i="9"/>
  <c r="O166" i="9"/>
  <c r="N166" i="9"/>
  <c r="M166" i="9"/>
  <c r="L166" i="9"/>
  <c r="K166" i="9"/>
  <c r="J166" i="9"/>
  <c r="I166" i="9"/>
  <c r="H166" i="9"/>
  <c r="G166" i="9"/>
  <c r="F166" i="9"/>
  <c r="AY165" i="9"/>
  <c r="AX165" i="9"/>
  <c r="AW165" i="9"/>
  <c r="AV165" i="9"/>
  <c r="AU165" i="9"/>
  <c r="AT165" i="9"/>
  <c r="AS165" i="9"/>
  <c r="AR165" i="9"/>
  <c r="AQ165" i="9"/>
  <c r="AP165" i="9"/>
  <c r="AO165" i="9"/>
  <c r="AN165" i="9"/>
  <c r="AM165" i="9"/>
  <c r="AL165" i="9"/>
  <c r="AK165" i="9"/>
  <c r="AJ165" i="9"/>
  <c r="AI165" i="9"/>
  <c r="AH165" i="9"/>
  <c r="W165" i="9"/>
  <c r="V165" i="9"/>
  <c r="U165" i="9"/>
  <c r="T165" i="9"/>
  <c r="S165" i="9"/>
  <c r="R165" i="9"/>
  <c r="Q165" i="9"/>
  <c r="P165" i="9"/>
  <c r="O165" i="9"/>
  <c r="N165" i="9"/>
  <c r="M165" i="9"/>
  <c r="L165" i="9"/>
  <c r="K165" i="9"/>
  <c r="J165" i="9"/>
  <c r="I165" i="9"/>
  <c r="H165" i="9"/>
  <c r="G165" i="9"/>
  <c r="F165" i="9"/>
  <c r="BA164" i="9"/>
  <c r="AZ164" i="9"/>
  <c r="AY164" i="9"/>
  <c r="AX164" i="9"/>
  <c r="AW164" i="9"/>
  <c r="AV164" i="9"/>
  <c r="AU164" i="9"/>
  <c r="AT164" i="9"/>
  <c r="AS164" i="9"/>
  <c r="AR164" i="9"/>
  <c r="AQ164" i="9"/>
  <c r="AP164" i="9"/>
  <c r="AO164" i="9"/>
  <c r="AM164" i="9"/>
  <c r="AL164" i="9"/>
  <c r="AK164" i="9"/>
  <c r="AJ164" i="9"/>
  <c r="AI164" i="9"/>
  <c r="AH164" i="9"/>
  <c r="Y164" i="9"/>
  <c r="X164" i="9"/>
  <c r="W164" i="9"/>
  <c r="V164" i="9"/>
  <c r="U164" i="9"/>
  <c r="T164" i="9"/>
  <c r="S164" i="9"/>
  <c r="R164" i="9"/>
  <c r="Q164" i="9"/>
  <c r="P164" i="9"/>
  <c r="O164" i="9"/>
  <c r="N164" i="9"/>
  <c r="M164" i="9"/>
  <c r="K164" i="9"/>
  <c r="J164" i="9"/>
  <c r="I164" i="9"/>
  <c r="H164" i="9"/>
  <c r="G164" i="9"/>
  <c r="F164" i="9"/>
  <c r="BA163" i="9"/>
  <c r="AU163" i="9"/>
  <c r="AR163" i="9"/>
  <c r="AQ163" i="9"/>
  <c r="AP163" i="9"/>
  <c r="AO163" i="9"/>
  <c r="AN163" i="9"/>
  <c r="AM163" i="9"/>
  <c r="AL163" i="9"/>
  <c r="AK163" i="9"/>
  <c r="AJ163" i="9"/>
  <c r="AI163" i="9"/>
  <c r="AH163" i="9"/>
  <c r="Y163" i="9"/>
  <c r="S163" i="9"/>
  <c r="P163" i="9"/>
  <c r="O163" i="9"/>
  <c r="N163" i="9"/>
  <c r="M163" i="9"/>
  <c r="L163" i="9"/>
  <c r="K163" i="9"/>
  <c r="J163" i="9"/>
  <c r="I163" i="9"/>
  <c r="H163" i="9"/>
  <c r="G163" i="9"/>
  <c r="F163" i="9"/>
  <c r="AZ162" i="9"/>
  <c r="AY162" i="9"/>
  <c r="AX162" i="9"/>
  <c r="AW162" i="9"/>
  <c r="AV162" i="9"/>
  <c r="AU162" i="9"/>
  <c r="AT162" i="9"/>
  <c r="AS162" i="9"/>
  <c r="AR162" i="9"/>
  <c r="AQ162" i="9"/>
  <c r="AP162" i="9"/>
  <c r="AN162" i="9"/>
  <c r="AM162" i="9"/>
  <c r="AK162" i="9"/>
  <c r="AJ162" i="9"/>
  <c r="AI162" i="9"/>
  <c r="AH162" i="9"/>
  <c r="X162" i="9"/>
  <c r="W162" i="9"/>
  <c r="V162" i="9"/>
  <c r="U162" i="9"/>
  <c r="T162" i="9"/>
  <c r="S162" i="9"/>
  <c r="R162" i="9"/>
  <c r="Q162" i="9"/>
  <c r="P162" i="9"/>
  <c r="O162" i="9"/>
  <c r="N162" i="9"/>
  <c r="M162" i="9"/>
  <c r="L162" i="9"/>
  <c r="K162" i="9"/>
  <c r="I162" i="9"/>
  <c r="H162" i="9"/>
  <c r="G162" i="9"/>
  <c r="F162" i="9"/>
  <c r="AZ161" i="9"/>
  <c r="AY161" i="9"/>
  <c r="AX161" i="9"/>
  <c r="AW161" i="9"/>
  <c r="AV161" i="9"/>
  <c r="AU161" i="9"/>
  <c r="AT161" i="9"/>
  <c r="AS161" i="9"/>
  <c r="AR161" i="9"/>
  <c r="AQ161" i="9"/>
  <c r="AP161" i="9"/>
  <c r="AO161" i="9"/>
  <c r="AN161" i="9"/>
  <c r="AM161" i="9"/>
  <c r="AL161" i="9"/>
  <c r="AK161" i="9"/>
  <c r="AJ161" i="9"/>
  <c r="AI161" i="9"/>
  <c r="AH161" i="9"/>
  <c r="Z161" i="9"/>
  <c r="X161" i="9"/>
  <c r="W161" i="9"/>
  <c r="V161" i="9"/>
  <c r="U161" i="9"/>
  <c r="T161" i="9"/>
  <c r="S161" i="9"/>
  <c r="R161" i="9"/>
  <c r="Q161" i="9"/>
  <c r="P161" i="9"/>
  <c r="O161" i="9"/>
  <c r="N161" i="9"/>
  <c r="M161" i="9"/>
  <c r="L161" i="9"/>
  <c r="K161" i="9"/>
  <c r="J161" i="9"/>
  <c r="I161" i="9"/>
  <c r="H161" i="9"/>
  <c r="G161" i="9"/>
  <c r="F161" i="9"/>
  <c r="AY160" i="9"/>
  <c r="AW160" i="9"/>
  <c r="AT160" i="9"/>
  <c r="AS160" i="9"/>
  <c r="AR160" i="9"/>
  <c r="AQ160" i="9"/>
  <c r="AP160" i="9"/>
  <c r="AO160" i="9"/>
  <c r="AN160" i="9"/>
  <c r="AM160" i="9"/>
  <c r="AK160" i="9"/>
  <c r="AJ160" i="9"/>
  <c r="AI160" i="9"/>
  <c r="AH160" i="9"/>
  <c r="W160" i="9"/>
  <c r="U160" i="9"/>
  <c r="R160" i="9"/>
  <c r="Q160" i="9"/>
  <c r="P160" i="9"/>
  <c r="O160" i="9"/>
  <c r="N160" i="9"/>
  <c r="M160" i="9"/>
  <c r="L160" i="9"/>
  <c r="K160" i="9"/>
  <c r="I160" i="9"/>
  <c r="H160" i="9"/>
  <c r="G160" i="9"/>
  <c r="F160" i="9"/>
  <c r="AZ159" i="9"/>
  <c r="AY159" i="9"/>
  <c r="AX159" i="9"/>
  <c r="AW159" i="9"/>
  <c r="AV159" i="9"/>
  <c r="AU159" i="9"/>
  <c r="AT159" i="9"/>
  <c r="AS159" i="9"/>
  <c r="AR159" i="9"/>
  <c r="AQ159" i="9"/>
  <c r="AO159" i="9"/>
  <c r="AN159" i="9"/>
  <c r="AK159" i="9"/>
  <c r="AJ159" i="9"/>
  <c r="AI159" i="9"/>
  <c r="X159" i="9"/>
  <c r="W159" i="9"/>
  <c r="U159" i="9"/>
  <c r="T159" i="9"/>
  <c r="S159" i="9"/>
  <c r="R159" i="9"/>
  <c r="Q159" i="9"/>
  <c r="P159" i="9"/>
  <c r="O159" i="9"/>
  <c r="M159" i="9"/>
  <c r="L159" i="9"/>
  <c r="I159" i="9"/>
  <c r="H159" i="9"/>
  <c r="G159" i="9"/>
  <c r="BA158" i="9"/>
  <c r="AZ158" i="9"/>
  <c r="AY158" i="9"/>
  <c r="AX158" i="9"/>
  <c r="AW158" i="9"/>
  <c r="AV158" i="9"/>
  <c r="AU158" i="9"/>
  <c r="AT158" i="9"/>
  <c r="AS158" i="9"/>
  <c r="AR158" i="9"/>
  <c r="AQ158" i="9"/>
  <c r="AP158" i="9"/>
  <c r="AO158" i="9"/>
  <c r="AN158" i="9"/>
  <c r="AM158" i="9"/>
  <c r="AL158" i="9"/>
  <c r="AK158" i="9"/>
  <c r="AJ158" i="9"/>
  <c r="AI158" i="9"/>
  <c r="AH158" i="9"/>
  <c r="AB158" i="9"/>
  <c r="X158" i="9"/>
  <c r="W158" i="9"/>
  <c r="V158" i="9"/>
  <c r="U158" i="9"/>
  <c r="T158" i="9"/>
  <c r="S158" i="9"/>
  <c r="R158" i="9"/>
  <c r="Q158" i="9"/>
  <c r="P158" i="9"/>
  <c r="O158" i="9"/>
  <c r="N158" i="9"/>
  <c r="M158" i="9"/>
  <c r="L158" i="9"/>
  <c r="K158" i="9"/>
  <c r="J158" i="9"/>
  <c r="I158" i="9"/>
  <c r="H158" i="9"/>
  <c r="G158" i="9"/>
  <c r="F158" i="9"/>
  <c r="BB157" i="9"/>
  <c r="AZ157" i="9"/>
  <c r="AY157" i="9"/>
  <c r="AX157" i="9"/>
  <c r="AW157" i="9"/>
  <c r="AV157" i="9"/>
  <c r="AU157" i="9"/>
  <c r="AT157" i="9"/>
  <c r="AS157" i="9"/>
  <c r="AR157" i="9"/>
  <c r="AQ157" i="9"/>
  <c r="AP157" i="9"/>
  <c r="AO157" i="9"/>
  <c r="AN157" i="9"/>
  <c r="AM157" i="9"/>
  <c r="AL157" i="9"/>
  <c r="AK157" i="9"/>
  <c r="AI157" i="9"/>
  <c r="AB157" i="9"/>
  <c r="Z157" i="9"/>
  <c r="X157" i="9"/>
  <c r="W157" i="9"/>
  <c r="V157" i="9"/>
  <c r="U157" i="9"/>
  <c r="T157" i="9"/>
  <c r="S157" i="9"/>
  <c r="R157" i="9"/>
  <c r="Q157" i="9"/>
  <c r="P157" i="9"/>
  <c r="O157" i="9"/>
  <c r="N157" i="9"/>
  <c r="M157" i="9"/>
  <c r="L157" i="9"/>
  <c r="K157" i="9"/>
  <c r="J157" i="9"/>
  <c r="G157" i="9"/>
  <c r="AU156" i="9"/>
  <c r="AO156" i="9"/>
  <c r="AN156" i="9"/>
  <c r="AM156" i="9"/>
  <c r="AK156" i="9"/>
  <c r="AI156" i="9"/>
  <c r="S156" i="9"/>
  <c r="L156" i="9"/>
  <c r="G156" i="9"/>
  <c r="BA155" i="9"/>
  <c r="AZ155" i="9"/>
  <c r="AY155" i="9"/>
  <c r="AX155" i="9"/>
  <c r="AW155" i="9"/>
  <c r="AV155" i="9"/>
  <c r="AU155" i="9"/>
  <c r="AT155" i="9"/>
  <c r="AS155" i="9"/>
  <c r="AR155" i="9"/>
  <c r="AQ155" i="9"/>
  <c r="AP155" i="9"/>
  <c r="AO155" i="9"/>
  <c r="AN155" i="9"/>
  <c r="AM155" i="9"/>
  <c r="AL155" i="9"/>
  <c r="AK155" i="9"/>
  <c r="AJ155" i="9"/>
  <c r="AI155" i="9"/>
  <c r="AH155" i="9"/>
  <c r="X155" i="9"/>
  <c r="W155" i="9"/>
  <c r="V155" i="9"/>
  <c r="U155" i="9"/>
  <c r="T155" i="9"/>
  <c r="S155" i="9"/>
  <c r="R155" i="9"/>
  <c r="Q155" i="9"/>
  <c r="P155" i="9"/>
  <c r="O155" i="9"/>
  <c r="N155" i="9"/>
  <c r="M155" i="9"/>
  <c r="L155" i="9"/>
  <c r="K155" i="9"/>
  <c r="J155" i="9"/>
  <c r="I155" i="9"/>
  <c r="H155" i="9"/>
  <c r="G155" i="9"/>
  <c r="F155" i="9"/>
  <c r="BA154" i="9"/>
  <c r="AZ154" i="9"/>
  <c r="AY154" i="9"/>
  <c r="AX154" i="9"/>
  <c r="AW154" i="9"/>
  <c r="AV154" i="9"/>
  <c r="AU154" i="9"/>
  <c r="AT154" i="9"/>
  <c r="AS154" i="9"/>
  <c r="AR154" i="9"/>
  <c r="AQ154" i="9"/>
  <c r="AP154" i="9"/>
  <c r="AO154" i="9"/>
  <c r="AN154" i="9"/>
  <c r="AM154" i="9"/>
  <c r="AL154" i="9"/>
  <c r="AK154" i="9"/>
  <c r="AJ154" i="9"/>
  <c r="AI154" i="9"/>
  <c r="AH154" i="9"/>
  <c r="Y154" i="9"/>
  <c r="X154" i="9"/>
  <c r="W154" i="9"/>
  <c r="V154" i="9"/>
  <c r="U154" i="9"/>
  <c r="T154" i="9"/>
  <c r="S154" i="9"/>
  <c r="R154" i="9"/>
  <c r="Q154" i="9"/>
  <c r="P154" i="9"/>
  <c r="O154" i="9"/>
  <c r="N154" i="9"/>
  <c r="M154" i="9"/>
  <c r="L154" i="9"/>
  <c r="K154" i="9"/>
  <c r="J154" i="9"/>
  <c r="I154" i="9"/>
  <c r="H154" i="9"/>
  <c r="G154" i="9"/>
  <c r="F154" i="9"/>
  <c r="BB153" i="9"/>
  <c r="BA153" i="9"/>
  <c r="AZ153" i="9"/>
  <c r="AY153" i="9"/>
  <c r="AX153" i="9"/>
  <c r="AW153" i="9"/>
  <c r="AV153" i="9"/>
  <c r="AU153" i="9"/>
  <c r="AT153" i="9"/>
  <c r="AS153" i="9"/>
  <c r="AR153" i="9"/>
  <c r="AQ153" i="9"/>
  <c r="AP153" i="9"/>
  <c r="AO153" i="9"/>
  <c r="AN153" i="9"/>
  <c r="AM153" i="9"/>
  <c r="AL153" i="9"/>
  <c r="AK153" i="9"/>
  <c r="AJ153" i="9"/>
  <c r="AI153" i="9"/>
  <c r="AH153" i="9"/>
  <c r="Z153" i="9"/>
  <c r="Y153" i="9"/>
  <c r="X153" i="9"/>
  <c r="W153" i="9"/>
  <c r="V153" i="9"/>
  <c r="U153" i="9"/>
  <c r="T153" i="9"/>
  <c r="S153" i="9"/>
  <c r="R153" i="9"/>
  <c r="Q153" i="9"/>
  <c r="P153" i="9"/>
  <c r="O153" i="9"/>
  <c r="N153" i="9"/>
  <c r="M153" i="9"/>
  <c r="L153" i="9"/>
  <c r="K153" i="9"/>
  <c r="J153" i="9"/>
  <c r="I153" i="9"/>
  <c r="H153" i="9"/>
  <c r="G153" i="9"/>
  <c r="F153" i="9"/>
  <c r="BB152" i="9"/>
  <c r="AZ152" i="9"/>
  <c r="AY152" i="9"/>
  <c r="AX152" i="9"/>
  <c r="AW152" i="9"/>
  <c r="AV152" i="9"/>
  <c r="AU152" i="9"/>
  <c r="AT152" i="9"/>
  <c r="AS152" i="9"/>
  <c r="AR152" i="9"/>
  <c r="AQ152" i="9"/>
  <c r="AP152" i="9"/>
  <c r="AO152" i="9"/>
  <c r="AN152" i="9"/>
  <c r="AM152" i="9"/>
  <c r="AL152" i="9"/>
  <c r="AK152" i="9"/>
  <c r="AJ152" i="9"/>
  <c r="AI152" i="9"/>
  <c r="AH152" i="9"/>
  <c r="Z152" i="9"/>
  <c r="Y152" i="9"/>
  <c r="X152" i="9"/>
  <c r="W152" i="9"/>
  <c r="V152" i="9"/>
  <c r="U152" i="9"/>
  <c r="T152" i="9"/>
  <c r="S152" i="9"/>
  <c r="R152" i="9"/>
  <c r="Q152" i="9"/>
  <c r="P152" i="9"/>
  <c r="O152" i="9"/>
  <c r="N152" i="9"/>
  <c r="M152" i="9"/>
  <c r="L152" i="9"/>
  <c r="K152" i="9"/>
  <c r="J152" i="9"/>
  <c r="I152" i="9"/>
  <c r="H152" i="9"/>
  <c r="G152" i="9"/>
  <c r="F152" i="9"/>
  <c r="BB151" i="9"/>
  <c r="BA151" i="9"/>
  <c r="AZ151" i="9"/>
  <c r="AY151" i="9"/>
  <c r="AX151" i="9"/>
  <c r="AW151" i="9"/>
  <c r="AV151" i="9"/>
  <c r="AU151" i="9"/>
  <c r="AT151" i="9"/>
  <c r="AS151" i="9"/>
  <c r="AR151" i="9"/>
  <c r="AQ151" i="9"/>
  <c r="AP151" i="9"/>
  <c r="AO151" i="9"/>
  <c r="AN151" i="9"/>
  <c r="AM151" i="9"/>
  <c r="AL151" i="9"/>
  <c r="AK151" i="9"/>
  <c r="AJ151" i="9"/>
  <c r="AI151" i="9"/>
  <c r="AH151" i="9"/>
  <c r="Z151" i="9"/>
  <c r="Y151" i="9"/>
  <c r="X151" i="9"/>
  <c r="W151" i="9"/>
  <c r="V151" i="9"/>
  <c r="U151" i="9"/>
  <c r="T151" i="9"/>
  <c r="S151" i="9"/>
  <c r="R151" i="9"/>
  <c r="Q151" i="9"/>
  <c r="P151" i="9"/>
  <c r="O151" i="9"/>
  <c r="N151" i="9"/>
  <c r="M151" i="9"/>
  <c r="L151" i="9"/>
  <c r="K151" i="9"/>
  <c r="J151" i="9"/>
  <c r="I151" i="9"/>
  <c r="H151" i="9"/>
  <c r="G151" i="9"/>
  <c r="F151" i="9"/>
  <c r="BB150" i="9"/>
  <c r="BA150" i="9"/>
  <c r="AZ150" i="9"/>
  <c r="AY150" i="9"/>
  <c r="AX150" i="9"/>
  <c r="AW150" i="9"/>
  <c r="AV150" i="9"/>
  <c r="AU150" i="9"/>
  <c r="AT150" i="9"/>
  <c r="AS150" i="9"/>
  <c r="AR150" i="9"/>
  <c r="AQ150" i="9"/>
  <c r="AP150" i="9"/>
  <c r="AO150" i="9"/>
  <c r="AN150" i="9"/>
  <c r="AM150" i="9"/>
  <c r="AL150" i="9"/>
  <c r="AK150" i="9"/>
  <c r="AJ150" i="9"/>
  <c r="AI150" i="9"/>
  <c r="AH150" i="9"/>
  <c r="Z150" i="9"/>
  <c r="Y150" i="9"/>
  <c r="X150" i="9"/>
  <c r="W150" i="9"/>
  <c r="V150" i="9"/>
  <c r="U150" i="9"/>
  <c r="T150" i="9"/>
  <c r="S150" i="9"/>
  <c r="R150" i="9"/>
  <c r="Q150" i="9"/>
  <c r="P150" i="9"/>
  <c r="O150" i="9"/>
  <c r="N150" i="9"/>
  <c r="M150" i="9"/>
  <c r="L150" i="9"/>
  <c r="K150" i="9"/>
  <c r="J150" i="9"/>
  <c r="I150" i="9"/>
  <c r="H150" i="9"/>
  <c r="G150" i="9"/>
  <c r="F150" i="9"/>
  <c r="BB149" i="9"/>
  <c r="AZ149" i="9"/>
  <c r="AY149" i="9"/>
  <c r="AX149" i="9"/>
  <c r="AW149" i="9"/>
  <c r="AV149" i="9"/>
  <c r="AU149" i="9"/>
  <c r="AT149" i="9"/>
  <c r="AS149" i="9"/>
  <c r="AR149" i="9"/>
  <c r="AQ149" i="9"/>
  <c r="AP149" i="9"/>
  <c r="AO149" i="9"/>
  <c r="AN149" i="9"/>
  <c r="AM149" i="9"/>
  <c r="AL149" i="9"/>
  <c r="AK149" i="9"/>
  <c r="AJ149" i="9"/>
  <c r="AI149" i="9"/>
  <c r="AH149" i="9"/>
  <c r="Z149" i="9"/>
  <c r="X149" i="9"/>
  <c r="W149" i="9"/>
  <c r="V149" i="9"/>
  <c r="U149" i="9"/>
  <c r="T149" i="9"/>
  <c r="S149" i="9"/>
  <c r="R149" i="9"/>
  <c r="Q149" i="9"/>
  <c r="P149" i="9"/>
  <c r="O149" i="9"/>
  <c r="N149" i="9"/>
  <c r="M149" i="9"/>
  <c r="L149" i="9"/>
  <c r="K149" i="9"/>
  <c r="J149" i="9"/>
  <c r="I149" i="9"/>
  <c r="H149" i="9"/>
  <c r="G149" i="9"/>
  <c r="F149" i="9"/>
  <c r="AX148" i="9"/>
  <c r="AV148" i="9"/>
  <c r="AT148" i="9"/>
  <c r="AR148" i="9"/>
  <c r="AQ148" i="9"/>
  <c r="AO148" i="9"/>
  <c r="AK148" i="9"/>
  <c r="AH148" i="9"/>
  <c r="V148" i="9"/>
  <c r="S148" i="9"/>
  <c r="R148" i="9"/>
  <c r="O148" i="9"/>
  <c r="N148" i="9"/>
  <c r="M148" i="9"/>
  <c r="K148" i="9"/>
  <c r="I148" i="9"/>
  <c r="G148" i="9"/>
  <c r="F148" i="9"/>
  <c r="AU147" i="9"/>
  <c r="AR147" i="9"/>
  <c r="AP147" i="9"/>
  <c r="AI147" i="9"/>
  <c r="AH147" i="9"/>
  <c r="S147" i="9"/>
  <c r="N147" i="9"/>
  <c r="G147" i="9"/>
  <c r="F147" i="9"/>
  <c r="AW146" i="9"/>
  <c r="AT146" i="9"/>
  <c r="AS146" i="9"/>
  <c r="AQ146" i="9"/>
  <c r="AO146" i="9"/>
  <c r="AI146" i="9"/>
  <c r="W146" i="9"/>
  <c r="U146" i="9"/>
  <c r="R146" i="9"/>
  <c r="Q146" i="9"/>
  <c r="O146" i="9"/>
  <c r="I146" i="9"/>
  <c r="G146" i="9"/>
  <c r="AU145" i="9"/>
  <c r="S145" i="9"/>
  <c r="H145" i="9"/>
  <c r="AX144" i="9"/>
  <c r="AW144" i="9"/>
  <c r="AV144" i="9"/>
  <c r="AT144" i="9"/>
  <c r="AS144" i="9"/>
  <c r="AR144" i="9"/>
  <c r="AO144" i="9"/>
  <c r="AN144" i="9"/>
  <c r="AL144" i="9"/>
  <c r="AK144" i="9"/>
  <c r="AJ144" i="9"/>
  <c r="AI144" i="9"/>
  <c r="AH144" i="9"/>
  <c r="W144" i="9"/>
  <c r="V144" i="9"/>
  <c r="S144" i="9"/>
  <c r="R144" i="9"/>
  <c r="Q144" i="9"/>
  <c r="M144" i="9"/>
  <c r="J144" i="9"/>
  <c r="G144" i="9"/>
  <c r="F144" i="9"/>
  <c r="AY143" i="9"/>
  <c r="AX143" i="9"/>
  <c r="AW143" i="9"/>
  <c r="AV143" i="9"/>
  <c r="AS143" i="9"/>
  <c r="AR143" i="9"/>
  <c r="AP143" i="9"/>
  <c r="AN143" i="9"/>
  <c r="AL143" i="9"/>
  <c r="AK143" i="9"/>
  <c r="W143" i="9"/>
  <c r="V143" i="9"/>
  <c r="U143" i="9"/>
  <c r="T143" i="9"/>
  <c r="Q143" i="9"/>
  <c r="P143" i="9"/>
  <c r="L143" i="9"/>
  <c r="I143" i="9"/>
  <c r="AY142" i="9"/>
  <c r="AX142" i="9"/>
  <c r="AV142" i="9"/>
  <c r="AU142" i="9"/>
  <c r="AR142" i="9"/>
  <c r="AQ142" i="9"/>
  <c r="AP142" i="9"/>
  <c r="AO142" i="9"/>
  <c r="AN142" i="9"/>
  <c r="AK142" i="9"/>
  <c r="AJ142" i="9"/>
  <c r="AI142" i="9"/>
  <c r="AH142" i="9"/>
  <c r="W142" i="9"/>
  <c r="V142" i="9"/>
  <c r="T142" i="9"/>
  <c r="S142" i="9"/>
  <c r="O142" i="9"/>
  <c r="N142" i="9"/>
  <c r="M142" i="9"/>
  <c r="L142" i="9"/>
  <c r="J142" i="9"/>
  <c r="I142" i="9"/>
  <c r="F142" i="9"/>
  <c r="X135" i="9"/>
  <c r="W135" i="9"/>
  <c r="V135" i="9"/>
  <c r="U135" i="9"/>
  <c r="T135" i="9"/>
  <c r="S135" i="9"/>
  <c r="R135" i="9"/>
  <c r="Q135" i="9"/>
  <c r="P135" i="9"/>
  <c r="O135" i="9"/>
  <c r="N135" i="9"/>
  <c r="M135" i="9"/>
  <c r="L135" i="9"/>
  <c r="K135" i="9"/>
  <c r="J135" i="9"/>
  <c r="I135" i="9"/>
  <c r="H135" i="9"/>
  <c r="G135" i="9"/>
  <c r="F135" i="9"/>
  <c r="X134" i="9"/>
  <c r="W134" i="9"/>
  <c r="V134" i="9"/>
  <c r="U134" i="9"/>
  <c r="T134" i="9"/>
  <c r="S134" i="9"/>
  <c r="R134" i="9"/>
  <c r="Q134" i="9"/>
  <c r="P134" i="9"/>
  <c r="O134" i="9"/>
  <c r="N134" i="9"/>
  <c r="M134" i="9"/>
  <c r="L134" i="9"/>
  <c r="K134" i="9"/>
  <c r="J134" i="9"/>
  <c r="I134" i="9"/>
  <c r="H134" i="9"/>
  <c r="G134" i="9"/>
  <c r="F134" i="9"/>
  <c r="X133" i="9"/>
  <c r="W133" i="9"/>
  <c r="V133" i="9"/>
  <c r="U133" i="9"/>
  <c r="T133" i="9"/>
  <c r="S133" i="9"/>
  <c r="R133" i="9"/>
  <c r="Q133" i="9"/>
  <c r="P133" i="9"/>
  <c r="O133" i="9"/>
  <c r="N133" i="9"/>
  <c r="M133" i="9"/>
  <c r="L133" i="9"/>
  <c r="K133" i="9"/>
  <c r="J133" i="9"/>
  <c r="I133" i="9"/>
  <c r="H133" i="9"/>
  <c r="G133" i="9"/>
  <c r="F133" i="9"/>
  <c r="X132" i="9"/>
  <c r="W132" i="9"/>
  <c r="V132" i="9"/>
  <c r="U132" i="9"/>
  <c r="T132" i="9"/>
  <c r="S132" i="9"/>
  <c r="R132" i="9"/>
  <c r="Q132" i="9"/>
  <c r="P132" i="9"/>
  <c r="O132" i="9"/>
  <c r="N132" i="9"/>
  <c r="M132" i="9"/>
  <c r="L132" i="9"/>
  <c r="K132" i="9"/>
  <c r="J132" i="9"/>
  <c r="I132" i="9"/>
  <c r="X131" i="9"/>
  <c r="W131" i="9"/>
  <c r="V131" i="9"/>
  <c r="U131" i="9"/>
  <c r="T131" i="9"/>
  <c r="S131" i="9"/>
  <c r="R131" i="9"/>
  <c r="Q131" i="9"/>
  <c r="P131" i="9"/>
  <c r="O131" i="9"/>
  <c r="N131" i="9"/>
  <c r="M131" i="9"/>
  <c r="L131" i="9"/>
  <c r="K131" i="9"/>
  <c r="J131" i="9"/>
  <c r="I131" i="9"/>
  <c r="H131" i="9"/>
  <c r="G131" i="9"/>
  <c r="F131" i="9"/>
  <c r="X130" i="9"/>
  <c r="W130" i="9"/>
  <c r="V130" i="9"/>
  <c r="U130" i="9"/>
  <c r="T130" i="9"/>
  <c r="S130" i="9"/>
  <c r="R130" i="9"/>
  <c r="Q130" i="9"/>
  <c r="P130" i="9"/>
  <c r="O130" i="9"/>
  <c r="N130" i="9"/>
  <c r="M130" i="9"/>
  <c r="L130" i="9"/>
  <c r="K130" i="9"/>
  <c r="J130" i="9"/>
  <c r="I130" i="9"/>
  <c r="H130" i="9"/>
  <c r="G130" i="9"/>
  <c r="F130" i="9"/>
  <c r="W129" i="9"/>
  <c r="V129" i="9"/>
  <c r="U129" i="9"/>
  <c r="T129" i="9"/>
  <c r="S129" i="9"/>
  <c r="R129" i="9"/>
  <c r="N129" i="9"/>
  <c r="L129" i="9"/>
  <c r="J129" i="9"/>
  <c r="H129" i="9"/>
  <c r="G129" i="9"/>
  <c r="F129" i="9"/>
  <c r="X128" i="9"/>
  <c r="W128" i="9"/>
  <c r="V128" i="9"/>
  <c r="S128" i="9"/>
  <c r="R128" i="9"/>
  <c r="Q128" i="9"/>
  <c r="P128" i="9"/>
  <c r="O128" i="9"/>
  <c r="N128" i="9"/>
  <c r="L128" i="9"/>
  <c r="J128" i="9"/>
  <c r="I128" i="9"/>
  <c r="H128" i="9"/>
  <c r="G128" i="9"/>
  <c r="F128" i="9"/>
  <c r="X127" i="9"/>
  <c r="W127" i="9"/>
  <c r="V127" i="9"/>
  <c r="U127" i="9"/>
  <c r="T127" i="9"/>
  <c r="S127" i="9"/>
  <c r="Q127" i="9"/>
  <c r="L127" i="9"/>
  <c r="H127" i="9"/>
  <c r="G127" i="9"/>
  <c r="X126" i="9"/>
  <c r="V126" i="9"/>
  <c r="U126" i="9"/>
  <c r="T126" i="9"/>
  <c r="S126" i="9"/>
  <c r="R126" i="9"/>
  <c r="Q126" i="9"/>
  <c r="P126" i="9"/>
  <c r="O126" i="9"/>
  <c r="N126" i="9"/>
  <c r="L126" i="9"/>
  <c r="J126" i="9"/>
  <c r="G126" i="9"/>
  <c r="X125" i="9"/>
  <c r="W125" i="9"/>
  <c r="V125" i="9"/>
  <c r="U125" i="9"/>
  <c r="T125" i="9"/>
  <c r="S125" i="9"/>
  <c r="R125" i="9"/>
  <c r="Q125" i="9"/>
  <c r="P125" i="9"/>
  <c r="O125" i="9"/>
  <c r="N125" i="9"/>
  <c r="M125" i="9"/>
  <c r="L125" i="9"/>
  <c r="K125" i="9"/>
  <c r="J125" i="9"/>
  <c r="I125" i="9"/>
  <c r="H125" i="9"/>
  <c r="G125" i="9"/>
  <c r="F125" i="9"/>
  <c r="X124" i="9"/>
  <c r="W124" i="9"/>
  <c r="V124" i="9"/>
  <c r="U124" i="9"/>
  <c r="T124" i="9"/>
  <c r="S124" i="9"/>
  <c r="R124" i="9"/>
  <c r="Q124" i="9"/>
  <c r="P124" i="9"/>
  <c r="O124" i="9"/>
  <c r="N124" i="9"/>
  <c r="M124" i="9"/>
  <c r="L124" i="9"/>
  <c r="K124" i="9"/>
  <c r="J124" i="9"/>
  <c r="I124" i="9"/>
  <c r="H124" i="9"/>
  <c r="G124" i="9"/>
  <c r="F124" i="9"/>
  <c r="X123" i="9"/>
  <c r="W123" i="9"/>
  <c r="V123" i="9"/>
  <c r="U123" i="9"/>
  <c r="T123" i="9"/>
  <c r="S123" i="9"/>
  <c r="R123" i="9"/>
  <c r="Q123" i="9"/>
  <c r="P123" i="9"/>
  <c r="O123" i="9"/>
  <c r="N123" i="9"/>
  <c r="M123" i="9"/>
  <c r="L123" i="9"/>
  <c r="K123" i="9"/>
  <c r="J123" i="9"/>
  <c r="I123" i="9"/>
  <c r="H123" i="9"/>
  <c r="G123" i="9"/>
  <c r="F123" i="9"/>
  <c r="X122" i="9"/>
  <c r="W122" i="9"/>
  <c r="V122" i="9"/>
  <c r="U122" i="9"/>
  <c r="T122" i="9"/>
  <c r="S122" i="9"/>
  <c r="R122" i="9"/>
  <c r="Q122" i="9"/>
  <c r="P122" i="9"/>
  <c r="O122" i="9"/>
  <c r="N122" i="9"/>
  <c r="M122" i="9"/>
  <c r="L122" i="9"/>
  <c r="K122" i="9"/>
  <c r="J122" i="9"/>
  <c r="I122" i="9"/>
  <c r="H122" i="9"/>
  <c r="G122" i="9"/>
  <c r="F122" i="9"/>
  <c r="X121" i="9"/>
  <c r="W121" i="9"/>
  <c r="V121" i="9"/>
  <c r="U121" i="9"/>
  <c r="T121" i="9"/>
  <c r="S121" i="9"/>
  <c r="R121" i="9"/>
  <c r="Q121" i="9"/>
  <c r="P121" i="9"/>
  <c r="O121" i="9"/>
  <c r="N121" i="9"/>
  <c r="M121" i="9"/>
  <c r="L121" i="9"/>
  <c r="K121" i="9"/>
  <c r="J121" i="9"/>
  <c r="I121" i="9"/>
  <c r="H121" i="9"/>
  <c r="G121" i="9"/>
  <c r="F121" i="9"/>
  <c r="W120" i="9"/>
  <c r="V120" i="9"/>
  <c r="U120" i="9"/>
  <c r="T120" i="9"/>
  <c r="S120" i="9"/>
  <c r="R120" i="9"/>
  <c r="Q120" i="9"/>
  <c r="P120" i="9"/>
  <c r="O120" i="9"/>
  <c r="N120" i="9"/>
  <c r="M120" i="9"/>
  <c r="L120" i="9"/>
  <c r="K120" i="9"/>
  <c r="J120" i="9"/>
  <c r="I120" i="9"/>
  <c r="H120" i="9"/>
  <c r="G120" i="9"/>
  <c r="F120" i="9"/>
  <c r="X119" i="9"/>
  <c r="W119" i="9"/>
  <c r="V119" i="9"/>
  <c r="U119" i="9"/>
  <c r="T119" i="9"/>
  <c r="S119" i="9"/>
  <c r="R119" i="9"/>
  <c r="Q119" i="9"/>
  <c r="P119" i="9"/>
  <c r="O119" i="9"/>
  <c r="N119" i="9"/>
  <c r="M119" i="9"/>
  <c r="K119" i="9"/>
  <c r="J119" i="9"/>
  <c r="I119" i="9"/>
  <c r="H119" i="9"/>
  <c r="G119" i="9"/>
  <c r="F119" i="9"/>
  <c r="S118" i="9"/>
  <c r="P118" i="9"/>
  <c r="O118" i="9"/>
  <c r="N118" i="9"/>
  <c r="M118" i="9"/>
  <c r="L118" i="9"/>
  <c r="K118" i="9"/>
  <c r="J118" i="9"/>
  <c r="I118" i="9"/>
  <c r="H118" i="9"/>
  <c r="G118" i="9"/>
  <c r="F118" i="9"/>
  <c r="X117" i="9"/>
  <c r="W117" i="9"/>
  <c r="V117" i="9"/>
  <c r="U117" i="9"/>
  <c r="T117" i="9"/>
  <c r="S117" i="9"/>
  <c r="R117" i="9"/>
  <c r="Q117" i="9"/>
  <c r="P117" i="9"/>
  <c r="O117" i="9"/>
  <c r="N117" i="9"/>
  <c r="L117" i="9"/>
  <c r="K117" i="9"/>
  <c r="I117" i="9"/>
  <c r="H117" i="9"/>
  <c r="G117" i="9"/>
  <c r="F117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AA115" i="9"/>
  <c r="W115" i="9"/>
  <c r="U115" i="9"/>
  <c r="R115" i="9"/>
  <c r="Q115" i="9"/>
  <c r="P115" i="9"/>
  <c r="O115" i="9"/>
  <c r="N115" i="9"/>
  <c r="M115" i="9"/>
  <c r="L115" i="9"/>
  <c r="K115" i="9"/>
  <c r="I115" i="9"/>
  <c r="H115" i="9"/>
  <c r="G115" i="9"/>
  <c r="F115" i="9"/>
  <c r="AA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I114" i="9"/>
  <c r="H114" i="9"/>
  <c r="G114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G112" i="9"/>
  <c r="S111" i="9"/>
  <c r="N111" i="9"/>
  <c r="M111" i="9"/>
  <c r="L111" i="9"/>
  <c r="K111" i="9"/>
  <c r="I111" i="9"/>
  <c r="G111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AA103" i="9"/>
  <c r="AA100" i="9"/>
  <c r="Z90" i="9"/>
  <c r="AA90" i="9" s="1"/>
  <c r="Y90" i="9"/>
  <c r="Z89" i="9"/>
  <c r="Y89" i="9"/>
  <c r="Z88" i="9"/>
  <c r="AA88" i="9" s="1"/>
  <c r="Y88" i="9"/>
  <c r="Z87" i="9"/>
  <c r="G87" i="9"/>
  <c r="Z86" i="9"/>
  <c r="AA86" i="9" s="1"/>
  <c r="Y86" i="9"/>
  <c r="Z85" i="9"/>
  <c r="Y85" i="9"/>
  <c r="X84" i="9"/>
  <c r="Q84" i="9"/>
  <c r="P84" i="9"/>
  <c r="O84" i="9"/>
  <c r="M84" i="9"/>
  <c r="K84" i="9"/>
  <c r="I84" i="9"/>
  <c r="M83" i="9"/>
  <c r="K83" i="9"/>
  <c r="K128" i="9" s="1"/>
  <c r="P82" i="9"/>
  <c r="O82" i="9"/>
  <c r="N82" i="9"/>
  <c r="M82" i="9"/>
  <c r="K82" i="9"/>
  <c r="J82" i="9"/>
  <c r="I82" i="9"/>
  <c r="W81" i="9"/>
  <c r="Z81" i="9" s="1"/>
  <c r="M81" i="9"/>
  <c r="I81" i="9"/>
  <c r="Z80" i="9"/>
  <c r="Y80" i="9"/>
  <c r="Z79" i="9"/>
  <c r="Y79" i="9"/>
  <c r="AA79" i="9" s="1"/>
  <c r="Z78" i="9"/>
  <c r="Y78" i="9"/>
  <c r="AA78" i="9" s="1"/>
  <c r="Z77" i="9"/>
  <c r="Y77" i="9"/>
  <c r="AA77" i="9" s="1"/>
  <c r="Z76" i="9"/>
  <c r="Y76" i="9"/>
  <c r="Z75" i="9"/>
  <c r="Y75" i="9"/>
  <c r="AA75" i="9" s="1"/>
  <c r="Z74" i="9"/>
  <c r="Y74" i="9"/>
  <c r="Y73" i="9"/>
  <c r="V73" i="9"/>
  <c r="V28" i="9" s="1"/>
  <c r="Z71" i="9"/>
  <c r="Y71" i="9"/>
  <c r="X70" i="9"/>
  <c r="V70" i="9"/>
  <c r="V56" i="9" s="1"/>
  <c r="S70" i="9"/>
  <c r="AU160" i="9" s="1"/>
  <c r="J70" i="9"/>
  <c r="Z68" i="9"/>
  <c r="Y68" i="9"/>
  <c r="AC67" i="9"/>
  <c r="Z67" i="9"/>
  <c r="AJ157" i="9"/>
  <c r="AH157" i="9"/>
  <c r="AC66" i="9"/>
  <c r="Y66" i="9"/>
  <c r="V66" i="9"/>
  <c r="U83" i="9"/>
  <c r="AJ156" i="9"/>
  <c r="Z65" i="9"/>
  <c r="Y65" i="9"/>
  <c r="AA65" i="9" s="1"/>
  <c r="AC64" i="9"/>
  <c r="Z64" i="9"/>
  <c r="Y64" i="9"/>
  <c r="AC63" i="9"/>
  <c r="Z63" i="9"/>
  <c r="AA63" i="9" s="1"/>
  <c r="Y63" i="9"/>
  <c r="Z62" i="9"/>
  <c r="Y62" i="9"/>
  <c r="AA62" i="9" s="1"/>
  <c r="Z61" i="9"/>
  <c r="AA61" i="9" s="1"/>
  <c r="Y61" i="9"/>
  <c r="AD60" i="9"/>
  <c r="Z60" i="9"/>
  <c r="Y60" i="9"/>
  <c r="Z59" i="9"/>
  <c r="Y59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Y58" i="9" s="1"/>
  <c r="F58" i="9"/>
  <c r="AA57" i="9"/>
  <c r="W57" i="9"/>
  <c r="S57" i="9"/>
  <c r="P57" i="9"/>
  <c r="O57" i="9"/>
  <c r="N57" i="9"/>
  <c r="K57" i="9"/>
  <c r="K51" i="9" s="1"/>
  <c r="I57" i="9"/>
  <c r="H57" i="9"/>
  <c r="G57" i="9"/>
  <c r="F57" i="9"/>
  <c r="X56" i="9"/>
  <c r="W56" i="9"/>
  <c r="U56" i="9"/>
  <c r="R56" i="9"/>
  <c r="Q56" i="9"/>
  <c r="P56" i="9"/>
  <c r="O56" i="9"/>
  <c r="N56" i="9"/>
  <c r="M56" i="9"/>
  <c r="L56" i="9"/>
  <c r="K56" i="9"/>
  <c r="I56" i="9"/>
  <c r="I51" i="9" s="1"/>
  <c r="H56" i="9"/>
  <c r="G56" i="9"/>
  <c r="W55" i="9"/>
  <c r="U55" i="9"/>
  <c r="S55" i="9"/>
  <c r="Q55" i="9"/>
  <c r="P55" i="9"/>
  <c r="O55" i="9"/>
  <c r="O100" i="9" s="1"/>
  <c r="N55" i="9"/>
  <c r="M55" i="9"/>
  <c r="L55" i="9"/>
  <c r="L51" i="9" s="1"/>
  <c r="K55" i="9"/>
  <c r="J55" i="9"/>
  <c r="I55" i="9"/>
  <c r="H55" i="9"/>
  <c r="G55" i="9"/>
  <c r="G100" i="9" s="1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Y54" i="9" s="1"/>
  <c r="H54" i="9"/>
  <c r="G54" i="9"/>
  <c r="F54" i="9"/>
  <c r="X53" i="9"/>
  <c r="W53" i="9"/>
  <c r="V53" i="9"/>
  <c r="U53" i="9"/>
  <c r="T53" i="9"/>
  <c r="T50" i="9" s="1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F52" i="9"/>
  <c r="X52" i="9"/>
  <c r="X50" i="9" s="1"/>
  <c r="W52" i="9"/>
  <c r="W50" i="9" s="1"/>
  <c r="V52" i="9"/>
  <c r="U52" i="9"/>
  <c r="T52" i="9"/>
  <c r="S52" i="9"/>
  <c r="S50" i="9" s="1"/>
  <c r="R52" i="9"/>
  <c r="Q52" i="9"/>
  <c r="P52" i="9"/>
  <c r="P50" i="9" s="1"/>
  <c r="AC51" i="9" s="1"/>
  <c r="O52" i="9"/>
  <c r="N52" i="9"/>
  <c r="M52" i="9"/>
  <c r="L52" i="9"/>
  <c r="K52" i="9"/>
  <c r="J52" i="9"/>
  <c r="I52" i="9"/>
  <c r="H52" i="9"/>
  <c r="H50" i="9" s="1"/>
  <c r="G52" i="9"/>
  <c r="Z45" i="9"/>
  <c r="Y45" i="9"/>
  <c r="Z44" i="9"/>
  <c r="Y44" i="9"/>
  <c r="Z43" i="9"/>
  <c r="Z133" i="9" s="1"/>
  <c r="Y43" i="9"/>
  <c r="Z42" i="9"/>
  <c r="Z132" i="9" s="1"/>
  <c r="G42" i="9"/>
  <c r="Z41" i="9"/>
  <c r="Z131" i="9" s="1"/>
  <c r="Y41" i="9"/>
  <c r="Z40" i="9"/>
  <c r="Y40" i="9"/>
  <c r="M39" i="9"/>
  <c r="K39" i="9"/>
  <c r="I39" i="9"/>
  <c r="M38" i="9"/>
  <c r="K38" i="9"/>
  <c r="Y38" i="9" s="1"/>
  <c r="N37" i="9"/>
  <c r="N127" i="9" s="1"/>
  <c r="M37" i="9"/>
  <c r="K37" i="9"/>
  <c r="J37" i="9"/>
  <c r="I37" i="9"/>
  <c r="M36" i="9"/>
  <c r="K36" i="9"/>
  <c r="I36" i="9"/>
  <c r="Z35" i="9"/>
  <c r="Y35" i="9"/>
  <c r="Z34" i="9"/>
  <c r="Y34" i="9"/>
  <c r="Z33" i="9"/>
  <c r="Y33" i="9"/>
  <c r="Y123" i="9" s="1"/>
  <c r="Z32" i="9"/>
  <c r="Y32" i="9"/>
  <c r="Z31" i="9"/>
  <c r="Z121" i="9" s="1"/>
  <c r="Y31" i="9"/>
  <c r="Y30" i="9"/>
  <c r="X30" i="9"/>
  <c r="Z29" i="9"/>
  <c r="Z119" i="9" s="1"/>
  <c r="Y29" i="9"/>
  <c r="Y119" i="9" s="1"/>
  <c r="Y28" i="9"/>
  <c r="X28" i="9"/>
  <c r="U28" i="9"/>
  <c r="M27" i="9"/>
  <c r="M12" i="9" s="1"/>
  <c r="Z26" i="9"/>
  <c r="Y26" i="9"/>
  <c r="Y116" i="9" s="1"/>
  <c r="Z25" i="9"/>
  <c r="Z24" i="9"/>
  <c r="J24" i="9"/>
  <c r="F24" i="9"/>
  <c r="F249" i="9" s="1"/>
  <c r="Z23" i="9"/>
  <c r="Y23" i="9"/>
  <c r="Z22" i="9"/>
  <c r="H42" i="9"/>
  <c r="W21" i="9"/>
  <c r="W201" i="9" s="1"/>
  <c r="W190" i="9" s="1"/>
  <c r="U21" i="9"/>
  <c r="Q21" i="9"/>
  <c r="Q10" i="9"/>
  <c r="O37" i="9"/>
  <c r="H36" i="9"/>
  <c r="Z20" i="9"/>
  <c r="Y20" i="9"/>
  <c r="Y110" i="9" s="1"/>
  <c r="Z19" i="9"/>
  <c r="Y19" i="9"/>
  <c r="Z18" i="9"/>
  <c r="Y18" i="9"/>
  <c r="Y108" i="9" s="1"/>
  <c r="Z17" i="9"/>
  <c r="AA17" i="9" s="1"/>
  <c r="AA107" i="9" s="1"/>
  <c r="Y17" i="9"/>
  <c r="Z16" i="9"/>
  <c r="Y16" i="9"/>
  <c r="AA16" i="9" s="1"/>
  <c r="Z15" i="9"/>
  <c r="Y15" i="9"/>
  <c r="Z14" i="9"/>
  <c r="Y14" i="9"/>
  <c r="Y104" i="9" s="1"/>
  <c r="W13" i="9"/>
  <c r="W103" i="9" s="1"/>
  <c r="V13" i="9"/>
  <c r="U13" i="9"/>
  <c r="T13" i="9"/>
  <c r="S13" i="9"/>
  <c r="S103" i="9" s="1"/>
  <c r="R13" i="9"/>
  <c r="Q13" i="9"/>
  <c r="P13" i="9"/>
  <c r="O13" i="9"/>
  <c r="N13" i="9"/>
  <c r="M13" i="9"/>
  <c r="L13" i="9"/>
  <c r="L103" i="9" s="1"/>
  <c r="K13" i="9"/>
  <c r="K103" i="9" s="1"/>
  <c r="J13" i="9"/>
  <c r="I13" i="9"/>
  <c r="H13" i="9"/>
  <c r="G13" i="9"/>
  <c r="G103" i="9" s="1"/>
  <c r="F13" i="9"/>
  <c r="AC12" i="9"/>
  <c r="S12" i="9"/>
  <c r="S102" i="9" s="1"/>
  <c r="P12" i="9"/>
  <c r="O12" i="9"/>
  <c r="N12" i="9"/>
  <c r="K12" i="9"/>
  <c r="K102" i="9" s="1"/>
  <c r="I12" i="9"/>
  <c r="H12" i="9"/>
  <c r="G12" i="9"/>
  <c r="F12" i="9"/>
  <c r="F102" i="9" s="1"/>
  <c r="X11" i="9"/>
  <c r="X101" i="9" s="1"/>
  <c r="W11" i="9"/>
  <c r="W101" i="9" s="1"/>
  <c r="V11" i="9"/>
  <c r="U11" i="9"/>
  <c r="T11" i="9"/>
  <c r="S11" i="9"/>
  <c r="R11" i="9"/>
  <c r="R101" i="9" s="1"/>
  <c r="Q11" i="9"/>
  <c r="P11" i="9"/>
  <c r="P101" i="9" s="1"/>
  <c r="O11" i="9"/>
  <c r="N11" i="9"/>
  <c r="M11" i="9"/>
  <c r="L11" i="9"/>
  <c r="K11" i="9"/>
  <c r="I11" i="9"/>
  <c r="H11" i="9"/>
  <c r="G11" i="9"/>
  <c r="G101" i="9" s="1"/>
  <c r="F11" i="9"/>
  <c r="V10" i="9"/>
  <c r="S10" i="9"/>
  <c r="S100" i="9" s="1"/>
  <c r="P10" i="9"/>
  <c r="O10" i="9"/>
  <c r="N10" i="9"/>
  <c r="M10" i="9"/>
  <c r="L10" i="9"/>
  <c r="L100" i="9" s="1"/>
  <c r="K10" i="9"/>
  <c r="J10" i="9"/>
  <c r="I10" i="9"/>
  <c r="G10" i="9"/>
  <c r="X9" i="9"/>
  <c r="X99" i="9" s="1"/>
  <c r="W9" i="9"/>
  <c r="W99" i="9" s="1"/>
  <c r="V9" i="9"/>
  <c r="U9" i="9"/>
  <c r="U99" i="9" s="1"/>
  <c r="T9" i="9"/>
  <c r="S9" i="9"/>
  <c r="R9" i="9"/>
  <c r="Q9" i="9"/>
  <c r="Q99" i="9" s="1"/>
  <c r="Q7" i="9"/>
  <c r="Q8" i="9"/>
  <c r="P9" i="9"/>
  <c r="O9" i="9"/>
  <c r="Z9" i="9" s="1"/>
  <c r="Z99" i="9" s="1"/>
  <c r="N9" i="9"/>
  <c r="N99" i="9" s="1"/>
  <c r="M9" i="9"/>
  <c r="L9" i="9"/>
  <c r="K9" i="9"/>
  <c r="K99" i="9" s="1"/>
  <c r="J9" i="9"/>
  <c r="J99" i="9" s="1"/>
  <c r="I9" i="9"/>
  <c r="I7" i="9"/>
  <c r="I5" i="9" s="1"/>
  <c r="I95" i="9" s="1"/>
  <c r="I8" i="9"/>
  <c r="I98" i="9" s="1"/>
  <c r="H9" i="9"/>
  <c r="G9" i="9"/>
  <c r="F9" i="9"/>
  <c r="X8" i="9"/>
  <c r="W8" i="9"/>
  <c r="V8" i="9"/>
  <c r="U8" i="9"/>
  <c r="U5" i="9" s="1"/>
  <c r="U95" i="9" s="1"/>
  <c r="T8" i="9"/>
  <c r="T98" i="9" s="1"/>
  <c r="S8" i="9"/>
  <c r="R8" i="9"/>
  <c r="P8" i="9"/>
  <c r="O8" i="9"/>
  <c r="N8" i="9"/>
  <c r="M8" i="9"/>
  <c r="L8" i="9"/>
  <c r="L98" i="9" s="1"/>
  <c r="K8" i="9"/>
  <c r="K98" i="9" s="1"/>
  <c r="J8" i="9"/>
  <c r="H8" i="9"/>
  <c r="G8" i="9"/>
  <c r="G5" i="9" s="1"/>
  <c r="G95" i="9" s="1"/>
  <c r="F8" i="9"/>
  <c r="F98" i="9" s="1"/>
  <c r="X7" i="9"/>
  <c r="W7" i="9"/>
  <c r="V7" i="9"/>
  <c r="V97" i="9" s="1"/>
  <c r="U7" i="9"/>
  <c r="T7" i="9"/>
  <c r="S7" i="9"/>
  <c r="S97" i="9" s="1"/>
  <c r="R7" i="9"/>
  <c r="P7" i="9"/>
  <c r="O7" i="9"/>
  <c r="N7" i="9"/>
  <c r="M7" i="9"/>
  <c r="L7" i="9"/>
  <c r="K7" i="9"/>
  <c r="J7" i="9"/>
  <c r="H7" i="9"/>
  <c r="G7" i="9"/>
  <c r="F7" i="9"/>
  <c r="F5" i="9" s="1"/>
  <c r="F95" i="9" s="1"/>
  <c r="M5" i="9"/>
  <c r="AA14" i="9"/>
  <c r="AA104" i="9" s="1"/>
  <c r="V57" i="9"/>
  <c r="O97" i="9"/>
  <c r="W97" i="9"/>
  <c r="W5" i="9"/>
  <c r="W95" i="9" s="1"/>
  <c r="T5" i="9"/>
  <c r="T95" i="9" s="1"/>
  <c r="I99" i="9"/>
  <c r="Y106" i="9"/>
  <c r="I127" i="9"/>
  <c r="AK145" i="9"/>
  <c r="K180" i="9"/>
  <c r="I102" i="9"/>
  <c r="Y130" i="9"/>
  <c r="G132" i="9"/>
  <c r="H98" i="9"/>
  <c r="P98" i="9"/>
  <c r="P5" i="9"/>
  <c r="M99" i="9"/>
  <c r="AA18" i="9"/>
  <c r="AA108" i="9" s="1"/>
  <c r="K50" i="9"/>
  <c r="G175" i="9"/>
  <c r="I103" i="9"/>
  <c r="M103" i="9"/>
  <c r="Q103" i="9"/>
  <c r="U103" i="9"/>
  <c r="Z104" i="9"/>
  <c r="AA68" i="9"/>
  <c r="O102" i="9"/>
  <c r="Y134" i="9"/>
  <c r="U10" i="9"/>
  <c r="Y118" i="9"/>
  <c r="Z30" i="9"/>
  <c r="Z120" i="9" s="1"/>
  <c r="Y122" i="9"/>
  <c r="Z125" i="9"/>
  <c r="AA59" i="9"/>
  <c r="AA64" i="9"/>
  <c r="P97" i="9"/>
  <c r="T97" i="9"/>
  <c r="X97" i="9"/>
  <c r="M98" i="9"/>
  <c r="Q98" i="9"/>
  <c r="R99" i="9"/>
  <c r="V99" i="9"/>
  <c r="P100" i="9"/>
  <c r="H101" i="9"/>
  <c r="M101" i="9"/>
  <c r="Q101" i="9"/>
  <c r="U101" i="9"/>
  <c r="F103" i="9"/>
  <c r="J103" i="9"/>
  <c r="N103" i="9"/>
  <c r="R103" i="9"/>
  <c r="V103" i="9"/>
  <c r="Z106" i="9"/>
  <c r="Z108" i="9"/>
  <c r="Z112" i="9"/>
  <c r="Y120" i="9"/>
  <c r="Z122" i="9"/>
  <c r="Y124" i="9"/>
  <c r="J127" i="9"/>
  <c r="I129" i="9"/>
  <c r="Z130" i="9"/>
  <c r="Z134" i="9"/>
  <c r="Y53" i="9"/>
  <c r="AX156" i="9"/>
  <c r="Y84" i="9"/>
  <c r="AN189" i="9"/>
  <c r="L144" i="9"/>
  <c r="AV189" i="9"/>
  <c r="T144" i="9"/>
  <c r="AK192" i="9"/>
  <c r="I147" i="9"/>
  <c r="AR192" i="9"/>
  <c r="P147" i="9"/>
  <c r="I97" i="9"/>
  <c r="M97" i="9"/>
  <c r="U97" i="9"/>
  <c r="J98" i="9"/>
  <c r="N98" i="9"/>
  <c r="R98" i="9"/>
  <c r="V98" i="9"/>
  <c r="G99" i="9"/>
  <c r="S99" i="9"/>
  <c r="I101" i="9"/>
  <c r="G102" i="9"/>
  <c r="Y105" i="9"/>
  <c r="Y107" i="9"/>
  <c r="Z110" i="9"/>
  <c r="Y113" i="9"/>
  <c r="J69" i="9"/>
  <c r="Z116" i="9"/>
  <c r="K127" i="9"/>
  <c r="Y135" i="9"/>
  <c r="AM145" i="9"/>
  <c r="AN187" i="9"/>
  <c r="AV187" i="9"/>
  <c r="F97" i="9"/>
  <c r="J97" i="9"/>
  <c r="G98" i="9"/>
  <c r="S98" i="9"/>
  <c r="W98" i="9"/>
  <c r="H99" i="9"/>
  <c r="L99" i="9"/>
  <c r="P99" i="9"/>
  <c r="T99" i="9"/>
  <c r="O101" i="9"/>
  <c r="H102" i="9"/>
  <c r="N102" i="9"/>
  <c r="P103" i="9"/>
  <c r="T103" i="9"/>
  <c r="Z107" i="9"/>
  <c r="Y109" i="9"/>
  <c r="Z123" i="9"/>
  <c r="Y125" i="9"/>
  <c r="I126" i="9"/>
  <c r="Z135" i="9"/>
  <c r="AA102" i="9"/>
  <c r="AA60" i="9"/>
  <c r="AA85" i="9"/>
  <c r="AI177" i="9"/>
  <c r="AK187" i="9"/>
  <c r="M185" i="9"/>
  <c r="AO185" i="9" s="1"/>
  <c r="U185" i="9"/>
  <c r="AI188" i="9"/>
  <c r="AU188" i="9"/>
  <c r="AY188" i="9"/>
  <c r="AK191" i="9"/>
  <c r="AJ188" i="9"/>
  <c r="AN188" i="9"/>
  <c r="AR188" i="9"/>
  <c r="AV188" i="9"/>
  <c r="AZ188" i="9"/>
  <c r="AN191" i="9"/>
  <c r="J180" i="9"/>
  <c r="AQ187" i="9"/>
  <c r="AU187" i="9"/>
  <c r="AO187" i="9"/>
  <c r="AI189" i="9"/>
  <c r="AU189" i="9"/>
  <c r="AY189" i="9"/>
  <c r="AK193" i="9"/>
  <c r="BB196" i="9"/>
  <c r="BB199" i="9"/>
  <c r="BB203" i="9"/>
  <c r="AX205" i="9"/>
  <c r="BA209" i="9"/>
  <c r="BA221" i="9"/>
  <c r="BB223" i="9"/>
  <c r="BA224" i="9"/>
  <c r="K236" i="9"/>
  <c r="AU190" i="9"/>
  <c r="AI191" i="9"/>
  <c r="AY191" i="9"/>
  <c r="AM192" i="9"/>
  <c r="AU192" i="9"/>
  <c r="AL193" i="9"/>
  <c r="AT193" i="9"/>
  <c r="BA194" i="9"/>
  <c r="BB202" i="9"/>
  <c r="K191" i="9"/>
  <c r="BA214" i="9"/>
  <c r="BB221" i="9"/>
  <c r="BB224" i="9"/>
  <c r="BA225" i="9"/>
  <c r="F233" i="9"/>
  <c r="V233" i="9"/>
  <c r="Y187" i="9"/>
  <c r="AK188" i="9"/>
  <c r="AS188" i="9"/>
  <c r="AS189" i="9"/>
  <c r="AQ191" i="9"/>
  <c r="AT191" i="9"/>
  <c r="AI192" i="9"/>
  <c r="AH192" i="9"/>
  <c r="AM193" i="9"/>
  <c r="AQ193" i="9"/>
  <c r="AU193" i="9"/>
  <c r="AO193" i="9"/>
  <c r="BA195" i="9"/>
  <c r="AA198" i="9"/>
  <c r="BA198" i="9"/>
  <c r="BA212" i="9"/>
  <c r="AA213" i="9"/>
  <c r="BA213" i="9"/>
  <c r="BA220" i="9"/>
  <c r="BB222" i="9"/>
  <c r="K264" i="9"/>
  <c r="AJ192" i="9"/>
  <c r="AR193" i="9"/>
  <c r="BB195" i="9"/>
  <c r="BA196" i="9"/>
  <c r="AA197" i="9"/>
  <c r="BC197" i="9" s="1"/>
  <c r="BA199" i="9"/>
  <c r="AX201" i="9"/>
  <c r="BA208" i="9"/>
  <c r="BB212" i="9"/>
  <c r="BB213" i="9"/>
  <c r="BB220" i="9"/>
  <c r="N236" i="9"/>
  <c r="S191" i="9"/>
  <c r="J25" i="9"/>
  <c r="M127" i="9"/>
  <c r="Z58" i="9"/>
  <c r="N51" i="9"/>
  <c r="H51" i="9"/>
  <c r="AM204" i="9"/>
  <c r="K235" i="9"/>
  <c r="I145" i="9"/>
  <c r="Y8" i="9"/>
  <c r="Y98" i="9" s="1"/>
  <c r="X13" i="9"/>
  <c r="X103" i="9" s="1"/>
  <c r="F246" i="9"/>
  <c r="P246" i="9"/>
  <c r="P201" i="9"/>
  <c r="P111" i="9"/>
  <c r="Y22" i="9"/>
  <c r="Y24" i="9"/>
  <c r="U253" i="9"/>
  <c r="AA32" i="9"/>
  <c r="P39" i="9"/>
  <c r="P129" i="9" s="1"/>
  <c r="AA44" i="9"/>
  <c r="AA134" i="9" s="1"/>
  <c r="F69" i="9"/>
  <c r="L101" i="9"/>
  <c r="H156" i="9"/>
  <c r="H111" i="9"/>
  <c r="Q201" i="9"/>
  <c r="M252" i="9"/>
  <c r="M207" i="9"/>
  <c r="AA35" i="9"/>
  <c r="Q39" i="9"/>
  <c r="Q129" i="9" s="1"/>
  <c r="F81" i="9"/>
  <c r="F82" i="9"/>
  <c r="K145" i="9"/>
  <c r="K100" i="9"/>
  <c r="G145" i="9"/>
  <c r="S146" i="9"/>
  <c r="J246" i="9"/>
  <c r="J111" i="9"/>
  <c r="F247" i="9"/>
  <c r="AH202" i="9" s="1"/>
  <c r="F157" i="9"/>
  <c r="J250" i="9"/>
  <c r="J236" i="9" s="1"/>
  <c r="P37" i="9"/>
  <c r="P127" i="9" s="1"/>
  <c r="AA40" i="9"/>
  <c r="F55" i="9"/>
  <c r="V55" i="9"/>
  <c r="AX145" i="9" s="1"/>
  <c r="H81" i="9"/>
  <c r="H87" i="9"/>
  <c r="AA20" i="9"/>
  <c r="AA110" i="9" s="1"/>
  <c r="O201" i="9"/>
  <c r="O111" i="9"/>
  <c r="H247" i="9"/>
  <c r="H157" i="9"/>
  <c r="H180" i="9" s="1"/>
  <c r="H112" i="9"/>
  <c r="J204" i="9"/>
  <c r="J249" i="9"/>
  <c r="AA26" i="9"/>
  <c r="Z27" i="9"/>
  <c r="Z117" i="9" s="1"/>
  <c r="X210" i="9"/>
  <c r="X255" i="9"/>
  <c r="O39" i="9"/>
  <c r="O174" i="9" s="1"/>
  <c r="AA45" i="9"/>
  <c r="AA135" i="9" s="1"/>
  <c r="G171" i="9"/>
  <c r="G172" i="9"/>
  <c r="G173" i="9"/>
  <c r="G174" i="9"/>
  <c r="K176" i="9"/>
  <c r="K177" i="9"/>
  <c r="K178" i="9"/>
  <c r="G179" i="9"/>
  <c r="K179" i="9"/>
  <c r="O185" i="9"/>
  <c r="AQ185" i="9" s="1"/>
  <c r="S185" i="9"/>
  <c r="K186" i="9"/>
  <c r="AH204" i="9"/>
  <c r="T185" i="9"/>
  <c r="AV140" i="9" s="1"/>
  <c r="Y188" i="9"/>
  <c r="BB194" i="9"/>
  <c r="J176" i="9"/>
  <c r="J177" i="9"/>
  <c r="Z189" i="9"/>
  <c r="AA195" i="9"/>
  <c r="AA150" i="9" s="1"/>
  <c r="BB198" i="9"/>
  <c r="F216" i="9"/>
  <c r="F217" i="9"/>
  <c r="K217" i="9"/>
  <c r="K218" i="9"/>
  <c r="K219" i="9"/>
  <c r="Y201" i="9"/>
  <c r="AM201" i="9"/>
  <c r="F222" i="9"/>
  <c r="Y202" i="9"/>
  <c r="AA202" i="9" s="1"/>
  <c r="BC202" i="9" s="1"/>
  <c r="AA200" i="9"/>
  <c r="M218" i="9"/>
  <c r="M217" i="9"/>
  <c r="AO172" i="9" s="1"/>
  <c r="AA206" i="9"/>
  <c r="I219" i="9"/>
  <c r="I217" i="9"/>
  <c r="I216" i="9"/>
  <c r="AK201" i="9"/>
  <c r="BA211" i="9"/>
  <c r="AA224" i="9"/>
  <c r="I261" i="9"/>
  <c r="AA225" i="9"/>
  <c r="K262" i="9"/>
  <c r="I264" i="9"/>
  <c r="AB303" i="9"/>
  <c r="AA221" i="9"/>
  <c r="BC221" i="9" s="1"/>
  <c r="K263" i="9"/>
  <c r="AM218" i="9" s="1"/>
  <c r="AA106" i="9"/>
  <c r="AA125" i="9"/>
  <c r="BC152" i="9"/>
  <c r="AA122" i="9"/>
  <c r="BA142" i="9"/>
  <c r="F267" i="9"/>
  <c r="BC198" i="9"/>
  <c r="BC153" i="9"/>
  <c r="AA153" i="9"/>
  <c r="BC213" i="9"/>
  <c r="X238" i="9"/>
  <c r="AA116" i="9"/>
  <c r="AJ177" i="9"/>
  <c r="F230" i="9"/>
  <c r="AW140" i="9"/>
  <c r="M140" i="9"/>
  <c r="U100" i="9"/>
  <c r="P95" i="9"/>
  <c r="M173" i="9"/>
  <c r="BC176" i="9"/>
  <c r="BC224" i="9"/>
  <c r="BC179" i="9"/>
  <c r="AA179" i="9"/>
  <c r="AM217" i="9"/>
  <c r="AM172" i="9"/>
  <c r="AU185" i="9"/>
  <c r="H267" i="9"/>
  <c r="AJ202" i="9"/>
  <c r="Q219" i="9"/>
  <c r="Q190" i="9"/>
  <c r="AS156" i="9"/>
  <c r="BB144" i="9"/>
  <c r="AL204" i="9"/>
  <c r="AL159" i="9"/>
  <c r="O219" i="9"/>
  <c r="O217" i="9"/>
  <c r="O190" i="9"/>
  <c r="AQ156" i="9"/>
  <c r="J217" i="9"/>
  <c r="AL172" i="9" s="1"/>
  <c r="J190" i="9"/>
  <c r="AL145" i="9" s="1"/>
  <c r="AL156" i="9"/>
  <c r="AA22" i="9"/>
  <c r="AK216" i="9"/>
  <c r="AK171" i="9"/>
  <c r="AA155" i="9"/>
  <c r="BC195" i="9"/>
  <c r="BC150" i="9"/>
  <c r="BC180" i="9"/>
  <c r="BC206" i="9"/>
  <c r="AM219" i="9"/>
  <c r="AM174" i="9"/>
  <c r="F180" i="9"/>
  <c r="F179" i="9"/>
  <c r="F176" i="9"/>
  <c r="AO162" i="9"/>
  <c r="P219" i="9"/>
  <c r="AR156" i="9"/>
  <c r="P190" i="9"/>
  <c r="F235" i="9"/>
  <c r="H126" i="9"/>
  <c r="H132" i="9"/>
  <c r="AK174" i="9"/>
  <c r="Y218" i="9"/>
  <c r="X193" i="9"/>
  <c r="AZ193" i="9" s="1"/>
  <c r="AZ210" i="9"/>
  <c r="Z210" i="9"/>
  <c r="AZ165" i="9"/>
  <c r="H177" i="9"/>
  <c r="H174" i="9"/>
  <c r="P264" i="9"/>
  <c r="P262" i="9"/>
  <c r="F132" i="9"/>
  <c r="Z238" i="9"/>
  <c r="AJ222" i="9"/>
  <c r="BB210" i="9"/>
  <c r="BB165" i="9"/>
  <c r="AQ174" i="9"/>
  <c r="O145" i="9"/>
  <c r="AQ145" i="9"/>
  <c r="Q174" i="9"/>
  <c r="AS174" i="9"/>
  <c r="Y173" i="9"/>
  <c r="X148" i="9"/>
  <c r="AZ148" i="9"/>
  <c r="P186" i="9"/>
  <c r="AR174" i="9"/>
  <c r="P174" i="9"/>
  <c r="AS145" i="9"/>
  <c r="AC301" i="5"/>
  <c r="AD301" i="5"/>
  <c r="AB301" i="5"/>
  <c r="AC300" i="5"/>
  <c r="AC303" i="5" s="1"/>
  <c r="AD300" i="5"/>
  <c r="AD302" i="5" s="1"/>
  <c r="AB300" i="5"/>
  <c r="AB302" i="5" s="1"/>
  <c r="AD303" i="5"/>
  <c r="G156" i="5"/>
  <c r="L156" i="5"/>
  <c r="K37" i="5"/>
  <c r="K36" i="5"/>
  <c r="J217" i="5"/>
  <c r="F81" i="5"/>
  <c r="I81" i="5"/>
  <c r="M81" i="5"/>
  <c r="F82" i="5"/>
  <c r="I82" i="5"/>
  <c r="J82" i="5"/>
  <c r="K82" i="5"/>
  <c r="M82" i="5"/>
  <c r="N82" i="5"/>
  <c r="O82" i="5"/>
  <c r="P82" i="5"/>
  <c r="K83" i="5"/>
  <c r="M83" i="5"/>
  <c r="I84" i="5"/>
  <c r="K84" i="5"/>
  <c r="M84" i="5"/>
  <c r="O84" i="5"/>
  <c r="P84" i="5"/>
  <c r="P37" i="5"/>
  <c r="P39" i="5"/>
  <c r="O39" i="5"/>
  <c r="O37" i="5"/>
  <c r="M39" i="5"/>
  <c r="M37" i="5"/>
  <c r="I37" i="5"/>
  <c r="I36" i="5"/>
  <c r="M36" i="5"/>
  <c r="X205" i="5"/>
  <c r="V205" i="5"/>
  <c r="T205" i="5"/>
  <c r="R172" i="5"/>
  <c r="J24" i="5"/>
  <c r="J37" i="5"/>
  <c r="N37" i="5"/>
  <c r="K38" i="5"/>
  <c r="M38" i="5"/>
  <c r="I39" i="5"/>
  <c r="K39" i="5"/>
  <c r="T38" i="5"/>
  <c r="H36" i="5"/>
  <c r="H42" i="5"/>
  <c r="J156" i="5"/>
  <c r="Q3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AH154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AI156" i="5"/>
  <c r="AN156" i="5"/>
  <c r="AU156" i="5"/>
  <c r="AI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AH158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AI159" i="5"/>
  <c r="AJ159" i="5"/>
  <c r="AK159" i="5"/>
  <c r="AN159" i="5"/>
  <c r="AO159" i="5"/>
  <c r="AQ159" i="5"/>
  <c r="AR159" i="5"/>
  <c r="AS159" i="5"/>
  <c r="AT159" i="5"/>
  <c r="AU159" i="5"/>
  <c r="AV159" i="5"/>
  <c r="AW159" i="5"/>
  <c r="AX159" i="5"/>
  <c r="AY159" i="5"/>
  <c r="AZ159" i="5"/>
  <c r="AH160" i="5"/>
  <c r="AI160" i="5"/>
  <c r="AJ160" i="5"/>
  <c r="AK160" i="5"/>
  <c r="AM160" i="5"/>
  <c r="AN160" i="5"/>
  <c r="AO160" i="5"/>
  <c r="AP160" i="5"/>
  <c r="AQ160" i="5"/>
  <c r="AR160" i="5"/>
  <c r="AS160" i="5"/>
  <c r="AT160" i="5"/>
  <c r="AW160" i="5"/>
  <c r="AY160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AZ161" i="5"/>
  <c r="AH162" i="5"/>
  <c r="AI162" i="5"/>
  <c r="AJ162" i="5"/>
  <c r="AK162" i="5"/>
  <c r="AM162" i="5"/>
  <c r="AN162" i="5"/>
  <c r="AP162" i="5"/>
  <c r="AQ162" i="5"/>
  <c r="AR162" i="5"/>
  <c r="AS162" i="5"/>
  <c r="AT162" i="5"/>
  <c r="AU162" i="5"/>
  <c r="AV162" i="5"/>
  <c r="AW162" i="5"/>
  <c r="AX162" i="5"/>
  <c r="AY162" i="5"/>
  <c r="AZ162" i="5"/>
  <c r="AH163" i="5"/>
  <c r="AI163" i="5"/>
  <c r="AJ163" i="5"/>
  <c r="AK163" i="5"/>
  <c r="AL163" i="5"/>
  <c r="AM163" i="5"/>
  <c r="AN163" i="5"/>
  <c r="AO163" i="5"/>
  <c r="AP163" i="5"/>
  <c r="AQ163" i="5"/>
  <c r="AR163" i="5"/>
  <c r="AU163" i="5"/>
  <c r="AH164" i="5"/>
  <c r="AI164" i="5"/>
  <c r="AJ164" i="5"/>
  <c r="AK164" i="5"/>
  <c r="AL164" i="5"/>
  <c r="AM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AI171" i="5"/>
  <c r="AL171" i="5"/>
  <c r="AM171" i="5"/>
  <c r="AN171" i="5"/>
  <c r="AP171" i="5"/>
  <c r="AQ171" i="5"/>
  <c r="AR171" i="5"/>
  <c r="AS171" i="5"/>
  <c r="AT171" i="5"/>
  <c r="AU171" i="5"/>
  <c r="AV171" i="5"/>
  <c r="AW171" i="5"/>
  <c r="AX171" i="5"/>
  <c r="AZ171" i="5"/>
  <c r="AI172" i="5"/>
  <c r="AJ172" i="5"/>
  <c r="AN172" i="5"/>
  <c r="AS172" i="5"/>
  <c r="AU172" i="5"/>
  <c r="AV172" i="5"/>
  <c r="AW172" i="5"/>
  <c r="AX172" i="5"/>
  <c r="AY172" i="5"/>
  <c r="AZ172" i="5"/>
  <c r="AH173" i="5"/>
  <c r="AI173" i="5"/>
  <c r="AJ173" i="5"/>
  <c r="AK173" i="5"/>
  <c r="AL173" i="5"/>
  <c r="AN173" i="5"/>
  <c r="AP173" i="5"/>
  <c r="AQ173" i="5"/>
  <c r="AR173" i="5"/>
  <c r="AS173" i="5"/>
  <c r="AT173" i="5"/>
  <c r="AU173" i="5"/>
  <c r="AX173" i="5"/>
  <c r="AY173" i="5"/>
  <c r="AZ173" i="5"/>
  <c r="AH174" i="5"/>
  <c r="AI174" i="5"/>
  <c r="AJ174" i="5"/>
  <c r="AL174" i="5"/>
  <c r="AN174" i="5"/>
  <c r="AP174" i="5"/>
  <c r="AT174" i="5"/>
  <c r="AU174" i="5"/>
  <c r="AV174" i="5"/>
  <c r="AW174" i="5"/>
  <c r="AX174" i="5"/>
  <c r="AY174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AZ225" i="5"/>
  <c r="AY225" i="5"/>
  <c r="AX225" i="5"/>
  <c r="AW225" i="5"/>
  <c r="AV225" i="5"/>
  <c r="AU225" i="5"/>
  <c r="AT225" i="5"/>
  <c r="AS225" i="5"/>
  <c r="AR225" i="5"/>
  <c r="AQ225" i="5"/>
  <c r="AP225" i="5"/>
  <c r="AO225" i="5"/>
  <c r="AN225" i="5"/>
  <c r="AM225" i="5"/>
  <c r="AL225" i="5"/>
  <c r="AK225" i="5"/>
  <c r="AJ225" i="5"/>
  <c r="AI225" i="5"/>
  <c r="AH225" i="5"/>
  <c r="AZ224" i="5"/>
  <c r="AY224" i="5"/>
  <c r="AX224" i="5"/>
  <c r="AW224" i="5"/>
  <c r="AV224" i="5"/>
  <c r="AU224" i="5"/>
  <c r="AT224" i="5"/>
  <c r="AS224" i="5"/>
  <c r="AR224" i="5"/>
  <c r="AQ224" i="5"/>
  <c r="AP224" i="5"/>
  <c r="AO224" i="5"/>
  <c r="AN224" i="5"/>
  <c r="AM224" i="5"/>
  <c r="AL224" i="5"/>
  <c r="AK224" i="5"/>
  <c r="AJ224" i="5"/>
  <c r="AI224" i="5"/>
  <c r="AH224" i="5"/>
  <c r="AZ223" i="5"/>
  <c r="AY223" i="5"/>
  <c r="AX223" i="5"/>
  <c r="AW223" i="5"/>
  <c r="AV223" i="5"/>
  <c r="AU223" i="5"/>
  <c r="AT223" i="5"/>
  <c r="AS223" i="5"/>
  <c r="AR223" i="5"/>
  <c r="AQ223" i="5"/>
  <c r="AP223" i="5"/>
  <c r="AO223" i="5"/>
  <c r="AN223" i="5"/>
  <c r="AM223" i="5"/>
  <c r="AL223" i="5"/>
  <c r="AK223" i="5"/>
  <c r="AJ223" i="5"/>
  <c r="AI223" i="5"/>
  <c r="AH223" i="5"/>
  <c r="AZ222" i="5"/>
  <c r="AY222" i="5"/>
  <c r="AX222" i="5"/>
  <c r="AW222" i="5"/>
  <c r="AV222" i="5"/>
  <c r="AU222" i="5"/>
  <c r="AT222" i="5"/>
  <c r="AS222" i="5"/>
  <c r="AR222" i="5"/>
  <c r="AQ222" i="5"/>
  <c r="AP222" i="5"/>
  <c r="AO222" i="5"/>
  <c r="AN222" i="5"/>
  <c r="AM222" i="5"/>
  <c r="AL222" i="5"/>
  <c r="AK222" i="5"/>
  <c r="AZ221" i="5"/>
  <c r="AY221" i="5"/>
  <c r="AX221" i="5"/>
  <c r="AW221" i="5"/>
  <c r="AV221" i="5"/>
  <c r="AU221" i="5"/>
  <c r="AT221" i="5"/>
  <c r="AS221" i="5"/>
  <c r="AR221" i="5"/>
  <c r="AQ221" i="5"/>
  <c r="AP221" i="5"/>
  <c r="AO221" i="5"/>
  <c r="AN221" i="5"/>
  <c r="AM221" i="5"/>
  <c r="AL221" i="5"/>
  <c r="AK221" i="5"/>
  <c r="AJ221" i="5"/>
  <c r="AI221" i="5"/>
  <c r="AH221" i="5"/>
  <c r="AZ220" i="5"/>
  <c r="AY220" i="5"/>
  <c r="AX220" i="5"/>
  <c r="AW220" i="5"/>
  <c r="AV220" i="5"/>
  <c r="AU220" i="5"/>
  <c r="AT220" i="5"/>
  <c r="AS220" i="5"/>
  <c r="AR220" i="5"/>
  <c r="AQ220" i="5"/>
  <c r="AP220" i="5"/>
  <c r="AO220" i="5"/>
  <c r="AN220" i="5"/>
  <c r="AM220" i="5"/>
  <c r="AL220" i="5"/>
  <c r="AK220" i="5"/>
  <c r="AJ220" i="5"/>
  <c r="AI220" i="5"/>
  <c r="AH220" i="5"/>
  <c r="AY219" i="5"/>
  <c r="AX219" i="5"/>
  <c r="AW219" i="5"/>
  <c r="AV219" i="5"/>
  <c r="AU219" i="5"/>
  <c r="AT219" i="5"/>
  <c r="AP219" i="5"/>
  <c r="AN219" i="5"/>
  <c r="AL219" i="5"/>
  <c r="AJ219" i="5"/>
  <c r="AI219" i="5"/>
  <c r="AH219" i="5"/>
  <c r="AZ218" i="5"/>
  <c r="AY218" i="5"/>
  <c r="AX218" i="5"/>
  <c r="AU218" i="5"/>
  <c r="AT218" i="5"/>
  <c r="AS218" i="5"/>
  <c r="AR218" i="5"/>
  <c r="AQ218" i="5"/>
  <c r="AP218" i="5"/>
  <c r="AN218" i="5"/>
  <c r="AL218" i="5"/>
  <c r="AK218" i="5"/>
  <c r="AJ218" i="5"/>
  <c r="AI218" i="5"/>
  <c r="AH218" i="5"/>
  <c r="AZ217" i="5"/>
  <c r="AY217" i="5"/>
  <c r="AX217" i="5"/>
  <c r="AW217" i="5"/>
  <c r="AV217" i="5"/>
  <c r="AU217" i="5"/>
  <c r="AS217" i="5"/>
  <c r="AN217" i="5"/>
  <c r="AJ217" i="5"/>
  <c r="AI217" i="5"/>
  <c r="AZ216" i="5"/>
  <c r="AX216" i="5"/>
  <c r="AW216" i="5"/>
  <c r="AV216" i="5"/>
  <c r="AU216" i="5"/>
  <c r="AT216" i="5"/>
  <c r="AS216" i="5"/>
  <c r="AR216" i="5"/>
  <c r="AQ216" i="5"/>
  <c r="AP216" i="5"/>
  <c r="AN216" i="5"/>
  <c r="AM216" i="5"/>
  <c r="AL216" i="5"/>
  <c r="AI216" i="5"/>
  <c r="AZ215" i="5"/>
  <c r="AY215" i="5"/>
  <c r="AX215" i="5"/>
  <c r="AW215" i="5"/>
  <c r="AV215" i="5"/>
  <c r="AU215" i="5"/>
  <c r="AT215" i="5"/>
  <c r="AS215" i="5"/>
  <c r="AR215" i="5"/>
  <c r="AQ215" i="5"/>
  <c r="AP215" i="5"/>
  <c r="AO215" i="5"/>
  <c r="AN215" i="5"/>
  <c r="AM215" i="5"/>
  <c r="AL215" i="5"/>
  <c r="AK215" i="5"/>
  <c r="AJ215" i="5"/>
  <c r="AI215" i="5"/>
  <c r="AH215" i="5"/>
  <c r="AZ214" i="5"/>
  <c r="AY214" i="5"/>
  <c r="AX214" i="5"/>
  <c r="AW214" i="5"/>
  <c r="AV214" i="5"/>
  <c r="AU214" i="5"/>
  <c r="AT214" i="5"/>
  <c r="AS214" i="5"/>
  <c r="AR214" i="5"/>
  <c r="AQ214" i="5"/>
  <c r="AP214" i="5"/>
  <c r="AO214" i="5"/>
  <c r="AN214" i="5"/>
  <c r="AM214" i="5"/>
  <c r="AL214" i="5"/>
  <c r="AK214" i="5"/>
  <c r="AJ214" i="5"/>
  <c r="AI214" i="5"/>
  <c r="AH214" i="5"/>
  <c r="AZ213" i="5"/>
  <c r="AY213" i="5"/>
  <c r="AX213" i="5"/>
  <c r="AW213" i="5"/>
  <c r="AV213" i="5"/>
  <c r="AU213" i="5"/>
  <c r="AT213" i="5"/>
  <c r="AS213" i="5"/>
  <c r="AR213" i="5"/>
  <c r="AQ213" i="5"/>
  <c r="AP213" i="5"/>
  <c r="AO213" i="5"/>
  <c r="AN213" i="5"/>
  <c r="AM213" i="5"/>
  <c r="AL213" i="5"/>
  <c r="AK213" i="5"/>
  <c r="AJ213" i="5"/>
  <c r="AI213" i="5"/>
  <c r="AH213" i="5"/>
  <c r="AZ212" i="5"/>
  <c r="AY212" i="5"/>
  <c r="AX212" i="5"/>
  <c r="AW212" i="5"/>
  <c r="AV212" i="5"/>
  <c r="AU212" i="5"/>
  <c r="AT212" i="5"/>
  <c r="AS212" i="5"/>
  <c r="AR212" i="5"/>
  <c r="AQ212" i="5"/>
  <c r="AP212" i="5"/>
  <c r="AO212" i="5"/>
  <c r="AN212" i="5"/>
  <c r="AM212" i="5"/>
  <c r="AL212" i="5"/>
  <c r="AK212" i="5"/>
  <c r="AJ212" i="5"/>
  <c r="AI212" i="5"/>
  <c r="AH212" i="5"/>
  <c r="AZ211" i="5"/>
  <c r="AY211" i="5"/>
  <c r="AX211" i="5"/>
  <c r="AW211" i="5"/>
  <c r="AV211" i="5"/>
  <c r="AU211" i="5"/>
  <c r="AT211" i="5"/>
  <c r="AS211" i="5"/>
  <c r="AR211" i="5"/>
  <c r="AQ211" i="5"/>
  <c r="AP211" i="5"/>
  <c r="AO211" i="5"/>
  <c r="AN211" i="5"/>
  <c r="AM211" i="5"/>
  <c r="AL211" i="5"/>
  <c r="AK211" i="5"/>
  <c r="AJ211" i="5"/>
  <c r="AI211" i="5"/>
  <c r="AH211" i="5"/>
  <c r="AY210" i="5"/>
  <c r="AX210" i="5"/>
  <c r="AW210" i="5"/>
  <c r="AV210" i="5"/>
  <c r="AU210" i="5"/>
  <c r="AT210" i="5"/>
  <c r="AS210" i="5"/>
  <c r="AR210" i="5"/>
  <c r="AQ210" i="5"/>
  <c r="AP210" i="5"/>
  <c r="AO210" i="5"/>
  <c r="AN210" i="5"/>
  <c r="AM210" i="5"/>
  <c r="AL210" i="5"/>
  <c r="AK210" i="5"/>
  <c r="AJ210" i="5"/>
  <c r="AI210" i="5"/>
  <c r="AH210" i="5"/>
  <c r="AZ209" i="5"/>
  <c r="AY209" i="5"/>
  <c r="AX209" i="5"/>
  <c r="AW209" i="5"/>
  <c r="AV209" i="5"/>
  <c r="AU209" i="5"/>
  <c r="AT209" i="5"/>
  <c r="AS209" i="5"/>
  <c r="AR209" i="5"/>
  <c r="AQ209" i="5"/>
  <c r="AP209" i="5"/>
  <c r="AO209" i="5"/>
  <c r="AM209" i="5"/>
  <c r="AL209" i="5"/>
  <c r="AK209" i="5"/>
  <c r="AJ209" i="5"/>
  <c r="AI209" i="5"/>
  <c r="AH209" i="5"/>
  <c r="AU208" i="5"/>
  <c r="AR208" i="5"/>
  <c r="AQ208" i="5"/>
  <c r="AP208" i="5"/>
  <c r="AO208" i="5"/>
  <c r="AN208" i="5"/>
  <c r="AM208" i="5"/>
  <c r="AL208" i="5"/>
  <c r="AK208" i="5"/>
  <c r="AJ208" i="5"/>
  <c r="AI208" i="5"/>
  <c r="AH208" i="5"/>
  <c r="AZ207" i="5"/>
  <c r="AY207" i="5"/>
  <c r="AX207" i="5"/>
  <c r="AW207" i="5"/>
  <c r="AV207" i="5"/>
  <c r="AU207" i="5"/>
  <c r="AT207" i="5"/>
  <c r="AS207" i="5"/>
  <c r="AR207" i="5"/>
  <c r="AQ207" i="5"/>
  <c r="AP207" i="5"/>
  <c r="AN207" i="5"/>
  <c r="AM207" i="5"/>
  <c r="AK207" i="5"/>
  <c r="AJ207" i="5"/>
  <c r="AI207" i="5"/>
  <c r="AH207" i="5"/>
  <c r="AZ206" i="5"/>
  <c r="AY206" i="5"/>
  <c r="AX206" i="5"/>
  <c r="AW206" i="5"/>
  <c r="AV206" i="5"/>
  <c r="AU206" i="5"/>
  <c r="AT206" i="5"/>
  <c r="AS206" i="5"/>
  <c r="AR206" i="5"/>
  <c r="AQ206" i="5"/>
  <c r="AP206" i="5"/>
  <c r="AO206" i="5"/>
  <c r="AN206" i="5"/>
  <c r="AM206" i="5"/>
  <c r="AL206" i="5"/>
  <c r="AK206" i="5"/>
  <c r="AJ206" i="5"/>
  <c r="AI206" i="5"/>
  <c r="AH206" i="5"/>
  <c r="AY205" i="5"/>
  <c r="AW205" i="5"/>
  <c r="AT205" i="5"/>
  <c r="AS205" i="5"/>
  <c r="AR205" i="5"/>
  <c r="AQ205" i="5"/>
  <c r="AP205" i="5"/>
  <c r="AO205" i="5"/>
  <c r="AN205" i="5"/>
  <c r="AM205" i="5"/>
  <c r="AK205" i="5"/>
  <c r="AJ205" i="5"/>
  <c r="AI205" i="5"/>
  <c r="AH205" i="5"/>
  <c r="AZ204" i="5"/>
  <c r="AY204" i="5"/>
  <c r="AX204" i="5"/>
  <c r="AW204" i="5"/>
  <c r="AV204" i="5"/>
  <c r="AU204" i="5"/>
  <c r="AT204" i="5"/>
  <c r="AS204" i="5"/>
  <c r="AR204" i="5"/>
  <c r="AQ204" i="5"/>
  <c r="AO204" i="5"/>
  <c r="AN204" i="5"/>
  <c r="AK204" i="5"/>
  <c r="AJ204" i="5"/>
  <c r="AI204" i="5"/>
  <c r="AZ203" i="5"/>
  <c r="AY203" i="5"/>
  <c r="AX203" i="5"/>
  <c r="AW203" i="5"/>
  <c r="AV203" i="5"/>
  <c r="AU203" i="5"/>
  <c r="AT203" i="5"/>
  <c r="AS203" i="5"/>
  <c r="AR203" i="5"/>
  <c r="AQ203" i="5"/>
  <c r="AP203" i="5"/>
  <c r="AO203" i="5"/>
  <c r="AN203" i="5"/>
  <c r="AM203" i="5"/>
  <c r="AL203" i="5"/>
  <c r="AK203" i="5"/>
  <c r="AJ203" i="5"/>
  <c r="AI203" i="5"/>
  <c r="AH203" i="5"/>
  <c r="AZ202" i="5"/>
  <c r="AY202" i="5"/>
  <c r="AX202" i="5"/>
  <c r="AW202" i="5"/>
  <c r="AV202" i="5"/>
  <c r="AU202" i="5"/>
  <c r="AT202" i="5"/>
  <c r="AS202" i="5"/>
  <c r="AR202" i="5"/>
  <c r="AQ202" i="5"/>
  <c r="AP202" i="5"/>
  <c r="AO202" i="5"/>
  <c r="AN202" i="5"/>
  <c r="AM202" i="5"/>
  <c r="AL202" i="5"/>
  <c r="AK202" i="5"/>
  <c r="AU201" i="5"/>
  <c r="AN201" i="5"/>
  <c r="AI201" i="5"/>
  <c r="AZ200" i="5"/>
  <c r="AY200" i="5"/>
  <c r="AX200" i="5"/>
  <c r="AW200" i="5"/>
  <c r="AV200" i="5"/>
  <c r="AU200" i="5"/>
  <c r="AT200" i="5"/>
  <c r="AS200" i="5"/>
  <c r="AR200" i="5"/>
  <c r="AQ200" i="5"/>
  <c r="AP200" i="5"/>
  <c r="AO200" i="5"/>
  <c r="AN200" i="5"/>
  <c r="AM200" i="5"/>
  <c r="AL200" i="5"/>
  <c r="AK200" i="5"/>
  <c r="AJ200" i="5"/>
  <c r="AI200" i="5"/>
  <c r="AH200" i="5"/>
  <c r="AZ199" i="5"/>
  <c r="AY199" i="5"/>
  <c r="AX199" i="5"/>
  <c r="AW199" i="5"/>
  <c r="AV199" i="5"/>
  <c r="AU199" i="5"/>
  <c r="AT199" i="5"/>
  <c r="AS199" i="5"/>
  <c r="AR199" i="5"/>
  <c r="AQ199" i="5"/>
  <c r="AP199" i="5"/>
  <c r="AO199" i="5"/>
  <c r="AN199" i="5"/>
  <c r="AM199" i="5"/>
  <c r="AL199" i="5"/>
  <c r="AK199" i="5"/>
  <c r="AJ199" i="5"/>
  <c r="AI199" i="5"/>
  <c r="AH199" i="5"/>
  <c r="AZ198" i="5"/>
  <c r="AY198" i="5"/>
  <c r="AX198" i="5"/>
  <c r="AW198" i="5"/>
  <c r="AV198" i="5"/>
  <c r="AU198" i="5"/>
  <c r="AT198" i="5"/>
  <c r="AS198" i="5"/>
  <c r="AR198" i="5"/>
  <c r="AQ198" i="5"/>
  <c r="AP198" i="5"/>
  <c r="AO198" i="5"/>
  <c r="AN198" i="5"/>
  <c r="AM198" i="5"/>
  <c r="AL198" i="5"/>
  <c r="AK198" i="5"/>
  <c r="AJ198" i="5"/>
  <c r="AI198" i="5"/>
  <c r="AH198" i="5"/>
  <c r="AZ197" i="5"/>
  <c r="AY197" i="5"/>
  <c r="AX197" i="5"/>
  <c r="AW197" i="5"/>
  <c r="AV197" i="5"/>
  <c r="AU197" i="5"/>
  <c r="AT197" i="5"/>
  <c r="AS197" i="5"/>
  <c r="AR197" i="5"/>
  <c r="AQ197" i="5"/>
  <c r="AP197" i="5"/>
  <c r="AO197" i="5"/>
  <c r="AN197" i="5"/>
  <c r="AM197" i="5"/>
  <c r="AL197" i="5"/>
  <c r="AK197" i="5"/>
  <c r="AJ197" i="5"/>
  <c r="AI197" i="5"/>
  <c r="AH197" i="5"/>
  <c r="AZ196" i="5"/>
  <c r="AY196" i="5"/>
  <c r="AX196" i="5"/>
  <c r="AW196" i="5"/>
  <c r="AV196" i="5"/>
  <c r="AU196" i="5"/>
  <c r="AT196" i="5"/>
  <c r="AS196" i="5"/>
  <c r="AR196" i="5"/>
  <c r="AQ196" i="5"/>
  <c r="AP196" i="5"/>
  <c r="AO196" i="5"/>
  <c r="AN196" i="5"/>
  <c r="AM196" i="5"/>
  <c r="AL196" i="5"/>
  <c r="AK196" i="5"/>
  <c r="AJ196" i="5"/>
  <c r="AI196" i="5"/>
  <c r="AH196" i="5"/>
  <c r="AZ195" i="5"/>
  <c r="AY195" i="5"/>
  <c r="AX195" i="5"/>
  <c r="AW195" i="5"/>
  <c r="AV195" i="5"/>
  <c r="AU195" i="5"/>
  <c r="AT195" i="5"/>
  <c r="AS195" i="5"/>
  <c r="AR195" i="5"/>
  <c r="AQ195" i="5"/>
  <c r="AP195" i="5"/>
  <c r="AO195" i="5"/>
  <c r="AN195" i="5"/>
  <c r="AM195" i="5"/>
  <c r="AL195" i="5"/>
  <c r="AK195" i="5"/>
  <c r="AJ195" i="5"/>
  <c r="AI195" i="5"/>
  <c r="AH195" i="5"/>
  <c r="AZ194" i="5"/>
  <c r="AY194" i="5"/>
  <c r="AX194" i="5"/>
  <c r="AW194" i="5"/>
  <c r="AV194" i="5"/>
  <c r="AU194" i="5"/>
  <c r="AT194" i="5"/>
  <c r="AS194" i="5"/>
  <c r="AR194" i="5"/>
  <c r="AQ194" i="5"/>
  <c r="AP194" i="5"/>
  <c r="AO194" i="5"/>
  <c r="AN194" i="5"/>
  <c r="AM194" i="5"/>
  <c r="AL194" i="5"/>
  <c r="AK194" i="5"/>
  <c r="AJ194" i="5"/>
  <c r="AI194" i="5"/>
  <c r="AH194" i="5"/>
  <c r="J69" i="5"/>
  <c r="J207" i="5"/>
  <c r="J204" i="5"/>
  <c r="N204" i="5"/>
  <c r="U208" i="5"/>
  <c r="S205" i="5"/>
  <c r="S159" i="5"/>
  <c r="X162" i="5"/>
  <c r="W162" i="5"/>
  <c r="V162" i="5"/>
  <c r="U162" i="5"/>
  <c r="T162" i="5"/>
  <c r="S162" i="5"/>
  <c r="R162" i="5"/>
  <c r="Q162" i="5"/>
  <c r="AW163" i="5"/>
  <c r="AL159" i="5"/>
  <c r="AL162" i="5"/>
  <c r="AB158" i="5"/>
  <c r="AB157" i="5"/>
  <c r="G222" i="5"/>
  <c r="M162" i="5"/>
  <c r="J171" i="5"/>
  <c r="K171" i="5"/>
  <c r="J172" i="5"/>
  <c r="K172" i="5"/>
  <c r="J173" i="5"/>
  <c r="K173" i="5"/>
  <c r="J174" i="5"/>
  <c r="K174" i="5"/>
  <c r="J175" i="5"/>
  <c r="K175" i="5"/>
  <c r="I176" i="5"/>
  <c r="I177" i="5"/>
  <c r="I178" i="5"/>
  <c r="I179" i="5"/>
  <c r="I180" i="5"/>
  <c r="X30" i="5"/>
  <c r="X58" i="5"/>
  <c r="AA57" i="5"/>
  <c r="V70" i="5"/>
  <c r="S70" i="5"/>
  <c r="X84" i="5"/>
  <c r="T83" i="5"/>
  <c r="Q84" i="5"/>
  <c r="G87" i="5"/>
  <c r="G42" i="5"/>
  <c r="AD60" i="5"/>
  <c r="AC63" i="5"/>
  <c r="H67" i="5"/>
  <c r="H66" i="5"/>
  <c r="F87" i="5"/>
  <c r="AC67" i="5"/>
  <c r="AC64" i="5"/>
  <c r="AC66" i="5"/>
  <c r="H156" i="5"/>
  <c r="H216" i="5"/>
  <c r="K217" i="5"/>
  <c r="K219" i="5"/>
  <c r="K218" i="5"/>
  <c r="N217" i="5"/>
  <c r="F42" i="5"/>
  <c r="H87" i="5"/>
  <c r="M216" i="5"/>
  <c r="M218" i="5"/>
  <c r="M219" i="5"/>
  <c r="M217" i="5"/>
  <c r="M172" i="5" s="1"/>
  <c r="W208" i="5"/>
  <c r="F37" i="5"/>
  <c r="F127" i="5" s="1"/>
  <c r="F156" i="5"/>
  <c r="F216" i="5"/>
  <c r="F217" i="5"/>
  <c r="AX160" i="5"/>
  <c r="X208" i="5"/>
  <c r="J205" i="5"/>
  <c r="O217" i="5"/>
  <c r="O219" i="5"/>
  <c r="AH156" i="5"/>
  <c r="AP156" i="5"/>
  <c r="F111" i="5"/>
  <c r="AH157" i="5"/>
  <c r="F222" i="5"/>
  <c r="F36" i="5"/>
  <c r="F126" i="5" s="1"/>
  <c r="X39" i="5"/>
  <c r="Z39" i="5" s="1"/>
  <c r="AO156" i="5"/>
  <c r="H222" i="5"/>
  <c r="AL156" i="5"/>
  <c r="AQ156" i="5"/>
  <c r="AM156" i="5"/>
  <c r="W260" i="5"/>
  <c r="W259" i="5"/>
  <c r="W258" i="5"/>
  <c r="W257" i="5"/>
  <c r="W256" i="5"/>
  <c r="W255" i="5"/>
  <c r="W251" i="5"/>
  <c r="W250" i="5"/>
  <c r="W249" i="5"/>
  <c r="W245" i="5"/>
  <c r="W244" i="5"/>
  <c r="W243" i="5"/>
  <c r="W242" i="5"/>
  <c r="W241" i="5"/>
  <c r="W240" i="5"/>
  <c r="W239" i="5"/>
  <c r="W193" i="5"/>
  <c r="W191" i="5"/>
  <c r="W189" i="5"/>
  <c r="W188" i="5"/>
  <c r="W187" i="5"/>
  <c r="W180" i="5"/>
  <c r="W179" i="5"/>
  <c r="W178" i="5"/>
  <c r="W177" i="5"/>
  <c r="W176" i="5"/>
  <c r="W175" i="5"/>
  <c r="W174" i="5"/>
  <c r="W173" i="5"/>
  <c r="W172" i="5"/>
  <c r="W170" i="5"/>
  <c r="W169" i="5"/>
  <c r="W168" i="5"/>
  <c r="W167" i="5"/>
  <c r="W166" i="5"/>
  <c r="W165" i="5"/>
  <c r="W164" i="5"/>
  <c r="W161" i="5"/>
  <c r="W160" i="5"/>
  <c r="W159" i="5"/>
  <c r="W158" i="5"/>
  <c r="W157" i="5"/>
  <c r="W155" i="5"/>
  <c r="W154" i="5"/>
  <c r="W153" i="5"/>
  <c r="W152" i="5"/>
  <c r="W151" i="5"/>
  <c r="W150" i="5"/>
  <c r="W149" i="5"/>
  <c r="W135" i="5"/>
  <c r="W134" i="5"/>
  <c r="W133" i="5"/>
  <c r="W132" i="5"/>
  <c r="W131" i="5"/>
  <c r="W130" i="5"/>
  <c r="W129" i="5"/>
  <c r="W128" i="5"/>
  <c r="W127" i="5"/>
  <c r="W125" i="5"/>
  <c r="W124" i="5"/>
  <c r="W123" i="5"/>
  <c r="W122" i="5"/>
  <c r="W121" i="5"/>
  <c r="W120" i="5"/>
  <c r="W119" i="5"/>
  <c r="W117" i="5"/>
  <c r="W116" i="5"/>
  <c r="W115" i="5"/>
  <c r="W114" i="5"/>
  <c r="W113" i="5"/>
  <c r="W112" i="5"/>
  <c r="W110" i="5"/>
  <c r="W109" i="5"/>
  <c r="W108" i="5"/>
  <c r="W107" i="5"/>
  <c r="W106" i="5"/>
  <c r="W105" i="5"/>
  <c r="W104" i="5"/>
  <c r="W58" i="5"/>
  <c r="W57" i="5"/>
  <c r="W56" i="5"/>
  <c r="W55" i="5"/>
  <c r="W54" i="5"/>
  <c r="W53" i="5"/>
  <c r="W52" i="5"/>
  <c r="W13" i="5"/>
  <c r="W103" i="5" s="1"/>
  <c r="W12" i="5"/>
  <c r="W11" i="5"/>
  <c r="W9" i="5"/>
  <c r="W8" i="5"/>
  <c r="W7" i="5"/>
  <c r="R66" i="9"/>
  <c r="Y194" i="5"/>
  <c r="Z194" i="5"/>
  <c r="Y195" i="5"/>
  <c r="Z195" i="5"/>
  <c r="Y196" i="5"/>
  <c r="Z196" i="5"/>
  <c r="Y197" i="5"/>
  <c r="Z197" i="5"/>
  <c r="Y198" i="5"/>
  <c r="Z198" i="5"/>
  <c r="Y199" i="5"/>
  <c r="Z199" i="5"/>
  <c r="Y200" i="5"/>
  <c r="Z200" i="5"/>
  <c r="Y202" i="5"/>
  <c r="Z202" i="5"/>
  <c r="Y203" i="5"/>
  <c r="Z203" i="5"/>
  <c r="Y206" i="5"/>
  <c r="Z206" i="5"/>
  <c r="Y208" i="5"/>
  <c r="Y209" i="5"/>
  <c r="Z209" i="5"/>
  <c r="Y210" i="5"/>
  <c r="Y211" i="5"/>
  <c r="Z211" i="5"/>
  <c r="Y212" i="5"/>
  <c r="Z212" i="5"/>
  <c r="Y213" i="5"/>
  <c r="Z213" i="5"/>
  <c r="Y214" i="5"/>
  <c r="Z214" i="5"/>
  <c r="Y215" i="5"/>
  <c r="Z215" i="5"/>
  <c r="Y220" i="5"/>
  <c r="Z220" i="5"/>
  <c r="Y221" i="5"/>
  <c r="Z221" i="5"/>
  <c r="Z222" i="5"/>
  <c r="Y223" i="5"/>
  <c r="Z223" i="5"/>
  <c r="Y224" i="5"/>
  <c r="Y179" i="5" s="1"/>
  <c r="Z224" i="5"/>
  <c r="Y225" i="5"/>
  <c r="Z225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X149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X150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X151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X152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X153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X154" i="5"/>
  <c r="Y154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X155" i="5"/>
  <c r="Y155" i="5"/>
  <c r="G157" i="5"/>
  <c r="H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X157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X158" i="5"/>
  <c r="G159" i="5"/>
  <c r="H159" i="5"/>
  <c r="I159" i="5"/>
  <c r="L159" i="5"/>
  <c r="M159" i="5"/>
  <c r="O159" i="5"/>
  <c r="P159" i="5"/>
  <c r="Q159" i="5"/>
  <c r="R159" i="5"/>
  <c r="T159" i="5"/>
  <c r="U159" i="5"/>
  <c r="X159" i="5"/>
  <c r="G160" i="5"/>
  <c r="H160" i="5"/>
  <c r="I160" i="5"/>
  <c r="K160" i="5"/>
  <c r="L160" i="5"/>
  <c r="M160" i="5"/>
  <c r="N160" i="5"/>
  <c r="O160" i="5"/>
  <c r="P160" i="5"/>
  <c r="Q160" i="5"/>
  <c r="R160" i="5"/>
  <c r="U160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X161" i="5"/>
  <c r="G162" i="5"/>
  <c r="H162" i="5"/>
  <c r="I162" i="5"/>
  <c r="K162" i="5"/>
  <c r="L162" i="5"/>
  <c r="N162" i="5"/>
  <c r="O162" i="5"/>
  <c r="P162" i="5"/>
  <c r="G163" i="5"/>
  <c r="H163" i="5"/>
  <c r="I163" i="5"/>
  <c r="J163" i="5"/>
  <c r="K163" i="5"/>
  <c r="L163" i="5"/>
  <c r="M163" i="5"/>
  <c r="N163" i="5"/>
  <c r="O163" i="5"/>
  <c r="P163" i="5"/>
  <c r="Y163" i="5"/>
  <c r="G164" i="5"/>
  <c r="H164" i="5"/>
  <c r="I164" i="5"/>
  <c r="J164" i="5"/>
  <c r="K164" i="5"/>
  <c r="M164" i="5"/>
  <c r="N164" i="5"/>
  <c r="O164" i="5"/>
  <c r="P164" i="5"/>
  <c r="Q164" i="5"/>
  <c r="R164" i="5"/>
  <c r="S164" i="5"/>
  <c r="T164" i="5"/>
  <c r="U164" i="5"/>
  <c r="V164" i="5"/>
  <c r="X164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Y165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X166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X167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X168" i="5"/>
  <c r="Y168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X169" i="5"/>
  <c r="Y169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X170" i="5"/>
  <c r="L171" i="5"/>
  <c r="M171" i="5"/>
  <c r="N171" i="5"/>
  <c r="O171" i="5"/>
  <c r="P171" i="5"/>
  <c r="Q171" i="5"/>
  <c r="R171" i="5"/>
  <c r="S171" i="5"/>
  <c r="T171" i="5"/>
  <c r="U171" i="5"/>
  <c r="V171" i="5"/>
  <c r="X171" i="5"/>
  <c r="L172" i="5"/>
  <c r="N172" i="5"/>
  <c r="O172" i="5"/>
  <c r="Q172" i="5"/>
  <c r="S172" i="5"/>
  <c r="T172" i="5"/>
  <c r="U172" i="5"/>
  <c r="V172" i="5"/>
  <c r="X172" i="5"/>
  <c r="L173" i="5"/>
  <c r="N173" i="5"/>
  <c r="O173" i="5"/>
  <c r="P173" i="5"/>
  <c r="Q173" i="5"/>
  <c r="R173" i="5"/>
  <c r="S173" i="5"/>
  <c r="V173" i="5"/>
  <c r="X173" i="5"/>
  <c r="L174" i="5"/>
  <c r="M174" i="5"/>
  <c r="N174" i="5"/>
  <c r="R174" i="5"/>
  <c r="S174" i="5"/>
  <c r="T174" i="5"/>
  <c r="U174" i="5"/>
  <c r="V174" i="5"/>
  <c r="L175" i="5"/>
  <c r="M175" i="5"/>
  <c r="N175" i="5"/>
  <c r="O175" i="5"/>
  <c r="P175" i="5"/>
  <c r="Q175" i="5"/>
  <c r="R175" i="5"/>
  <c r="S175" i="5"/>
  <c r="T175" i="5"/>
  <c r="U175" i="5"/>
  <c r="V175" i="5"/>
  <c r="X175" i="5"/>
  <c r="L176" i="5"/>
  <c r="M176" i="5"/>
  <c r="N176" i="5"/>
  <c r="O176" i="5"/>
  <c r="P176" i="5"/>
  <c r="Q176" i="5"/>
  <c r="R176" i="5"/>
  <c r="S176" i="5"/>
  <c r="T176" i="5"/>
  <c r="U176" i="5"/>
  <c r="V176" i="5"/>
  <c r="X176" i="5"/>
  <c r="L177" i="5"/>
  <c r="M177" i="5"/>
  <c r="N177" i="5"/>
  <c r="O177" i="5"/>
  <c r="P177" i="5"/>
  <c r="Q177" i="5"/>
  <c r="R177" i="5"/>
  <c r="S177" i="5"/>
  <c r="T177" i="5"/>
  <c r="U177" i="5"/>
  <c r="V177" i="5"/>
  <c r="X177" i="5"/>
  <c r="Z177" i="5"/>
  <c r="L178" i="5"/>
  <c r="M178" i="5"/>
  <c r="N178" i="5"/>
  <c r="O178" i="5"/>
  <c r="P178" i="5"/>
  <c r="Q178" i="5"/>
  <c r="R178" i="5"/>
  <c r="S178" i="5"/>
  <c r="T178" i="5"/>
  <c r="U178" i="5"/>
  <c r="V178" i="5"/>
  <c r="X178" i="5"/>
  <c r="L179" i="5"/>
  <c r="M179" i="5"/>
  <c r="N179" i="5"/>
  <c r="O179" i="5"/>
  <c r="P179" i="5"/>
  <c r="Q179" i="5"/>
  <c r="R179" i="5"/>
  <c r="S179" i="5"/>
  <c r="T179" i="5"/>
  <c r="U179" i="5"/>
  <c r="V179" i="5"/>
  <c r="X179" i="5"/>
  <c r="L180" i="5"/>
  <c r="M180" i="5"/>
  <c r="N180" i="5"/>
  <c r="O180" i="5"/>
  <c r="P180" i="5"/>
  <c r="Q180" i="5"/>
  <c r="R180" i="5"/>
  <c r="S180" i="5"/>
  <c r="T180" i="5"/>
  <c r="U180" i="5"/>
  <c r="V180" i="5"/>
  <c r="X180" i="5"/>
  <c r="F149" i="5"/>
  <c r="F150" i="5"/>
  <c r="F151" i="5"/>
  <c r="F152" i="5"/>
  <c r="F153" i="5"/>
  <c r="F154" i="5"/>
  <c r="F155" i="5"/>
  <c r="F157" i="5"/>
  <c r="F158" i="5"/>
  <c r="F160" i="5"/>
  <c r="F161" i="5"/>
  <c r="F162" i="5"/>
  <c r="F163" i="5"/>
  <c r="F164" i="5"/>
  <c r="F165" i="5"/>
  <c r="F166" i="5"/>
  <c r="F167" i="5"/>
  <c r="F168" i="5"/>
  <c r="F169" i="5"/>
  <c r="F170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X239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X240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X241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X242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X243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X244" i="5"/>
  <c r="G245" i="5"/>
  <c r="H245" i="5"/>
  <c r="I245" i="5"/>
  <c r="J245" i="5"/>
  <c r="K245" i="5"/>
  <c r="K234" i="5" s="1"/>
  <c r="L245" i="5"/>
  <c r="L234" i="5" s="1"/>
  <c r="M245" i="5"/>
  <c r="N245" i="5"/>
  <c r="O245" i="5"/>
  <c r="O234" i="5" s="1"/>
  <c r="P245" i="5"/>
  <c r="Q245" i="5"/>
  <c r="R245" i="5"/>
  <c r="S245" i="5"/>
  <c r="T245" i="5"/>
  <c r="U245" i="5"/>
  <c r="V245" i="5"/>
  <c r="X245" i="5"/>
  <c r="G249" i="5"/>
  <c r="H249" i="5"/>
  <c r="I249" i="5"/>
  <c r="J249" i="5"/>
  <c r="L249" i="5"/>
  <c r="M249" i="5"/>
  <c r="N249" i="5"/>
  <c r="O249" i="5"/>
  <c r="P249" i="5"/>
  <c r="Q249" i="5"/>
  <c r="R249" i="5"/>
  <c r="S249" i="5"/>
  <c r="T249" i="5"/>
  <c r="U249" i="5"/>
  <c r="V249" i="5"/>
  <c r="X249" i="5"/>
  <c r="G250" i="5"/>
  <c r="H250" i="5"/>
  <c r="I250" i="5"/>
  <c r="K250" i="5"/>
  <c r="L250" i="5"/>
  <c r="M250" i="5"/>
  <c r="N250" i="5"/>
  <c r="O250" i="5"/>
  <c r="P250" i="5"/>
  <c r="Q250" i="5"/>
  <c r="R250" i="5"/>
  <c r="U250" i="5"/>
  <c r="V250" i="5"/>
  <c r="X250" i="5"/>
  <c r="AZ205" i="5" s="1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X251" i="5"/>
  <c r="G255" i="5"/>
  <c r="H255" i="5"/>
  <c r="I255" i="5"/>
  <c r="J255" i="5"/>
  <c r="K255" i="5"/>
  <c r="L255" i="5"/>
  <c r="L238" i="5" s="1"/>
  <c r="M255" i="5"/>
  <c r="N255" i="5"/>
  <c r="O255" i="5"/>
  <c r="P255" i="5"/>
  <c r="Q255" i="5"/>
  <c r="Q238" i="5" s="1"/>
  <c r="R255" i="5"/>
  <c r="S255" i="5"/>
  <c r="T255" i="5"/>
  <c r="U255" i="5"/>
  <c r="U238" i="5" s="1"/>
  <c r="V255" i="5"/>
  <c r="X255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U256" i="5"/>
  <c r="V256" i="5"/>
  <c r="X256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U257" i="5"/>
  <c r="V257" i="5"/>
  <c r="X257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X258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U259" i="5"/>
  <c r="V259" i="5"/>
  <c r="X259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U260" i="5"/>
  <c r="V260" i="5"/>
  <c r="X260" i="5"/>
  <c r="F239" i="5"/>
  <c r="F240" i="5"/>
  <c r="F241" i="5"/>
  <c r="F242" i="5"/>
  <c r="F243" i="5"/>
  <c r="F244" i="5"/>
  <c r="F245" i="5"/>
  <c r="F250" i="5"/>
  <c r="F251" i="5"/>
  <c r="F255" i="5"/>
  <c r="F256" i="5"/>
  <c r="F257" i="5"/>
  <c r="F258" i="5"/>
  <c r="F259" i="5"/>
  <c r="F260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X104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X105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X106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X107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X108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X109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X110" i="5"/>
  <c r="G111" i="5"/>
  <c r="H111" i="5"/>
  <c r="I111" i="5"/>
  <c r="J111" i="5"/>
  <c r="K111" i="5"/>
  <c r="L111" i="5"/>
  <c r="M111" i="5"/>
  <c r="N111" i="5"/>
  <c r="O111" i="5"/>
  <c r="P111" i="5"/>
  <c r="S111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X112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X113" i="5"/>
  <c r="G114" i="5"/>
  <c r="H114" i="5"/>
  <c r="I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X114" i="5"/>
  <c r="F115" i="5"/>
  <c r="G115" i="5"/>
  <c r="H115" i="5"/>
  <c r="I115" i="5"/>
  <c r="K115" i="5"/>
  <c r="L115" i="5"/>
  <c r="M115" i="5"/>
  <c r="N115" i="5"/>
  <c r="O115" i="5"/>
  <c r="P115" i="5"/>
  <c r="Q115" i="5"/>
  <c r="R115" i="5"/>
  <c r="U115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X116" i="5"/>
  <c r="F117" i="5"/>
  <c r="G117" i="5"/>
  <c r="H117" i="5"/>
  <c r="I117" i="5"/>
  <c r="K117" i="5"/>
  <c r="L117" i="5"/>
  <c r="N117" i="5"/>
  <c r="O117" i="5"/>
  <c r="P117" i="5"/>
  <c r="Q117" i="5"/>
  <c r="R117" i="5"/>
  <c r="S117" i="5"/>
  <c r="T117" i="5"/>
  <c r="U117" i="5"/>
  <c r="V117" i="5"/>
  <c r="X117" i="5"/>
  <c r="F118" i="5"/>
  <c r="G118" i="5"/>
  <c r="H118" i="5"/>
  <c r="I118" i="5"/>
  <c r="J118" i="5"/>
  <c r="K118" i="5"/>
  <c r="L118" i="5"/>
  <c r="M118" i="5"/>
  <c r="N118" i="5"/>
  <c r="O118" i="5"/>
  <c r="P118" i="5"/>
  <c r="S118" i="5"/>
  <c r="F119" i="5"/>
  <c r="G119" i="5"/>
  <c r="H119" i="5"/>
  <c r="I119" i="5"/>
  <c r="J119" i="5"/>
  <c r="K119" i="5"/>
  <c r="M119" i="5"/>
  <c r="N119" i="5"/>
  <c r="O119" i="5"/>
  <c r="P119" i="5"/>
  <c r="Q119" i="5"/>
  <c r="R119" i="5"/>
  <c r="S119" i="5"/>
  <c r="T119" i="5"/>
  <c r="U119" i="5"/>
  <c r="V119" i="5"/>
  <c r="X119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X121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X122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X123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X124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X125" i="5"/>
  <c r="G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X126" i="5"/>
  <c r="G127" i="5"/>
  <c r="H127" i="5"/>
  <c r="I127" i="5"/>
  <c r="J127" i="5"/>
  <c r="K127" i="5"/>
  <c r="L127" i="5"/>
  <c r="M127" i="5"/>
  <c r="N127" i="5"/>
  <c r="O127" i="5"/>
  <c r="P127" i="5"/>
  <c r="Q127" i="5"/>
  <c r="S127" i="5"/>
  <c r="T127" i="5"/>
  <c r="U127" i="5"/>
  <c r="V127" i="5"/>
  <c r="X127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V128" i="5"/>
  <c r="X128" i="5"/>
  <c r="F129" i="5"/>
  <c r="G129" i="5"/>
  <c r="H129" i="5"/>
  <c r="I129" i="5"/>
  <c r="J129" i="5"/>
  <c r="K129" i="5"/>
  <c r="L129" i="5"/>
  <c r="M129" i="5"/>
  <c r="N129" i="5"/>
  <c r="O129" i="5"/>
  <c r="P129" i="5"/>
  <c r="R129" i="5"/>
  <c r="S129" i="5"/>
  <c r="T129" i="5"/>
  <c r="U129" i="5"/>
  <c r="V129" i="5"/>
  <c r="X129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X130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X131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X132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X133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X134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X135" i="5"/>
  <c r="Y59" i="5"/>
  <c r="Z59" i="5"/>
  <c r="Y60" i="5"/>
  <c r="Z60" i="5"/>
  <c r="Y61" i="5"/>
  <c r="Z61" i="5"/>
  <c r="Y62" i="5"/>
  <c r="Z62" i="5"/>
  <c r="Y63" i="5"/>
  <c r="Z63" i="5"/>
  <c r="Y64" i="5"/>
  <c r="Z64" i="5"/>
  <c r="Y65" i="5"/>
  <c r="Z65" i="5"/>
  <c r="Y67" i="5"/>
  <c r="Z67" i="5"/>
  <c r="Y68" i="5"/>
  <c r="Z68" i="5"/>
  <c r="Z69" i="5"/>
  <c r="Y70" i="5"/>
  <c r="Y71" i="5"/>
  <c r="Z71" i="5"/>
  <c r="Y72" i="5"/>
  <c r="Z72" i="5"/>
  <c r="Y73" i="5"/>
  <c r="Y74" i="5"/>
  <c r="Z74" i="5"/>
  <c r="Y75" i="5"/>
  <c r="Z75" i="5"/>
  <c r="Y76" i="5"/>
  <c r="Z76" i="5"/>
  <c r="Y77" i="5"/>
  <c r="Z77" i="5"/>
  <c r="Y78" i="5"/>
  <c r="Z78" i="5"/>
  <c r="Y79" i="5"/>
  <c r="Z79" i="5"/>
  <c r="Y80" i="5"/>
  <c r="Z80" i="5"/>
  <c r="Y82" i="5"/>
  <c r="Y83" i="5"/>
  <c r="Y84" i="5"/>
  <c r="Y85" i="5"/>
  <c r="Z85" i="5"/>
  <c r="Y86" i="5"/>
  <c r="Z86" i="5"/>
  <c r="Z87" i="5"/>
  <c r="Y88" i="5"/>
  <c r="Z88" i="5"/>
  <c r="Y89" i="5"/>
  <c r="Z89" i="5"/>
  <c r="Y90" i="5"/>
  <c r="Z90" i="5"/>
  <c r="Z270" i="5"/>
  <c r="Z269" i="5"/>
  <c r="Y269" i="5"/>
  <c r="Z268" i="5"/>
  <c r="Z267" i="5"/>
  <c r="Y267" i="5"/>
  <c r="Z266" i="5"/>
  <c r="Z265" i="5"/>
  <c r="Z264" i="5"/>
  <c r="Z263" i="5"/>
  <c r="Y263" i="5"/>
  <c r="Z262" i="5"/>
  <c r="Z261" i="5"/>
  <c r="Z260" i="5"/>
  <c r="Z259" i="5"/>
  <c r="Y259" i="5"/>
  <c r="Z258" i="5"/>
  <c r="Z257" i="5"/>
  <c r="Z256" i="5"/>
  <c r="Z255" i="5"/>
  <c r="Y255" i="5"/>
  <c r="Z254" i="5"/>
  <c r="Z251" i="5"/>
  <c r="Y251" i="5"/>
  <c r="Z250" i="5"/>
  <c r="Z249" i="5"/>
  <c r="Z248" i="5"/>
  <c r="Z247" i="5"/>
  <c r="Y247" i="5"/>
  <c r="Z246" i="5"/>
  <c r="Z245" i="5"/>
  <c r="Z244" i="5"/>
  <c r="Z243" i="5"/>
  <c r="Y243" i="5"/>
  <c r="Z242" i="5"/>
  <c r="Z241" i="5"/>
  <c r="Z240" i="5"/>
  <c r="Z239" i="5"/>
  <c r="Y239" i="5"/>
  <c r="V193" i="5"/>
  <c r="U193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U192" i="5"/>
  <c r="P192" i="5"/>
  <c r="O192" i="5"/>
  <c r="N192" i="5"/>
  <c r="K192" i="5"/>
  <c r="I192" i="5"/>
  <c r="H192" i="5"/>
  <c r="G192" i="5"/>
  <c r="F192" i="5"/>
  <c r="X191" i="5"/>
  <c r="V191" i="5"/>
  <c r="U191" i="5"/>
  <c r="T191" i="5"/>
  <c r="R191" i="5"/>
  <c r="Q191" i="5"/>
  <c r="P191" i="5"/>
  <c r="O191" i="5"/>
  <c r="M191" i="5"/>
  <c r="L191" i="5"/>
  <c r="J191" i="5"/>
  <c r="I191" i="5"/>
  <c r="H191" i="5"/>
  <c r="G191" i="5"/>
  <c r="AI146" i="5" s="1"/>
  <c r="X189" i="5"/>
  <c r="V189" i="5"/>
  <c r="U189" i="5"/>
  <c r="T189" i="5"/>
  <c r="S189" i="5"/>
  <c r="R189" i="5"/>
  <c r="R144" i="5" s="1"/>
  <c r="Q189" i="5"/>
  <c r="P189" i="5"/>
  <c r="O189" i="5"/>
  <c r="N189" i="5"/>
  <c r="AP144" i="5" s="1"/>
  <c r="M189" i="5"/>
  <c r="L189" i="5"/>
  <c r="K189" i="5"/>
  <c r="J189" i="5"/>
  <c r="J144" i="5" s="1"/>
  <c r="I189" i="5"/>
  <c r="H189" i="5"/>
  <c r="G189" i="5"/>
  <c r="F189" i="5"/>
  <c r="Y189" i="5" s="1"/>
  <c r="X188" i="5"/>
  <c r="V188" i="5"/>
  <c r="U188" i="5"/>
  <c r="T188" i="5"/>
  <c r="AV143" i="5" s="1"/>
  <c r="S188" i="5"/>
  <c r="R188" i="5"/>
  <c r="Q188" i="5"/>
  <c r="P188" i="5"/>
  <c r="P143" i="5" s="1"/>
  <c r="O188" i="5"/>
  <c r="N188" i="5"/>
  <c r="M188" i="5"/>
  <c r="L188" i="5"/>
  <c r="AN143" i="5" s="1"/>
  <c r="K188" i="5"/>
  <c r="J188" i="5"/>
  <c r="I188" i="5"/>
  <c r="H188" i="5"/>
  <c r="G188" i="5"/>
  <c r="F188" i="5"/>
  <c r="X187" i="5"/>
  <c r="V187" i="5"/>
  <c r="AX142" i="5" s="1"/>
  <c r="U187" i="5"/>
  <c r="T187" i="5"/>
  <c r="S187" i="5"/>
  <c r="R187" i="5"/>
  <c r="AT142" i="5" s="1"/>
  <c r="Q187" i="5"/>
  <c r="P187" i="5"/>
  <c r="O187" i="5"/>
  <c r="N187" i="5"/>
  <c r="AP142" i="5" s="1"/>
  <c r="M187" i="5"/>
  <c r="L187" i="5"/>
  <c r="K187" i="5"/>
  <c r="J187" i="5"/>
  <c r="I187" i="5"/>
  <c r="H187" i="5"/>
  <c r="G187" i="5"/>
  <c r="F187" i="5"/>
  <c r="AH142" i="5" s="1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X57" i="5"/>
  <c r="V57" i="5"/>
  <c r="U57" i="5"/>
  <c r="T57" i="5"/>
  <c r="S57" i="5"/>
  <c r="R57" i="5"/>
  <c r="R51" i="5" s="1"/>
  <c r="P57" i="5"/>
  <c r="O57" i="5"/>
  <c r="N57" i="5"/>
  <c r="M57" i="5"/>
  <c r="L57" i="5"/>
  <c r="K57" i="5"/>
  <c r="J57" i="5"/>
  <c r="I57" i="5"/>
  <c r="H57" i="5"/>
  <c r="G57" i="5"/>
  <c r="F57" i="5"/>
  <c r="V56" i="5"/>
  <c r="U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X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G55" i="5"/>
  <c r="F55" i="5"/>
  <c r="X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X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X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X7" i="5"/>
  <c r="G8" i="5"/>
  <c r="H8" i="5"/>
  <c r="I8" i="5"/>
  <c r="J8" i="5"/>
  <c r="K8" i="5"/>
  <c r="K98" i="5" s="1"/>
  <c r="L8" i="5"/>
  <c r="M8" i="5"/>
  <c r="N8" i="5"/>
  <c r="O8" i="5"/>
  <c r="P8" i="5"/>
  <c r="Q8" i="5"/>
  <c r="Q98" i="5" s="1"/>
  <c r="R8" i="5"/>
  <c r="S8" i="5"/>
  <c r="S98" i="5" s="1"/>
  <c r="T8" i="5"/>
  <c r="U8" i="5"/>
  <c r="V8" i="5"/>
  <c r="V98" i="5" s="1"/>
  <c r="X8" i="5"/>
  <c r="X98" i="5" s="1"/>
  <c r="G9" i="5"/>
  <c r="H9" i="5"/>
  <c r="I9" i="5"/>
  <c r="J9" i="5"/>
  <c r="K9" i="5"/>
  <c r="L9" i="5"/>
  <c r="M9" i="5"/>
  <c r="N9" i="5"/>
  <c r="O9" i="5"/>
  <c r="P9" i="5"/>
  <c r="P99" i="5" s="1"/>
  <c r="Q9" i="5"/>
  <c r="R9" i="5"/>
  <c r="S9" i="5"/>
  <c r="T9" i="5"/>
  <c r="U9" i="5"/>
  <c r="U99" i="5" s="1"/>
  <c r="V9" i="5"/>
  <c r="X9" i="5"/>
  <c r="G10" i="5"/>
  <c r="I10" i="5"/>
  <c r="J10" i="5"/>
  <c r="K10" i="5"/>
  <c r="L10" i="5"/>
  <c r="N10" i="5"/>
  <c r="N145" i="5" s="1"/>
  <c r="O10" i="5"/>
  <c r="P10" i="5"/>
  <c r="Q10" i="5"/>
  <c r="S10" i="5"/>
  <c r="S100" i="5" s="1"/>
  <c r="T10" i="5"/>
  <c r="V10" i="5"/>
  <c r="X10" i="5"/>
  <c r="X100" i="5" s="1"/>
  <c r="G11" i="5"/>
  <c r="H11" i="5"/>
  <c r="I11" i="5"/>
  <c r="I101" i="5" s="1"/>
  <c r="J11" i="5"/>
  <c r="K11" i="5"/>
  <c r="L11" i="5"/>
  <c r="M11" i="5"/>
  <c r="M101" i="5" s="1"/>
  <c r="N11" i="5"/>
  <c r="O11" i="5"/>
  <c r="O101" i="5" s="1"/>
  <c r="P11" i="5"/>
  <c r="Q11" i="5"/>
  <c r="R11" i="5"/>
  <c r="S11" i="5"/>
  <c r="T11" i="5"/>
  <c r="U11" i="5"/>
  <c r="U101" i="5" s="1"/>
  <c r="V11" i="5"/>
  <c r="X11" i="5"/>
  <c r="G12" i="5"/>
  <c r="H12" i="5"/>
  <c r="H102" i="5" s="1"/>
  <c r="I12" i="5"/>
  <c r="J12" i="5"/>
  <c r="K12" i="5"/>
  <c r="L12" i="5"/>
  <c r="M12" i="5"/>
  <c r="N12" i="5"/>
  <c r="O12" i="5"/>
  <c r="O102" i="5" s="1"/>
  <c r="P12" i="5"/>
  <c r="P102" i="5" s="1"/>
  <c r="S12" i="5"/>
  <c r="S102" i="5" s="1"/>
  <c r="U12" i="5"/>
  <c r="X12" i="5"/>
  <c r="G13" i="5"/>
  <c r="H13" i="5"/>
  <c r="H103" i="5" s="1"/>
  <c r="I13" i="5"/>
  <c r="J13" i="5"/>
  <c r="K13" i="5"/>
  <c r="L13" i="5"/>
  <c r="M13" i="5"/>
  <c r="N13" i="5"/>
  <c r="N103" i="5" s="1"/>
  <c r="O13" i="5"/>
  <c r="P13" i="5"/>
  <c r="Q13" i="5"/>
  <c r="R13" i="5"/>
  <c r="S13" i="5"/>
  <c r="S103" i="5" s="1"/>
  <c r="T13" i="5"/>
  <c r="T103" i="5" s="1"/>
  <c r="U13" i="5"/>
  <c r="V13" i="5"/>
  <c r="X13" i="5"/>
  <c r="X103" i="5" s="1"/>
  <c r="F7" i="5"/>
  <c r="F8" i="5"/>
  <c r="F9" i="5"/>
  <c r="F10" i="5"/>
  <c r="F100" i="5" s="1"/>
  <c r="F12" i="5"/>
  <c r="F13" i="5"/>
  <c r="F103" i="5" s="1"/>
  <c r="Y31" i="5"/>
  <c r="Z31" i="5"/>
  <c r="Y32" i="5"/>
  <c r="Z32" i="5"/>
  <c r="Y33" i="5"/>
  <c r="Z33" i="5"/>
  <c r="Y34" i="5"/>
  <c r="Y124" i="5" s="1"/>
  <c r="Z34" i="5"/>
  <c r="Y35" i="5"/>
  <c r="Z35" i="5"/>
  <c r="Y36" i="5"/>
  <c r="Y37" i="5"/>
  <c r="Y38" i="5"/>
  <c r="Y39" i="5"/>
  <c r="Y40" i="5"/>
  <c r="Z40" i="5"/>
  <c r="Y41" i="5"/>
  <c r="Z41" i="5"/>
  <c r="Y42" i="5"/>
  <c r="Z42" i="5"/>
  <c r="Y43" i="5"/>
  <c r="Z43" i="5"/>
  <c r="Y44" i="5"/>
  <c r="Z44" i="5"/>
  <c r="Y45" i="5"/>
  <c r="Z45" i="5"/>
  <c r="Y21" i="5"/>
  <c r="Y22" i="5"/>
  <c r="Z22" i="5"/>
  <c r="Y23" i="5"/>
  <c r="Z23" i="5"/>
  <c r="Z24" i="5"/>
  <c r="Y25" i="5"/>
  <c r="Z25" i="5"/>
  <c r="Y26" i="5"/>
  <c r="Z26" i="5"/>
  <c r="Z116" i="5" s="1"/>
  <c r="Y27" i="5"/>
  <c r="Y117" i="5" s="1"/>
  <c r="Z27" i="5"/>
  <c r="Y28" i="5"/>
  <c r="Y29" i="5"/>
  <c r="Z29" i="5"/>
  <c r="Y30" i="5"/>
  <c r="Z30" i="5"/>
  <c r="Y15" i="5"/>
  <c r="Z15" i="5"/>
  <c r="Y16" i="5"/>
  <c r="Y106" i="5" s="1"/>
  <c r="Z16" i="5"/>
  <c r="Y17" i="5"/>
  <c r="Z17" i="5"/>
  <c r="Y18" i="5"/>
  <c r="Z18" i="5"/>
  <c r="Y19" i="5"/>
  <c r="Z19" i="5"/>
  <c r="Y20" i="5"/>
  <c r="Z20" i="5"/>
  <c r="Z110" i="5" s="1"/>
  <c r="Z14" i="5"/>
  <c r="Y14" i="5"/>
  <c r="F204" i="5"/>
  <c r="Y134" i="5"/>
  <c r="Y130" i="5"/>
  <c r="Z124" i="5"/>
  <c r="G101" i="5"/>
  <c r="J99" i="5"/>
  <c r="I238" i="5"/>
  <c r="AZ208" i="5"/>
  <c r="AX201" i="5"/>
  <c r="H261" i="5"/>
  <c r="M234" i="5"/>
  <c r="Q73" i="9"/>
  <c r="W98" i="5"/>
  <c r="Z107" i="5"/>
  <c r="Z119" i="5"/>
  <c r="Z117" i="5"/>
  <c r="Z131" i="5"/>
  <c r="L103" i="5"/>
  <c r="I102" i="5"/>
  <c r="M100" i="5"/>
  <c r="M99" i="5"/>
  <c r="F132" i="5"/>
  <c r="F238" i="5"/>
  <c r="F262" i="5"/>
  <c r="F261" i="5"/>
  <c r="T238" i="5"/>
  <c r="AM201" i="5"/>
  <c r="K263" i="5"/>
  <c r="K264" i="5"/>
  <c r="K262" i="5"/>
  <c r="P234" i="5"/>
  <c r="H234" i="5"/>
  <c r="O174" i="5"/>
  <c r="R73" i="9"/>
  <c r="W99" i="5"/>
  <c r="W234" i="5"/>
  <c r="T73" i="9"/>
  <c r="I103" i="5"/>
  <c r="N100" i="5"/>
  <c r="R99" i="5"/>
  <c r="M238" i="5"/>
  <c r="AX205" i="5"/>
  <c r="Q234" i="5"/>
  <c r="I234" i="5"/>
  <c r="Z125" i="5"/>
  <c r="Z123" i="5"/>
  <c r="Q101" i="5"/>
  <c r="L99" i="5"/>
  <c r="U98" i="5"/>
  <c r="M98" i="5"/>
  <c r="V50" i="5"/>
  <c r="F234" i="5"/>
  <c r="X238" i="5"/>
  <c r="S238" i="5"/>
  <c r="O238" i="5"/>
  <c r="K238" i="5"/>
  <c r="G238" i="5"/>
  <c r="AW208" i="5"/>
  <c r="N262" i="5"/>
  <c r="J262" i="5"/>
  <c r="X234" i="5"/>
  <c r="S234" i="5"/>
  <c r="G234" i="5"/>
  <c r="M173" i="5"/>
  <c r="R21" i="9"/>
  <c r="R82" i="9"/>
  <c r="W51" i="5"/>
  <c r="W143" i="5"/>
  <c r="W238" i="5"/>
  <c r="AO172" i="5"/>
  <c r="Z122" i="5"/>
  <c r="U103" i="5"/>
  <c r="M103" i="5"/>
  <c r="N102" i="5"/>
  <c r="V99" i="5"/>
  <c r="F267" i="5"/>
  <c r="U234" i="5"/>
  <c r="Z112" i="5"/>
  <c r="Y133" i="5"/>
  <c r="O103" i="5"/>
  <c r="T99" i="5"/>
  <c r="H99" i="5"/>
  <c r="I98" i="5"/>
  <c r="Z108" i="5"/>
  <c r="Z120" i="5"/>
  <c r="Y157" i="5"/>
  <c r="Z134" i="5"/>
  <c r="Z132" i="5"/>
  <c r="Z130" i="5"/>
  <c r="V103" i="5"/>
  <c r="R103" i="5"/>
  <c r="J103" i="5"/>
  <c r="X102" i="5"/>
  <c r="K102" i="5"/>
  <c r="G102" i="5"/>
  <c r="P101" i="5"/>
  <c r="L101" i="5"/>
  <c r="H101" i="5"/>
  <c r="T100" i="5"/>
  <c r="X99" i="5"/>
  <c r="S99" i="5"/>
  <c r="O99" i="5"/>
  <c r="K99" i="5"/>
  <c r="G99" i="5"/>
  <c r="T98" i="5"/>
  <c r="P98" i="5"/>
  <c r="L98" i="5"/>
  <c r="H98" i="5"/>
  <c r="Q57" i="5"/>
  <c r="Z73" i="5"/>
  <c r="AA73" i="5" s="1"/>
  <c r="V238" i="5"/>
  <c r="R238" i="5"/>
  <c r="N238" i="5"/>
  <c r="J238" i="5"/>
  <c r="M264" i="5"/>
  <c r="AO219" i="5" s="1"/>
  <c r="M263" i="5"/>
  <c r="M262" i="5"/>
  <c r="M261" i="5"/>
  <c r="I262" i="5"/>
  <c r="I261" i="5"/>
  <c r="I264" i="5"/>
  <c r="V234" i="5"/>
  <c r="R234" i="5"/>
  <c r="N234" i="5"/>
  <c r="J234" i="5"/>
  <c r="Y170" i="5"/>
  <c r="Y161" i="5"/>
  <c r="Y175" i="5"/>
  <c r="W97" i="5"/>
  <c r="W102" i="5"/>
  <c r="AO174" i="5"/>
  <c r="AU205" i="5"/>
  <c r="AV205" i="5"/>
  <c r="Y205" i="5"/>
  <c r="AL160" i="5"/>
  <c r="R208" i="5"/>
  <c r="AT163" i="5" s="1"/>
  <c r="T208" i="5"/>
  <c r="AV163" i="5" s="1"/>
  <c r="Q100" i="5"/>
  <c r="P51" i="5"/>
  <c r="AQ174" i="5"/>
  <c r="O262" i="5"/>
  <c r="O264" i="5"/>
  <c r="F24" i="5"/>
  <c r="F69" i="5" s="1"/>
  <c r="AH187" i="5"/>
  <c r="AL187" i="5"/>
  <c r="AP187" i="5"/>
  <c r="AT187" i="5"/>
  <c r="AX187" i="5"/>
  <c r="AJ143" i="5"/>
  <c r="L143" i="5"/>
  <c r="AN188" i="5"/>
  <c r="AR143" i="5"/>
  <c r="T143" i="5"/>
  <c r="AV188" i="5"/>
  <c r="AL144" i="5"/>
  <c r="N144" i="5"/>
  <c r="AP189" i="5"/>
  <c r="AT144" i="5"/>
  <c r="V144" i="5"/>
  <c r="AX189" i="5"/>
  <c r="AO145" i="5"/>
  <c r="I146" i="5"/>
  <c r="AK146" i="5"/>
  <c r="AK191" i="5"/>
  <c r="R146" i="5"/>
  <c r="AT146" i="5"/>
  <c r="AT191" i="5"/>
  <c r="I147" i="5"/>
  <c r="AK147" i="5"/>
  <c r="AK192" i="5"/>
  <c r="H148" i="5"/>
  <c r="AJ148" i="5"/>
  <c r="AJ193" i="5"/>
  <c r="L148" i="5"/>
  <c r="AN148" i="5"/>
  <c r="AN193" i="5"/>
  <c r="P148" i="5"/>
  <c r="AR148" i="5"/>
  <c r="AR193" i="5"/>
  <c r="T148" i="5"/>
  <c r="AV148" i="5"/>
  <c r="AV193" i="5"/>
  <c r="AA78" i="5"/>
  <c r="F233" i="5"/>
  <c r="V236" i="5"/>
  <c r="R236" i="5"/>
  <c r="N236" i="5"/>
  <c r="AP204" i="5"/>
  <c r="Q264" i="5"/>
  <c r="M233" i="5"/>
  <c r="T232" i="5"/>
  <c r="L232" i="5"/>
  <c r="H176" i="5"/>
  <c r="H177" i="5"/>
  <c r="H179" i="5"/>
  <c r="G171" i="5"/>
  <c r="G172" i="5"/>
  <c r="G173" i="5"/>
  <c r="G174" i="5"/>
  <c r="G175" i="5"/>
  <c r="Z179" i="5"/>
  <c r="BB179" i="5"/>
  <c r="BB224" i="5"/>
  <c r="BB177" i="5"/>
  <c r="BB222" i="5"/>
  <c r="Z175" i="5"/>
  <c r="BB175" i="5"/>
  <c r="BB220" i="5"/>
  <c r="BB170" i="5"/>
  <c r="BB215" i="5"/>
  <c r="Z168" i="5"/>
  <c r="BB168" i="5"/>
  <c r="BB213" i="5"/>
  <c r="BB166" i="5"/>
  <c r="BB211" i="5"/>
  <c r="BA164" i="5"/>
  <c r="BA209" i="5"/>
  <c r="Z161" i="5"/>
  <c r="BB161" i="5"/>
  <c r="BB206" i="5"/>
  <c r="BB158" i="5"/>
  <c r="BB203" i="5"/>
  <c r="Z155" i="5"/>
  <c r="BB155" i="5"/>
  <c r="BB200" i="5"/>
  <c r="BB153" i="5"/>
  <c r="BB198" i="5"/>
  <c r="Z151" i="5"/>
  <c r="BB151" i="5"/>
  <c r="BB196" i="5"/>
  <c r="Z149" i="5"/>
  <c r="BB149" i="5"/>
  <c r="BB194" i="5"/>
  <c r="R82" i="5"/>
  <c r="Z82" i="5" s="1"/>
  <c r="W233" i="5"/>
  <c r="AH202" i="5"/>
  <c r="AH171" i="5"/>
  <c r="S51" i="5"/>
  <c r="AI142" i="5"/>
  <c r="AI187" i="5"/>
  <c r="AM142" i="5"/>
  <c r="AM187" i="5"/>
  <c r="AQ142" i="5"/>
  <c r="AQ187" i="5"/>
  <c r="AU142" i="5"/>
  <c r="AU187" i="5"/>
  <c r="AZ142" i="5"/>
  <c r="AZ187" i="5"/>
  <c r="I143" i="5"/>
  <c r="AK143" i="5"/>
  <c r="AK188" i="5"/>
  <c r="M143" i="5"/>
  <c r="AO143" i="5"/>
  <c r="AO188" i="5"/>
  <c r="Q143" i="5"/>
  <c r="AS143" i="5"/>
  <c r="AS188" i="5"/>
  <c r="U143" i="5"/>
  <c r="AW143" i="5"/>
  <c r="AW188" i="5"/>
  <c r="G144" i="5"/>
  <c r="AI144" i="5"/>
  <c r="AI189" i="5"/>
  <c r="K144" i="5"/>
  <c r="AM144" i="5"/>
  <c r="AM189" i="5"/>
  <c r="O144" i="5"/>
  <c r="AQ144" i="5"/>
  <c r="AQ189" i="5"/>
  <c r="S144" i="5"/>
  <c r="AU144" i="5"/>
  <c r="AU189" i="5"/>
  <c r="X144" i="5"/>
  <c r="AZ144" i="5"/>
  <c r="AZ189" i="5"/>
  <c r="J145" i="5"/>
  <c r="AL145" i="5"/>
  <c r="AP145" i="5"/>
  <c r="O146" i="5"/>
  <c r="AQ191" i="5"/>
  <c r="AH147" i="5"/>
  <c r="N147" i="5"/>
  <c r="AP147" i="5"/>
  <c r="AP192" i="5"/>
  <c r="I148" i="5"/>
  <c r="AK148" i="5"/>
  <c r="AK193" i="5"/>
  <c r="AO148" i="5"/>
  <c r="AO193" i="5"/>
  <c r="Q148" i="5"/>
  <c r="AS148" i="5"/>
  <c r="AS193" i="5"/>
  <c r="U148" i="5"/>
  <c r="AW148" i="5"/>
  <c r="AW193" i="5"/>
  <c r="AL207" i="5"/>
  <c r="Q236" i="5"/>
  <c r="I236" i="5"/>
  <c r="G267" i="5"/>
  <c r="AI202" i="5"/>
  <c r="T233" i="5"/>
  <c r="P233" i="5"/>
  <c r="L233" i="5"/>
  <c r="H233" i="5"/>
  <c r="X232" i="5"/>
  <c r="S232" i="5"/>
  <c r="O232" i="5"/>
  <c r="K232" i="5"/>
  <c r="G232" i="5"/>
  <c r="G177" i="5"/>
  <c r="G178" i="5"/>
  <c r="G179" i="5"/>
  <c r="G176" i="5"/>
  <c r="G180" i="5"/>
  <c r="BA179" i="5"/>
  <c r="BA224" i="5"/>
  <c r="BA175" i="5"/>
  <c r="BA220" i="5"/>
  <c r="BA170" i="5"/>
  <c r="BA215" i="5"/>
  <c r="BA168" i="5"/>
  <c r="BA213" i="5"/>
  <c r="BA166" i="5"/>
  <c r="BA211" i="5"/>
  <c r="BA163" i="5"/>
  <c r="BA208" i="5"/>
  <c r="BA161" i="5"/>
  <c r="BA206" i="5"/>
  <c r="BA158" i="5"/>
  <c r="BA203" i="5"/>
  <c r="BA155" i="5"/>
  <c r="BA200" i="5"/>
  <c r="BA153" i="5"/>
  <c r="BA198" i="5"/>
  <c r="Y151" i="5"/>
  <c r="BA151" i="5"/>
  <c r="BA196" i="5"/>
  <c r="BA149" i="5"/>
  <c r="BA194" i="5"/>
  <c r="U83" i="5"/>
  <c r="W142" i="5"/>
  <c r="AY142" i="5"/>
  <c r="AY187" i="5"/>
  <c r="AY146" i="5"/>
  <c r="AY191" i="5"/>
  <c r="AQ172" i="5"/>
  <c r="AO171" i="5"/>
  <c r="AP172" i="5"/>
  <c r="AH172" i="5"/>
  <c r="AJ142" i="5"/>
  <c r="AJ187" i="5"/>
  <c r="AR142" i="5"/>
  <c r="AR187" i="5"/>
  <c r="AV142" i="5"/>
  <c r="AV187" i="5"/>
  <c r="AH143" i="5"/>
  <c r="AH188" i="5"/>
  <c r="J143" i="5"/>
  <c r="AL143" i="5"/>
  <c r="AL188" i="5"/>
  <c r="N143" i="5"/>
  <c r="AP143" i="5"/>
  <c r="AP188" i="5"/>
  <c r="R143" i="5"/>
  <c r="AT143" i="5"/>
  <c r="AT188" i="5"/>
  <c r="V143" i="5"/>
  <c r="AX143" i="5"/>
  <c r="AX188" i="5"/>
  <c r="H144" i="5"/>
  <c r="AJ144" i="5"/>
  <c r="AJ189" i="5"/>
  <c r="L144" i="5"/>
  <c r="AN144" i="5"/>
  <c r="AN189" i="5"/>
  <c r="P144" i="5"/>
  <c r="AR144" i="5"/>
  <c r="AR189" i="5"/>
  <c r="T144" i="5"/>
  <c r="AV144" i="5"/>
  <c r="AV189" i="5"/>
  <c r="O145" i="5"/>
  <c r="AQ145" i="5"/>
  <c r="G146" i="5"/>
  <c r="L146" i="5"/>
  <c r="AN146" i="5"/>
  <c r="AN191" i="5"/>
  <c r="P146" i="5"/>
  <c r="AR146" i="5"/>
  <c r="AR191" i="5"/>
  <c r="U146" i="5"/>
  <c r="AW146" i="5"/>
  <c r="AW191" i="5"/>
  <c r="G147" i="5"/>
  <c r="AI147" i="5"/>
  <c r="AI192" i="5"/>
  <c r="K147" i="5"/>
  <c r="AM147" i="5"/>
  <c r="AM192" i="5"/>
  <c r="O147" i="5"/>
  <c r="AQ147" i="5"/>
  <c r="AQ192" i="5"/>
  <c r="AH148" i="5"/>
  <c r="AH193" i="5"/>
  <c r="J148" i="5"/>
  <c r="AL148" i="5"/>
  <c r="AL193" i="5"/>
  <c r="N148" i="5"/>
  <c r="AP148" i="5"/>
  <c r="AP193" i="5"/>
  <c r="AT148" i="5"/>
  <c r="V148" i="5"/>
  <c r="AX148" i="5"/>
  <c r="AX193" i="5"/>
  <c r="AA79" i="5"/>
  <c r="AA77" i="5"/>
  <c r="T236" i="5"/>
  <c r="P236" i="5"/>
  <c r="L236" i="5"/>
  <c r="H236" i="5"/>
  <c r="AQ217" i="5"/>
  <c r="X233" i="5"/>
  <c r="S233" i="5"/>
  <c r="K233" i="5"/>
  <c r="G233" i="5"/>
  <c r="V232" i="5"/>
  <c r="N232" i="5"/>
  <c r="J232" i="5"/>
  <c r="F180" i="5"/>
  <c r="F176" i="5"/>
  <c r="F179" i="5"/>
  <c r="F178" i="5"/>
  <c r="F177" i="5"/>
  <c r="K177" i="5"/>
  <c r="K178" i="5"/>
  <c r="K179" i="5"/>
  <c r="K176" i="5"/>
  <c r="K180" i="5"/>
  <c r="Z180" i="5"/>
  <c r="BB180" i="5"/>
  <c r="BB225" i="5"/>
  <c r="BB223" i="5"/>
  <c r="BB178" i="5"/>
  <c r="Z176" i="5"/>
  <c r="BB176" i="5"/>
  <c r="BB221" i="5"/>
  <c r="AA212" i="5"/>
  <c r="BB167" i="5"/>
  <c r="BB212" i="5"/>
  <c r="BA165" i="5"/>
  <c r="BA210" i="5"/>
  <c r="Z157" i="5"/>
  <c r="BB157" i="5"/>
  <c r="BB202" i="5"/>
  <c r="BB154" i="5"/>
  <c r="BB199" i="5"/>
  <c r="Z152" i="5"/>
  <c r="BB152" i="5"/>
  <c r="BB197" i="5"/>
  <c r="BB150" i="5"/>
  <c r="BB195" i="5"/>
  <c r="W50" i="5"/>
  <c r="AY143" i="5"/>
  <c r="AY188" i="5"/>
  <c r="AQ201" i="5"/>
  <c r="AO173" i="5"/>
  <c r="AH201" i="5"/>
  <c r="AK142" i="5"/>
  <c r="AO142" i="5"/>
  <c r="AS142" i="5"/>
  <c r="AW142" i="5"/>
  <c r="G143" i="5"/>
  <c r="AI188" i="5"/>
  <c r="AM143" i="5"/>
  <c r="O143" i="5"/>
  <c r="AQ188" i="5"/>
  <c r="AU143" i="5"/>
  <c r="X143" i="5"/>
  <c r="AZ188" i="5"/>
  <c r="AK144" i="5"/>
  <c r="AO144" i="5"/>
  <c r="Q144" i="5"/>
  <c r="AS189" i="5"/>
  <c r="AW144" i="5"/>
  <c r="AI145" i="5"/>
  <c r="L145" i="5"/>
  <c r="AN145" i="5"/>
  <c r="AN190" i="5"/>
  <c r="H146" i="5"/>
  <c r="AJ146" i="5"/>
  <c r="AJ191" i="5"/>
  <c r="AO146" i="5"/>
  <c r="AO191" i="5"/>
  <c r="Q146" i="5"/>
  <c r="AS146" i="5"/>
  <c r="AS191" i="5"/>
  <c r="V146" i="5"/>
  <c r="AX146" i="5"/>
  <c r="AX191" i="5"/>
  <c r="H147" i="5"/>
  <c r="AJ147" i="5"/>
  <c r="AJ192" i="5"/>
  <c r="P147" i="5"/>
  <c r="AR147" i="5"/>
  <c r="AR192" i="5"/>
  <c r="U147" i="5"/>
  <c r="AW147" i="5"/>
  <c r="G148" i="5"/>
  <c r="AI148" i="5"/>
  <c r="AI193" i="5"/>
  <c r="K148" i="5"/>
  <c r="AM148" i="5"/>
  <c r="AM193" i="5"/>
  <c r="O148" i="5"/>
  <c r="AQ148" i="5"/>
  <c r="AQ193" i="5"/>
  <c r="S148" i="5"/>
  <c r="AU148" i="5"/>
  <c r="AU193" i="5"/>
  <c r="F232" i="5"/>
  <c r="K236" i="5"/>
  <c r="AP217" i="5"/>
  <c r="R233" i="5"/>
  <c r="N233" i="5"/>
  <c r="J233" i="5"/>
  <c r="U232" i="5"/>
  <c r="Q232" i="5"/>
  <c r="M232" i="5"/>
  <c r="I232" i="5"/>
  <c r="F173" i="5"/>
  <c r="F175" i="5"/>
  <c r="F171" i="5"/>
  <c r="F172" i="5"/>
  <c r="F174" i="5"/>
  <c r="J178" i="5"/>
  <c r="J179" i="5"/>
  <c r="J176" i="5"/>
  <c r="J180" i="5"/>
  <c r="J177" i="5"/>
  <c r="H171" i="5"/>
  <c r="H172" i="5"/>
  <c r="H173" i="5"/>
  <c r="H174" i="5"/>
  <c r="H175" i="5"/>
  <c r="BA180" i="5"/>
  <c r="BA223" i="5"/>
  <c r="BA221" i="5"/>
  <c r="BA169" i="5"/>
  <c r="BA214" i="5"/>
  <c r="BA167" i="5"/>
  <c r="BA212" i="5"/>
  <c r="Z164" i="5"/>
  <c r="BB164" i="5"/>
  <c r="BB209" i="5"/>
  <c r="BA157" i="5"/>
  <c r="BA154" i="5"/>
  <c r="BA199" i="5"/>
  <c r="BA152" i="5"/>
  <c r="BA197" i="5"/>
  <c r="Y150" i="5"/>
  <c r="BA150" i="5"/>
  <c r="BA195" i="5"/>
  <c r="W148" i="5"/>
  <c r="AY148" i="5"/>
  <c r="AY193" i="5"/>
  <c r="W236" i="5"/>
  <c r="W81" i="5"/>
  <c r="AO201" i="5"/>
  <c r="AH177" i="5"/>
  <c r="AP201" i="5"/>
  <c r="AM174" i="5"/>
  <c r="AM219" i="5"/>
  <c r="AM172" i="5"/>
  <c r="K145" i="5"/>
  <c r="I23" i="20" s="1"/>
  <c r="AM218" i="5"/>
  <c r="J146" i="5"/>
  <c r="AL146" i="5"/>
  <c r="J236" i="5"/>
  <c r="AL191" i="5" s="1"/>
  <c r="AL205" i="5"/>
  <c r="AL217" i="5"/>
  <c r="AL201" i="5"/>
  <c r="H267" i="5"/>
  <c r="AJ202" i="5"/>
  <c r="AJ201" i="5"/>
  <c r="J101" i="5"/>
  <c r="AW192" i="5"/>
  <c r="Z253" i="5"/>
  <c r="Z252" i="5"/>
  <c r="L102" i="5"/>
  <c r="AO216" i="5"/>
  <c r="AH216" i="5"/>
  <c r="O186" i="5"/>
  <c r="V101" i="5"/>
  <c r="Y128" i="5"/>
  <c r="K100" i="5"/>
  <c r="K51" i="5"/>
  <c r="AA86" i="5"/>
  <c r="O100" i="5"/>
  <c r="P100" i="5"/>
  <c r="I51" i="5"/>
  <c r="G51" i="5"/>
  <c r="N51" i="5"/>
  <c r="O51" i="5"/>
  <c r="W5" i="5"/>
  <c r="W95" i="5" s="1"/>
  <c r="W101" i="5"/>
  <c r="W185" i="5"/>
  <c r="AY140" i="5" s="1"/>
  <c r="W146" i="5"/>
  <c r="U51" i="5"/>
  <c r="Q51" i="5"/>
  <c r="V97" i="5"/>
  <c r="V5" i="5"/>
  <c r="V95" i="5" s="1"/>
  <c r="S97" i="5"/>
  <c r="S5" i="5"/>
  <c r="O97" i="5"/>
  <c r="O5" i="5"/>
  <c r="K97" i="5"/>
  <c r="K5" i="5"/>
  <c r="G97" i="5"/>
  <c r="G5" i="5"/>
  <c r="H50" i="5"/>
  <c r="P50" i="5"/>
  <c r="X50" i="5"/>
  <c r="G142" i="5"/>
  <c r="G185" i="5"/>
  <c r="K142" i="5"/>
  <c r="K185" i="5"/>
  <c r="O142" i="5"/>
  <c r="O185" i="5"/>
  <c r="S142" i="5"/>
  <c r="S185" i="5"/>
  <c r="V142" i="5"/>
  <c r="V185" i="5"/>
  <c r="V140" i="5" s="1"/>
  <c r="AA240" i="5"/>
  <c r="Y240" i="5"/>
  <c r="AA242" i="5"/>
  <c r="Y242" i="5"/>
  <c r="AA244" i="5"/>
  <c r="Y244" i="5"/>
  <c r="AA246" i="5"/>
  <c r="Y246" i="5"/>
  <c r="AA248" i="5"/>
  <c r="Y248" i="5"/>
  <c r="AA250" i="5"/>
  <c r="Y250" i="5"/>
  <c r="BA205" i="5" s="1"/>
  <c r="Y252" i="5"/>
  <c r="Y254" i="5"/>
  <c r="AA256" i="5"/>
  <c r="Y256" i="5"/>
  <c r="AA258" i="5"/>
  <c r="Y258" i="5"/>
  <c r="AA260" i="5"/>
  <c r="AA262" i="5"/>
  <c r="AA264" i="5"/>
  <c r="AA266" i="5"/>
  <c r="AA268" i="5"/>
  <c r="AA270" i="5"/>
  <c r="AA76" i="5"/>
  <c r="AA65" i="5"/>
  <c r="AA61" i="5"/>
  <c r="Y262" i="5"/>
  <c r="R97" i="5"/>
  <c r="N97" i="5"/>
  <c r="J97" i="5"/>
  <c r="H142" i="5"/>
  <c r="H185" i="5"/>
  <c r="P142" i="5"/>
  <c r="P185" i="5"/>
  <c r="T142" i="5"/>
  <c r="T185" i="5"/>
  <c r="X142" i="5"/>
  <c r="X185" i="5"/>
  <c r="G145" i="5"/>
  <c r="E23" i="20" s="1"/>
  <c r="Y268" i="5"/>
  <c r="Y264" i="5"/>
  <c r="F5" i="5"/>
  <c r="U97" i="5"/>
  <c r="U5" i="5"/>
  <c r="Q97" i="5"/>
  <c r="Q5" i="5"/>
  <c r="M97" i="5"/>
  <c r="M5" i="5"/>
  <c r="I97" i="5"/>
  <c r="I5" i="5"/>
  <c r="F50" i="5"/>
  <c r="J50" i="5"/>
  <c r="N50" i="5"/>
  <c r="I142" i="5"/>
  <c r="I185" i="5"/>
  <c r="AK185" i="5" s="1"/>
  <c r="M185" i="5"/>
  <c r="Q142" i="5"/>
  <c r="Q185" i="5"/>
  <c r="Q140" i="5" s="1"/>
  <c r="U142" i="5"/>
  <c r="U185" i="5"/>
  <c r="AA241" i="5"/>
  <c r="Y241" i="5"/>
  <c r="AA245" i="5"/>
  <c r="Y245" i="5"/>
  <c r="AA249" i="5"/>
  <c r="Y249" i="5"/>
  <c r="Y253" i="5"/>
  <c r="AA257" i="5"/>
  <c r="Y257" i="5"/>
  <c r="AA261" i="5"/>
  <c r="Y261" i="5"/>
  <c r="AA265" i="5"/>
  <c r="Y265" i="5"/>
  <c r="AA269" i="5"/>
  <c r="AA85" i="5"/>
  <c r="AA62" i="5"/>
  <c r="Y266" i="5"/>
  <c r="X97" i="5"/>
  <c r="X5" i="5"/>
  <c r="T97" i="5"/>
  <c r="T5" i="5"/>
  <c r="P97" i="5"/>
  <c r="P5" i="5"/>
  <c r="L97" i="5"/>
  <c r="L5" i="5"/>
  <c r="H97" i="5"/>
  <c r="J142" i="5"/>
  <c r="J185" i="5"/>
  <c r="N142" i="5"/>
  <c r="N185" i="5"/>
  <c r="R142" i="5"/>
  <c r="R185" i="5"/>
  <c r="F191" i="5"/>
  <c r="Y270" i="5"/>
  <c r="Y260" i="5"/>
  <c r="AA225" i="5"/>
  <c r="Z167" i="5"/>
  <c r="AA220" i="5"/>
  <c r="AA202" i="5"/>
  <c r="AA194" i="5"/>
  <c r="AA199" i="5"/>
  <c r="AA154" i="5" s="1"/>
  <c r="AA215" i="5"/>
  <c r="AA170" i="5" s="1"/>
  <c r="AA200" i="5"/>
  <c r="O140" i="5"/>
  <c r="AA213" i="5"/>
  <c r="AA168" i="5" s="1"/>
  <c r="AA211" i="5"/>
  <c r="AA166" i="5" s="1"/>
  <c r="AA206" i="5"/>
  <c r="AA161" i="5" s="1"/>
  <c r="AA197" i="5"/>
  <c r="AA195" i="5"/>
  <c r="BC150" i="5" s="1"/>
  <c r="AA196" i="5"/>
  <c r="AA221" i="5"/>
  <c r="BC176" i="5" s="1"/>
  <c r="AA203" i="5"/>
  <c r="AA158" i="5" s="1"/>
  <c r="AA198" i="5"/>
  <c r="AA153" i="5" s="1"/>
  <c r="Z178" i="5"/>
  <c r="Z170" i="5"/>
  <c r="Z166" i="5"/>
  <c r="Z158" i="5"/>
  <c r="Z154" i="5"/>
  <c r="Z150" i="5"/>
  <c r="Y187" i="5"/>
  <c r="Z187" i="5"/>
  <c r="BB142" i="5" s="1"/>
  <c r="Y188" i="5"/>
  <c r="Y193" i="5"/>
  <c r="BA148" i="5" s="1"/>
  <c r="M146" i="5"/>
  <c r="M142" i="5"/>
  <c r="M148" i="5"/>
  <c r="M144" i="5"/>
  <c r="F147" i="5"/>
  <c r="F148" i="5"/>
  <c r="F143" i="5"/>
  <c r="F144" i="5"/>
  <c r="F142" i="5"/>
  <c r="AA239" i="5"/>
  <c r="AA243" i="5"/>
  <c r="AA247" i="5"/>
  <c r="AA251" i="5"/>
  <c r="AA255" i="5"/>
  <c r="AA259" i="5"/>
  <c r="AA263" i="5"/>
  <c r="AA267" i="5"/>
  <c r="Z188" i="5"/>
  <c r="AA17" i="5"/>
  <c r="Y107" i="5"/>
  <c r="Y9" i="5"/>
  <c r="Y99" i="5" s="1"/>
  <c r="F99" i="5"/>
  <c r="AA16" i="5"/>
  <c r="Z106" i="5"/>
  <c r="AA29" i="5"/>
  <c r="AA119" i="5" s="1"/>
  <c r="Y119" i="5"/>
  <c r="AA27" i="5"/>
  <c r="AA115" i="5"/>
  <c r="Y115" i="5"/>
  <c r="Y109" i="5"/>
  <c r="AA20" i="5"/>
  <c r="Y110" i="5"/>
  <c r="AA18" i="5"/>
  <c r="Y108" i="5"/>
  <c r="Z135" i="5"/>
  <c r="F97" i="5"/>
  <c r="AA15" i="5"/>
  <c r="AA105" i="5" s="1"/>
  <c r="AA30" i="5"/>
  <c r="Y120" i="5"/>
  <c r="Y118" i="5"/>
  <c r="AA26" i="5"/>
  <c r="AA116" i="5" s="1"/>
  <c r="AA114" i="5"/>
  <c r="AA22" i="5"/>
  <c r="AA41" i="5"/>
  <c r="AB41" i="5" s="1"/>
  <c r="AA33" i="5"/>
  <c r="AA123" i="5" s="1"/>
  <c r="AA31" i="5"/>
  <c r="AA121" i="5" s="1"/>
  <c r="Y116" i="5"/>
  <c r="Z7" i="5"/>
  <c r="Y129" i="5"/>
  <c r="Y121" i="5"/>
  <c r="F98" i="5"/>
  <c r="AA23" i="5"/>
  <c r="AA34" i="5"/>
  <c r="AA124" i="5" s="1"/>
  <c r="Z8" i="5"/>
  <c r="Y131" i="5"/>
  <c r="Y127" i="5"/>
  <c r="Y123" i="5"/>
  <c r="Y52" i="5"/>
  <c r="Z52" i="5"/>
  <c r="Z53" i="5"/>
  <c r="Y54" i="5"/>
  <c r="Y57" i="5"/>
  <c r="Y58" i="5"/>
  <c r="Z54" i="5"/>
  <c r="AA54" i="5" s="1"/>
  <c r="Z58" i="5"/>
  <c r="AA90" i="5"/>
  <c r="AA88" i="5"/>
  <c r="AA74" i="5"/>
  <c r="AA72" i="5"/>
  <c r="AA67" i="5"/>
  <c r="AA80" i="5"/>
  <c r="AA75" i="5"/>
  <c r="AA64" i="5"/>
  <c r="AA59" i="5"/>
  <c r="Y53" i="5"/>
  <c r="Z57" i="5"/>
  <c r="AA14" i="5"/>
  <c r="AA43" i="5"/>
  <c r="AA133" i="5" s="1"/>
  <c r="G6" i="5"/>
  <c r="G96" i="5" s="1"/>
  <c r="M6" i="5"/>
  <c r="M96" i="5" s="1"/>
  <c r="J6" i="5"/>
  <c r="AA42" i="5"/>
  <c r="Y13" i="5"/>
  <c r="Y103" i="5" s="1"/>
  <c r="X6" i="5"/>
  <c r="L6" i="5"/>
  <c r="AA40" i="5"/>
  <c r="AB40" i="5" s="1"/>
  <c r="AA32" i="5"/>
  <c r="AA122" i="5" s="1"/>
  <c r="AA44" i="5"/>
  <c r="AA103" i="5"/>
  <c r="AA100" i="5"/>
  <c r="Q23" i="20"/>
  <c r="AO217" i="5"/>
  <c r="H140" i="5"/>
  <c r="R23" i="20"/>
  <c r="H23" i="20"/>
  <c r="Z98" i="5"/>
  <c r="V208" i="5"/>
  <c r="AX163" i="5" s="1"/>
  <c r="V12" i="5"/>
  <c r="V102" i="5" s="1"/>
  <c r="Z82" i="9"/>
  <c r="AA39" i="5"/>
  <c r="AO218" i="5"/>
  <c r="AJ216" i="5"/>
  <c r="Z83" i="5"/>
  <c r="AA83" i="5" s="1"/>
  <c r="AQ219" i="5"/>
  <c r="R28" i="9"/>
  <c r="R12" i="9" s="1"/>
  <c r="R57" i="9"/>
  <c r="Z28" i="5"/>
  <c r="AA28" i="5" s="1"/>
  <c r="Q12" i="5"/>
  <c r="Q6" i="5" s="1"/>
  <c r="Q96" i="5" s="1"/>
  <c r="AA134" i="5"/>
  <c r="AC51" i="5"/>
  <c r="K230" i="5"/>
  <c r="Z73" i="9"/>
  <c r="Q28" i="9"/>
  <c r="Q57" i="9"/>
  <c r="AH222" i="5"/>
  <c r="AA110" i="5"/>
  <c r="K140" i="5"/>
  <c r="Y160" i="5"/>
  <c r="Q208" i="5"/>
  <c r="Q192" i="5" s="1"/>
  <c r="Y234" i="5"/>
  <c r="R12" i="5"/>
  <c r="R102" i="5" s="1"/>
  <c r="AA113" i="5"/>
  <c r="AA106" i="5"/>
  <c r="AV208" i="5"/>
  <c r="T12" i="5"/>
  <c r="T102" i="5" s="1"/>
  <c r="Z97" i="5"/>
  <c r="BA160" i="5"/>
  <c r="AM217" i="5"/>
  <c r="BC202" i="5"/>
  <c r="U140" i="5"/>
  <c r="AH217" i="5"/>
  <c r="AJ222" i="5"/>
  <c r="Z81" i="5"/>
  <c r="AI222" i="5"/>
  <c r="T28" i="9"/>
  <c r="T253" i="9" s="1"/>
  <c r="T57" i="9"/>
  <c r="AV191" i="5"/>
  <c r="R192" i="5"/>
  <c r="R147" i="5" s="1"/>
  <c r="AA52" i="5"/>
  <c r="BC153" i="5"/>
  <c r="AA151" i="5"/>
  <c r="BC151" i="5"/>
  <c r="BC196" i="5"/>
  <c r="AA155" i="5"/>
  <c r="BC155" i="5"/>
  <c r="BC200" i="5"/>
  <c r="AP140" i="5"/>
  <c r="AP185" i="5"/>
  <c r="AS140" i="5"/>
  <c r="AS185" i="5"/>
  <c r="AU140" i="5"/>
  <c r="AU185" i="5"/>
  <c r="AM140" i="5"/>
  <c r="AM185" i="5"/>
  <c r="R37" i="5"/>
  <c r="Z37" i="5" s="1"/>
  <c r="Z21" i="5"/>
  <c r="AA21" i="5" s="1"/>
  <c r="R10" i="5"/>
  <c r="Y148" i="5"/>
  <c r="BA193" i="5"/>
  <c r="Y143" i="5"/>
  <c r="BA143" i="5"/>
  <c r="BA188" i="5"/>
  <c r="BC158" i="5"/>
  <c r="AA150" i="5"/>
  <c r="BC168" i="5"/>
  <c r="AA175" i="5"/>
  <c r="BC175" i="5"/>
  <c r="BC220" i="5"/>
  <c r="AV140" i="5"/>
  <c r="AV185" i="5"/>
  <c r="Z142" i="5"/>
  <c r="BB187" i="5"/>
  <c r="AA152" i="5"/>
  <c r="BC152" i="5"/>
  <c r="BC197" i="5"/>
  <c r="AA149" i="5"/>
  <c r="BC149" i="5"/>
  <c r="BC194" i="5"/>
  <c r="AT140" i="5"/>
  <c r="AT185" i="5"/>
  <c r="J140" i="5"/>
  <c r="AL140" i="5"/>
  <c r="AL185" i="5"/>
  <c r="AW140" i="5"/>
  <c r="AW185" i="5"/>
  <c r="AO185" i="5"/>
  <c r="P140" i="5"/>
  <c r="AX140" i="5"/>
  <c r="AX185" i="5"/>
  <c r="AQ140" i="5"/>
  <c r="AQ185" i="5"/>
  <c r="G140" i="5"/>
  <c r="AI140" i="5"/>
  <c r="AI185" i="5"/>
  <c r="W140" i="5"/>
  <c r="AQ141" i="5"/>
  <c r="AA167" i="5"/>
  <c r="BC167" i="5"/>
  <c r="BC212" i="5"/>
  <c r="AB42" i="5"/>
  <c r="AA120" i="5"/>
  <c r="Z143" i="5"/>
  <c r="BB143" i="5"/>
  <c r="BB188" i="5"/>
  <c r="Y142" i="5"/>
  <c r="BA142" i="5"/>
  <c r="BA187" i="5"/>
  <c r="AA176" i="5"/>
  <c r="BC221" i="5"/>
  <c r="BC161" i="5"/>
  <c r="BC157" i="5"/>
  <c r="BC180" i="5"/>
  <c r="I140" i="5"/>
  <c r="AK140" i="5"/>
  <c r="AZ140" i="5"/>
  <c r="AZ185" i="5"/>
  <c r="AR140" i="5"/>
  <c r="AR185" i="5"/>
  <c r="AJ140" i="5"/>
  <c r="AJ185" i="5"/>
  <c r="W36" i="5"/>
  <c r="W10" i="5"/>
  <c r="W100" i="5" s="1"/>
  <c r="J230" i="5"/>
  <c r="U38" i="5"/>
  <c r="U10" i="5"/>
  <c r="U6" i="5" s="1"/>
  <c r="U96" i="5" s="1"/>
  <c r="M230" i="5"/>
  <c r="F11" i="5"/>
  <c r="Y24" i="5"/>
  <c r="AA253" i="5"/>
  <c r="AA252" i="5"/>
  <c r="AA254" i="5"/>
  <c r="AB39" i="5"/>
  <c r="AA112" i="5"/>
  <c r="N140" i="5"/>
  <c r="T140" i="5"/>
  <c r="AA157" i="5"/>
  <c r="R140" i="5"/>
  <c r="AA188" i="5"/>
  <c r="AA143" i="5" s="1"/>
  <c r="P95" i="5"/>
  <c r="G95" i="5"/>
  <c r="AA102" i="5"/>
  <c r="K95" i="5"/>
  <c r="M95" i="5"/>
  <c r="O95" i="5"/>
  <c r="X95" i="5"/>
  <c r="Q95" i="5"/>
  <c r="S95" i="5"/>
  <c r="L95" i="5"/>
  <c r="J96" i="5"/>
  <c r="AT208" i="5"/>
  <c r="AX208" i="5"/>
  <c r="Q51" i="9"/>
  <c r="R208" i="9"/>
  <c r="T12" i="9"/>
  <c r="Q208" i="9"/>
  <c r="Q192" i="9" s="1"/>
  <c r="AA73" i="9"/>
  <c r="BC143" i="5"/>
  <c r="BC188" i="5"/>
  <c r="W261" i="5"/>
  <c r="R262" i="5"/>
  <c r="U128" i="5"/>
  <c r="Z38" i="5"/>
  <c r="Z128" i="5" s="1"/>
  <c r="R217" i="5"/>
  <c r="AT172" i="5" s="1"/>
  <c r="AT156" i="5"/>
  <c r="AT201" i="5"/>
  <c r="W126" i="5"/>
  <c r="Z36" i="5"/>
  <c r="AA36" i="5" s="1"/>
  <c r="AB36" i="5" s="1"/>
  <c r="R100" i="5"/>
  <c r="R127" i="5"/>
  <c r="R192" i="9"/>
  <c r="T102" i="9"/>
  <c r="R145" i="5"/>
  <c r="U23" i="20" s="1"/>
  <c r="AT145" i="5"/>
  <c r="Z126" i="5"/>
  <c r="AT147" i="9"/>
  <c r="I174" i="5"/>
  <c r="I173" i="5"/>
  <c r="I175" i="5"/>
  <c r="I171" i="5"/>
  <c r="I172" i="5"/>
  <c r="I219" i="5"/>
  <c r="I216" i="5"/>
  <c r="AK216" i="5" s="1"/>
  <c r="I217" i="5"/>
  <c r="AK172" i="5" s="1"/>
  <c r="Y201" i="5"/>
  <c r="Y156" i="5" s="1"/>
  <c r="AK156" i="5"/>
  <c r="AK201" i="5"/>
  <c r="AK171" i="5"/>
  <c r="BA201" i="5"/>
  <c r="Y219" i="5"/>
  <c r="Y174" i="5" s="1"/>
  <c r="AK219" i="5"/>
  <c r="AK145" i="5"/>
  <c r="I145" i="5"/>
  <c r="I186" i="5"/>
  <c r="S156" i="5"/>
  <c r="V6" i="20"/>
  <c r="S145" i="5"/>
  <c r="AU145" i="5"/>
  <c r="AU190" i="5"/>
  <c r="V38" i="20" s="1"/>
  <c r="Z205" i="5"/>
  <c r="Z160" i="5" s="1"/>
  <c r="S191" i="5"/>
  <c r="BB205" i="5"/>
  <c r="AA205" i="5"/>
  <c r="BC160" i="5" s="1"/>
  <c r="S192" i="5"/>
  <c r="S163" i="5"/>
  <c r="AU192" i="5"/>
  <c r="X140" i="5"/>
  <c r="X210" i="5"/>
  <c r="X193" i="5"/>
  <c r="AZ165" i="5"/>
  <c r="AZ210" i="5"/>
  <c r="X148" i="5"/>
  <c r="Z210" i="5"/>
  <c r="BB165" i="5"/>
  <c r="BB210" i="5"/>
  <c r="AZ193" i="5"/>
  <c r="Z165" i="5"/>
  <c r="K204" i="5"/>
  <c r="Y204" i="5" s="1"/>
  <c r="Y159" i="5" s="1"/>
  <c r="T70" i="5"/>
  <c r="T56" i="5" s="1"/>
  <c r="AV160" i="5"/>
  <c r="X70" i="5"/>
  <c r="AZ160" i="5" s="1"/>
  <c r="V66" i="5"/>
  <c r="V55" i="5" s="1"/>
  <c r="R172" i="10"/>
  <c r="AT201" i="10"/>
  <c r="R217" i="10"/>
  <c r="AT217" i="10" s="1"/>
  <c r="AT156" i="10"/>
  <c r="R145" i="10"/>
  <c r="U24" i="20"/>
  <c r="R186" i="10"/>
  <c r="AT145" i="10"/>
  <c r="AT172" i="10"/>
  <c r="Y25" i="10"/>
  <c r="Y160" i="10" s="1"/>
  <c r="K115" i="10"/>
  <c r="K11" i="10"/>
  <c r="K6" i="10" s="1"/>
  <c r="K96" i="10" s="1"/>
  <c r="T70" i="11"/>
  <c r="T56" i="11" s="1"/>
  <c r="V70" i="11"/>
  <c r="V56" i="11" s="1"/>
  <c r="X70" i="11"/>
  <c r="X56" i="11" s="1"/>
  <c r="AA223" i="19" l="1"/>
  <c r="Y180" i="19"/>
  <c r="AA225" i="19"/>
  <c r="BC225" i="19" s="1"/>
  <c r="BA178" i="19"/>
  <c r="BB180" i="19"/>
  <c r="Z175" i="19"/>
  <c r="Y178" i="19"/>
  <c r="BA180" i="19"/>
  <c r="AA90" i="19"/>
  <c r="AA84" i="19"/>
  <c r="Z132" i="19"/>
  <c r="BC175" i="16"/>
  <c r="AA224" i="16"/>
  <c r="BC224" i="16" s="1"/>
  <c r="BB177" i="16"/>
  <c r="BB216" i="16"/>
  <c r="BB224" i="16"/>
  <c r="BB176" i="16"/>
  <c r="BA179" i="16"/>
  <c r="Z171" i="16"/>
  <c r="Y179" i="16"/>
  <c r="Y131" i="16"/>
  <c r="BC175" i="14"/>
  <c r="BC220" i="14"/>
  <c r="BB171" i="14"/>
  <c r="BB178" i="14"/>
  <c r="BC224" i="14"/>
  <c r="Z179" i="14"/>
  <c r="Z175" i="14"/>
  <c r="AA223" i="14"/>
  <c r="Z177" i="14"/>
  <c r="BB179" i="14"/>
  <c r="BB177" i="14"/>
  <c r="BB175" i="14"/>
  <c r="BB224" i="14"/>
  <c r="AA84" i="14"/>
  <c r="Y129" i="14"/>
  <c r="Z126" i="14"/>
  <c r="Y131" i="14"/>
  <c r="AA85" i="14"/>
  <c r="AA37" i="14"/>
  <c r="AB37" i="14" s="1"/>
  <c r="BB175" i="19"/>
  <c r="Z178" i="19"/>
  <c r="Z176" i="19"/>
  <c r="AA89" i="19"/>
  <c r="Y131" i="19"/>
  <c r="Y128" i="19"/>
  <c r="AA86" i="19"/>
  <c r="AA131" i="19" s="1"/>
  <c r="AA38" i="16"/>
  <c r="AB38" i="16" s="1"/>
  <c r="AA45" i="16"/>
  <c r="AA135" i="16" s="1"/>
  <c r="AA40" i="16"/>
  <c r="BB171" i="19"/>
  <c r="Z171" i="19"/>
  <c r="Y179" i="19"/>
  <c r="Z126" i="19"/>
  <c r="AB41" i="19"/>
  <c r="AA176" i="21"/>
  <c r="BC223" i="21"/>
  <c r="BC178" i="21"/>
  <c r="AA178" i="21"/>
  <c r="BA223" i="21"/>
  <c r="BA224" i="21"/>
  <c r="BA218" i="21"/>
  <c r="BB177" i="21"/>
  <c r="Z177" i="21"/>
  <c r="AA175" i="21"/>
  <c r="Y178" i="21"/>
  <c r="Y131" i="21"/>
  <c r="AA41" i="21"/>
  <c r="AA131" i="21" s="1"/>
  <c r="BB202" i="16"/>
  <c r="AR217" i="16"/>
  <c r="AR172" i="16"/>
  <c r="P172" i="16"/>
  <c r="AR224" i="19"/>
  <c r="P145" i="19"/>
  <c r="AR145" i="19"/>
  <c r="AQ172" i="16"/>
  <c r="G176" i="16"/>
  <c r="Y10" i="16"/>
  <c r="Y112" i="16"/>
  <c r="G177" i="16"/>
  <c r="G6" i="16"/>
  <c r="G178" i="16"/>
  <c r="AA22" i="16"/>
  <c r="Y112" i="19"/>
  <c r="BA156" i="16"/>
  <c r="J146" i="14"/>
  <c r="J186" i="14"/>
  <c r="AL160" i="14"/>
  <c r="AL205" i="14"/>
  <c r="AL191" i="14"/>
  <c r="BC202" i="19"/>
  <c r="BC157" i="19"/>
  <c r="BA156" i="19"/>
  <c r="Y156" i="19"/>
  <c r="AA222" i="21"/>
  <c r="BC222" i="21" s="1"/>
  <c r="BA222" i="21"/>
  <c r="AA202" i="21"/>
  <c r="BC202" i="21" s="1"/>
  <c r="H186" i="21"/>
  <c r="X201" i="21"/>
  <c r="P128" i="19"/>
  <c r="AR202" i="19"/>
  <c r="AR217" i="19"/>
  <c r="Z83" i="19"/>
  <c r="AA83" i="19" s="1"/>
  <c r="AR179" i="19"/>
  <c r="X246" i="19"/>
  <c r="AZ201" i="19" s="1"/>
  <c r="Z21" i="16"/>
  <c r="AA21" i="16" s="1"/>
  <c r="AA111" i="16" s="1"/>
  <c r="X10" i="16"/>
  <c r="X100" i="16" s="1"/>
  <c r="AR145" i="16"/>
  <c r="P134" i="16"/>
  <c r="Z89" i="16"/>
  <c r="AA89" i="16" s="1"/>
  <c r="BC179" i="16" s="1"/>
  <c r="AA67" i="16"/>
  <c r="AA112" i="16" s="1"/>
  <c r="Z112" i="16"/>
  <c r="P129" i="16"/>
  <c r="AR174" i="16"/>
  <c r="J6" i="19"/>
  <c r="BA204" i="19"/>
  <c r="J235" i="19"/>
  <c r="H71" i="20" s="1"/>
  <c r="Y10" i="19"/>
  <c r="BA201" i="19"/>
  <c r="AL159" i="19"/>
  <c r="Y111" i="16"/>
  <c r="J172" i="16"/>
  <c r="J173" i="16"/>
  <c r="J235" i="16"/>
  <c r="H70" i="20" s="1"/>
  <c r="J174" i="16"/>
  <c r="AA66" i="19"/>
  <c r="Y111" i="19"/>
  <c r="U12" i="20"/>
  <c r="AT145" i="21"/>
  <c r="AV156" i="21"/>
  <c r="T190" i="21"/>
  <c r="AT201" i="21"/>
  <c r="R235" i="21"/>
  <c r="U72" i="20" s="1"/>
  <c r="X246" i="21"/>
  <c r="AZ156" i="21"/>
  <c r="X129" i="21"/>
  <c r="X190" i="21"/>
  <c r="AA12" i="20" s="1"/>
  <c r="AV173" i="19"/>
  <c r="AV201" i="19"/>
  <c r="Z38" i="19"/>
  <c r="R10" i="19"/>
  <c r="Z10" i="19" s="1"/>
  <c r="Z100" i="19" s="1"/>
  <c r="Z39" i="19"/>
  <c r="Z129" i="19" s="1"/>
  <c r="Z21" i="19"/>
  <c r="AA21" i="19" s="1"/>
  <c r="Q6" i="19"/>
  <c r="Q96" i="19" s="1"/>
  <c r="Q145" i="19"/>
  <c r="T28" i="20" s="1"/>
  <c r="AS156" i="19"/>
  <c r="AS145" i="19"/>
  <c r="AS201" i="19"/>
  <c r="X190" i="19"/>
  <c r="X186" i="19" s="1"/>
  <c r="X141" i="19" s="1"/>
  <c r="AZ156" i="19"/>
  <c r="BB202" i="19"/>
  <c r="AA134" i="19"/>
  <c r="Z37" i="19"/>
  <c r="Z127" i="19" s="1"/>
  <c r="BC202" i="16"/>
  <c r="AR219" i="16"/>
  <c r="P127" i="16"/>
  <c r="AR218" i="16"/>
  <c r="AR201" i="16"/>
  <c r="X201" i="16"/>
  <c r="P100" i="14"/>
  <c r="P129" i="14"/>
  <c r="P100" i="16"/>
  <c r="P6" i="16"/>
  <c r="P96" i="16" s="1"/>
  <c r="X174" i="14"/>
  <c r="AZ174" i="14"/>
  <c r="AZ219" i="14"/>
  <c r="AZ201" i="14"/>
  <c r="AZ156" i="14"/>
  <c r="X190" i="14"/>
  <c r="Z83" i="14"/>
  <c r="AA83" i="14" s="1"/>
  <c r="Z55" i="14"/>
  <c r="AR145" i="14"/>
  <c r="P127" i="14"/>
  <c r="N101" i="11"/>
  <c r="AP146" i="11"/>
  <c r="AP146" i="14"/>
  <c r="N101" i="14"/>
  <c r="AJ111" i="20"/>
  <c r="O138" i="20"/>
  <c r="AA11" i="19"/>
  <c r="AM204" i="16"/>
  <c r="AM146" i="16"/>
  <c r="K146" i="16"/>
  <c r="Z125" i="20"/>
  <c r="Q122" i="20"/>
  <c r="AI109" i="20"/>
  <c r="Z132" i="21"/>
  <c r="AI110" i="20"/>
  <c r="N137" i="20"/>
  <c r="AI106" i="20"/>
  <c r="N133" i="20"/>
  <c r="AH105" i="20"/>
  <c r="M132" i="20"/>
  <c r="AH109" i="20"/>
  <c r="M136" i="20"/>
  <c r="AJ105" i="20"/>
  <c r="O132" i="20"/>
  <c r="AI105" i="20"/>
  <c r="N132" i="20"/>
  <c r="AH110" i="20"/>
  <c r="M137" i="20"/>
  <c r="AJ108" i="20"/>
  <c r="O135" i="20"/>
  <c r="AI107" i="20"/>
  <c r="N134" i="20"/>
  <c r="AH106" i="20"/>
  <c r="M133" i="20"/>
  <c r="AI108" i="20"/>
  <c r="N135" i="20"/>
  <c r="AJ110" i="20"/>
  <c r="O137" i="20"/>
  <c r="AH108" i="20"/>
  <c r="M135" i="20"/>
  <c r="AH107" i="20"/>
  <c r="M134" i="20"/>
  <c r="AJ107" i="20"/>
  <c r="O134" i="20"/>
  <c r="AJ109" i="20"/>
  <c r="O136" i="20"/>
  <c r="AJ106" i="20"/>
  <c r="O133" i="20"/>
  <c r="BB202" i="21"/>
  <c r="AQ172" i="21"/>
  <c r="P235" i="21"/>
  <c r="P231" i="21" s="1"/>
  <c r="O129" i="21"/>
  <c r="N100" i="21"/>
  <c r="O235" i="21"/>
  <c r="R72" i="20" s="1"/>
  <c r="P134" i="21"/>
  <c r="Z134" i="21"/>
  <c r="N145" i="21"/>
  <c r="Q29" i="20" s="1"/>
  <c r="AA23" i="21"/>
  <c r="AA113" i="21" s="1"/>
  <c r="AA68" i="21"/>
  <c r="AR179" i="21"/>
  <c r="AR224" i="21"/>
  <c r="Z219" i="21"/>
  <c r="AP172" i="21"/>
  <c r="AQ217" i="21"/>
  <c r="AR174" i="21"/>
  <c r="P51" i="19"/>
  <c r="AA22" i="19"/>
  <c r="AA112" i="19" s="1"/>
  <c r="Z112" i="19"/>
  <c r="Z134" i="19"/>
  <c r="Z101" i="19"/>
  <c r="Z159" i="19"/>
  <c r="N6" i="19"/>
  <c r="R28" i="20"/>
  <c r="K127" i="21"/>
  <c r="BA217" i="21"/>
  <c r="AA83" i="21"/>
  <c r="BA201" i="21"/>
  <c r="J235" i="21"/>
  <c r="H72" i="20" s="1"/>
  <c r="I231" i="21"/>
  <c r="AK186" i="21" s="1"/>
  <c r="G72" i="20"/>
  <c r="BB179" i="19"/>
  <c r="Z179" i="19"/>
  <c r="AA224" i="19"/>
  <c r="BC224" i="19" s="1"/>
  <c r="BB224" i="19"/>
  <c r="S28" i="20"/>
  <c r="S11" i="20"/>
  <c r="BB146" i="19"/>
  <c r="Z146" i="19"/>
  <c r="N146" i="19"/>
  <c r="AP146" i="19"/>
  <c r="N186" i="19"/>
  <c r="N141" i="19" s="1"/>
  <c r="Q11" i="20"/>
  <c r="Q28" i="20"/>
  <c r="O51" i="21"/>
  <c r="AQ219" i="21"/>
  <c r="N6" i="21"/>
  <c r="N96" i="21" s="1"/>
  <c r="N235" i="21"/>
  <c r="T192" i="21"/>
  <c r="T147" i="21" s="1"/>
  <c r="AV163" i="21"/>
  <c r="T12" i="21"/>
  <c r="T102" i="21" s="1"/>
  <c r="Q51" i="21"/>
  <c r="L102" i="21"/>
  <c r="Q55" i="20"/>
  <c r="Q80" i="20" s="1"/>
  <c r="Y144" i="5"/>
  <c r="BA144" i="5"/>
  <c r="AA189" i="5"/>
  <c r="BC144" i="5" s="1"/>
  <c r="AV160" i="11"/>
  <c r="X56" i="5"/>
  <c r="AU147" i="5"/>
  <c r="AT217" i="5"/>
  <c r="AA180" i="5"/>
  <c r="AA130" i="5"/>
  <c r="S140" i="5"/>
  <c r="BC198" i="5"/>
  <c r="AA108" i="5"/>
  <c r="Z189" i="5"/>
  <c r="W144" i="5"/>
  <c r="O236" i="5"/>
  <c r="G230" i="5"/>
  <c r="K101" i="5"/>
  <c r="T234" i="5"/>
  <c r="Y104" i="5"/>
  <c r="Y166" i="5"/>
  <c r="K191" i="5"/>
  <c r="Y191" i="5" s="1"/>
  <c r="BC211" i="5"/>
  <c r="T192" i="5"/>
  <c r="Z185" i="5"/>
  <c r="AA104" i="5"/>
  <c r="V233" i="5"/>
  <c r="X236" i="5"/>
  <c r="AZ191" i="5" s="1"/>
  <c r="R148" i="5"/>
  <c r="Z11" i="5"/>
  <c r="AT208" i="9"/>
  <c r="T95" i="5"/>
  <c r="BC166" i="5"/>
  <c r="H6" i="5"/>
  <c r="AA53" i="5"/>
  <c r="Z13" i="5"/>
  <c r="Z103" i="5" s="1"/>
  <c r="Y7" i="5"/>
  <c r="BB214" i="5"/>
  <c r="U233" i="5"/>
  <c r="U230" i="5" s="1"/>
  <c r="G186" i="5"/>
  <c r="Y122" i="5"/>
  <c r="P103" i="5"/>
  <c r="H143" i="5"/>
  <c r="AZ163" i="5"/>
  <c r="X192" i="5"/>
  <c r="AZ147" i="5" s="1"/>
  <c r="M207" i="5"/>
  <c r="AA118" i="5"/>
  <c r="Z70" i="11"/>
  <c r="AM204" i="5"/>
  <c r="Z193" i="5"/>
  <c r="BA219" i="5"/>
  <c r="AK174" i="5"/>
  <c r="R6" i="5"/>
  <c r="R96" i="5" s="1"/>
  <c r="W6" i="5"/>
  <c r="W96" i="5" s="1"/>
  <c r="AT147" i="5"/>
  <c r="V6" i="5"/>
  <c r="R253" i="9"/>
  <c r="BC195" i="5"/>
  <c r="V230" i="5"/>
  <c r="K6" i="5"/>
  <c r="K96" i="5" s="1"/>
  <c r="L185" i="5"/>
  <c r="BB169" i="5"/>
  <c r="Q103" i="5"/>
  <c r="N99" i="5"/>
  <c r="O98" i="5"/>
  <c r="Y8" i="5"/>
  <c r="AL204" i="5"/>
  <c r="AH144" i="5"/>
  <c r="Y115" i="10"/>
  <c r="AM159" i="5"/>
  <c r="S147" i="5"/>
  <c r="S146" i="5"/>
  <c r="AZ160" i="11"/>
  <c r="Z66" i="5"/>
  <c r="Z111" i="5" s="1"/>
  <c r="AA210" i="5"/>
  <c r="R186" i="5"/>
  <c r="F6" i="5"/>
  <c r="BC199" i="5"/>
  <c r="R201" i="9"/>
  <c r="S6" i="5"/>
  <c r="S96" i="5" s="1"/>
  <c r="Y12" i="5"/>
  <c r="Y102" i="5" s="1"/>
  <c r="AA214" i="5"/>
  <c r="L142" i="5"/>
  <c r="L50" i="5"/>
  <c r="AY189" i="5"/>
  <c r="G236" i="5"/>
  <c r="N230" i="5"/>
  <c r="AI191" i="5"/>
  <c r="AN187" i="5"/>
  <c r="F185" i="5"/>
  <c r="X147" i="5"/>
  <c r="U50" i="5"/>
  <c r="AX144" i="5"/>
  <c r="Y158" i="5"/>
  <c r="Z153" i="5"/>
  <c r="AA117" i="5"/>
  <c r="AX156" i="5"/>
  <c r="U100" i="5"/>
  <c r="Z118" i="5"/>
  <c r="AA187" i="5"/>
  <c r="AA142" i="5" s="1"/>
  <c r="AY185" i="5"/>
  <c r="BC154" i="5"/>
  <c r="AA131" i="5"/>
  <c r="R10" i="9"/>
  <c r="AA89" i="5"/>
  <c r="AN142" i="5"/>
  <c r="AH189" i="5"/>
  <c r="Y105" i="5"/>
  <c r="AL142" i="5"/>
  <c r="AI177" i="5"/>
  <c r="G132" i="5"/>
  <c r="AX160" i="11"/>
  <c r="AK141" i="5"/>
  <c r="L230" i="5"/>
  <c r="BC225" i="5"/>
  <c r="X230" i="5"/>
  <c r="Z12" i="5"/>
  <c r="Z102" i="5" s="1"/>
  <c r="R37" i="9"/>
  <c r="H5" i="5"/>
  <c r="H95" i="5" s="1"/>
  <c r="AI141" i="5"/>
  <c r="AY144" i="5"/>
  <c r="R232" i="5"/>
  <c r="AT193" i="5"/>
  <c r="W232" i="5"/>
  <c r="Z234" i="5"/>
  <c r="AA234" i="5" s="1"/>
  <c r="Y113" i="5"/>
  <c r="Z133" i="5"/>
  <c r="Y167" i="5"/>
  <c r="Y222" i="5"/>
  <c r="Y177" i="5" s="1"/>
  <c r="M102" i="5"/>
  <c r="AZ193" i="10"/>
  <c r="Z238" i="10"/>
  <c r="J102" i="5"/>
  <c r="L51" i="5"/>
  <c r="AJ157" i="5"/>
  <c r="U102" i="5"/>
  <c r="BA202" i="5"/>
  <c r="AA19" i="5"/>
  <c r="AA109" i="5" s="1"/>
  <c r="J100" i="5"/>
  <c r="Y112" i="5"/>
  <c r="Z165" i="9"/>
  <c r="AM173" i="9"/>
  <c r="AA157" i="9"/>
  <c r="Z53" i="9"/>
  <c r="O99" i="9"/>
  <c r="U98" i="9"/>
  <c r="S5" i="9"/>
  <c r="G50" i="9"/>
  <c r="AQ172" i="9"/>
  <c r="M143" i="9"/>
  <c r="AN146" i="9"/>
  <c r="K147" i="9"/>
  <c r="Y129" i="10"/>
  <c r="Q5" i="10"/>
  <c r="Q95" i="10" s="1"/>
  <c r="G97" i="10"/>
  <c r="U97" i="10"/>
  <c r="N5" i="10"/>
  <c r="N95" i="10" s="1"/>
  <c r="U100" i="10"/>
  <c r="AI142" i="10"/>
  <c r="AI187" i="10"/>
  <c r="H176" i="9"/>
  <c r="AA176" i="9"/>
  <c r="AA152" i="9"/>
  <c r="Y81" i="9"/>
  <c r="AA81" i="9" s="1"/>
  <c r="S56" i="9"/>
  <c r="S51" i="9" s="1"/>
  <c r="V5" i="9"/>
  <c r="V95" i="9" s="1"/>
  <c r="AA33" i="9"/>
  <c r="AA123" i="9" s="1"/>
  <c r="AH188" i="9"/>
  <c r="AO188" i="9"/>
  <c r="T232" i="9"/>
  <c r="P235" i="9"/>
  <c r="F236" i="9"/>
  <c r="W236" i="9"/>
  <c r="I236" i="9"/>
  <c r="R6" i="10"/>
  <c r="R141" i="10" s="1"/>
  <c r="W96" i="10"/>
  <c r="AK172" i="10"/>
  <c r="AU187" i="10"/>
  <c r="R144" i="10"/>
  <c r="AT189" i="10"/>
  <c r="O51" i="9"/>
  <c r="S232" i="9"/>
  <c r="M232" i="9"/>
  <c r="I233" i="9"/>
  <c r="I230" i="9" s="1"/>
  <c r="AT147" i="10"/>
  <c r="BC150" i="10"/>
  <c r="G5" i="10"/>
  <c r="G95" i="10" s="1"/>
  <c r="S6" i="10"/>
  <c r="S96" i="10" s="1"/>
  <c r="Y36" i="10"/>
  <c r="AA36" i="10" s="1"/>
  <c r="AB36" i="10" s="1"/>
  <c r="Y135" i="10"/>
  <c r="O51" i="10"/>
  <c r="X51" i="10"/>
  <c r="Z57" i="10"/>
  <c r="W102" i="10"/>
  <c r="AA63" i="10"/>
  <c r="AA71" i="10"/>
  <c r="AA75" i="10"/>
  <c r="AA79" i="10"/>
  <c r="AL172" i="10"/>
  <c r="AK140" i="10"/>
  <c r="AK185" i="10"/>
  <c r="Y157" i="9"/>
  <c r="AO140" i="9"/>
  <c r="G51" i="9"/>
  <c r="Y83" i="9"/>
  <c r="O5" i="9"/>
  <c r="I50" i="9"/>
  <c r="M50" i="9"/>
  <c r="U50" i="9"/>
  <c r="V51" i="9"/>
  <c r="AK172" i="9"/>
  <c r="AA89" i="9"/>
  <c r="BB158" i="9"/>
  <c r="L185" i="9"/>
  <c r="Z11" i="10"/>
  <c r="Z37" i="10"/>
  <c r="Z53" i="10"/>
  <c r="K50" i="10"/>
  <c r="Y50" i="10" s="1"/>
  <c r="J100" i="10"/>
  <c r="AZ147" i="10"/>
  <c r="BB165" i="10"/>
  <c r="N185" i="10"/>
  <c r="AL172" i="5"/>
  <c r="AA30" i="9"/>
  <c r="AA120" i="9" s="1"/>
  <c r="F185" i="9"/>
  <c r="J148" i="9"/>
  <c r="BB155" i="9"/>
  <c r="Q230" i="9"/>
  <c r="Z193" i="10"/>
  <c r="BB193" i="10" s="1"/>
  <c r="J101" i="10"/>
  <c r="O5" i="10"/>
  <c r="O95" i="10" s="1"/>
  <c r="W97" i="10"/>
  <c r="Z126" i="10"/>
  <c r="Y133" i="10"/>
  <c r="T50" i="10"/>
  <c r="Q51" i="10"/>
  <c r="Z114" i="10"/>
  <c r="U185" i="10"/>
  <c r="AW187" i="10"/>
  <c r="AP189" i="10"/>
  <c r="AC302" i="5"/>
  <c r="F231" i="9"/>
  <c r="AH186" i="9" s="1"/>
  <c r="M126" i="9"/>
  <c r="S101" i="9"/>
  <c r="AA71" i="9"/>
  <c r="F143" i="9"/>
  <c r="AA196" i="9"/>
  <c r="U230" i="9"/>
  <c r="P232" i="9"/>
  <c r="Y238" i="9"/>
  <c r="BA218" i="9"/>
  <c r="Z114" i="9"/>
  <c r="AA210" i="10"/>
  <c r="BC165" i="10" s="1"/>
  <c r="AL217" i="10"/>
  <c r="Z7" i="10"/>
  <c r="Z97" i="10" s="1"/>
  <c r="G50" i="10"/>
  <c r="Z54" i="10"/>
  <c r="T128" i="10"/>
  <c r="AX187" i="10"/>
  <c r="V185" i="10"/>
  <c r="S6" i="9"/>
  <c r="L50" i="9"/>
  <c r="Z84" i="9"/>
  <c r="AA84" i="9" s="1"/>
  <c r="M233" i="9"/>
  <c r="U233" i="9"/>
  <c r="N50" i="10"/>
  <c r="AL147" i="10"/>
  <c r="R102" i="10"/>
  <c r="Z58" i="10"/>
  <c r="AA64" i="10"/>
  <c r="Z82" i="10"/>
  <c r="AI186" i="10"/>
  <c r="AY142" i="10"/>
  <c r="AY187" i="10"/>
  <c r="V144" i="10"/>
  <c r="AX189" i="10"/>
  <c r="K69" i="11"/>
  <c r="Y69" i="11"/>
  <c r="Y114" i="11" s="1"/>
  <c r="AL159" i="11"/>
  <c r="J56" i="11"/>
  <c r="AB303" i="5"/>
  <c r="Q50" i="9"/>
  <c r="W51" i="9"/>
  <c r="AA76" i="9"/>
  <c r="AA80" i="9"/>
  <c r="O129" i="9"/>
  <c r="K230" i="9"/>
  <c r="Z118" i="10"/>
  <c r="AA21" i="10"/>
  <c r="AA41" i="10"/>
  <c r="O50" i="10"/>
  <c r="W50" i="10"/>
  <c r="Y53" i="10"/>
  <c r="AA53" i="10" s="1"/>
  <c r="R50" i="10"/>
  <c r="Y54" i="10"/>
  <c r="T51" i="10"/>
  <c r="T96" i="10" s="1"/>
  <c r="U51" i="10"/>
  <c r="T101" i="10"/>
  <c r="AA73" i="10"/>
  <c r="N146" i="10"/>
  <c r="Y128" i="11"/>
  <c r="AA83" i="11"/>
  <c r="AA128" i="11" s="1"/>
  <c r="AI192" i="10"/>
  <c r="BB198" i="10"/>
  <c r="BA215" i="10"/>
  <c r="F230" i="10"/>
  <c r="H230" i="10"/>
  <c r="P230" i="10"/>
  <c r="F233" i="10"/>
  <c r="N233" i="10"/>
  <c r="V233" i="10"/>
  <c r="V230" i="10" s="1"/>
  <c r="G231" i="10"/>
  <c r="V236" i="10"/>
  <c r="AT186" i="11"/>
  <c r="Z127" i="11"/>
  <c r="F6" i="11"/>
  <c r="AA84" i="11"/>
  <c r="AA129" i="11" s="1"/>
  <c r="R233" i="11"/>
  <c r="AT147" i="14"/>
  <c r="R147" i="14"/>
  <c r="V140" i="14"/>
  <c r="AX185" i="14"/>
  <c r="N97" i="14"/>
  <c r="Z7" i="14"/>
  <c r="Z97" i="14" s="1"/>
  <c r="N5" i="14"/>
  <c r="N95" i="14" s="1"/>
  <c r="I101" i="14"/>
  <c r="I6" i="14"/>
  <c r="I96" i="14" s="1"/>
  <c r="AA31" i="14"/>
  <c r="AA121" i="14" s="1"/>
  <c r="Y121" i="14"/>
  <c r="W230" i="10"/>
  <c r="I230" i="10"/>
  <c r="Q230" i="10"/>
  <c r="G233" i="10"/>
  <c r="O233" i="10"/>
  <c r="O230" i="10" s="1"/>
  <c r="W233" i="10"/>
  <c r="N96" i="11"/>
  <c r="K50" i="11"/>
  <c r="I236" i="11"/>
  <c r="AY147" i="14"/>
  <c r="W186" i="14"/>
  <c r="AY141" i="14" s="1"/>
  <c r="AA21" i="14"/>
  <c r="AA111" i="14" s="1"/>
  <c r="Y156" i="14"/>
  <c r="Y111" i="14"/>
  <c r="L101" i="14"/>
  <c r="L6" i="14"/>
  <c r="Y12" i="14"/>
  <c r="G102" i="14"/>
  <c r="AT191" i="10"/>
  <c r="AQ193" i="10"/>
  <c r="AU193" i="10"/>
  <c r="AY193" i="10"/>
  <c r="H87" i="10"/>
  <c r="AA111" i="11"/>
  <c r="F5" i="11"/>
  <c r="F95" i="11" s="1"/>
  <c r="X50" i="11"/>
  <c r="M50" i="11"/>
  <c r="AB51" i="11" s="1"/>
  <c r="W185" i="11"/>
  <c r="BB159" i="11"/>
  <c r="I230" i="11"/>
  <c r="N230" i="11"/>
  <c r="AX191" i="11"/>
  <c r="O236" i="11"/>
  <c r="AM191" i="14"/>
  <c r="K186" i="14"/>
  <c r="Y191" i="14"/>
  <c r="AA22" i="14"/>
  <c r="Z112" i="14"/>
  <c r="X238" i="14"/>
  <c r="AZ210" i="14"/>
  <c r="AQ172" i="14"/>
  <c r="Z82" i="14"/>
  <c r="F5" i="14"/>
  <c r="F95" i="14" s="1"/>
  <c r="F98" i="14"/>
  <c r="N96" i="14"/>
  <c r="AA72" i="14"/>
  <c r="BA162" i="14"/>
  <c r="BB220" i="10"/>
  <c r="K231" i="10"/>
  <c r="J236" i="10"/>
  <c r="AT217" i="11"/>
  <c r="AO217" i="11"/>
  <c r="Z208" i="11"/>
  <c r="J147" i="11"/>
  <c r="Z84" i="11"/>
  <c r="Z129" i="11" s="1"/>
  <c r="Y12" i="11"/>
  <c r="Y147" i="11" s="1"/>
  <c r="U232" i="11"/>
  <c r="U230" i="11" s="1"/>
  <c r="AM160" i="14"/>
  <c r="Y205" i="14"/>
  <c r="AM205" i="14"/>
  <c r="AM174" i="14"/>
  <c r="AM219" i="14"/>
  <c r="Y38" i="14"/>
  <c r="K128" i="14"/>
  <c r="K115" i="14"/>
  <c r="Y70" i="14"/>
  <c r="N172" i="10"/>
  <c r="J230" i="10"/>
  <c r="T230" i="10"/>
  <c r="J233" i="10"/>
  <c r="R233" i="10"/>
  <c r="R230" i="10" s="1"/>
  <c r="AZ219" i="11"/>
  <c r="AP186" i="11"/>
  <c r="I5" i="11"/>
  <c r="I95" i="11" s="1"/>
  <c r="O232" i="11"/>
  <c r="O233" i="11"/>
  <c r="BA218" i="14"/>
  <c r="BA173" i="14"/>
  <c r="BC195" i="14"/>
  <c r="BC150" i="14"/>
  <c r="AA150" i="14"/>
  <c r="U173" i="14"/>
  <c r="AW218" i="14"/>
  <c r="W100" i="14"/>
  <c r="W6" i="14"/>
  <c r="W96" i="14" s="1"/>
  <c r="AO171" i="14"/>
  <c r="M171" i="14"/>
  <c r="S100" i="14"/>
  <c r="S6" i="14"/>
  <c r="I100" i="14"/>
  <c r="I51" i="14"/>
  <c r="Y55" i="14"/>
  <c r="S101" i="14"/>
  <c r="AU146" i="14"/>
  <c r="AV160" i="10"/>
  <c r="Y234" i="10"/>
  <c r="AA234" i="10" s="1"/>
  <c r="S230" i="10"/>
  <c r="K233" i="10"/>
  <c r="K230" i="10" s="1"/>
  <c r="Y230" i="10" s="1"/>
  <c r="S233" i="10"/>
  <c r="Y52" i="11"/>
  <c r="Y53" i="11"/>
  <c r="AA53" i="11" s="1"/>
  <c r="J127" i="11"/>
  <c r="Z234" i="11"/>
  <c r="V230" i="11"/>
  <c r="M233" i="11"/>
  <c r="M230" i="11" s="1"/>
  <c r="N231" i="11"/>
  <c r="Z127" i="14"/>
  <c r="Y159" i="14"/>
  <c r="AI140" i="14"/>
  <c r="G140" i="14"/>
  <c r="BC225" i="14"/>
  <c r="BC180" i="14"/>
  <c r="G100" i="14"/>
  <c r="G6" i="14"/>
  <c r="G96" i="14" s="1"/>
  <c r="Q100" i="14"/>
  <c r="Q6" i="14"/>
  <c r="BB225" i="10"/>
  <c r="Y100" i="11"/>
  <c r="G50" i="11"/>
  <c r="Y54" i="11"/>
  <c r="Q50" i="11"/>
  <c r="AA86" i="11"/>
  <c r="S141" i="11"/>
  <c r="T230" i="11"/>
  <c r="P233" i="11"/>
  <c r="X233" i="11"/>
  <c r="X230" i="11" s="1"/>
  <c r="AP185" i="14"/>
  <c r="AP140" i="14"/>
  <c r="Q230" i="14"/>
  <c r="T5" i="14"/>
  <c r="T95" i="14" s="1"/>
  <c r="T97" i="14"/>
  <c r="Z8" i="14"/>
  <c r="Z98" i="14" s="1"/>
  <c r="O98" i="14"/>
  <c r="P101" i="14"/>
  <c r="Z11" i="14"/>
  <c r="O102" i="14"/>
  <c r="O6" i="14"/>
  <c r="O96" i="14" s="1"/>
  <c r="J56" i="14"/>
  <c r="K69" i="14"/>
  <c r="AL159" i="14"/>
  <c r="AJ140" i="14"/>
  <c r="AJ185" i="14"/>
  <c r="H140" i="14"/>
  <c r="AR191" i="10"/>
  <c r="AZ205" i="10"/>
  <c r="BA206" i="10"/>
  <c r="BA208" i="10"/>
  <c r="BB209" i="10"/>
  <c r="BA211" i="10"/>
  <c r="X6" i="11"/>
  <c r="O50" i="11"/>
  <c r="AA78" i="11"/>
  <c r="Q232" i="11"/>
  <c r="Q230" i="11" s="1"/>
  <c r="S232" i="11"/>
  <c r="S230" i="11" s="1"/>
  <c r="Z108" i="14"/>
  <c r="AA18" i="14"/>
  <c r="AA108" i="14" s="1"/>
  <c r="P6" i="14"/>
  <c r="P141" i="14" s="1"/>
  <c r="AA234" i="14"/>
  <c r="U51" i="14"/>
  <c r="U96" i="14" s="1"/>
  <c r="T96" i="14"/>
  <c r="F11" i="14"/>
  <c r="F101" i="14" s="1"/>
  <c r="Z52" i="14"/>
  <c r="W50" i="14"/>
  <c r="AI145" i="14"/>
  <c r="AA78" i="14"/>
  <c r="AA90" i="14"/>
  <c r="AV187" i="14"/>
  <c r="M129" i="14"/>
  <c r="F69" i="14"/>
  <c r="Y124" i="14"/>
  <c r="X50" i="14"/>
  <c r="Z56" i="14"/>
  <c r="BB146" i="14" s="1"/>
  <c r="AA61" i="14"/>
  <c r="AV160" i="14"/>
  <c r="Z54" i="14"/>
  <c r="Z163" i="16"/>
  <c r="AA208" i="16"/>
  <c r="BB208" i="16"/>
  <c r="AI82" i="16"/>
  <c r="AJ82" i="16"/>
  <c r="Z148" i="14"/>
  <c r="N146" i="14"/>
  <c r="N186" i="14"/>
  <c r="V101" i="14"/>
  <c r="W230" i="14"/>
  <c r="K97" i="14"/>
  <c r="S50" i="14"/>
  <c r="V50" i="14"/>
  <c r="AV142" i="14"/>
  <c r="AZ147" i="16"/>
  <c r="X147" i="16"/>
  <c r="J50" i="14"/>
  <c r="Z57" i="14"/>
  <c r="Y58" i="14"/>
  <c r="Y54" i="14"/>
  <c r="T143" i="14"/>
  <c r="AV143" i="14"/>
  <c r="AM148" i="14"/>
  <c r="H96" i="14"/>
  <c r="T100" i="14"/>
  <c r="F6" i="14"/>
  <c r="Y105" i="14"/>
  <c r="H50" i="14"/>
  <c r="P50" i="14"/>
  <c r="AA60" i="14"/>
  <c r="T142" i="14"/>
  <c r="AA170" i="14"/>
  <c r="BC215" i="14"/>
  <c r="Z238" i="19"/>
  <c r="AZ193" i="19"/>
  <c r="N232" i="14"/>
  <c r="P233" i="14"/>
  <c r="P230" i="14" s="1"/>
  <c r="M173" i="16"/>
  <c r="AZ147" i="19"/>
  <c r="F172" i="16"/>
  <c r="AZ208" i="16"/>
  <c r="AW208" i="19"/>
  <c r="Y148" i="19"/>
  <c r="O6" i="16"/>
  <c r="X238" i="16"/>
  <c r="Z238" i="16" s="1"/>
  <c r="AA41" i="16"/>
  <c r="F55" i="16"/>
  <c r="AH157" i="16"/>
  <c r="AV160" i="16"/>
  <c r="T56" i="16"/>
  <c r="AR187" i="16"/>
  <c r="P185" i="16"/>
  <c r="P142" i="16"/>
  <c r="BA206" i="14"/>
  <c r="BA215" i="14"/>
  <c r="J233" i="14"/>
  <c r="O236" i="14"/>
  <c r="O231" i="14" s="1"/>
  <c r="AQ186" i="14" s="1"/>
  <c r="Z13" i="16"/>
  <c r="AU187" i="16"/>
  <c r="S185" i="16"/>
  <c r="J230" i="14"/>
  <c r="H103" i="16"/>
  <c r="H6" i="16"/>
  <c r="H96" i="16" s="1"/>
  <c r="AW142" i="16"/>
  <c r="U185" i="16"/>
  <c r="U142" i="16"/>
  <c r="J98" i="19"/>
  <c r="Y8" i="19"/>
  <c r="M99" i="19"/>
  <c r="M5" i="19"/>
  <c r="M95" i="19" s="1"/>
  <c r="AX145" i="19"/>
  <c r="V51" i="19"/>
  <c r="AX141" i="19" s="1"/>
  <c r="BB224" i="21"/>
  <c r="Z179" i="21"/>
  <c r="AA224" i="21"/>
  <c r="BC224" i="21" s="1"/>
  <c r="AZ191" i="14"/>
  <c r="AJ148" i="14"/>
  <c r="AN148" i="14"/>
  <c r="BA149" i="14"/>
  <c r="K233" i="14"/>
  <c r="K230" i="14" s="1"/>
  <c r="R233" i="14"/>
  <c r="R230" i="14" s="1"/>
  <c r="AA157" i="16"/>
  <c r="AA44" i="16"/>
  <c r="AB44" i="16" s="1"/>
  <c r="Z165" i="19"/>
  <c r="F126" i="14"/>
  <c r="F175" i="16"/>
  <c r="I96" i="16"/>
  <c r="Y50" i="19"/>
  <c r="K191" i="19"/>
  <c r="AM191" i="19" s="1"/>
  <c r="AO187" i="16"/>
  <c r="M185" i="16"/>
  <c r="M142" i="16"/>
  <c r="AO142" i="16"/>
  <c r="L232" i="14"/>
  <c r="BB165" i="19"/>
  <c r="AX140" i="16"/>
  <c r="AA23" i="16"/>
  <c r="AA113" i="16" s="1"/>
  <c r="Z13" i="19"/>
  <c r="X103" i="19"/>
  <c r="Z57" i="16"/>
  <c r="AX193" i="19"/>
  <c r="AX148" i="19"/>
  <c r="V148" i="19"/>
  <c r="Y150" i="19"/>
  <c r="BA150" i="19"/>
  <c r="BA208" i="19"/>
  <c r="BA163" i="19"/>
  <c r="AA210" i="19"/>
  <c r="Y159" i="19"/>
  <c r="X146" i="19"/>
  <c r="AZ191" i="19"/>
  <c r="Y122" i="16"/>
  <c r="AA32" i="16"/>
  <c r="AA122" i="16" s="1"/>
  <c r="AP193" i="16"/>
  <c r="N148" i="16"/>
  <c r="BA214" i="16"/>
  <c r="BA169" i="16"/>
  <c r="Y169" i="16"/>
  <c r="H233" i="14"/>
  <c r="AZ148" i="16"/>
  <c r="AA204" i="19"/>
  <c r="BC157" i="16"/>
  <c r="AZ163" i="16"/>
  <c r="AW187" i="16"/>
  <c r="AN143" i="16"/>
  <c r="L143" i="16"/>
  <c r="AN188" i="16"/>
  <c r="L185" i="16"/>
  <c r="AQ189" i="16"/>
  <c r="AQ144" i="16"/>
  <c r="W144" i="16"/>
  <c r="AY189" i="16"/>
  <c r="AY144" i="16"/>
  <c r="AP146" i="16"/>
  <c r="N186" i="16"/>
  <c r="X146" i="16"/>
  <c r="AJ82" i="19"/>
  <c r="AI82" i="19"/>
  <c r="F146" i="19"/>
  <c r="AH146" i="19"/>
  <c r="S232" i="14"/>
  <c r="X233" i="14"/>
  <c r="X230" i="14" s="1"/>
  <c r="S96" i="16"/>
  <c r="Y102" i="19"/>
  <c r="AU191" i="16"/>
  <c r="F5" i="16"/>
  <c r="F95" i="16" s="1"/>
  <c r="F6" i="16"/>
  <c r="Z30" i="16"/>
  <c r="AL188" i="16"/>
  <c r="AR188" i="16"/>
  <c r="P143" i="16"/>
  <c r="AR143" i="16"/>
  <c r="AR189" i="16"/>
  <c r="AR144" i="16"/>
  <c r="AA63" i="19"/>
  <c r="AA108" i="19" s="1"/>
  <c r="Z108" i="19"/>
  <c r="Y13" i="16"/>
  <c r="Y103" i="16" s="1"/>
  <c r="Y54" i="16"/>
  <c r="Z54" i="16"/>
  <c r="N51" i="16"/>
  <c r="N96" i="16" s="1"/>
  <c r="G147" i="16"/>
  <c r="BA150" i="16"/>
  <c r="Y166" i="16"/>
  <c r="AV191" i="16"/>
  <c r="U236" i="16"/>
  <c r="AL187" i="19"/>
  <c r="AL142" i="19"/>
  <c r="AT187" i="19"/>
  <c r="AT142" i="19"/>
  <c r="R142" i="19"/>
  <c r="AJ187" i="19"/>
  <c r="AJ142" i="19"/>
  <c r="AT188" i="19"/>
  <c r="R143" i="19"/>
  <c r="AQ188" i="19"/>
  <c r="O143" i="19"/>
  <c r="AQ143" i="19"/>
  <c r="L185" i="19"/>
  <c r="AN144" i="19"/>
  <c r="L144" i="19"/>
  <c r="AO148" i="19"/>
  <c r="M148" i="19"/>
  <c r="T233" i="19"/>
  <c r="W186" i="21"/>
  <c r="AY147" i="21"/>
  <c r="V50" i="16"/>
  <c r="J50" i="16"/>
  <c r="AA59" i="16"/>
  <c r="Y115" i="16"/>
  <c r="AA78" i="16"/>
  <c r="AA86" i="16"/>
  <c r="G143" i="16"/>
  <c r="BA153" i="16"/>
  <c r="Q185" i="16"/>
  <c r="T232" i="16"/>
  <c r="R233" i="16"/>
  <c r="R230" i="16" s="1"/>
  <c r="X236" i="16"/>
  <c r="AZ191" i="16" s="1"/>
  <c r="Y238" i="16"/>
  <c r="AA238" i="16" s="1"/>
  <c r="AA59" i="19"/>
  <c r="BB149" i="19"/>
  <c r="K185" i="19"/>
  <c r="K142" i="19"/>
  <c r="AQ191" i="19"/>
  <c r="O146" i="19"/>
  <c r="AY191" i="19"/>
  <c r="AY146" i="19"/>
  <c r="W146" i="19"/>
  <c r="AJ193" i="19"/>
  <c r="H148" i="19"/>
  <c r="BB151" i="19"/>
  <c r="BB196" i="19"/>
  <c r="AL185" i="19"/>
  <c r="J140" i="19"/>
  <c r="O144" i="19"/>
  <c r="AQ144" i="19"/>
  <c r="U144" i="19"/>
  <c r="AW144" i="19"/>
  <c r="AH147" i="19"/>
  <c r="F147" i="19"/>
  <c r="Y205" i="21"/>
  <c r="AA205" i="21" s="1"/>
  <c r="T51" i="21"/>
  <c r="M5" i="16"/>
  <c r="X50" i="16"/>
  <c r="M50" i="16"/>
  <c r="AB51" i="16" s="1"/>
  <c r="AA73" i="16"/>
  <c r="AA118" i="16" s="1"/>
  <c r="AA76" i="16"/>
  <c r="AI147" i="16"/>
  <c r="O148" i="16"/>
  <c r="AQ148" i="16"/>
  <c r="BA166" i="16"/>
  <c r="J233" i="16"/>
  <c r="J230" i="16" s="1"/>
  <c r="L98" i="19"/>
  <c r="L5" i="19"/>
  <c r="L95" i="19" s="1"/>
  <c r="AA34" i="19"/>
  <c r="AA124" i="19" s="1"/>
  <c r="Z149" i="19"/>
  <c r="R185" i="19"/>
  <c r="AP143" i="19"/>
  <c r="AP188" i="19"/>
  <c r="AJ189" i="19"/>
  <c r="H144" i="19"/>
  <c r="AR189" i="19"/>
  <c r="AR144" i="19"/>
  <c r="P144" i="19"/>
  <c r="BB198" i="19"/>
  <c r="Z153" i="19"/>
  <c r="BB153" i="19"/>
  <c r="AZ174" i="21"/>
  <c r="K50" i="16"/>
  <c r="R50" i="16"/>
  <c r="F50" i="16"/>
  <c r="AA61" i="16"/>
  <c r="H232" i="16"/>
  <c r="H230" i="16" s="1"/>
  <c r="AH143" i="19"/>
  <c r="AH188" i="19"/>
  <c r="P185" i="19"/>
  <c r="P140" i="19" s="1"/>
  <c r="AR187" i="19"/>
  <c r="AR142" i="19"/>
  <c r="P142" i="19"/>
  <c r="AX188" i="19"/>
  <c r="AX143" i="19"/>
  <c r="AK189" i="19"/>
  <c r="I144" i="19"/>
  <c r="W144" i="19"/>
  <c r="AY144" i="19"/>
  <c r="AM193" i="19"/>
  <c r="BA168" i="19"/>
  <c r="Y168" i="19"/>
  <c r="P233" i="19"/>
  <c r="P230" i="19" s="1"/>
  <c r="AV147" i="21"/>
  <c r="BC221" i="21"/>
  <c r="BC176" i="21"/>
  <c r="U50" i="21"/>
  <c r="Z52" i="21"/>
  <c r="AK147" i="19"/>
  <c r="AK192" i="19"/>
  <c r="Y219" i="21"/>
  <c r="AM174" i="21"/>
  <c r="T97" i="21"/>
  <c r="T5" i="21"/>
  <c r="T95" i="21" s="1"/>
  <c r="T51" i="16"/>
  <c r="S51" i="16"/>
  <c r="AU141" i="16" s="1"/>
  <c r="Y58" i="16"/>
  <c r="Z58" i="16"/>
  <c r="Z103" i="16" s="1"/>
  <c r="AA62" i="16"/>
  <c r="AX156" i="16"/>
  <c r="AA77" i="16"/>
  <c r="AA90" i="16"/>
  <c r="G185" i="16"/>
  <c r="I236" i="16"/>
  <c r="AI187" i="19"/>
  <c r="G185" i="19"/>
  <c r="G142" i="19"/>
  <c r="AI142" i="19"/>
  <c r="AM192" i="19"/>
  <c r="AM147" i="19"/>
  <c r="K147" i="19"/>
  <c r="AH193" i="19"/>
  <c r="AH148" i="19"/>
  <c r="AU193" i="19"/>
  <c r="AU148" i="19"/>
  <c r="S148" i="19"/>
  <c r="I232" i="19"/>
  <c r="U232" i="19"/>
  <c r="U230" i="19" s="1"/>
  <c r="S233" i="19"/>
  <c r="S230" i="19" s="1"/>
  <c r="Q147" i="21"/>
  <c r="AO190" i="21"/>
  <c r="P44" i="20" s="1"/>
  <c r="P59" i="20" s="1"/>
  <c r="AO145" i="21"/>
  <c r="M145" i="21"/>
  <c r="P29" i="20" s="1"/>
  <c r="Q237" i="21"/>
  <c r="AS192" i="21" s="1"/>
  <c r="AS208" i="21"/>
  <c r="BA220" i="16"/>
  <c r="L232" i="16"/>
  <c r="L230" i="16" s="1"/>
  <c r="U233" i="16"/>
  <c r="U50" i="19"/>
  <c r="Z50" i="19" s="1"/>
  <c r="AA215" i="19"/>
  <c r="R232" i="19"/>
  <c r="P236" i="19"/>
  <c r="Z236" i="19" s="1"/>
  <c r="BB191" i="19" s="1"/>
  <c r="Z216" i="21"/>
  <c r="AY145" i="21"/>
  <c r="S146" i="21"/>
  <c r="K69" i="21"/>
  <c r="Y69" i="21" s="1"/>
  <c r="BC211" i="21"/>
  <c r="BC166" i="21"/>
  <c r="P145" i="21"/>
  <c r="S29" i="20" s="1"/>
  <c r="P6" i="21"/>
  <c r="T246" i="21"/>
  <c r="T10" i="21"/>
  <c r="T128" i="21"/>
  <c r="Z57" i="21"/>
  <c r="AR157" i="21"/>
  <c r="P112" i="21"/>
  <c r="Z67" i="21"/>
  <c r="L232" i="21"/>
  <c r="L230" i="21" s="1"/>
  <c r="AO173" i="16"/>
  <c r="G235" i="11"/>
  <c r="G266" i="11"/>
  <c r="G267" i="11"/>
  <c r="BA202" i="16"/>
  <c r="M233" i="16"/>
  <c r="Z233" i="16" s="1"/>
  <c r="T233" i="16"/>
  <c r="AY142" i="19"/>
  <c r="L232" i="19"/>
  <c r="L230" i="19" s="1"/>
  <c r="K233" i="19"/>
  <c r="V233" i="19"/>
  <c r="AO216" i="21"/>
  <c r="S186" i="21"/>
  <c r="AM217" i="21"/>
  <c r="AA234" i="21"/>
  <c r="I6" i="21"/>
  <c r="AS185" i="21"/>
  <c r="AS140" i="21"/>
  <c r="Z7" i="21"/>
  <c r="Z97" i="21" s="1"/>
  <c r="M97" i="21"/>
  <c r="K11" i="21"/>
  <c r="K250" i="21"/>
  <c r="K236" i="21" s="1"/>
  <c r="Y236" i="21" s="1"/>
  <c r="Y39" i="21"/>
  <c r="AX146" i="21"/>
  <c r="V51" i="21"/>
  <c r="T246" i="16"/>
  <c r="T201" i="16"/>
  <c r="H230" i="19"/>
  <c r="AN147" i="21"/>
  <c r="G145" i="21"/>
  <c r="E29" i="20" s="1"/>
  <c r="G6" i="21"/>
  <c r="U5" i="21"/>
  <c r="U95" i="21" s="1"/>
  <c r="U97" i="21"/>
  <c r="N146" i="21"/>
  <c r="N101" i="21"/>
  <c r="H111" i="21"/>
  <c r="H246" i="21"/>
  <c r="H156" i="21"/>
  <c r="F132" i="21"/>
  <c r="F112" i="21"/>
  <c r="F247" i="21"/>
  <c r="F69" i="21"/>
  <c r="Y24" i="21"/>
  <c r="Z119" i="21"/>
  <c r="AA29" i="21"/>
  <c r="W51" i="21"/>
  <c r="W96" i="21" s="1"/>
  <c r="AH189" i="21"/>
  <c r="F144" i="21"/>
  <c r="AH144" i="21"/>
  <c r="Y189" i="21"/>
  <c r="AO189" i="21"/>
  <c r="M144" i="21"/>
  <c r="AO144" i="21"/>
  <c r="AW189" i="21"/>
  <c r="AW144" i="21"/>
  <c r="U144" i="21"/>
  <c r="BB203" i="21"/>
  <c r="Z158" i="21"/>
  <c r="BB158" i="21"/>
  <c r="AA203" i="21"/>
  <c r="BA176" i="21"/>
  <c r="BA221" i="21"/>
  <c r="Y176" i="21"/>
  <c r="I232" i="16"/>
  <c r="I230" i="16" s="1"/>
  <c r="P232" i="16"/>
  <c r="P230" i="16" s="1"/>
  <c r="P233" i="16"/>
  <c r="K233" i="16"/>
  <c r="K230" i="16" s="1"/>
  <c r="S233" i="16"/>
  <c r="S230" i="16" s="1"/>
  <c r="Z234" i="16"/>
  <c r="AA234" i="16" s="1"/>
  <c r="L236" i="16"/>
  <c r="P236" i="16"/>
  <c r="Z236" i="16" s="1"/>
  <c r="BB191" i="16" s="1"/>
  <c r="AA76" i="19"/>
  <c r="AA85" i="19"/>
  <c r="M232" i="19"/>
  <c r="M230" i="19" s="1"/>
  <c r="T232" i="19"/>
  <c r="T230" i="19" s="1"/>
  <c r="M233" i="19"/>
  <c r="AV173" i="21"/>
  <c r="AO174" i="21"/>
  <c r="Q190" i="21"/>
  <c r="T12" i="20" s="1"/>
  <c r="Z189" i="21"/>
  <c r="AA14" i="21"/>
  <c r="AA104" i="21" s="1"/>
  <c r="U185" i="21"/>
  <c r="M128" i="21"/>
  <c r="G112" i="21"/>
  <c r="G247" i="21"/>
  <c r="P55" i="21"/>
  <c r="P51" i="21" s="1"/>
  <c r="N230" i="19"/>
  <c r="H236" i="19"/>
  <c r="J231" i="21"/>
  <c r="AK190" i="21"/>
  <c r="G44" i="20" s="1"/>
  <c r="G59" i="20" s="1"/>
  <c r="AL159" i="21"/>
  <c r="AS156" i="21"/>
  <c r="F11" i="21"/>
  <c r="F101" i="21" s="1"/>
  <c r="M5" i="21"/>
  <c r="M95" i="21" s="1"/>
  <c r="P97" i="21"/>
  <c r="P5" i="21"/>
  <c r="P95" i="21" s="1"/>
  <c r="K98" i="21"/>
  <c r="K5" i="21"/>
  <c r="K95" i="21" s="1"/>
  <c r="I190" i="14"/>
  <c r="Y21" i="21"/>
  <c r="Y111" i="21" s="1"/>
  <c r="F249" i="21"/>
  <c r="F236" i="21" s="1"/>
  <c r="J102" i="21"/>
  <c r="Z81" i="21"/>
  <c r="Z126" i="21" s="1"/>
  <c r="M126" i="21"/>
  <c r="J99" i="21"/>
  <c r="Y9" i="21"/>
  <c r="AQ185" i="21"/>
  <c r="O140" i="21"/>
  <c r="F232" i="16"/>
  <c r="F230" i="16" s="1"/>
  <c r="Q232" i="16"/>
  <c r="L233" i="16"/>
  <c r="O6" i="19"/>
  <c r="AA60" i="19"/>
  <c r="AN192" i="21"/>
  <c r="J44" i="20" s="1"/>
  <c r="J59" i="20" s="1"/>
  <c r="AU146" i="21"/>
  <c r="F157" i="21"/>
  <c r="Y106" i="21"/>
  <c r="AA16" i="21"/>
  <c r="AA106" i="21" s="1"/>
  <c r="Q10" i="21"/>
  <c r="Q246" i="21"/>
  <c r="AS201" i="21" s="1"/>
  <c r="X208" i="21"/>
  <c r="X12" i="21"/>
  <c r="Y134" i="21"/>
  <c r="AA44" i="21"/>
  <c r="AL156" i="21"/>
  <c r="Y66" i="21"/>
  <c r="BA156" i="21" s="1"/>
  <c r="Y67" i="21"/>
  <c r="AI157" i="21"/>
  <c r="U201" i="10"/>
  <c r="U246" i="10"/>
  <c r="U263" i="10" s="1"/>
  <c r="AQ190" i="21"/>
  <c r="R44" i="20" s="1"/>
  <c r="R59" i="20" s="1"/>
  <c r="Q246" i="16"/>
  <c r="Q201" i="16"/>
  <c r="Y9" i="20"/>
  <c r="AX190" i="14"/>
  <c r="Y41" i="20" s="1"/>
  <c r="AS190" i="11"/>
  <c r="T40" i="20" s="1"/>
  <c r="T55" i="20" s="1"/>
  <c r="T107" i="20" s="1"/>
  <c r="T68" i="20"/>
  <c r="I7" i="20"/>
  <c r="AM190" i="10"/>
  <c r="I39" i="20" s="1"/>
  <c r="I121" i="20" s="1"/>
  <c r="AR217" i="21"/>
  <c r="AY192" i="21"/>
  <c r="O186" i="21"/>
  <c r="R230" i="21"/>
  <c r="AK190" i="14"/>
  <c r="G41" i="20" s="1"/>
  <c r="P50" i="21"/>
  <c r="U51" i="21"/>
  <c r="Y58" i="21"/>
  <c r="AA88" i="21"/>
  <c r="G186" i="21"/>
  <c r="AI222" i="19"/>
  <c r="AI221" i="19"/>
  <c r="J190" i="16"/>
  <c r="J145" i="16" s="1"/>
  <c r="H27" i="20" s="1"/>
  <c r="O201" i="10"/>
  <c r="O246" i="10"/>
  <c r="I237" i="10"/>
  <c r="AA20" i="21"/>
  <c r="AA110" i="21" s="1"/>
  <c r="J50" i="21"/>
  <c r="G51" i="21"/>
  <c r="AA59" i="21"/>
  <c r="X201" i="5"/>
  <c r="X246" i="5"/>
  <c r="L209" i="14"/>
  <c r="L254" i="14"/>
  <c r="L237" i="14" s="1"/>
  <c r="J69" i="20" s="1"/>
  <c r="H235" i="10"/>
  <c r="O145" i="21"/>
  <c r="R29" i="20" s="1"/>
  <c r="X100" i="21"/>
  <c r="K50" i="21"/>
  <c r="S51" i="21"/>
  <c r="F111" i="21"/>
  <c r="AX201" i="21"/>
  <c r="V190" i="21"/>
  <c r="H236" i="21"/>
  <c r="W246" i="11"/>
  <c r="W261" i="11" s="1"/>
  <c r="W201" i="11"/>
  <c r="W235" i="5"/>
  <c r="P235" i="14"/>
  <c r="AR190" i="14" s="1"/>
  <c r="S41" i="20" s="1"/>
  <c r="S123" i="20" s="1"/>
  <c r="G190" i="14"/>
  <c r="T246" i="10"/>
  <c r="T201" i="10"/>
  <c r="P237" i="14"/>
  <c r="G237" i="16"/>
  <c r="Y237" i="21"/>
  <c r="AA84" i="21"/>
  <c r="AA32" i="21"/>
  <c r="AA122" i="21" s="1"/>
  <c r="AX148" i="21"/>
  <c r="J56" i="19"/>
  <c r="K69" i="19"/>
  <c r="H126" i="14"/>
  <c r="H246" i="14"/>
  <c r="M237" i="10"/>
  <c r="L185" i="21"/>
  <c r="Q102" i="21"/>
  <c r="L51" i="21"/>
  <c r="L96" i="21" s="1"/>
  <c r="AA75" i="21"/>
  <c r="AA120" i="21" s="1"/>
  <c r="AR172" i="21"/>
  <c r="V148" i="21"/>
  <c r="BA161" i="21"/>
  <c r="F185" i="21"/>
  <c r="J185" i="21"/>
  <c r="AA70" i="20"/>
  <c r="H190" i="14"/>
  <c r="F235" i="14"/>
  <c r="AH222" i="14"/>
  <c r="U246" i="11"/>
  <c r="U201" i="11"/>
  <c r="H222" i="11"/>
  <c r="H221" i="11"/>
  <c r="P237" i="16"/>
  <c r="I237" i="16"/>
  <c r="W185" i="21"/>
  <c r="I233" i="21"/>
  <c r="K233" i="21"/>
  <c r="K230" i="21" s="1"/>
  <c r="U233" i="21"/>
  <c r="U230" i="21" s="1"/>
  <c r="O237" i="21"/>
  <c r="O231" i="21" s="1"/>
  <c r="AQ186" i="21" s="1"/>
  <c r="H237" i="21"/>
  <c r="N51" i="19"/>
  <c r="S235" i="19"/>
  <c r="S231" i="19" s="1"/>
  <c r="AU186" i="19" s="1"/>
  <c r="W235" i="14"/>
  <c r="W201" i="10"/>
  <c r="W201" i="5"/>
  <c r="X235" i="11"/>
  <c r="X201" i="10"/>
  <c r="H190" i="5"/>
  <c r="N235" i="19"/>
  <c r="U235" i="14"/>
  <c r="Q201" i="14"/>
  <c r="J235" i="14"/>
  <c r="O201" i="11"/>
  <c r="R235" i="10"/>
  <c r="P202" i="10"/>
  <c r="M235" i="10"/>
  <c r="O237" i="16"/>
  <c r="O231" i="16" s="1"/>
  <c r="M237" i="16"/>
  <c r="T237" i="14"/>
  <c r="T231" i="14" s="1"/>
  <c r="K237" i="16"/>
  <c r="F237" i="11"/>
  <c r="Y237" i="11" s="1"/>
  <c r="I237" i="5"/>
  <c r="N232" i="21"/>
  <c r="V232" i="21"/>
  <c r="V230" i="21" s="1"/>
  <c r="H232" i="21"/>
  <c r="W236" i="21"/>
  <c r="S236" i="21"/>
  <c r="I51" i="19"/>
  <c r="W235" i="10"/>
  <c r="X235" i="14"/>
  <c r="J235" i="5"/>
  <c r="K235" i="19"/>
  <c r="Y216" i="19"/>
  <c r="BA216" i="19" s="1"/>
  <c r="I190" i="16"/>
  <c r="F235" i="16"/>
  <c r="V235" i="14"/>
  <c r="Q235" i="14"/>
  <c r="M235" i="11"/>
  <c r="I190" i="11"/>
  <c r="I145" i="11" s="1"/>
  <c r="G25" i="20" s="1"/>
  <c r="I219" i="11"/>
  <c r="I217" i="11"/>
  <c r="I216" i="11"/>
  <c r="I235" i="10"/>
  <c r="I231" i="10" s="1"/>
  <c r="M237" i="19"/>
  <c r="AO192" i="19" s="1"/>
  <c r="G237" i="19"/>
  <c r="G231" i="19" s="1"/>
  <c r="AI186" i="19" s="1"/>
  <c r="K237" i="11"/>
  <c r="K231" i="11" s="1"/>
  <c r="X230" i="21"/>
  <c r="O232" i="21"/>
  <c r="W232" i="21"/>
  <c r="T233" i="21"/>
  <c r="T230" i="21" s="1"/>
  <c r="O51" i="19"/>
  <c r="Q235" i="19"/>
  <c r="V235" i="16"/>
  <c r="S9" i="20"/>
  <c r="H235" i="14"/>
  <c r="G235" i="14"/>
  <c r="F216" i="11"/>
  <c r="F217" i="11"/>
  <c r="Y217" i="11" s="1"/>
  <c r="BA217" i="11" s="1"/>
  <c r="N235" i="10"/>
  <c r="H190" i="10"/>
  <c r="M237" i="5"/>
  <c r="T237" i="19"/>
  <c r="AV192" i="19" s="1"/>
  <c r="O237" i="19"/>
  <c r="Q237" i="16"/>
  <c r="AS192" i="16" s="1"/>
  <c r="V237" i="14"/>
  <c r="Q237" i="14"/>
  <c r="AS192" i="14" s="1"/>
  <c r="M237" i="14"/>
  <c r="AO192" i="14" s="1"/>
  <c r="W237" i="10"/>
  <c r="AY192" i="10" s="1"/>
  <c r="U237" i="10"/>
  <c r="AW192" i="10" s="1"/>
  <c r="R237" i="10"/>
  <c r="AT192" i="10" s="1"/>
  <c r="H237" i="11"/>
  <c r="J237" i="10"/>
  <c r="AL192" i="10" s="1"/>
  <c r="AP217" i="21"/>
  <c r="Y238" i="21"/>
  <c r="AA238" i="21" s="1"/>
  <c r="BC193" i="21" s="1"/>
  <c r="Q236" i="21"/>
  <c r="Z236" i="21" s="1"/>
  <c r="BB191" i="21" s="1"/>
  <c r="S235" i="10"/>
  <c r="S231" i="10" s="1"/>
  <c r="AU186" i="10" s="1"/>
  <c r="G235" i="5"/>
  <c r="O235" i="19"/>
  <c r="M235" i="19"/>
  <c r="M231" i="19" s="1"/>
  <c r="AO186" i="19" s="1"/>
  <c r="H190" i="19"/>
  <c r="Y222" i="19"/>
  <c r="N235" i="16"/>
  <c r="N231" i="16" s="1"/>
  <c r="AP186" i="16" s="1"/>
  <c r="H247" i="16"/>
  <c r="F190" i="16"/>
  <c r="R201" i="14"/>
  <c r="F190" i="14"/>
  <c r="H267" i="11"/>
  <c r="H266" i="11"/>
  <c r="G190" i="11"/>
  <c r="G222" i="11"/>
  <c r="G221" i="11"/>
  <c r="V237" i="16"/>
  <c r="N237" i="16"/>
  <c r="X237" i="14"/>
  <c r="AZ192" i="14" s="1"/>
  <c r="S237" i="14"/>
  <c r="S231" i="14" s="1"/>
  <c r="AU186" i="14" s="1"/>
  <c r="Q237" i="11"/>
  <c r="AS192" i="11" s="1"/>
  <c r="K237" i="19"/>
  <c r="I237" i="19"/>
  <c r="I231" i="19" s="1"/>
  <c r="I237" i="14"/>
  <c r="I231" i="14" s="1"/>
  <c r="H237" i="5"/>
  <c r="O233" i="21"/>
  <c r="Q233" i="21"/>
  <c r="Q230" i="21" s="1"/>
  <c r="G236" i="21"/>
  <c r="W51" i="19"/>
  <c r="H11" i="20"/>
  <c r="Q237" i="19"/>
  <c r="V237" i="11"/>
  <c r="S237" i="11"/>
  <c r="T237" i="10"/>
  <c r="F237" i="14"/>
  <c r="F232" i="21"/>
  <c r="Y232" i="21" s="1"/>
  <c r="R51" i="19"/>
  <c r="S235" i="11"/>
  <c r="S231" i="11" s="1"/>
  <c r="AU186" i="11" s="1"/>
  <c r="L235" i="5"/>
  <c r="H235" i="5"/>
  <c r="F66" i="20" s="1"/>
  <c r="P235" i="19"/>
  <c r="I190" i="19"/>
  <c r="I235" i="16"/>
  <c r="G70" i="20" s="1"/>
  <c r="H190" i="16"/>
  <c r="H145" i="16" s="1"/>
  <c r="F27" i="20" s="1"/>
  <c r="H190" i="11"/>
  <c r="H216" i="11"/>
  <c r="V235" i="10"/>
  <c r="Y67" i="20" s="1"/>
  <c r="F190" i="5"/>
  <c r="N237" i="5"/>
  <c r="Q237" i="10"/>
  <c r="H237" i="19"/>
  <c r="K237" i="14"/>
  <c r="H237" i="14"/>
  <c r="G237" i="5"/>
  <c r="AA175" i="14"/>
  <c r="Y173" i="16"/>
  <c r="AA220" i="19"/>
  <c r="BA175" i="19"/>
  <c r="BA220" i="19"/>
  <c r="Q147" i="5"/>
  <c r="AS147" i="5"/>
  <c r="AS192" i="5"/>
  <c r="AA82" i="5"/>
  <c r="T51" i="11"/>
  <c r="AV141" i="11" s="1"/>
  <c r="AV146" i="11"/>
  <c r="T101" i="11"/>
  <c r="Z56" i="11"/>
  <c r="AS147" i="9"/>
  <c r="Q186" i="9"/>
  <c r="AH159" i="5"/>
  <c r="Y69" i="5"/>
  <c r="BA159" i="5" s="1"/>
  <c r="F56" i="5"/>
  <c r="AZ146" i="11"/>
  <c r="X51" i="11"/>
  <c r="X96" i="11" s="1"/>
  <c r="X101" i="11"/>
  <c r="T237" i="9"/>
  <c r="T101" i="5"/>
  <c r="AV146" i="5"/>
  <c r="T51" i="5"/>
  <c r="Z56" i="5"/>
  <c r="V51" i="11"/>
  <c r="V96" i="11" s="1"/>
  <c r="AX146" i="11"/>
  <c r="V101" i="11"/>
  <c r="V51" i="5"/>
  <c r="V100" i="5"/>
  <c r="AX145" i="5"/>
  <c r="Z55" i="5"/>
  <c r="AA193" i="5"/>
  <c r="Z148" i="5"/>
  <c r="BB148" i="5"/>
  <c r="Z127" i="5"/>
  <c r="AA37" i="5"/>
  <c r="Z101" i="5"/>
  <c r="K101" i="10"/>
  <c r="X101" i="5"/>
  <c r="G23" i="20"/>
  <c r="AK217" i="5"/>
  <c r="Y11" i="10"/>
  <c r="X51" i="5"/>
  <c r="X96" i="5" s="1"/>
  <c r="AZ146" i="5"/>
  <c r="Z70" i="5"/>
  <c r="BC210" i="5"/>
  <c r="AZ148" i="5"/>
  <c r="Z208" i="5"/>
  <c r="BC205" i="5"/>
  <c r="AA160" i="5"/>
  <c r="S186" i="5"/>
  <c r="AU146" i="5"/>
  <c r="Y217" i="5"/>
  <c r="Y216" i="5"/>
  <c r="R147" i="9"/>
  <c r="AA38" i="5"/>
  <c r="F101" i="5"/>
  <c r="R102" i="9"/>
  <c r="AT163" i="9"/>
  <c r="F146" i="5"/>
  <c r="BC189" i="5"/>
  <c r="AA144" i="5"/>
  <c r="BC142" i="5"/>
  <c r="R190" i="9"/>
  <c r="Q12" i="9"/>
  <c r="Q253" i="9"/>
  <c r="T208" i="9"/>
  <c r="T6" i="5"/>
  <c r="T96" i="5" s="1"/>
  <c r="V192" i="5"/>
  <c r="I95" i="5"/>
  <c r="BB185" i="5"/>
  <c r="F230" i="5"/>
  <c r="BC170" i="5"/>
  <c r="BC213" i="5"/>
  <c r="BC203" i="5"/>
  <c r="BA189" i="5"/>
  <c r="S230" i="5"/>
  <c r="N231" i="5"/>
  <c r="G141" i="5"/>
  <c r="AA107" i="5"/>
  <c r="R246" i="9"/>
  <c r="AT201" i="9" s="1"/>
  <c r="G50" i="5"/>
  <c r="L100" i="5"/>
  <c r="K103" i="5"/>
  <c r="Z121" i="5"/>
  <c r="Z105" i="5"/>
  <c r="Z113" i="5"/>
  <c r="R101" i="5"/>
  <c r="N101" i="5"/>
  <c r="N6" i="5"/>
  <c r="N96" i="5" s="1"/>
  <c r="I50" i="5"/>
  <c r="T50" i="5"/>
  <c r="S50" i="5"/>
  <c r="G100" i="5"/>
  <c r="AA71" i="5"/>
  <c r="AA60" i="5"/>
  <c r="U236" i="5"/>
  <c r="M236" i="5"/>
  <c r="Q233" i="5"/>
  <c r="I233" i="5"/>
  <c r="AA224" i="5"/>
  <c r="AM173" i="5"/>
  <c r="Y218" i="5"/>
  <c r="H81" i="5"/>
  <c r="Y66" i="5"/>
  <c r="AJ156" i="5"/>
  <c r="H55" i="5"/>
  <c r="Q129" i="5"/>
  <c r="Z84" i="5"/>
  <c r="AA84" i="5" s="1"/>
  <c r="Z204" i="5"/>
  <c r="AP159" i="5"/>
  <c r="N191" i="5"/>
  <c r="AY145" i="9"/>
  <c r="Z109" i="5"/>
  <c r="F102" i="5"/>
  <c r="X146" i="5"/>
  <c r="Q50" i="5"/>
  <c r="Y180" i="5"/>
  <c r="BA225" i="5"/>
  <c r="Y176" i="5"/>
  <c r="BA176" i="5"/>
  <c r="AS163" i="9"/>
  <c r="AA12" i="5"/>
  <c r="F95" i="5"/>
  <c r="Z10" i="5"/>
  <c r="Z100" i="5" s="1"/>
  <c r="Y11" i="5"/>
  <c r="BC187" i="5"/>
  <c r="Q102" i="5"/>
  <c r="AS208" i="5"/>
  <c r="R6" i="9"/>
  <c r="BC215" i="5"/>
  <c r="Y233" i="5"/>
  <c r="O50" i="5"/>
  <c r="Z104" i="5"/>
  <c r="O6" i="5"/>
  <c r="P6" i="5"/>
  <c r="P96" i="5" s="1"/>
  <c r="Y10" i="5"/>
  <c r="I6" i="5"/>
  <c r="I96" i="5" s="1"/>
  <c r="I100" i="5"/>
  <c r="Q99" i="5"/>
  <c r="Z9" i="5"/>
  <c r="I99" i="5"/>
  <c r="R98" i="5"/>
  <c r="R5" i="5"/>
  <c r="R95" i="5" s="1"/>
  <c r="N5" i="5"/>
  <c r="J5" i="5"/>
  <c r="J95" i="5" s="1"/>
  <c r="J98" i="5"/>
  <c r="P238" i="5"/>
  <c r="H238" i="5"/>
  <c r="P232" i="5"/>
  <c r="H232" i="5"/>
  <c r="H230" i="5" s="1"/>
  <c r="AA222" i="5"/>
  <c r="BA222" i="5"/>
  <c r="W192" i="5"/>
  <c r="AY163" i="5"/>
  <c r="AY208" i="5"/>
  <c r="AU160" i="5"/>
  <c r="BA204" i="5"/>
  <c r="V23" i="20"/>
  <c r="BA174" i="5"/>
  <c r="AS163" i="5"/>
  <c r="U95" i="5"/>
  <c r="J231" i="5"/>
  <c r="F249" i="5"/>
  <c r="BC206" i="5"/>
  <c r="AO140" i="5"/>
  <c r="Y125" i="5"/>
  <c r="AA35" i="5"/>
  <c r="M140" i="5"/>
  <c r="R50" i="5"/>
  <c r="AA68" i="5"/>
  <c r="G103" i="5"/>
  <c r="N98" i="5"/>
  <c r="Z114" i="5"/>
  <c r="AA45" i="5"/>
  <c r="Y135" i="5"/>
  <c r="K50" i="5"/>
  <c r="M50" i="5"/>
  <c r="AA63" i="5"/>
  <c r="S236" i="5"/>
  <c r="AU191" i="5" s="1"/>
  <c r="O233" i="5"/>
  <c r="Z233" i="5" s="1"/>
  <c r="H180" i="5"/>
  <c r="H178" i="5"/>
  <c r="Y178" i="5"/>
  <c r="BA178" i="5"/>
  <c r="AA223" i="5"/>
  <c r="Z66" i="9"/>
  <c r="R55" i="9"/>
  <c r="H132" i="5"/>
  <c r="AJ177" i="5"/>
  <c r="Y87" i="5"/>
  <c r="J192" i="5"/>
  <c r="Y207" i="5"/>
  <c r="G98" i="5"/>
  <c r="AO162" i="5"/>
  <c r="Q145" i="9"/>
  <c r="AM191" i="9"/>
  <c r="AM141" i="9"/>
  <c r="Y142" i="9"/>
  <c r="BA187" i="9"/>
  <c r="F140" i="9"/>
  <c r="AH185" i="9"/>
  <c r="K97" i="9"/>
  <c r="K5" i="9"/>
  <c r="I6" i="9"/>
  <c r="I100" i="9"/>
  <c r="M100" i="9"/>
  <c r="M6" i="9"/>
  <c r="X208" i="9"/>
  <c r="X253" i="9"/>
  <c r="X12" i="9"/>
  <c r="Y39" i="9"/>
  <c r="K129" i="9"/>
  <c r="Y131" i="9"/>
  <c r="AA41" i="9"/>
  <c r="Y133" i="9"/>
  <c r="AA43" i="9"/>
  <c r="F50" i="9"/>
  <c r="Y52" i="9"/>
  <c r="AB51" i="9"/>
  <c r="Z54" i="9"/>
  <c r="N50" i="9"/>
  <c r="AJ145" i="9"/>
  <c r="H100" i="9"/>
  <c r="P51" i="9"/>
  <c r="AR145" i="9"/>
  <c r="U142" i="9"/>
  <c r="AW142" i="9"/>
  <c r="AW187" i="9"/>
  <c r="X185" i="9"/>
  <c r="X142" i="9"/>
  <c r="AZ187" i="9"/>
  <c r="AZ142" i="9"/>
  <c r="AA210" i="9"/>
  <c r="BA210" i="9"/>
  <c r="Y165" i="9"/>
  <c r="BA165" i="9"/>
  <c r="BB166" i="9"/>
  <c r="BB211" i="9"/>
  <c r="Z166" i="9"/>
  <c r="AA211" i="9"/>
  <c r="BA167" i="9"/>
  <c r="AA212" i="9"/>
  <c r="Y167" i="9"/>
  <c r="BB170" i="9"/>
  <c r="Z170" i="9"/>
  <c r="BB215" i="9"/>
  <c r="S236" i="9"/>
  <c r="BA173" i="10"/>
  <c r="BA218" i="10"/>
  <c r="S101" i="5"/>
  <c r="AM145" i="5"/>
  <c r="AW189" i="5"/>
  <c r="U144" i="5"/>
  <c r="AS144" i="5"/>
  <c r="AO189" i="5"/>
  <c r="AK189" i="5"/>
  <c r="I144" i="5"/>
  <c r="AZ143" i="5"/>
  <c r="AU188" i="5"/>
  <c r="S143" i="5"/>
  <c r="AQ143" i="5"/>
  <c r="AM188" i="5"/>
  <c r="K143" i="5"/>
  <c r="AI143" i="5"/>
  <c r="AW187" i="5"/>
  <c r="AS187" i="5"/>
  <c r="AO187" i="5"/>
  <c r="AK187" i="5"/>
  <c r="AH192" i="5"/>
  <c r="T146" i="5"/>
  <c r="AQ146" i="5"/>
  <c r="V145" i="5"/>
  <c r="Y23" i="20" s="1"/>
  <c r="AT189" i="5"/>
  <c r="AL189" i="5"/>
  <c r="AR188" i="5"/>
  <c r="AJ188" i="5"/>
  <c r="Z169" i="5"/>
  <c r="Y164" i="5"/>
  <c r="Y153" i="5"/>
  <c r="Y152" i="5"/>
  <c r="Y149" i="5"/>
  <c r="AR141" i="9"/>
  <c r="BC200" i="9"/>
  <c r="BC155" i="9"/>
  <c r="BA156" i="9"/>
  <c r="BA201" i="9"/>
  <c r="Y217" i="9"/>
  <c r="AH172" i="9"/>
  <c r="BB189" i="9"/>
  <c r="Z144" i="9"/>
  <c r="BA143" i="9"/>
  <c r="Y143" i="9"/>
  <c r="BA188" i="9"/>
  <c r="Z207" i="9"/>
  <c r="M192" i="9"/>
  <c r="AO207" i="9"/>
  <c r="Y69" i="9"/>
  <c r="F56" i="9"/>
  <c r="F51" i="9" s="1"/>
  <c r="AH159" i="9"/>
  <c r="F262" i="9"/>
  <c r="F261" i="9"/>
  <c r="AH201" i="9"/>
  <c r="S186" i="9"/>
  <c r="AM146" i="9"/>
  <c r="K146" i="9"/>
  <c r="AX140" i="9"/>
  <c r="V140" i="9"/>
  <c r="AX185" i="9"/>
  <c r="G185" i="9"/>
  <c r="AI187" i="9"/>
  <c r="G142" i="9"/>
  <c r="K185" i="9"/>
  <c r="K142" i="9"/>
  <c r="AM187" i="9"/>
  <c r="AM142" i="9"/>
  <c r="P142" i="9"/>
  <c r="AR187" i="9"/>
  <c r="P185" i="9"/>
  <c r="Z187" i="9"/>
  <c r="BB164" i="9"/>
  <c r="Z164" i="9"/>
  <c r="BB209" i="9"/>
  <c r="V230" i="9"/>
  <c r="P230" i="9"/>
  <c r="Z233" i="9"/>
  <c r="M235" i="9"/>
  <c r="M261" i="9"/>
  <c r="M264" i="9"/>
  <c r="M263" i="9"/>
  <c r="M262" i="9"/>
  <c r="N231" i="9"/>
  <c r="P231" i="9"/>
  <c r="Y236" i="9"/>
  <c r="AH191" i="9"/>
  <c r="U237" i="9"/>
  <c r="AA238" i="9"/>
  <c r="BC225" i="9"/>
  <c r="AA180" i="9"/>
  <c r="BC161" i="9"/>
  <c r="AA161" i="9"/>
  <c r="T140" i="9"/>
  <c r="AV185" i="9"/>
  <c r="Y55" i="9"/>
  <c r="H172" i="9"/>
  <c r="H175" i="9"/>
  <c r="H171" i="9"/>
  <c r="H173" i="9"/>
  <c r="AA53" i="9"/>
  <c r="H5" i="9"/>
  <c r="H97" i="9"/>
  <c r="R5" i="9"/>
  <c r="R97" i="9"/>
  <c r="O98" i="9"/>
  <c r="Z8" i="9"/>
  <c r="X98" i="9"/>
  <c r="X5" i="9"/>
  <c r="Q5" i="9"/>
  <c r="Q97" i="9"/>
  <c r="Y11" i="9"/>
  <c r="F146" i="9"/>
  <c r="K6" i="9"/>
  <c r="K141" i="9" s="1"/>
  <c r="K101" i="9"/>
  <c r="O6" i="9"/>
  <c r="Y121" i="9"/>
  <c r="AA31" i="9"/>
  <c r="Z124" i="9"/>
  <c r="AA34" i="9"/>
  <c r="K126" i="9"/>
  <c r="Z52" i="9"/>
  <c r="O50" i="9"/>
  <c r="AJ147" i="9"/>
  <c r="Z204" i="9"/>
  <c r="AP159" i="9"/>
  <c r="AP204" i="9"/>
  <c r="N191" i="9"/>
  <c r="X191" i="9"/>
  <c r="AZ160" i="9"/>
  <c r="AZ205" i="9"/>
  <c r="Z205" i="9"/>
  <c r="BB206" i="9"/>
  <c r="BB161" i="9"/>
  <c r="J232" i="9"/>
  <c r="N232" i="9"/>
  <c r="AL217" i="9"/>
  <c r="AO217" i="9"/>
  <c r="M172" i="9"/>
  <c r="Y222" i="9"/>
  <c r="AH177" i="9"/>
  <c r="AH222" i="9"/>
  <c r="AQ140" i="9"/>
  <c r="O140" i="9"/>
  <c r="AL201" i="9"/>
  <c r="J262" i="9"/>
  <c r="J235" i="9"/>
  <c r="AY156" i="9"/>
  <c r="W216" i="9"/>
  <c r="J205" i="9"/>
  <c r="J11" i="9"/>
  <c r="Y25" i="9"/>
  <c r="AW185" i="9"/>
  <c r="U140" i="9"/>
  <c r="P102" i="9"/>
  <c r="P6" i="9"/>
  <c r="Y13" i="9"/>
  <c r="G6" i="9"/>
  <c r="O103" i="9"/>
  <c r="Z13" i="9"/>
  <c r="AA15" i="9"/>
  <c r="Z105" i="9"/>
  <c r="Z109" i="9"/>
  <c r="AA19" i="9"/>
  <c r="O127" i="9"/>
  <c r="O172" i="9"/>
  <c r="W10" i="9"/>
  <c r="W36" i="9"/>
  <c r="W246" i="9"/>
  <c r="AA23" i="9"/>
  <c r="Z113" i="9"/>
  <c r="U12" i="9"/>
  <c r="U208" i="9"/>
  <c r="R185" i="9"/>
  <c r="AT142" i="9"/>
  <c r="AT187" i="9"/>
  <c r="R142" i="9"/>
  <c r="AJ143" i="9"/>
  <c r="H143" i="9"/>
  <c r="AT188" i="9"/>
  <c r="R143" i="9"/>
  <c r="AT143" i="9"/>
  <c r="AZ143" i="9"/>
  <c r="X143" i="9"/>
  <c r="I144" i="9"/>
  <c r="I185" i="9"/>
  <c r="AK189" i="9"/>
  <c r="Q142" i="9"/>
  <c r="Q185" i="9"/>
  <c r="AS142" i="9"/>
  <c r="AS187" i="9"/>
  <c r="AZ189" i="9"/>
  <c r="X144" i="9"/>
  <c r="AZ144" i="9"/>
  <c r="H146" i="9"/>
  <c r="AJ191" i="9"/>
  <c r="AJ146" i="9"/>
  <c r="H186" i="9"/>
  <c r="AR146" i="9"/>
  <c r="AR191" i="9"/>
  <c r="AQ192" i="9"/>
  <c r="AQ147" i="9"/>
  <c r="H148" i="9"/>
  <c r="AJ193" i="9"/>
  <c r="AJ148" i="9"/>
  <c r="Y193" i="9"/>
  <c r="L148" i="9"/>
  <c r="AN193" i="9"/>
  <c r="AN148" i="9"/>
  <c r="Q148" i="9"/>
  <c r="AS193" i="9"/>
  <c r="AS148" i="9"/>
  <c r="U148" i="9"/>
  <c r="AW193" i="9"/>
  <c r="AW148" i="9"/>
  <c r="BB175" i="9"/>
  <c r="AA220" i="9"/>
  <c r="Z175" i="9"/>
  <c r="BA223" i="9"/>
  <c r="AA223" i="9"/>
  <c r="Y178" i="9"/>
  <c r="V12" i="9"/>
  <c r="V253" i="9"/>
  <c r="V208" i="9"/>
  <c r="M128" i="9"/>
  <c r="G176" i="9"/>
  <c r="G178" i="9"/>
  <c r="AL188" i="9"/>
  <c r="J143" i="9"/>
  <c r="O143" i="9"/>
  <c r="AQ143" i="9"/>
  <c r="AQ188" i="9"/>
  <c r="AM144" i="9"/>
  <c r="AM189" i="9"/>
  <c r="AR189" i="9"/>
  <c r="P144" i="9"/>
  <c r="AI145" i="9"/>
  <c r="AN190" i="9"/>
  <c r="L145" i="9"/>
  <c r="AX191" i="9"/>
  <c r="AX146" i="9"/>
  <c r="V146" i="9"/>
  <c r="AY148" i="9"/>
  <c r="AY193" i="9"/>
  <c r="Y149" i="9"/>
  <c r="AA194" i="9"/>
  <c r="AJ171" i="9"/>
  <c r="AP156" i="9"/>
  <c r="N190" i="9"/>
  <c r="Y158" i="9"/>
  <c r="BA203" i="9"/>
  <c r="AA203" i="9"/>
  <c r="H232" i="9"/>
  <c r="Y232" i="9" s="1"/>
  <c r="L232" i="9"/>
  <c r="T55" i="9"/>
  <c r="T21" i="9"/>
  <c r="AN141" i="10"/>
  <c r="BC210" i="10"/>
  <c r="AB39" i="10"/>
  <c r="Z129" i="10"/>
  <c r="BC169" i="10"/>
  <c r="AA169" i="10"/>
  <c r="BA222" i="10"/>
  <c r="AA222" i="10"/>
  <c r="H178" i="10"/>
  <c r="H177" i="10"/>
  <c r="H180" i="10"/>
  <c r="H176" i="10"/>
  <c r="AH159" i="10"/>
  <c r="Y69" i="10"/>
  <c r="AO162" i="10"/>
  <c r="AO207" i="10"/>
  <c r="Z207" i="10"/>
  <c r="AX146" i="10"/>
  <c r="V101" i="10"/>
  <c r="BA189" i="10"/>
  <c r="BA144" i="10"/>
  <c r="N96" i="10"/>
  <c r="N141" i="10"/>
  <c r="I96" i="10"/>
  <c r="AB41" i="10"/>
  <c r="AA131" i="10"/>
  <c r="G230" i="10"/>
  <c r="AA210" i="11"/>
  <c r="BB165" i="11"/>
  <c r="Z165" i="11"/>
  <c r="BB210" i="11"/>
  <c r="Y102" i="11"/>
  <c r="Y190" i="9"/>
  <c r="AR219" i="9"/>
  <c r="O186" i="9"/>
  <c r="BA202" i="9"/>
  <c r="Y216" i="9"/>
  <c r="AH171" i="9"/>
  <c r="S140" i="9"/>
  <c r="AU140" i="9"/>
  <c r="O246" i="9"/>
  <c r="AA130" i="9"/>
  <c r="AB40" i="9"/>
  <c r="P217" i="9"/>
  <c r="AR201" i="9"/>
  <c r="Y70" i="9"/>
  <c r="BC168" i="9"/>
  <c r="AA168" i="9"/>
  <c r="AC303" i="9"/>
  <c r="G180" i="9"/>
  <c r="AX160" i="9"/>
  <c r="J56" i="9"/>
  <c r="M95" i="9"/>
  <c r="J5" i="9"/>
  <c r="N5" i="9"/>
  <c r="N97" i="9"/>
  <c r="Z7" i="9"/>
  <c r="F99" i="9"/>
  <c r="Y9" i="9"/>
  <c r="U38" i="9"/>
  <c r="U201" i="9"/>
  <c r="Y128" i="9"/>
  <c r="M129" i="9"/>
  <c r="J50" i="9"/>
  <c r="R50" i="9"/>
  <c r="V50" i="9"/>
  <c r="Y57" i="9"/>
  <c r="T83" i="9"/>
  <c r="BA149" i="9"/>
  <c r="Z155" i="9"/>
  <c r="J178" i="9"/>
  <c r="J179" i="9"/>
  <c r="AL187" i="9"/>
  <c r="AL142" i="9"/>
  <c r="J185" i="9"/>
  <c r="W185" i="9"/>
  <c r="AY187" i="9"/>
  <c r="G143" i="9"/>
  <c r="AI143" i="9"/>
  <c r="K143" i="9"/>
  <c r="AM188" i="9"/>
  <c r="AM143" i="9"/>
  <c r="AJ189" i="9"/>
  <c r="H144" i="9"/>
  <c r="Y189" i="9"/>
  <c r="AN140" i="9"/>
  <c r="L140" i="9"/>
  <c r="AP144" i="9"/>
  <c r="N144" i="9"/>
  <c r="AV191" i="9"/>
  <c r="T146" i="9"/>
  <c r="AI148" i="9"/>
  <c r="AI193" i="9"/>
  <c r="AV193" i="9"/>
  <c r="T148" i="9"/>
  <c r="Y161" i="9"/>
  <c r="BA206" i="9"/>
  <c r="Z169" i="9"/>
  <c r="AA214" i="9"/>
  <c r="BB214" i="9"/>
  <c r="AA215" i="9"/>
  <c r="BA215" i="9"/>
  <c r="Z180" i="9"/>
  <c r="BB225" i="9"/>
  <c r="K237" i="9"/>
  <c r="AD303" i="9"/>
  <c r="X55" i="9"/>
  <c r="X21" i="9"/>
  <c r="W28" i="9"/>
  <c r="Z28" i="9" s="1"/>
  <c r="H246" i="9"/>
  <c r="Q246" i="9"/>
  <c r="F56" i="10"/>
  <c r="F127" i="10"/>
  <c r="BC194" i="10"/>
  <c r="BC149" i="10"/>
  <c r="AA149" i="10"/>
  <c r="AA134" i="10"/>
  <c r="F175" i="10"/>
  <c r="F171" i="10"/>
  <c r="F174" i="10"/>
  <c r="F173" i="10"/>
  <c r="P96" i="10"/>
  <c r="Y114" i="10"/>
  <c r="AA54" i="10"/>
  <c r="M140" i="10"/>
  <c r="AO185" i="10"/>
  <c r="AO140" i="10"/>
  <c r="AW140" i="10"/>
  <c r="U140" i="10"/>
  <c r="AW185" i="10"/>
  <c r="AZ146" i="10"/>
  <c r="AZ191" i="10"/>
  <c r="BC206" i="10"/>
  <c r="AA161" i="10"/>
  <c r="AA238" i="10"/>
  <c r="Z232" i="10"/>
  <c r="N230" i="10"/>
  <c r="L230" i="10"/>
  <c r="Y233" i="10"/>
  <c r="Z236" i="10"/>
  <c r="M231" i="10"/>
  <c r="AX191" i="10"/>
  <c r="BC212" i="11"/>
  <c r="BC167" i="11"/>
  <c r="AA167" i="11"/>
  <c r="O230" i="11"/>
  <c r="F37" i="9"/>
  <c r="F36" i="9"/>
  <c r="F111" i="9"/>
  <c r="Y21" i="9"/>
  <c r="Y156" i="9" s="1"/>
  <c r="F10" i="9"/>
  <c r="G247" i="9"/>
  <c r="U246" i="9"/>
  <c r="L29" i="9"/>
  <c r="AA74" i="9"/>
  <c r="BA174" i="10"/>
  <c r="BA219" i="10"/>
  <c r="AA158" i="10"/>
  <c r="BC158" i="10"/>
  <c r="AM173" i="10"/>
  <c r="AM218" i="10"/>
  <c r="AA154" i="10"/>
  <c r="BC199" i="10"/>
  <c r="BC197" i="10"/>
  <c r="BC152" i="10"/>
  <c r="AA37" i="10"/>
  <c r="V186" i="10"/>
  <c r="V147" i="10"/>
  <c r="Y157" i="10"/>
  <c r="Y112" i="10"/>
  <c r="AA22" i="10"/>
  <c r="AA112" i="10" s="1"/>
  <c r="M96" i="10"/>
  <c r="AM185" i="10"/>
  <c r="AM140" i="10"/>
  <c r="K140" i="10"/>
  <c r="R96" i="10"/>
  <c r="AB51" i="10"/>
  <c r="Z50" i="10"/>
  <c r="Y148" i="10"/>
  <c r="BA148" i="10"/>
  <c r="AA193" i="10"/>
  <c r="BC198" i="10"/>
  <c r="BC153" i="10"/>
  <c r="BB208" i="11"/>
  <c r="AA208" i="11"/>
  <c r="Z163" i="11"/>
  <c r="BB163" i="11"/>
  <c r="AA204" i="11"/>
  <c r="Y159" i="11"/>
  <c r="BA204" i="11"/>
  <c r="P145" i="9"/>
  <c r="AR190" i="9"/>
  <c r="Y82" i="9"/>
  <c r="AP201" i="9"/>
  <c r="Y219" i="9"/>
  <c r="AK219" i="9"/>
  <c r="AO173" i="9"/>
  <c r="G186" i="9"/>
  <c r="G177" i="9"/>
  <c r="H179" i="9"/>
  <c r="H178" i="9"/>
  <c r="F178" i="9"/>
  <c r="F177" i="9"/>
  <c r="M237" i="9"/>
  <c r="F156" i="9"/>
  <c r="N217" i="9"/>
  <c r="Y7" i="9"/>
  <c r="G97" i="9"/>
  <c r="L5" i="9"/>
  <c r="L97" i="9"/>
  <c r="AA7" i="9"/>
  <c r="J145" i="9"/>
  <c r="J100" i="9"/>
  <c r="N100" i="9"/>
  <c r="N6" i="9"/>
  <c r="V100" i="9"/>
  <c r="V6" i="9"/>
  <c r="N101" i="9"/>
  <c r="Z11" i="9"/>
  <c r="V101" i="9"/>
  <c r="H103" i="9"/>
  <c r="H6" i="9"/>
  <c r="Q100" i="9"/>
  <c r="X57" i="9"/>
  <c r="T70" i="9"/>
  <c r="W148" i="9"/>
  <c r="H185" i="9"/>
  <c r="H142" i="9"/>
  <c r="AJ187" i="9"/>
  <c r="AP188" i="9"/>
  <c r="Z188" i="9"/>
  <c r="N143" i="9"/>
  <c r="N185" i="9"/>
  <c r="S143" i="9"/>
  <c r="AU143" i="9"/>
  <c r="AQ144" i="9"/>
  <c r="O144" i="9"/>
  <c r="AQ189" i="9"/>
  <c r="AH145" i="9"/>
  <c r="AH190" i="9"/>
  <c r="AM190" i="9"/>
  <c r="V145" i="9"/>
  <c r="AK146" i="9"/>
  <c r="I186" i="9"/>
  <c r="AP193" i="9"/>
  <c r="Z193" i="9"/>
  <c r="AP148" i="9"/>
  <c r="BC196" i="9"/>
  <c r="BC151" i="9"/>
  <c r="BA197" i="9"/>
  <c r="BA152" i="9"/>
  <c r="BB154" i="9"/>
  <c r="Z154" i="9"/>
  <c r="AA199" i="9"/>
  <c r="Y155" i="9"/>
  <c r="BA200" i="9"/>
  <c r="M219" i="9"/>
  <c r="M190" i="9"/>
  <c r="AO201" i="9"/>
  <c r="M216" i="9"/>
  <c r="G230" i="9"/>
  <c r="Y234" i="9"/>
  <c r="S230" i="9"/>
  <c r="Z234" i="9"/>
  <c r="I262" i="9"/>
  <c r="I235" i="9"/>
  <c r="Y42" i="9"/>
  <c r="AM159" i="9"/>
  <c r="Y204" i="9"/>
  <c r="Y87" i="9"/>
  <c r="U57" i="9"/>
  <c r="AX147" i="10"/>
  <c r="BB148" i="10"/>
  <c r="H179" i="10"/>
  <c r="M192" i="10"/>
  <c r="AS192" i="10"/>
  <c r="Q147" i="10"/>
  <c r="Y172" i="10"/>
  <c r="BC214" i="10"/>
  <c r="S141" i="10"/>
  <c r="AU141" i="10"/>
  <c r="BA193" i="10"/>
  <c r="M171" i="10"/>
  <c r="AO171" i="10"/>
  <c r="BA216" i="10"/>
  <c r="Y171" i="10"/>
  <c r="Y142" i="10"/>
  <c r="BA187" i="10"/>
  <c r="BB143" i="10"/>
  <c r="Z143" i="10"/>
  <c r="AV208" i="10"/>
  <c r="T192" i="10"/>
  <c r="Z208" i="10"/>
  <c r="AV163" i="10"/>
  <c r="F100" i="10"/>
  <c r="F51" i="10"/>
  <c r="Y232" i="10"/>
  <c r="AA232" i="10" s="1"/>
  <c r="AA119" i="10"/>
  <c r="AA42" i="10"/>
  <c r="Z56" i="10"/>
  <c r="Z101" i="10" s="1"/>
  <c r="AA84" i="10"/>
  <c r="AA129" i="10" s="1"/>
  <c r="AA189" i="10"/>
  <c r="Z233" i="10"/>
  <c r="AA233" i="10" s="1"/>
  <c r="X231" i="10"/>
  <c r="AH172" i="10"/>
  <c r="Y82" i="10"/>
  <c r="AA82" i="10" s="1"/>
  <c r="Z50" i="11"/>
  <c r="AO207" i="11"/>
  <c r="Z207" i="11"/>
  <c r="M192" i="11"/>
  <c r="AO162" i="11"/>
  <c r="W140" i="11"/>
  <c r="AY140" i="11"/>
  <c r="AY185" i="11"/>
  <c r="P230" i="11"/>
  <c r="Z233" i="11"/>
  <c r="M231" i="11"/>
  <c r="AY147" i="10"/>
  <c r="X6" i="10"/>
  <c r="X96" i="10" s="1"/>
  <c r="AO174" i="10"/>
  <c r="I100" i="10"/>
  <c r="Z83" i="10"/>
  <c r="AA83" i="10" s="1"/>
  <c r="Z66" i="10"/>
  <c r="Z111" i="10" s="1"/>
  <c r="F249" i="10"/>
  <c r="Z13" i="10"/>
  <c r="Z103" i="10" s="1"/>
  <c r="O6" i="10"/>
  <c r="O96" i="10" s="1"/>
  <c r="Z70" i="10"/>
  <c r="Z115" i="10" s="1"/>
  <c r="AA35" i="10"/>
  <c r="AA125" i="10" s="1"/>
  <c r="N101" i="10"/>
  <c r="AA32" i="10"/>
  <c r="AA122" i="10" s="1"/>
  <c r="U6" i="10"/>
  <c r="U96" i="10" s="1"/>
  <c r="AA30" i="10"/>
  <c r="AA120" i="10" s="1"/>
  <c r="R51" i="10"/>
  <c r="AT141" i="10" s="1"/>
  <c r="O100" i="10"/>
  <c r="AA23" i="10"/>
  <c r="AA113" i="10" s="1"/>
  <c r="H6" i="10"/>
  <c r="P5" i="10"/>
  <c r="P95" i="10" s="1"/>
  <c r="G51" i="10"/>
  <c r="AI141" i="10" s="1"/>
  <c r="Z8" i="10"/>
  <c r="T5" i="10"/>
  <c r="T95" i="10" s="1"/>
  <c r="G6" i="10"/>
  <c r="W100" i="10"/>
  <c r="F185" i="10"/>
  <c r="L185" i="10"/>
  <c r="BA173" i="11"/>
  <c r="AV173" i="11"/>
  <c r="AT172" i="11"/>
  <c r="BA207" i="11"/>
  <c r="Y111" i="11"/>
  <c r="AO173" i="11"/>
  <c r="P127" i="11"/>
  <c r="AL160" i="11"/>
  <c r="AM174" i="11"/>
  <c r="AA152" i="11"/>
  <c r="H179" i="11"/>
  <c r="BA156" i="11"/>
  <c r="Z160" i="11"/>
  <c r="BC170" i="11"/>
  <c r="Y142" i="11"/>
  <c r="AA150" i="11"/>
  <c r="Y157" i="11"/>
  <c r="Z144" i="11"/>
  <c r="BC214" i="11"/>
  <c r="AQ140" i="11"/>
  <c r="F50" i="11"/>
  <c r="AU191" i="11"/>
  <c r="W100" i="11"/>
  <c r="Z7" i="11"/>
  <c r="Z123" i="11"/>
  <c r="AA33" i="11"/>
  <c r="AA123" i="11" s="1"/>
  <c r="AL187" i="11"/>
  <c r="AL142" i="11"/>
  <c r="J185" i="11"/>
  <c r="AV187" i="11"/>
  <c r="AV142" i="11"/>
  <c r="T185" i="11"/>
  <c r="AI188" i="11"/>
  <c r="AI143" i="11"/>
  <c r="AN144" i="11"/>
  <c r="L144" i="11"/>
  <c r="AV189" i="11"/>
  <c r="AV144" i="11"/>
  <c r="AN146" i="11"/>
  <c r="L146" i="11"/>
  <c r="AJ193" i="11"/>
  <c r="AJ148" i="11"/>
  <c r="H148" i="11"/>
  <c r="BB199" i="11"/>
  <c r="BB154" i="11"/>
  <c r="Z154" i="11"/>
  <c r="BB223" i="11"/>
  <c r="BB178" i="11"/>
  <c r="BA225" i="11"/>
  <c r="Y180" i="11"/>
  <c r="F230" i="11"/>
  <c r="G232" i="11"/>
  <c r="G230" i="11" s="1"/>
  <c r="P89" i="11"/>
  <c r="Z89" i="11" s="1"/>
  <c r="AA89" i="11" s="1"/>
  <c r="P55" i="11"/>
  <c r="P51" i="11" s="1"/>
  <c r="Z67" i="11"/>
  <c r="AA67" i="11" s="1"/>
  <c r="AD302" i="9"/>
  <c r="M57" i="9"/>
  <c r="M102" i="9" s="1"/>
  <c r="Y72" i="9"/>
  <c r="K114" i="9"/>
  <c r="AL145" i="10"/>
  <c r="AA164" i="10"/>
  <c r="M186" i="10"/>
  <c r="L147" i="10"/>
  <c r="J24" i="20" s="1"/>
  <c r="F101" i="10"/>
  <c r="X148" i="10"/>
  <c r="BA172" i="10"/>
  <c r="M172" i="10"/>
  <c r="AA28" i="10"/>
  <c r="AA118" i="10" s="1"/>
  <c r="AP141" i="10"/>
  <c r="J191" i="10"/>
  <c r="AK171" i="10"/>
  <c r="M174" i="10"/>
  <c r="J6" i="10"/>
  <c r="J96" i="10" s="1"/>
  <c r="Z191" i="10"/>
  <c r="Z144" i="10"/>
  <c r="AA215" i="10"/>
  <c r="AA220" i="10"/>
  <c r="AH193" i="10"/>
  <c r="Y204" i="10"/>
  <c r="J178" i="10"/>
  <c r="AH189" i="10"/>
  <c r="AA20" i="10"/>
  <c r="AA110" i="10" s="1"/>
  <c r="Z12" i="10"/>
  <c r="Z102" i="10" s="1"/>
  <c r="F81" i="10"/>
  <c r="Y38" i="10"/>
  <c r="Y9" i="10"/>
  <c r="G141" i="10"/>
  <c r="N127" i="10"/>
  <c r="AA19" i="10"/>
  <c r="AA109" i="10" s="1"/>
  <c r="Z120" i="10"/>
  <c r="K191" i="10"/>
  <c r="F96" i="11"/>
  <c r="AZ160" i="10"/>
  <c r="AA223" i="10"/>
  <c r="S185" i="10"/>
  <c r="X5" i="10"/>
  <c r="X95" i="10" s="1"/>
  <c r="AA211" i="10"/>
  <c r="Z187" i="10"/>
  <c r="AA187" i="10" s="1"/>
  <c r="AA14" i="10"/>
  <c r="AA104" i="10" s="1"/>
  <c r="AI81" i="10"/>
  <c r="Y188" i="10"/>
  <c r="AA188" i="10" s="1"/>
  <c r="F5" i="10"/>
  <c r="J5" i="10"/>
  <c r="J95" i="10" s="1"/>
  <c r="R5" i="10"/>
  <c r="R95" i="10" s="1"/>
  <c r="V5" i="10"/>
  <c r="V95" i="10" s="1"/>
  <c r="L6" i="10"/>
  <c r="F6" i="10"/>
  <c r="X100" i="10"/>
  <c r="H55" i="10"/>
  <c r="AJ157" i="10"/>
  <c r="M142" i="10"/>
  <c r="U142" i="10"/>
  <c r="AJ143" i="10"/>
  <c r="AN143" i="10"/>
  <c r="AR143" i="10"/>
  <c r="AV143" i="10"/>
  <c r="AZ143" i="10"/>
  <c r="AH144" i="10"/>
  <c r="AL144" i="10"/>
  <c r="AP144" i="10"/>
  <c r="AT144" i="10"/>
  <c r="AX144" i="10"/>
  <c r="I146" i="10"/>
  <c r="W146" i="10"/>
  <c r="H148" i="10"/>
  <c r="L148" i="10"/>
  <c r="AH148" i="10"/>
  <c r="AL148" i="10"/>
  <c r="Z150" i="10"/>
  <c r="BA152" i="10"/>
  <c r="Z154" i="10"/>
  <c r="Y163" i="10"/>
  <c r="Z168" i="10"/>
  <c r="Z176" i="10"/>
  <c r="Y178" i="10"/>
  <c r="P185" i="10"/>
  <c r="R185" i="10"/>
  <c r="X185" i="10"/>
  <c r="I186" i="10"/>
  <c r="T191" i="10"/>
  <c r="Y173" i="11"/>
  <c r="T173" i="11"/>
  <c r="Y162" i="11"/>
  <c r="AS174" i="11"/>
  <c r="AX163" i="11"/>
  <c r="M173" i="11"/>
  <c r="X193" i="11"/>
  <c r="Y205" i="11"/>
  <c r="H180" i="11"/>
  <c r="J191" i="11"/>
  <c r="BA142" i="11"/>
  <c r="M172" i="11"/>
  <c r="AA158" i="11"/>
  <c r="AA28" i="11"/>
  <c r="AA118" i="11" s="1"/>
  <c r="AM159" i="11"/>
  <c r="M140" i="11"/>
  <c r="O140" i="11"/>
  <c r="AA189" i="11"/>
  <c r="Y188" i="11"/>
  <c r="G179" i="11"/>
  <c r="X146" i="11"/>
  <c r="L6" i="11"/>
  <c r="T5" i="11"/>
  <c r="T95" i="11" s="1"/>
  <c r="Z54" i="11"/>
  <c r="AA54" i="11" s="1"/>
  <c r="W5" i="11"/>
  <c r="W95" i="11" s="1"/>
  <c r="N97" i="11"/>
  <c r="N5" i="11"/>
  <c r="N95" i="11" s="1"/>
  <c r="R97" i="11"/>
  <c r="R5" i="11"/>
  <c r="R95" i="11" s="1"/>
  <c r="V97" i="11"/>
  <c r="V5" i="11"/>
  <c r="V95" i="11" s="1"/>
  <c r="G102" i="11"/>
  <c r="G6" i="11"/>
  <c r="I50" i="11"/>
  <c r="AT187" i="11"/>
  <c r="R185" i="11"/>
  <c r="R142" i="11"/>
  <c r="AT142" i="11"/>
  <c r="AT189" i="11"/>
  <c r="R144" i="11"/>
  <c r="BB195" i="11"/>
  <c r="BB150" i="11"/>
  <c r="BB214" i="11"/>
  <c r="BB169" i="11"/>
  <c r="Z169" i="11"/>
  <c r="BB222" i="11"/>
  <c r="Z177" i="11"/>
  <c r="K232" i="11"/>
  <c r="K230" i="11" s="1"/>
  <c r="L233" i="11"/>
  <c r="AM160" i="11"/>
  <c r="K191" i="11"/>
  <c r="AM205" i="11"/>
  <c r="F112" i="9"/>
  <c r="Y67" i="9"/>
  <c r="J27" i="9"/>
  <c r="Y192" i="10"/>
  <c r="AA208" i="10"/>
  <c r="AK216" i="10"/>
  <c r="AA221" i="10"/>
  <c r="AA213" i="10"/>
  <c r="AA212" i="10"/>
  <c r="J177" i="10"/>
  <c r="AA33" i="10"/>
  <c r="AA123" i="10" s="1"/>
  <c r="Y10" i="10"/>
  <c r="I145" i="10"/>
  <c r="G24" i="20" s="1"/>
  <c r="AA40" i="10"/>
  <c r="AA17" i="10"/>
  <c r="AA107" i="10" s="1"/>
  <c r="Y12" i="10"/>
  <c r="Y102" i="10" s="1"/>
  <c r="F132" i="10"/>
  <c r="AA31" i="10"/>
  <c r="AA121" i="10" s="1"/>
  <c r="F111" i="10"/>
  <c r="AA7" i="10"/>
  <c r="AA97" i="10" s="1"/>
  <c r="Q6" i="10"/>
  <c r="Q96" i="10" s="1"/>
  <c r="AP191" i="10"/>
  <c r="Z205" i="10"/>
  <c r="O185" i="10"/>
  <c r="Z9" i="10"/>
  <c r="Z99" i="10" s="1"/>
  <c r="AA200" i="10"/>
  <c r="AA196" i="10"/>
  <c r="AA18" i="10"/>
  <c r="AA108" i="10" s="1"/>
  <c r="I5" i="10"/>
  <c r="I95" i="10" s="1"/>
  <c r="H5" i="10"/>
  <c r="H95" i="10" s="1"/>
  <c r="Z52" i="10"/>
  <c r="AA52" i="10" s="1"/>
  <c r="M5" i="10"/>
  <c r="L5" i="10"/>
  <c r="V55" i="10"/>
  <c r="Z55" i="10" s="1"/>
  <c r="Z100" i="10" s="1"/>
  <c r="Q140" i="10"/>
  <c r="V140" i="10"/>
  <c r="AV140" i="10"/>
  <c r="H143" i="10"/>
  <c r="L143" i="10"/>
  <c r="P143" i="10"/>
  <c r="T143" i="10"/>
  <c r="X143" i="10"/>
  <c r="AI146" i="10"/>
  <c r="AO146" i="10"/>
  <c r="BB150" i="10"/>
  <c r="BB154" i="10"/>
  <c r="Z164" i="10"/>
  <c r="Y167" i="10"/>
  <c r="BB176" i="10"/>
  <c r="Y179" i="10"/>
  <c r="BA179" i="10"/>
  <c r="H185" i="10"/>
  <c r="J185" i="10"/>
  <c r="T147" i="11"/>
  <c r="V192" i="11"/>
  <c r="AO218" i="11"/>
  <c r="Z187" i="11"/>
  <c r="AA187" i="11" s="1"/>
  <c r="G176" i="11"/>
  <c r="Z12" i="11"/>
  <c r="Z102" i="11" s="1"/>
  <c r="T6" i="11"/>
  <c r="AA15" i="11"/>
  <c r="AA105" i="11" s="1"/>
  <c r="S5" i="11"/>
  <c r="S95" i="11" s="1"/>
  <c r="M99" i="11"/>
  <c r="M5" i="11"/>
  <c r="Q99" i="11"/>
  <c r="Q5" i="11"/>
  <c r="Q95" i="11" s="1"/>
  <c r="Z52" i="11"/>
  <c r="AA52" i="11" s="1"/>
  <c r="T142" i="11"/>
  <c r="G143" i="11"/>
  <c r="T144" i="11"/>
  <c r="J171" i="11"/>
  <c r="Z178" i="11"/>
  <c r="AJ187" i="11"/>
  <c r="H185" i="11"/>
  <c r="H142" i="11"/>
  <c r="AJ142" i="11"/>
  <c r="AQ187" i="11"/>
  <c r="AQ142" i="11"/>
  <c r="AH187" i="11"/>
  <c r="F185" i="11"/>
  <c r="F142" i="11"/>
  <c r="AM188" i="11"/>
  <c r="AM143" i="11"/>
  <c r="K143" i="11"/>
  <c r="K185" i="11"/>
  <c r="AR189" i="11"/>
  <c r="AR144" i="11"/>
  <c r="P185" i="11"/>
  <c r="P144" i="11"/>
  <c r="AZ189" i="11"/>
  <c r="X185" i="11"/>
  <c r="X144" i="11"/>
  <c r="AZ144" i="11"/>
  <c r="AS191" i="11"/>
  <c r="AS146" i="11"/>
  <c r="Q146" i="11"/>
  <c r="Y193" i="11"/>
  <c r="F148" i="11"/>
  <c r="AH193" i="11"/>
  <c r="AH148" i="11"/>
  <c r="F186" i="11"/>
  <c r="AL217" i="11"/>
  <c r="AL172" i="11"/>
  <c r="R230" i="11"/>
  <c r="H230" i="11"/>
  <c r="W232" i="11"/>
  <c r="W230" i="11" s="1"/>
  <c r="Y234" i="11"/>
  <c r="AA234" i="11" s="1"/>
  <c r="U236" i="11"/>
  <c r="Q236" i="11"/>
  <c r="Q231" i="11" s="1"/>
  <c r="AS186" i="11" s="1"/>
  <c r="O111" i="11"/>
  <c r="O55" i="11"/>
  <c r="Z55" i="11" s="1"/>
  <c r="AA55" i="11" s="1"/>
  <c r="P97" i="11"/>
  <c r="P5" i="11"/>
  <c r="P95" i="11" s="1"/>
  <c r="X97" i="11"/>
  <c r="X5" i="11"/>
  <c r="X95" i="11" s="1"/>
  <c r="I102" i="11"/>
  <c r="I6" i="11"/>
  <c r="L185" i="11"/>
  <c r="L142" i="11"/>
  <c r="AN142" i="11"/>
  <c r="AY187" i="11"/>
  <c r="W142" i="11"/>
  <c r="AY142" i="11"/>
  <c r="AK188" i="11"/>
  <c r="I143" i="11"/>
  <c r="I185" i="11"/>
  <c r="AK143" i="11"/>
  <c r="AP189" i="11"/>
  <c r="N185" i="11"/>
  <c r="N144" i="11"/>
  <c r="AX189" i="11"/>
  <c r="V144" i="11"/>
  <c r="AQ191" i="11"/>
  <c r="AQ146" i="11"/>
  <c r="O146" i="11"/>
  <c r="BA197" i="11"/>
  <c r="BA152" i="11"/>
  <c r="BB203" i="11"/>
  <c r="BB158" i="11"/>
  <c r="BA212" i="11"/>
  <c r="Y167" i="11"/>
  <c r="Y238" i="11"/>
  <c r="AA238" i="11" s="1"/>
  <c r="J174" i="11"/>
  <c r="J173" i="11"/>
  <c r="J175" i="11"/>
  <c r="J5" i="11"/>
  <c r="J95" i="11" s="1"/>
  <c r="F98" i="11"/>
  <c r="V185" i="11"/>
  <c r="W141" i="14"/>
  <c r="BC202" i="14"/>
  <c r="BC157" i="14"/>
  <c r="Y97" i="14"/>
  <c r="AA7" i="14"/>
  <c r="AA97" i="14" s="1"/>
  <c r="L140" i="14"/>
  <c r="AN140" i="14"/>
  <c r="AN185" i="14"/>
  <c r="G87" i="11"/>
  <c r="G81" i="11"/>
  <c r="AA218" i="14"/>
  <c r="BB218" i="14"/>
  <c r="AA191" i="14"/>
  <c r="Z146" i="14"/>
  <c r="AW147" i="14"/>
  <c r="U186" i="14"/>
  <c r="AW192" i="14"/>
  <c r="U147" i="14"/>
  <c r="G95" i="14"/>
  <c r="Z192" i="14"/>
  <c r="Z238" i="14"/>
  <c r="AA238" i="14" s="1"/>
  <c r="X231" i="14"/>
  <c r="AS185" i="14"/>
  <c r="AS140" i="14"/>
  <c r="Q140" i="14"/>
  <c r="BB148" i="14"/>
  <c r="AA193" i="14"/>
  <c r="BB193" i="14"/>
  <c r="Y147" i="14"/>
  <c r="X51" i="14"/>
  <c r="X101" i="14"/>
  <c r="BB157" i="14"/>
  <c r="AA44" i="14"/>
  <c r="AA204" i="14"/>
  <c r="Z171" i="14"/>
  <c r="AO147" i="14"/>
  <c r="AY192" i="14"/>
  <c r="Z38" i="14"/>
  <c r="Z128" i="14" s="1"/>
  <c r="Z207" i="14"/>
  <c r="AV163" i="14"/>
  <c r="H100" i="14"/>
  <c r="AW163" i="14"/>
  <c r="BC198" i="14"/>
  <c r="AY163" i="14"/>
  <c r="BC200" i="14"/>
  <c r="G176" i="14"/>
  <c r="AY140" i="14"/>
  <c r="H178" i="14"/>
  <c r="F173" i="14"/>
  <c r="V6" i="14"/>
  <c r="V141" i="14" s="1"/>
  <c r="BC168" i="14"/>
  <c r="Z233" i="14"/>
  <c r="J100" i="14"/>
  <c r="M5" i="14"/>
  <c r="Q51" i="14"/>
  <c r="AA117" i="14"/>
  <c r="AA16" i="14"/>
  <c r="AA106" i="14" s="1"/>
  <c r="Y25" i="14"/>
  <c r="K11" i="14"/>
  <c r="K146" i="14" s="1"/>
  <c r="AI187" i="14"/>
  <c r="AI142" i="14"/>
  <c r="P185" i="14"/>
  <c r="AY187" i="14"/>
  <c r="AY142" i="14"/>
  <c r="AX188" i="14"/>
  <c r="AX143" i="14"/>
  <c r="V143" i="14"/>
  <c r="AN189" i="14"/>
  <c r="L144" i="14"/>
  <c r="AN144" i="14"/>
  <c r="AW189" i="14"/>
  <c r="AW144" i="14"/>
  <c r="AQ191" i="14"/>
  <c r="AQ146" i="14"/>
  <c r="T146" i="14"/>
  <c r="AR192" i="14"/>
  <c r="AR147" i="14"/>
  <c r="P147" i="14"/>
  <c r="AH148" i="14"/>
  <c r="F148" i="14"/>
  <c r="AR193" i="14"/>
  <c r="P148" i="14"/>
  <c r="AX148" i="14"/>
  <c r="V148" i="14"/>
  <c r="AA206" i="14"/>
  <c r="BA161" i="14"/>
  <c r="BB221" i="14"/>
  <c r="BB176" i="14"/>
  <c r="Z157" i="14"/>
  <c r="J141" i="14"/>
  <c r="O141" i="14"/>
  <c r="Z134" i="14"/>
  <c r="L96" i="14"/>
  <c r="AX192" i="14"/>
  <c r="BA204" i="14"/>
  <c r="Y236" i="14"/>
  <c r="Z10" i="14"/>
  <c r="Z100" i="14" s="1"/>
  <c r="AA41" i="14"/>
  <c r="AA131" i="14" s="1"/>
  <c r="AZ193" i="14"/>
  <c r="AL146" i="14"/>
  <c r="AW173" i="14"/>
  <c r="M147" i="14"/>
  <c r="M186" i="14"/>
  <c r="AP191" i="14"/>
  <c r="BA207" i="14"/>
  <c r="P128" i="14"/>
  <c r="AA89" i="14"/>
  <c r="BC179" i="14" s="1"/>
  <c r="P134" i="14"/>
  <c r="R6" i="14"/>
  <c r="AO162" i="14"/>
  <c r="AX140" i="14"/>
  <c r="T192" i="14"/>
  <c r="AH216" i="14"/>
  <c r="AA152" i="14"/>
  <c r="G178" i="14"/>
  <c r="G179" i="14"/>
  <c r="W140" i="14"/>
  <c r="AA28" i="14"/>
  <c r="AA118" i="14" s="1"/>
  <c r="F140" i="14"/>
  <c r="H179" i="14"/>
  <c r="F175" i="14"/>
  <c r="F174" i="14"/>
  <c r="BC148" i="19"/>
  <c r="AA8" i="14"/>
  <c r="AA98" i="14" s="1"/>
  <c r="Z12" i="14"/>
  <c r="Z102" i="14" s="1"/>
  <c r="Z39" i="14"/>
  <c r="Y53" i="14"/>
  <c r="AA53" i="14" s="1"/>
  <c r="Z9" i="14"/>
  <c r="Z99" i="14" s="1"/>
  <c r="AJ81" i="14"/>
  <c r="Y9" i="14"/>
  <c r="M102" i="14"/>
  <c r="Y10" i="14"/>
  <c r="X5" i="14"/>
  <c r="X95" i="14" s="1"/>
  <c r="AA30" i="14"/>
  <c r="N100" i="14"/>
  <c r="V5" i="14"/>
  <c r="V95" i="14" s="1"/>
  <c r="Y106" i="14"/>
  <c r="K50" i="14"/>
  <c r="Y50" i="14" s="1"/>
  <c r="V51" i="14"/>
  <c r="AX141" i="14" s="1"/>
  <c r="AN146" i="14"/>
  <c r="BB161" i="14"/>
  <c r="AS187" i="14"/>
  <c r="Q142" i="14"/>
  <c r="AV185" i="14"/>
  <c r="T140" i="14"/>
  <c r="AU189" i="14"/>
  <c r="S144" i="14"/>
  <c r="AJ191" i="14"/>
  <c r="H146" i="14"/>
  <c r="BA196" i="14"/>
  <c r="BA151" i="14"/>
  <c r="Y151" i="14"/>
  <c r="AA196" i="14"/>
  <c r="W145" i="14"/>
  <c r="Z26" i="20" s="1"/>
  <c r="Z208" i="14"/>
  <c r="N145" i="14"/>
  <c r="Q26" i="20" s="1"/>
  <c r="H176" i="14"/>
  <c r="Y117" i="14"/>
  <c r="AA23" i="14"/>
  <c r="AA113" i="14" s="1"/>
  <c r="H5" i="14"/>
  <c r="H95" i="14" s="1"/>
  <c r="L97" i="14"/>
  <c r="L5" i="14"/>
  <c r="Y52" i="14"/>
  <c r="AA52" i="14" s="1"/>
  <c r="Y57" i="14"/>
  <c r="BA147" i="14" s="1"/>
  <c r="AK147" i="14"/>
  <c r="AQ187" i="14"/>
  <c r="AQ142" i="14"/>
  <c r="U142" i="14"/>
  <c r="AW187" i="14"/>
  <c r="AS188" i="14"/>
  <c r="AS143" i="14"/>
  <c r="Q143" i="14"/>
  <c r="AI189" i="14"/>
  <c r="G144" i="14"/>
  <c r="AR189" i="14"/>
  <c r="P144" i="14"/>
  <c r="AR144" i="14"/>
  <c r="AK189" i="14"/>
  <c r="AK144" i="14"/>
  <c r="AN191" i="14"/>
  <c r="AW191" i="14"/>
  <c r="AI192" i="14"/>
  <c r="I147" i="14"/>
  <c r="BB155" i="14"/>
  <c r="Z155" i="14"/>
  <c r="BB206" i="14"/>
  <c r="BA214" i="14"/>
  <c r="AA214" i="14"/>
  <c r="BA169" i="14"/>
  <c r="Y169" i="14"/>
  <c r="S230" i="14"/>
  <c r="J97" i="14"/>
  <c r="J5" i="14"/>
  <c r="J95" i="14" s="1"/>
  <c r="AK187" i="14"/>
  <c r="I185" i="14"/>
  <c r="I142" i="14"/>
  <c r="M140" i="14"/>
  <c r="AO140" i="14"/>
  <c r="AN187" i="14"/>
  <c r="AN142" i="14"/>
  <c r="L142" i="14"/>
  <c r="AP188" i="14"/>
  <c r="AP143" i="14"/>
  <c r="AP189" i="14"/>
  <c r="Z189" i="14"/>
  <c r="AY189" i="14"/>
  <c r="W144" i="14"/>
  <c r="AT191" i="14"/>
  <c r="R146" i="14"/>
  <c r="AT146" i="14"/>
  <c r="AZ146" i="14"/>
  <c r="X146" i="14"/>
  <c r="N230" i="14"/>
  <c r="R127" i="16"/>
  <c r="Z37" i="16"/>
  <c r="Y207" i="16"/>
  <c r="AL207" i="16"/>
  <c r="AL159" i="16"/>
  <c r="J191" i="16"/>
  <c r="T102" i="16"/>
  <c r="T6" i="16"/>
  <c r="Y98" i="16"/>
  <c r="AA8" i="16"/>
  <c r="AA98" i="16" s="1"/>
  <c r="AS163" i="19"/>
  <c r="AS208" i="19"/>
  <c r="AO171" i="16"/>
  <c r="AO216" i="16"/>
  <c r="F51" i="16"/>
  <c r="Z193" i="16"/>
  <c r="BB163" i="16"/>
  <c r="AA216" i="19"/>
  <c r="Y6" i="19"/>
  <c r="T147" i="19"/>
  <c r="BA173" i="19"/>
  <c r="T186" i="19"/>
  <c r="S141" i="16"/>
  <c r="Z12" i="16"/>
  <c r="J192" i="16"/>
  <c r="Z208" i="19"/>
  <c r="R192" i="16"/>
  <c r="AT163" i="16"/>
  <c r="Y205" i="16"/>
  <c r="AL205" i="16"/>
  <c r="AA50" i="19"/>
  <c r="AA39" i="19"/>
  <c r="AB39" i="19" s="1"/>
  <c r="J236" i="19"/>
  <c r="AL204" i="19"/>
  <c r="AO185" i="19"/>
  <c r="Z185" i="19"/>
  <c r="AK185" i="19"/>
  <c r="Y185" i="19"/>
  <c r="K51" i="16"/>
  <c r="K101" i="16"/>
  <c r="Y81" i="14"/>
  <c r="AA81" i="14" s="1"/>
  <c r="T147" i="16"/>
  <c r="F82" i="11"/>
  <c r="F81" i="11"/>
  <c r="Y204" i="16"/>
  <c r="Q192" i="19"/>
  <c r="V96" i="16"/>
  <c r="BA144" i="16"/>
  <c r="Y144" i="16"/>
  <c r="BC198" i="16"/>
  <c r="AA153" i="16"/>
  <c r="BC197" i="16"/>
  <c r="AA152" i="16"/>
  <c r="AA188" i="16"/>
  <c r="BA143" i="16"/>
  <c r="N140" i="16"/>
  <c r="Y114" i="16"/>
  <c r="R192" i="19"/>
  <c r="AT163" i="19"/>
  <c r="M95" i="16"/>
  <c r="K231" i="19"/>
  <c r="AX208" i="16"/>
  <c r="V192" i="16"/>
  <c r="AA187" i="19"/>
  <c r="BB187" i="19"/>
  <c r="BB142" i="19"/>
  <c r="AA189" i="19"/>
  <c r="BB144" i="19"/>
  <c r="Z144" i="19"/>
  <c r="P100" i="19"/>
  <c r="P6" i="19"/>
  <c r="J191" i="19"/>
  <c r="Y205" i="19"/>
  <c r="AL205" i="19"/>
  <c r="S96" i="19"/>
  <c r="S141" i="19"/>
  <c r="Z232" i="19"/>
  <c r="Y53" i="16"/>
  <c r="AA53" i="16" s="1"/>
  <c r="Q5" i="16"/>
  <c r="Q95" i="16" s="1"/>
  <c r="K5" i="16"/>
  <c r="K95" i="16" s="1"/>
  <c r="O97" i="16"/>
  <c r="O5" i="16"/>
  <c r="O95" i="16" s="1"/>
  <c r="W97" i="16"/>
  <c r="W5" i="16"/>
  <c r="W95" i="16" s="1"/>
  <c r="W51" i="16"/>
  <c r="AY141" i="16" s="1"/>
  <c r="AI157" i="16"/>
  <c r="G55" i="16"/>
  <c r="AA68" i="16"/>
  <c r="AS185" i="16"/>
  <c r="Q140" i="16"/>
  <c r="AS140" i="16"/>
  <c r="K142" i="16"/>
  <c r="AM142" i="16"/>
  <c r="AM187" i="16"/>
  <c r="K185" i="16"/>
  <c r="O185" i="16"/>
  <c r="M143" i="16"/>
  <c r="AO143" i="16"/>
  <c r="AP189" i="16"/>
  <c r="AP144" i="16"/>
  <c r="N144" i="16"/>
  <c r="Z189" i="16"/>
  <c r="AS189" i="16"/>
  <c r="AS144" i="16"/>
  <c r="BA149" i="16"/>
  <c r="Y149" i="16"/>
  <c r="X230" i="16"/>
  <c r="Z232" i="16"/>
  <c r="AA170" i="16"/>
  <c r="J249" i="16"/>
  <c r="Z55" i="16"/>
  <c r="AA16" i="16"/>
  <c r="AA106" i="16" s="1"/>
  <c r="Z9" i="16"/>
  <c r="Z99" i="16" s="1"/>
  <c r="Y9" i="16"/>
  <c r="Y7" i="16"/>
  <c r="J11" i="16"/>
  <c r="O51" i="16"/>
  <c r="AA43" i="16"/>
  <c r="AB43" i="16" s="1"/>
  <c r="M97" i="16"/>
  <c r="Z7" i="16"/>
  <c r="Z97" i="16" s="1"/>
  <c r="U97" i="16"/>
  <c r="U5" i="16"/>
  <c r="U95" i="16" s="1"/>
  <c r="AY185" i="16"/>
  <c r="W140" i="16"/>
  <c r="S142" i="16"/>
  <c r="AU142" i="16"/>
  <c r="AX188" i="16"/>
  <c r="AX143" i="16"/>
  <c r="I185" i="16"/>
  <c r="AK144" i="16"/>
  <c r="AK189" i="16"/>
  <c r="BB211" i="16"/>
  <c r="Z166" i="16"/>
  <c r="Y233" i="16"/>
  <c r="O230" i="16"/>
  <c r="L140" i="19"/>
  <c r="AN185" i="19"/>
  <c r="AN140" i="19"/>
  <c r="V230" i="19"/>
  <c r="O100" i="16"/>
  <c r="M98" i="16"/>
  <c r="AA34" i="16"/>
  <c r="AA124" i="16" s="1"/>
  <c r="G230" i="19"/>
  <c r="Y232" i="16"/>
  <c r="AA232" i="16" s="1"/>
  <c r="AA31" i="16"/>
  <c r="AA121" i="16" s="1"/>
  <c r="AT148" i="16"/>
  <c r="S97" i="16"/>
  <c r="S5" i="16"/>
  <c r="S95" i="16" s="1"/>
  <c r="N103" i="16"/>
  <c r="Z107" i="16"/>
  <c r="AA17" i="16"/>
  <c r="AA107" i="16" s="1"/>
  <c r="G50" i="16"/>
  <c r="Y50" i="16" s="1"/>
  <c r="Y52" i="16"/>
  <c r="AA52" i="16" s="1"/>
  <c r="Y57" i="16"/>
  <c r="Y102" i="16" s="1"/>
  <c r="AH140" i="16"/>
  <c r="F140" i="16"/>
  <c r="AH144" i="16"/>
  <c r="F144" i="16"/>
  <c r="AV189" i="16"/>
  <c r="T185" i="16"/>
  <c r="AV144" i="16"/>
  <c r="AI193" i="16"/>
  <c r="AI148" i="16"/>
  <c r="G148" i="16"/>
  <c r="G186" i="16"/>
  <c r="AX193" i="16"/>
  <c r="V148" i="16"/>
  <c r="AR193" i="16"/>
  <c r="AR148" i="16"/>
  <c r="P148" i="16"/>
  <c r="P186" i="16"/>
  <c r="BB204" i="16"/>
  <c r="BB159" i="16"/>
  <c r="BB209" i="16"/>
  <c r="BB164" i="16"/>
  <c r="N230" i="16"/>
  <c r="W230" i="16"/>
  <c r="U230" i="16"/>
  <c r="Q230" i="16"/>
  <c r="AR140" i="19"/>
  <c r="AR185" i="19"/>
  <c r="R230" i="19"/>
  <c r="Y234" i="19"/>
  <c r="AA234" i="19" s="1"/>
  <c r="I97" i="16"/>
  <c r="I5" i="16"/>
  <c r="AN185" i="16"/>
  <c r="L140" i="16"/>
  <c r="AN140" i="16"/>
  <c r="AQ188" i="16"/>
  <c r="AQ143" i="16"/>
  <c r="O143" i="16"/>
  <c r="AJ146" i="16"/>
  <c r="H146" i="16"/>
  <c r="O186" i="16"/>
  <c r="AQ192" i="16"/>
  <c r="AQ147" i="16"/>
  <c r="O147" i="16"/>
  <c r="AN189" i="19"/>
  <c r="M230" i="16"/>
  <c r="AL142" i="16"/>
  <c r="AP142" i="16"/>
  <c r="AT142" i="16"/>
  <c r="AX142" i="16"/>
  <c r="R143" i="16"/>
  <c r="X143" i="16"/>
  <c r="V144" i="16"/>
  <c r="M146" i="16"/>
  <c r="U146" i="16"/>
  <c r="AO146" i="16"/>
  <c r="AW146" i="16"/>
  <c r="N147" i="16"/>
  <c r="BB152" i="16"/>
  <c r="Z155" i="16"/>
  <c r="Y168" i="16"/>
  <c r="BA168" i="16"/>
  <c r="Z176" i="16"/>
  <c r="I186" i="16"/>
  <c r="AA19" i="19"/>
  <c r="AA109" i="19" s="1"/>
  <c r="AA32" i="19"/>
  <c r="AA122" i="19" s="1"/>
  <c r="Y124" i="19"/>
  <c r="J142" i="16"/>
  <c r="N142" i="16"/>
  <c r="R142" i="16"/>
  <c r="V142" i="16"/>
  <c r="AI142" i="16"/>
  <c r="H143" i="16"/>
  <c r="AT143" i="16"/>
  <c r="H144" i="16"/>
  <c r="P144" i="16"/>
  <c r="BB155" i="16"/>
  <c r="BB175" i="16"/>
  <c r="H185" i="16"/>
  <c r="X185" i="16"/>
  <c r="U5" i="19"/>
  <c r="Q186" i="21"/>
  <c r="BC187" i="21"/>
  <c r="AA142" i="21"/>
  <c r="J191" i="21"/>
  <c r="AL205" i="21"/>
  <c r="AT156" i="21"/>
  <c r="AL207" i="21"/>
  <c r="AL162" i="21"/>
  <c r="J192" i="21"/>
  <c r="Y207" i="21"/>
  <c r="L186" i="21"/>
  <c r="L147" i="21"/>
  <c r="J29" i="20" s="1"/>
  <c r="X148" i="21"/>
  <c r="AZ148" i="21"/>
  <c r="W145" i="21"/>
  <c r="AA204" i="21"/>
  <c r="Y159" i="21"/>
  <c r="K191" i="21"/>
  <c r="AM160" i="21"/>
  <c r="Z115" i="21"/>
  <c r="BB160" i="21"/>
  <c r="AA66" i="21"/>
  <c r="R145" i="21"/>
  <c r="U29" i="20" s="1"/>
  <c r="AT190" i="21"/>
  <c r="U44" i="20" s="1"/>
  <c r="U59" i="20" s="1"/>
  <c r="BA160" i="21"/>
  <c r="BC200" i="21"/>
  <c r="AA155" i="21"/>
  <c r="BC155" i="21"/>
  <c r="AZ210" i="21"/>
  <c r="Z210" i="21"/>
  <c r="T186" i="21"/>
  <c r="T145" i="21"/>
  <c r="W29" i="20" s="1"/>
  <c r="AZ145" i="21"/>
  <c r="J51" i="21"/>
  <c r="J101" i="21"/>
  <c r="BB179" i="21"/>
  <c r="AA89" i="21"/>
  <c r="AR185" i="21"/>
  <c r="P140" i="21"/>
  <c r="BA189" i="21"/>
  <c r="BA144" i="21"/>
  <c r="BB188" i="21"/>
  <c r="BB143" i="21"/>
  <c r="Z143" i="21"/>
  <c r="AA188" i="21"/>
  <c r="F56" i="21"/>
  <c r="Q235" i="21"/>
  <c r="T72" i="20" s="1"/>
  <c r="AS219" i="21"/>
  <c r="M6" i="21"/>
  <c r="M100" i="21"/>
  <c r="H97" i="21"/>
  <c r="H5" i="21"/>
  <c r="Q98" i="21"/>
  <c r="Q5" i="21"/>
  <c r="Q95" i="21" s="1"/>
  <c r="Z8" i="21"/>
  <c r="Z98" i="21" s="1"/>
  <c r="H112" i="21"/>
  <c r="H157" i="21"/>
  <c r="H247" i="21"/>
  <c r="Y118" i="21"/>
  <c r="Y121" i="21"/>
  <c r="AA31" i="21"/>
  <c r="AA121" i="21" s="1"/>
  <c r="Y38" i="21"/>
  <c r="K128" i="21"/>
  <c r="AA40" i="21"/>
  <c r="Y130" i="21"/>
  <c r="AR145" i="21"/>
  <c r="Y22" i="21"/>
  <c r="L5" i="21"/>
  <c r="F103" i="21"/>
  <c r="Y13" i="21"/>
  <c r="Y103" i="21" s="1"/>
  <c r="J103" i="21"/>
  <c r="J6" i="21"/>
  <c r="O103" i="21"/>
  <c r="Z13" i="21"/>
  <c r="Z108" i="21"/>
  <c r="AA18" i="21"/>
  <c r="AA108" i="21" s="1"/>
  <c r="R12" i="21"/>
  <c r="R253" i="21"/>
  <c r="R237" i="21" s="1"/>
  <c r="R231" i="21" s="1"/>
  <c r="Z28" i="21"/>
  <c r="Z118" i="21" s="1"/>
  <c r="V12" i="21"/>
  <c r="V208" i="21"/>
  <c r="V253" i="21"/>
  <c r="V237" i="21" s="1"/>
  <c r="V231" i="21" s="1"/>
  <c r="Y123" i="21"/>
  <c r="AA33" i="21"/>
  <c r="AA123" i="21" s="1"/>
  <c r="Y124" i="21"/>
  <c r="AA34" i="21"/>
  <c r="AA124" i="21" s="1"/>
  <c r="F127" i="21"/>
  <c r="Y37" i="21"/>
  <c r="Z37" i="21"/>
  <c r="Z127" i="21" s="1"/>
  <c r="R208" i="21"/>
  <c r="I129" i="21"/>
  <c r="AA25" i="21"/>
  <c r="AA115" i="21" s="1"/>
  <c r="AY201" i="21"/>
  <c r="W235" i="21"/>
  <c r="W231" i="21" s="1"/>
  <c r="AY186" i="21" s="1"/>
  <c r="M127" i="21"/>
  <c r="I140" i="21"/>
  <c r="AK185" i="21"/>
  <c r="AZ146" i="21"/>
  <c r="X51" i="21"/>
  <c r="S98" i="21"/>
  <c r="S5" i="21"/>
  <c r="S95" i="21" s="1"/>
  <c r="Z11" i="21"/>
  <c r="O101" i="21"/>
  <c r="O6" i="21"/>
  <c r="Y52" i="21"/>
  <c r="AA52" i="21" s="1"/>
  <c r="Z56" i="21"/>
  <c r="BB146" i="21" s="1"/>
  <c r="O127" i="21"/>
  <c r="Y11" i="21"/>
  <c r="AM218" i="21"/>
  <c r="Y156" i="21"/>
  <c r="F97" i="21"/>
  <c r="L98" i="21"/>
  <c r="AA45" i="21"/>
  <c r="AA135" i="21" s="1"/>
  <c r="T237" i="21"/>
  <c r="AV192" i="21" s="1"/>
  <c r="AV208" i="21"/>
  <c r="AO201" i="21"/>
  <c r="AO219" i="21"/>
  <c r="AO218" i="21"/>
  <c r="Y7" i="21"/>
  <c r="X5" i="21"/>
  <c r="X95" i="21" s="1"/>
  <c r="AQ145" i="21"/>
  <c r="O100" i="21"/>
  <c r="H103" i="21"/>
  <c r="H6" i="21"/>
  <c r="Z109" i="21"/>
  <c r="AA19" i="21"/>
  <c r="AA109" i="21" s="1"/>
  <c r="Z27" i="21"/>
  <c r="M252" i="21"/>
  <c r="M237" i="21" s="1"/>
  <c r="M207" i="21"/>
  <c r="Y133" i="21"/>
  <c r="AA43" i="21"/>
  <c r="X50" i="21"/>
  <c r="Z53" i="21"/>
  <c r="AA53" i="21" s="1"/>
  <c r="N50" i="21"/>
  <c r="Z50" i="21" s="1"/>
  <c r="S50" i="21"/>
  <c r="Z54" i="21"/>
  <c r="AA54" i="21" s="1"/>
  <c r="Q50" i="21"/>
  <c r="AJ177" i="21"/>
  <c r="AJ157" i="21"/>
  <c r="N185" i="21"/>
  <c r="AH185" i="21"/>
  <c r="AH140" i="21"/>
  <c r="F140" i="21"/>
  <c r="AL185" i="21"/>
  <c r="J140" i="21"/>
  <c r="AL140" i="21"/>
  <c r="AT185" i="21"/>
  <c r="R140" i="21"/>
  <c r="AT140" i="21"/>
  <c r="AX144" i="21"/>
  <c r="V185" i="21"/>
  <c r="AX189" i="21"/>
  <c r="V144" i="21"/>
  <c r="G147" i="21"/>
  <c r="AI192" i="21"/>
  <c r="AI147" i="21"/>
  <c r="AH148" i="21"/>
  <c r="AH193" i="21"/>
  <c r="F148" i="21"/>
  <c r="F156" i="21"/>
  <c r="T101" i="21"/>
  <c r="J5" i="21"/>
  <c r="J95" i="21" s="1"/>
  <c r="F10" i="21"/>
  <c r="AP144" i="21"/>
  <c r="AP189" i="21"/>
  <c r="N144" i="21"/>
  <c r="P186" i="21"/>
  <c r="AR147" i="21"/>
  <c r="AR192" i="21"/>
  <c r="U148" i="21"/>
  <c r="AW193" i="21"/>
  <c r="K190" i="21"/>
  <c r="I12" i="20" s="1"/>
  <c r="AM156" i="21"/>
  <c r="H55" i="21"/>
  <c r="AJ156" i="21"/>
  <c r="K185" i="21"/>
  <c r="Y185" i="21" s="1"/>
  <c r="AM189" i="21"/>
  <c r="AM144" i="21"/>
  <c r="N186" i="21"/>
  <c r="AP190" i="21"/>
  <c r="Q44" i="20" s="1"/>
  <c r="Q59" i="20" s="1"/>
  <c r="N147" i="21"/>
  <c r="AP192" i="21"/>
  <c r="AP147" i="21"/>
  <c r="AL148" i="21"/>
  <c r="AL193" i="21"/>
  <c r="J148" i="21"/>
  <c r="F246" i="21"/>
  <c r="AA63" i="21"/>
  <c r="AI146" i="21"/>
  <c r="G146" i="21"/>
  <c r="AI191" i="21"/>
  <c r="AK147" i="21"/>
  <c r="AK192" i="21"/>
  <c r="H148" i="21"/>
  <c r="AJ193" i="21"/>
  <c r="AJ148" i="21"/>
  <c r="M233" i="21"/>
  <c r="X51" i="19"/>
  <c r="F55" i="19"/>
  <c r="AA69" i="20"/>
  <c r="AZ190" i="14"/>
  <c r="AA41" i="20" s="1"/>
  <c r="U201" i="5"/>
  <c r="U246" i="5"/>
  <c r="AQ190" i="5"/>
  <c r="R38" i="20" s="1"/>
  <c r="R120" i="20" s="1"/>
  <c r="R6" i="20"/>
  <c r="L209" i="5"/>
  <c r="L254" i="5"/>
  <c r="L237" i="5" s="1"/>
  <c r="U201" i="19"/>
  <c r="U246" i="19"/>
  <c r="P71" i="20"/>
  <c r="P70" i="20"/>
  <c r="AO190" i="16"/>
  <c r="P42" i="20" s="1"/>
  <c r="J51" i="19"/>
  <c r="H55" i="19"/>
  <c r="Z11" i="20"/>
  <c r="Z58" i="20" s="1"/>
  <c r="BB161" i="21"/>
  <c r="N230" i="21"/>
  <c r="H230" i="21"/>
  <c r="G55" i="19"/>
  <c r="AY190" i="14"/>
  <c r="Z41" i="20" s="1"/>
  <c r="Z56" i="20" s="1"/>
  <c r="AA67" i="20"/>
  <c r="G66" i="20"/>
  <c r="AK190" i="5"/>
  <c r="G38" i="20" s="1"/>
  <c r="G53" i="20" s="1"/>
  <c r="R201" i="19"/>
  <c r="R246" i="19"/>
  <c r="I71" i="20"/>
  <c r="AM190" i="19"/>
  <c r="I43" i="20" s="1"/>
  <c r="I125" i="20" s="1"/>
  <c r="AX190" i="16"/>
  <c r="Y42" i="20" s="1"/>
  <c r="Y124" i="20" s="1"/>
  <c r="Y10" i="20"/>
  <c r="AK190" i="16"/>
  <c r="G42" i="20" s="1"/>
  <c r="G10" i="20"/>
  <c r="F230" i="21"/>
  <c r="W233" i="21"/>
  <c r="W230" i="21" s="1"/>
  <c r="AM219" i="21"/>
  <c r="K235" i="21"/>
  <c r="L235" i="16"/>
  <c r="E66" i="20"/>
  <c r="AI190" i="5"/>
  <c r="E38" i="20" s="1"/>
  <c r="E53" i="20" s="1"/>
  <c r="AI190" i="19"/>
  <c r="E43" i="20" s="1"/>
  <c r="E125" i="20" s="1"/>
  <c r="E11" i="20"/>
  <c r="AI190" i="11"/>
  <c r="E40" i="20" s="1"/>
  <c r="E8" i="20"/>
  <c r="Y190" i="11"/>
  <c r="Y190" i="19"/>
  <c r="L235" i="14"/>
  <c r="G69" i="20"/>
  <c r="S235" i="5"/>
  <c r="T201" i="5"/>
  <c r="T246" i="5"/>
  <c r="M235" i="5"/>
  <c r="AN192" i="16"/>
  <c r="J42" i="20" s="1"/>
  <c r="J124" i="20" s="1"/>
  <c r="J10" i="20"/>
  <c r="H10" i="20"/>
  <c r="AL190" i="16"/>
  <c r="H42" i="20" s="1"/>
  <c r="F10" i="20"/>
  <c r="AH190" i="16"/>
  <c r="D42" i="20" s="1"/>
  <c r="Y190" i="16"/>
  <c r="AV190" i="14"/>
  <c r="W41" i="20" s="1"/>
  <c r="W123" i="20" s="1"/>
  <c r="W9" i="20"/>
  <c r="P9" i="20"/>
  <c r="I8" i="20"/>
  <c r="AM190" i="11"/>
  <c r="I40" i="20" s="1"/>
  <c r="I122" i="20" s="1"/>
  <c r="L235" i="10"/>
  <c r="K235" i="5"/>
  <c r="Y235" i="5" s="1"/>
  <c r="AJ190" i="5"/>
  <c r="F38" i="20" s="1"/>
  <c r="Q235" i="5"/>
  <c r="T235" i="19"/>
  <c r="AS190" i="19"/>
  <c r="T43" i="20" s="1"/>
  <c r="P10" i="20"/>
  <c r="M145" i="16"/>
  <c r="P27" i="20" s="1"/>
  <c r="AW190" i="14"/>
  <c r="X41" i="20" s="1"/>
  <c r="X123" i="20" s="1"/>
  <c r="X9" i="20"/>
  <c r="AQ190" i="14"/>
  <c r="R41" i="20" s="1"/>
  <c r="R56" i="20" s="1"/>
  <c r="R69" i="20"/>
  <c r="AO190" i="11"/>
  <c r="P40" i="20" s="1"/>
  <c r="P55" i="20" s="1"/>
  <c r="P68" i="20"/>
  <c r="L235" i="19"/>
  <c r="M145" i="14"/>
  <c r="P26" i="20" s="1"/>
  <c r="W235" i="16"/>
  <c r="W235" i="11"/>
  <c r="R235" i="5"/>
  <c r="AT190" i="5" s="1"/>
  <c r="U38" i="20" s="1"/>
  <c r="U53" i="20" s="1"/>
  <c r="P246" i="5"/>
  <c r="P201" i="5"/>
  <c r="AP190" i="5"/>
  <c r="Q38" i="20" s="1"/>
  <c r="Q120" i="20" s="1"/>
  <c r="Q6" i="20"/>
  <c r="AV190" i="19"/>
  <c r="W43" i="20" s="1"/>
  <c r="W125" i="20" s="1"/>
  <c r="AQ190" i="19"/>
  <c r="AO190" i="19"/>
  <c r="P43" i="20" s="1"/>
  <c r="M145" i="19"/>
  <c r="P28" i="20" s="1"/>
  <c r="AK190" i="19"/>
  <c r="G43" i="20" s="1"/>
  <c r="AP190" i="16"/>
  <c r="Q42" i="20" s="1"/>
  <c r="Q57" i="20" s="1"/>
  <c r="Q70" i="20"/>
  <c r="G247" i="16"/>
  <c r="D10" i="20"/>
  <c r="D9" i="20"/>
  <c r="AH190" i="14"/>
  <c r="D41" i="20" s="1"/>
  <c r="AP190" i="10"/>
  <c r="Q39" i="20" s="1"/>
  <c r="Q54" i="20" s="1"/>
  <c r="AJ190" i="14"/>
  <c r="F41" i="20" s="1"/>
  <c r="E9" i="20"/>
  <c r="AI190" i="14"/>
  <c r="E41" i="20" s="1"/>
  <c r="D8" i="20"/>
  <c r="Q201" i="5"/>
  <c r="L209" i="19"/>
  <c r="L254" i="19"/>
  <c r="L237" i="19" s="1"/>
  <c r="V235" i="19"/>
  <c r="H247" i="19"/>
  <c r="F246" i="19"/>
  <c r="U201" i="16"/>
  <c r="R201" i="16"/>
  <c r="P235" i="16"/>
  <c r="AQ190" i="16"/>
  <c r="R42" i="20" s="1"/>
  <c r="R57" i="20" s="1"/>
  <c r="K235" i="16"/>
  <c r="T235" i="11"/>
  <c r="P22" i="11"/>
  <c r="P201" i="11"/>
  <c r="P246" i="11"/>
  <c r="AK190" i="11"/>
  <c r="G40" i="20" s="1"/>
  <c r="G8" i="20"/>
  <c r="F7" i="20"/>
  <c r="AJ190" i="10"/>
  <c r="F39" i="20" s="1"/>
  <c r="Y190" i="5"/>
  <c r="V235" i="5"/>
  <c r="L237" i="16"/>
  <c r="U235" i="16"/>
  <c r="R235" i="16"/>
  <c r="H126" i="16"/>
  <c r="H246" i="16"/>
  <c r="L237" i="11"/>
  <c r="W8" i="20"/>
  <c r="F8" i="20"/>
  <c r="AI190" i="10"/>
  <c r="E39" i="20" s="1"/>
  <c r="E121" i="20" s="1"/>
  <c r="E7" i="20"/>
  <c r="N235" i="14"/>
  <c r="K235" i="14"/>
  <c r="Y235" i="14" s="1"/>
  <c r="AB69" i="20" s="1"/>
  <c r="AT190" i="11"/>
  <c r="U40" i="20" s="1"/>
  <c r="U55" i="20" s="1"/>
  <c r="U235" i="10"/>
  <c r="AT190" i="10"/>
  <c r="U39" i="20" s="1"/>
  <c r="U54" i="20" s="1"/>
  <c r="AL190" i="10"/>
  <c r="H39" i="20" s="1"/>
  <c r="H121" i="20" s="1"/>
  <c r="R237" i="19"/>
  <c r="H235" i="11"/>
  <c r="G42" i="11"/>
  <c r="G36" i="11"/>
  <c r="AX190" i="10"/>
  <c r="Y39" i="20" s="1"/>
  <c r="Y54" i="20" s="1"/>
  <c r="Q246" i="10"/>
  <c r="Q201" i="10"/>
  <c r="P201" i="10"/>
  <c r="P246" i="10"/>
  <c r="F190" i="10"/>
  <c r="X237" i="5"/>
  <c r="AZ192" i="5" s="1"/>
  <c r="T237" i="5"/>
  <c r="AV192" i="5" s="1"/>
  <c r="X237" i="11"/>
  <c r="Z237" i="11"/>
  <c r="K55" i="20" s="1"/>
  <c r="K107" i="20" s="1"/>
  <c r="G126" i="19"/>
  <c r="M246" i="14"/>
  <c r="L209" i="11"/>
  <c r="L254" i="11"/>
  <c r="V235" i="11"/>
  <c r="O235" i="11"/>
  <c r="J235" i="11"/>
  <c r="F37" i="11"/>
  <c r="F36" i="11"/>
  <c r="F246" i="11"/>
  <c r="H7" i="20"/>
  <c r="AH190" i="5"/>
  <c r="D6" i="20"/>
  <c r="Z237" i="14"/>
  <c r="K56" i="20" s="1"/>
  <c r="K108" i="20" s="1"/>
  <c r="L237" i="10"/>
  <c r="S237" i="5"/>
  <c r="P237" i="5"/>
  <c r="X237" i="19"/>
  <c r="W237" i="19"/>
  <c r="U237" i="16"/>
  <c r="AW192" i="16" s="1"/>
  <c r="Y237" i="16"/>
  <c r="L57" i="20" s="1"/>
  <c r="L109" i="20" s="1"/>
  <c r="R237" i="5"/>
  <c r="AT192" i="5" s="1"/>
  <c r="V237" i="10"/>
  <c r="V231" i="10" s="1"/>
  <c r="Y237" i="10"/>
  <c r="L54" i="20" s="1"/>
  <c r="L106" i="20" s="1"/>
  <c r="Y237" i="5"/>
  <c r="L53" i="20" s="1"/>
  <c r="L105" i="20" s="1"/>
  <c r="O237" i="5"/>
  <c r="Z237" i="5" s="1"/>
  <c r="K53" i="20" s="1"/>
  <c r="K105" i="20" s="1"/>
  <c r="X237" i="16"/>
  <c r="J237" i="19"/>
  <c r="AL192" i="19" s="1"/>
  <c r="J237" i="14"/>
  <c r="AL192" i="14" s="1"/>
  <c r="AA180" i="19" l="1"/>
  <c r="BC180" i="19"/>
  <c r="AA178" i="19"/>
  <c r="BC178" i="19"/>
  <c r="BC223" i="19"/>
  <c r="AA178" i="14"/>
  <c r="BC178" i="14"/>
  <c r="BC223" i="14"/>
  <c r="AA131" i="16"/>
  <c r="AB41" i="16"/>
  <c r="AA130" i="16"/>
  <c r="AB40" i="16"/>
  <c r="Z128" i="19"/>
  <c r="AA179" i="21"/>
  <c r="U126" i="20"/>
  <c r="T125" i="20"/>
  <c r="Z55" i="21"/>
  <c r="P100" i="21"/>
  <c r="X145" i="21"/>
  <c r="AA29" i="20" s="1"/>
  <c r="Z10" i="16"/>
  <c r="AA10" i="16" s="1"/>
  <c r="Z111" i="16"/>
  <c r="X6" i="16"/>
  <c r="X96" i="16" s="1"/>
  <c r="AA111" i="19"/>
  <c r="AA157" i="19"/>
  <c r="AA38" i="19"/>
  <c r="X235" i="19"/>
  <c r="X231" i="19" s="1"/>
  <c r="AZ219" i="19"/>
  <c r="X129" i="16"/>
  <c r="Z39" i="16"/>
  <c r="BB179" i="16"/>
  <c r="Z134" i="16"/>
  <c r="AL190" i="19"/>
  <c r="H43" i="20" s="1"/>
  <c r="H125" i="20" s="1"/>
  <c r="AV145" i="21"/>
  <c r="W12" i="20"/>
  <c r="X235" i="21"/>
  <c r="AZ201" i="21"/>
  <c r="AZ219" i="21"/>
  <c r="AR190" i="21"/>
  <c r="S44" i="20" s="1"/>
  <c r="S59" i="20" s="1"/>
  <c r="R100" i="19"/>
  <c r="R6" i="19"/>
  <c r="R96" i="19" s="1"/>
  <c r="Z111" i="19"/>
  <c r="AS219" i="19"/>
  <c r="AS174" i="19"/>
  <c r="AZ174" i="19"/>
  <c r="Z219" i="19"/>
  <c r="AA11" i="20"/>
  <c r="X145" i="19"/>
  <c r="AA28" i="20" s="1"/>
  <c r="AZ145" i="19"/>
  <c r="AA10" i="19"/>
  <c r="AD11" i="19" s="1"/>
  <c r="X190" i="16"/>
  <c r="AZ201" i="16"/>
  <c r="AZ156" i="16"/>
  <c r="P96" i="14"/>
  <c r="AA9" i="20"/>
  <c r="AA56" i="20" s="1"/>
  <c r="X186" i="14"/>
  <c r="X141" i="14" s="1"/>
  <c r="AZ145" i="14"/>
  <c r="X145" i="14"/>
  <c r="AA26" i="20" s="1"/>
  <c r="AA123" i="20" s="1"/>
  <c r="AA54" i="14"/>
  <c r="BB173" i="14"/>
  <c r="AA55" i="14"/>
  <c r="BA159" i="11"/>
  <c r="AA236" i="21"/>
  <c r="AA219" i="21"/>
  <c r="BC219" i="21" s="1"/>
  <c r="J126" i="20"/>
  <c r="Y56" i="20"/>
  <c r="Y108" i="20" s="1"/>
  <c r="P126" i="20"/>
  <c r="P124" i="20"/>
  <c r="AF105" i="20"/>
  <c r="K132" i="20"/>
  <c r="Z123" i="20"/>
  <c r="AG105" i="20"/>
  <c r="L132" i="20"/>
  <c r="AF107" i="20"/>
  <c r="K134" i="20"/>
  <c r="AF108" i="20"/>
  <c r="K135" i="20"/>
  <c r="AG109" i="20"/>
  <c r="L136" i="20"/>
  <c r="Q121" i="20"/>
  <c r="AG106" i="20"/>
  <c r="L133" i="20"/>
  <c r="G126" i="20"/>
  <c r="P125" i="20"/>
  <c r="S72" i="20"/>
  <c r="AQ141" i="21"/>
  <c r="R126" i="20"/>
  <c r="BB219" i="21"/>
  <c r="BB174" i="21"/>
  <c r="AR141" i="19"/>
  <c r="AR190" i="19"/>
  <c r="S43" i="20" s="1"/>
  <c r="S125" i="20" s="1"/>
  <c r="S71" i="20"/>
  <c r="R124" i="20"/>
  <c r="R43" i="20"/>
  <c r="R125" i="20" s="1"/>
  <c r="R127" i="20"/>
  <c r="AM205" i="21"/>
  <c r="G126" i="21"/>
  <c r="K231" i="21"/>
  <c r="I72" i="20"/>
  <c r="AL190" i="21"/>
  <c r="H44" i="20" s="1"/>
  <c r="G141" i="21"/>
  <c r="AA179" i="19"/>
  <c r="BC179" i="19"/>
  <c r="Q72" i="20"/>
  <c r="N231" i="21"/>
  <c r="AP186" i="21" s="1"/>
  <c r="Q126" i="20"/>
  <c r="AA28" i="21"/>
  <c r="AA118" i="21" s="1"/>
  <c r="Y50" i="21"/>
  <c r="G122" i="20"/>
  <c r="H124" i="20"/>
  <c r="E120" i="20"/>
  <c r="R123" i="20"/>
  <c r="U120" i="20"/>
  <c r="U121" i="20"/>
  <c r="P122" i="20"/>
  <c r="T122" i="20"/>
  <c r="T134" i="20" s="1"/>
  <c r="Y121" i="20"/>
  <c r="G120" i="20"/>
  <c r="Q124" i="20"/>
  <c r="U122" i="20"/>
  <c r="Y123" i="20"/>
  <c r="I58" i="20"/>
  <c r="I110" i="20" s="1"/>
  <c r="I137" i="20" s="1"/>
  <c r="T58" i="20"/>
  <c r="T110" i="20" s="1"/>
  <c r="T137" i="20" s="1"/>
  <c r="W58" i="20"/>
  <c r="W110" i="20" s="1"/>
  <c r="W137" i="20" s="1"/>
  <c r="P58" i="20"/>
  <c r="P110" i="20" s="1"/>
  <c r="Q107" i="20"/>
  <c r="Q134" i="20" s="1"/>
  <c r="J57" i="20"/>
  <c r="J109" i="20" s="1"/>
  <c r="I54" i="20"/>
  <c r="I79" i="20" s="1"/>
  <c r="T80" i="20"/>
  <c r="S56" i="20"/>
  <c r="S108" i="20" s="1"/>
  <c r="S135" i="20" s="1"/>
  <c r="Y230" i="16"/>
  <c r="L55" i="20"/>
  <c r="L107" i="20" s="1"/>
  <c r="BA192" i="11"/>
  <c r="D56" i="20"/>
  <c r="D108" i="20" s="1"/>
  <c r="X56" i="20"/>
  <c r="X108" i="20" s="1"/>
  <c r="X135" i="20" s="1"/>
  <c r="W56" i="20"/>
  <c r="W108" i="20" s="1"/>
  <c r="W135" i="20" s="1"/>
  <c r="Y57" i="20"/>
  <c r="Y109" i="20" s="1"/>
  <c r="Y136" i="20" s="1"/>
  <c r="R53" i="20"/>
  <c r="R105" i="20" s="1"/>
  <c r="R132" i="20" s="1"/>
  <c r="AA38" i="14"/>
  <c r="AA128" i="14" s="1"/>
  <c r="Y114" i="5"/>
  <c r="AK216" i="19"/>
  <c r="AK171" i="19"/>
  <c r="W96" i="19"/>
  <c r="AY141" i="19"/>
  <c r="G186" i="11"/>
  <c r="AI141" i="11" s="1"/>
  <c r="G145" i="11"/>
  <c r="E25" i="20" s="1"/>
  <c r="E122" i="20" s="1"/>
  <c r="AI145" i="11"/>
  <c r="Y217" i="16"/>
  <c r="AH217" i="16"/>
  <c r="R71" i="20"/>
  <c r="O231" i="19"/>
  <c r="AQ186" i="19" s="1"/>
  <c r="Q67" i="20"/>
  <c r="Q79" i="20" s="1"/>
  <c r="N231" i="10"/>
  <c r="AP186" i="10" s="1"/>
  <c r="F69" i="20"/>
  <c r="H231" i="14"/>
  <c r="O230" i="21"/>
  <c r="AK216" i="11"/>
  <c r="AK171" i="11"/>
  <c r="AO192" i="16"/>
  <c r="M231" i="16"/>
  <c r="AO186" i="16" s="1"/>
  <c r="Q190" i="14"/>
  <c r="AS201" i="14"/>
  <c r="AS156" i="14"/>
  <c r="Z201" i="14"/>
  <c r="Z69" i="20"/>
  <c r="Z81" i="20" s="1"/>
  <c r="W231" i="14"/>
  <c r="AY186" i="14" s="1"/>
  <c r="I230" i="21"/>
  <c r="Y233" i="21"/>
  <c r="AN185" i="21"/>
  <c r="L140" i="21"/>
  <c r="AN140" i="21"/>
  <c r="G145" i="14"/>
  <c r="E26" i="20" s="1"/>
  <c r="E123" i="20" s="1"/>
  <c r="G186" i="14"/>
  <c r="F67" i="20"/>
  <c r="Y235" i="10"/>
  <c r="AB67" i="20" s="1"/>
  <c r="H231" i="10"/>
  <c r="O190" i="10"/>
  <c r="O219" i="10"/>
  <c r="O217" i="10"/>
  <c r="AQ201" i="10"/>
  <c r="AQ156" i="10"/>
  <c r="Q100" i="21"/>
  <c r="Q6" i="21"/>
  <c r="Q96" i="21" s="1"/>
  <c r="O96" i="19"/>
  <c r="G9" i="20"/>
  <c r="G56" i="20" s="1"/>
  <c r="G108" i="20" s="1"/>
  <c r="I186" i="14"/>
  <c r="I145" i="14"/>
  <c r="G26" i="20" s="1"/>
  <c r="G123" i="20" s="1"/>
  <c r="AK145" i="14"/>
  <c r="Z144" i="21"/>
  <c r="BB144" i="21"/>
  <c r="BB189" i="21"/>
  <c r="G96" i="21"/>
  <c r="M127" i="16"/>
  <c r="Z82" i="16"/>
  <c r="Z127" i="16" s="1"/>
  <c r="AO172" i="16"/>
  <c r="AV201" i="21"/>
  <c r="T235" i="21"/>
  <c r="AV218" i="21"/>
  <c r="I230" i="19"/>
  <c r="Y232" i="19"/>
  <c r="AT185" i="19"/>
  <c r="AT140" i="19"/>
  <c r="R140" i="19"/>
  <c r="AZ193" i="16"/>
  <c r="AP141" i="19"/>
  <c r="AW185" i="16"/>
  <c r="U140" i="16"/>
  <c r="AW140" i="16"/>
  <c r="AH145" i="16"/>
  <c r="F100" i="16"/>
  <c r="F56" i="14"/>
  <c r="Y69" i="14"/>
  <c r="Z101" i="14"/>
  <c r="Z236" i="14"/>
  <c r="BB191" i="14" s="1"/>
  <c r="Y233" i="9"/>
  <c r="S95" i="9"/>
  <c r="Y98" i="5"/>
  <c r="AA8" i="5"/>
  <c r="AA98" i="5" s="1"/>
  <c r="Y97" i="5"/>
  <c r="AA7" i="5"/>
  <c r="AA97" i="5" s="1"/>
  <c r="T147" i="5"/>
  <c r="AV147" i="5"/>
  <c r="T230" i="5"/>
  <c r="Z237" i="10"/>
  <c r="K54" i="20" s="1"/>
  <c r="K106" i="20" s="1"/>
  <c r="H132" i="21"/>
  <c r="AA192" i="14"/>
  <c r="F186" i="5"/>
  <c r="AH145" i="5"/>
  <c r="F145" i="5"/>
  <c r="D23" i="20" s="1"/>
  <c r="D120" i="20" s="1"/>
  <c r="AK217" i="19"/>
  <c r="AK172" i="19"/>
  <c r="F145" i="16"/>
  <c r="D27" i="20" s="1"/>
  <c r="D124" i="20" s="1"/>
  <c r="F186" i="16"/>
  <c r="G231" i="5"/>
  <c r="AK217" i="11"/>
  <c r="AK172" i="11"/>
  <c r="D70" i="20"/>
  <c r="F231" i="16"/>
  <c r="X69" i="20"/>
  <c r="U231" i="14"/>
  <c r="AY185" i="21"/>
  <c r="W140" i="21"/>
  <c r="AY140" i="21"/>
  <c r="D69" i="20"/>
  <c r="F231" i="14"/>
  <c r="S69" i="20"/>
  <c r="P231" i="14"/>
  <c r="AR186" i="14" s="1"/>
  <c r="U246" i="21"/>
  <c r="U201" i="21"/>
  <c r="U10" i="21"/>
  <c r="AJ177" i="16"/>
  <c r="Y222" i="16"/>
  <c r="AJ222" i="16"/>
  <c r="U190" i="10"/>
  <c r="U218" i="10"/>
  <c r="AW201" i="10"/>
  <c r="AW156" i="10"/>
  <c r="Y219" i="14"/>
  <c r="AK174" i="14"/>
  <c r="AK219" i="14"/>
  <c r="AA119" i="21"/>
  <c r="AA164" i="21"/>
  <c r="AJ216" i="21"/>
  <c r="AJ201" i="21"/>
  <c r="Y129" i="21"/>
  <c r="I141" i="21"/>
  <c r="I96" i="21"/>
  <c r="N141" i="16"/>
  <c r="AP141" i="16"/>
  <c r="H230" i="14"/>
  <c r="Y230" i="14" s="1"/>
  <c r="Y233" i="14"/>
  <c r="AA233" i="14" s="1"/>
  <c r="O141" i="19"/>
  <c r="AA134" i="16"/>
  <c r="AA179" i="16"/>
  <c r="Z127" i="10"/>
  <c r="L140" i="5"/>
  <c r="AN140" i="5"/>
  <c r="AN185" i="5"/>
  <c r="M192" i="5"/>
  <c r="Z207" i="5"/>
  <c r="AO207" i="5"/>
  <c r="AA236" i="14"/>
  <c r="BC191" i="14" s="1"/>
  <c r="Z237" i="19"/>
  <c r="K58" i="20" s="1"/>
  <c r="K110" i="20" s="1"/>
  <c r="Y102" i="14"/>
  <c r="Y230" i="11"/>
  <c r="Z230" i="10"/>
  <c r="AA193" i="9"/>
  <c r="Z6" i="5"/>
  <c r="G11" i="20"/>
  <c r="G58" i="20" s="1"/>
  <c r="I186" i="19"/>
  <c r="AK145" i="19"/>
  <c r="I145" i="19"/>
  <c r="G28" i="20" s="1"/>
  <c r="G125" i="20" s="1"/>
  <c r="AJ202" i="16"/>
  <c r="Y216" i="11"/>
  <c r="BA216" i="11" s="1"/>
  <c r="Y70" i="20"/>
  <c r="V231" i="16"/>
  <c r="Y219" i="11"/>
  <c r="AK219" i="11"/>
  <c r="AK174" i="11"/>
  <c r="AK216" i="16"/>
  <c r="AK171" i="16"/>
  <c r="AL190" i="5"/>
  <c r="H38" i="20" s="1"/>
  <c r="H66" i="20"/>
  <c r="Z232" i="21"/>
  <c r="AA232" i="21" s="1"/>
  <c r="AO190" i="10"/>
  <c r="P39" i="20" s="1"/>
  <c r="P67" i="20"/>
  <c r="AP190" i="19"/>
  <c r="Q71" i="20"/>
  <c r="N231" i="19"/>
  <c r="AP186" i="19" s="1"/>
  <c r="Y82" i="14"/>
  <c r="I127" i="14"/>
  <c r="F9" i="20"/>
  <c r="F56" i="20" s="1"/>
  <c r="F108" i="20" s="1"/>
  <c r="H186" i="14"/>
  <c r="H145" i="14"/>
  <c r="F26" i="20" s="1"/>
  <c r="F123" i="20" s="1"/>
  <c r="AJ216" i="14"/>
  <c r="AJ201" i="14"/>
  <c r="Z66" i="20"/>
  <c r="W231" i="5"/>
  <c r="L192" i="14"/>
  <c r="AA209" i="14"/>
  <c r="AN209" i="14"/>
  <c r="AN164" i="14"/>
  <c r="AJ221" i="16"/>
  <c r="Y221" i="16"/>
  <c r="AJ176" i="16"/>
  <c r="AK171" i="14"/>
  <c r="AK216" i="14"/>
  <c r="AI202" i="21"/>
  <c r="AI222" i="21"/>
  <c r="G235" i="21"/>
  <c r="E72" i="20" s="1"/>
  <c r="Q145" i="21"/>
  <c r="T29" i="20" s="1"/>
  <c r="AS145" i="21"/>
  <c r="Z233" i="19"/>
  <c r="AA158" i="21"/>
  <c r="BC158" i="21"/>
  <c r="BC203" i="21"/>
  <c r="BB157" i="21"/>
  <c r="Z112" i="21"/>
  <c r="K114" i="21"/>
  <c r="AM159" i="21"/>
  <c r="K56" i="21"/>
  <c r="K51" i="21" s="1"/>
  <c r="BC215" i="19"/>
  <c r="BC170" i="19"/>
  <c r="AA170" i="19"/>
  <c r="BA205" i="21"/>
  <c r="Y160" i="21"/>
  <c r="T230" i="16"/>
  <c r="AA54" i="16"/>
  <c r="L230" i="14"/>
  <c r="AR185" i="16"/>
  <c r="AR140" i="16"/>
  <c r="P140" i="16"/>
  <c r="AJ145" i="14"/>
  <c r="V96" i="19"/>
  <c r="S141" i="14"/>
  <c r="S96" i="14"/>
  <c r="H132" i="10"/>
  <c r="AJ177" i="10"/>
  <c r="AH140" i="9"/>
  <c r="T230" i="9"/>
  <c r="L96" i="5"/>
  <c r="R217" i="9"/>
  <c r="AT156" i="9"/>
  <c r="Z144" i="5"/>
  <c r="BB144" i="5"/>
  <c r="BB189" i="5"/>
  <c r="S231" i="9"/>
  <c r="AU186" i="9" s="1"/>
  <c r="Z236" i="9"/>
  <c r="AJ171" i="11"/>
  <c r="AJ216" i="11"/>
  <c r="P231" i="19"/>
  <c r="AR186" i="19" s="1"/>
  <c r="Y216" i="14"/>
  <c r="AH171" i="14"/>
  <c r="T71" i="20"/>
  <c r="Q231" i="19"/>
  <c r="I186" i="11"/>
  <c r="AK145" i="11"/>
  <c r="AK174" i="16"/>
  <c r="Y219" i="16"/>
  <c r="AK219" i="16"/>
  <c r="P224" i="10"/>
  <c r="AR157" i="10"/>
  <c r="AR202" i="10"/>
  <c r="Z202" i="10"/>
  <c r="F6" i="20"/>
  <c r="F53" i="20" s="1"/>
  <c r="H145" i="5"/>
  <c r="H186" i="5"/>
  <c r="H141" i="5" s="1"/>
  <c r="AJ221" i="14"/>
  <c r="AJ176" i="14"/>
  <c r="W190" i="11"/>
  <c r="W216" i="11"/>
  <c r="AY201" i="11"/>
  <c r="AY156" i="11"/>
  <c r="X235" i="5"/>
  <c r="X264" i="5"/>
  <c r="AL171" i="16"/>
  <c r="AL216" i="16"/>
  <c r="X102" i="21"/>
  <c r="X6" i="21"/>
  <c r="X96" i="21" s="1"/>
  <c r="AK172" i="14"/>
  <c r="AK217" i="14"/>
  <c r="K6" i="21"/>
  <c r="AI185" i="19"/>
  <c r="G140" i="19"/>
  <c r="AI140" i="19"/>
  <c r="N96" i="19"/>
  <c r="AA163" i="16"/>
  <c r="BC163" i="16"/>
  <c r="BC208" i="16"/>
  <c r="I231" i="11"/>
  <c r="Y236" i="11"/>
  <c r="J51" i="11"/>
  <c r="J101" i="11"/>
  <c r="AP140" i="10"/>
  <c r="AP185" i="10"/>
  <c r="N140" i="10"/>
  <c r="W230" i="5"/>
  <c r="R127" i="9"/>
  <c r="Z37" i="9"/>
  <c r="AA165" i="5"/>
  <c r="BC165" i="5"/>
  <c r="AI186" i="5"/>
  <c r="AA50" i="21"/>
  <c r="G126" i="11"/>
  <c r="E54" i="20"/>
  <c r="E79" i="20" s="1"/>
  <c r="H57" i="20"/>
  <c r="H82" i="20" s="1"/>
  <c r="Y230" i="21"/>
  <c r="AA230" i="21" s="1"/>
  <c r="Z230" i="19"/>
  <c r="AA233" i="16"/>
  <c r="Z128" i="10"/>
  <c r="H186" i="11"/>
  <c r="AJ145" i="11"/>
  <c r="H145" i="11"/>
  <c r="F25" i="20" s="1"/>
  <c r="AH172" i="14"/>
  <c r="Y217" i="14"/>
  <c r="AH217" i="14"/>
  <c r="Y221" i="19"/>
  <c r="AJ176" i="19"/>
  <c r="AQ141" i="19"/>
  <c r="AK217" i="16"/>
  <c r="AK172" i="16"/>
  <c r="Z67" i="20"/>
  <c r="W231" i="10"/>
  <c r="I231" i="5"/>
  <c r="AK186" i="5" s="1"/>
  <c r="U67" i="20"/>
  <c r="U79" i="20" s="1"/>
  <c r="R231" i="10"/>
  <c r="AT186" i="10" s="1"/>
  <c r="X190" i="10"/>
  <c r="X219" i="10"/>
  <c r="AZ201" i="10"/>
  <c r="AZ156" i="10"/>
  <c r="AJ176" i="11"/>
  <c r="AJ221" i="11"/>
  <c r="AJ177" i="14"/>
  <c r="AJ222" i="14"/>
  <c r="K56" i="19"/>
  <c r="Y69" i="19"/>
  <c r="K114" i="19"/>
  <c r="AM159" i="19"/>
  <c r="T190" i="10"/>
  <c r="T218" i="10"/>
  <c r="AV201" i="10"/>
  <c r="AV156" i="10"/>
  <c r="X190" i="5"/>
  <c r="AZ156" i="5"/>
  <c r="X219" i="5"/>
  <c r="AZ201" i="5"/>
  <c r="AL217" i="16"/>
  <c r="AL172" i="16"/>
  <c r="X192" i="21"/>
  <c r="AZ163" i="21"/>
  <c r="AZ208" i="21"/>
  <c r="Y144" i="21"/>
  <c r="AA189" i="21"/>
  <c r="AL145" i="16"/>
  <c r="AM140" i="19"/>
  <c r="AM185" i="19"/>
  <c r="K140" i="19"/>
  <c r="H186" i="16"/>
  <c r="AA30" i="16"/>
  <c r="Z165" i="16"/>
  <c r="Z120" i="16"/>
  <c r="Z50" i="16"/>
  <c r="AA50" i="16" s="1"/>
  <c r="BC204" i="19"/>
  <c r="BC159" i="19"/>
  <c r="AA159" i="19"/>
  <c r="AA8" i="19"/>
  <c r="AA98" i="19" s="1"/>
  <c r="Y98" i="19"/>
  <c r="AU185" i="16"/>
  <c r="S140" i="16"/>
  <c r="AU140" i="16"/>
  <c r="AV146" i="16"/>
  <c r="Z56" i="16"/>
  <c r="T101" i="16"/>
  <c r="AJ145" i="16"/>
  <c r="Z232" i="14"/>
  <c r="AA232" i="14" s="1"/>
  <c r="Z50" i="14"/>
  <c r="AA50" i="14" s="1"/>
  <c r="K114" i="14"/>
  <c r="K56" i="14"/>
  <c r="AM159" i="14"/>
  <c r="J231" i="10"/>
  <c r="S96" i="9"/>
  <c r="AA151" i="9"/>
  <c r="AI222" i="16"/>
  <c r="AI221" i="16"/>
  <c r="Y230" i="19"/>
  <c r="AA230" i="19" s="1"/>
  <c r="AA232" i="19"/>
  <c r="AA50" i="10"/>
  <c r="Y190" i="14"/>
  <c r="F186" i="14"/>
  <c r="AH145" i="14"/>
  <c r="F145" i="14"/>
  <c r="D26" i="20" s="1"/>
  <c r="D123" i="20" s="1"/>
  <c r="AA222" i="19"/>
  <c r="BC222" i="19" s="1"/>
  <c r="BA222" i="19"/>
  <c r="E69" i="20"/>
  <c r="G231" i="14"/>
  <c r="AI186" i="14" s="1"/>
  <c r="T69" i="20"/>
  <c r="Q231" i="14"/>
  <c r="I145" i="16"/>
  <c r="G27" i="20" s="1"/>
  <c r="G124" i="20" s="1"/>
  <c r="AK145" i="16"/>
  <c r="I96" i="19"/>
  <c r="O190" i="11"/>
  <c r="O219" i="11"/>
  <c r="O217" i="11"/>
  <c r="AQ201" i="11"/>
  <c r="AQ156" i="11"/>
  <c r="AA68" i="20"/>
  <c r="AZ190" i="11"/>
  <c r="AA40" i="20" s="1"/>
  <c r="AJ222" i="11"/>
  <c r="AJ177" i="11"/>
  <c r="J101" i="19"/>
  <c r="T235" i="10"/>
  <c r="T263" i="10"/>
  <c r="Q190" i="16"/>
  <c r="AS201" i="16"/>
  <c r="AS156" i="16"/>
  <c r="AA67" i="21"/>
  <c r="BC157" i="21" s="1"/>
  <c r="BA157" i="21"/>
  <c r="Q129" i="21"/>
  <c r="Z39" i="21"/>
  <c r="AH202" i="21"/>
  <c r="AH222" i="21"/>
  <c r="T190" i="16"/>
  <c r="AV156" i="16"/>
  <c r="AV201" i="16"/>
  <c r="K230" i="19"/>
  <c r="Y233" i="19"/>
  <c r="AA233" i="19" s="1"/>
  <c r="E68" i="20"/>
  <c r="G231" i="11"/>
  <c r="AI186" i="11" s="1"/>
  <c r="I231" i="16"/>
  <c r="BA174" i="21"/>
  <c r="Y174" i="21"/>
  <c r="BA219" i="21"/>
  <c r="AA165" i="19"/>
  <c r="BC165" i="19"/>
  <c r="BC210" i="19"/>
  <c r="AO185" i="16"/>
  <c r="M140" i="16"/>
  <c r="AO140" i="16"/>
  <c r="AP141" i="14"/>
  <c r="N141" i="14"/>
  <c r="J51" i="14"/>
  <c r="J101" i="14"/>
  <c r="R230" i="5"/>
  <c r="Z237" i="16"/>
  <c r="K57" i="20" s="1"/>
  <c r="K109" i="20" s="1"/>
  <c r="F261" i="11"/>
  <c r="F262" i="11"/>
  <c r="AJ221" i="19"/>
  <c r="Q53" i="20"/>
  <c r="Q105" i="20" s="1"/>
  <c r="Q132" i="20" s="1"/>
  <c r="E55" i="20"/>
  <c r="E107" i="20" s="1"/>
  <c r="Z230" i="14"/>
  <c r="AA230" i="14" s="1"/>
  <c r="AA54" i="9"/>
  <c r="AI176" i="11"/>
  <c r="Y221" i="11"/>
  <c r="AI221" i="11"/>
  <c r="R190" i="14"/>
  <c r="AT156" i="14"/>
  <c r="AT201" i="14"/>
  <c r="F11" i="20"/>
  <c r="H145" i="19"/>
  <c r="F28" i="20" s="1"/>
  <c r="H186" i="19"/>
  <c r="H141" i="19" s="1"/>
  <c r="Y69" i="20"/>
  <c r="V231" i="14"/>
  <c r="AX186" i="14" s="1"/>
  <c r="Y217" i="19"/>
  <c r="BA217" i="19" s="1"/>
  <c r="S231" i="21"/>
  <c r="AU186" i="21" s="1"/>
  <c r="AU191" i="21"/>
  <c r="AL190" i="14"/>
  <c r="H41" i="20" s="1"/>
  <c r="H69" i="20"/>
  <c r="W190" i="5"/>
  <c r="AY156" i="5"/>
  <c r="AY201" i="5"/>
  <c r="W216" i="5"/>
  <c r="U190" i="11"/>
  <c r="U218" i="11"/>
  <c r="AW201" i="11"/>
  <c r="AW156" i="11"/>
  <c r="AI176" i="14"/>
  <c r="AI221" i="14"/>
  <c r="Y221" i="14"/>
  <c r="AX190" i="21"/>
  <c r="V145" i="21"/>
  <c r="AX145" i="21"/>
  <c r="AI141" i="21"/>
  <c r="Q235" i="16"/>
  <c r="AA9" i="21"/>
  <c r="AA99" i="21" s="1"/>
  <c r="Y99" i="21"/>
  <c r="AW185" i="21"/>
  <c r="AW140" i="21"/>
  <c r="U140" i="21"/>
  <c r="T235" i="16"/>
  <c r="AU141" i="21"/>
  <c r="Z83" i="16"/>
  <c r="M128" i="16"/>
  <c r="BB216" i="21"/>
  <c r="BB171" i="21"/>
  <c r="Z171" i="21"/>
  <c r="AA216" i="21"/>
  <c r="BC216" i="21" s="1"/>
  <c r="Z103" i="19"/>
  <c r="Z148" i="19"/>
  <c r="AH177" i="16"/>
  <c r="F132" i="16"/>
  <c r="AA238" i="19"/>
  <c r="BC193" i="19" s="1"/>
  <c r="BB193" i="19"/>
  <c r="Y128" i="14"/>
  <c r="Y173" i="14"/>
  <c r="K114" i="11"/>
  <c r="K56" i="11"/>
  <c r="AM146" i="11" s="1"/>
  <c r="AX185" i="10"/>
  <c r="AX140" i="10"/>
  <c r="AN185" i="9"/>
  <c r="O95" i="9"/>
  <c r="Y87" i="10"/>
  <c r="M230" i="9"/>
  <c r="AH185" i="5"/>
  <c r="AH140" i="5"/>
  <c r="Y185" i="5"/>
  <c r="F140" i="5"/>
  <c r="R237" i="9"/>
  <c r="AT192" i="9" s="1"/>
  <c r="BB160" i="11"/>
  <c r="Z115" i="11"/>
  <c r="Y219" i="19"/>
  <c r="AK219" i="19"/>
  <c r="AK174" i="19"/>
  <c r="AI222" i="11"/>
  <c r="Y222" i="11"/>
  <c r="Y216" i="16"/>
  <c r="AH216" i="16"/>
  <c r="H145" i="10"/>
  <c r="F24" i="20" s="1"/>
  <c r="F121" i="20" s="1"/>
  <c r="H186" i="10"/>
  <c r="AJ186" i="10" s="1"/>
  <c r="AK190" i="10"/>
  <c r="G39" i="20" s="1"/>
  <c r="G54" i="20" s="1"/>
  <c r="G67" i="20"/>
  <c r="W190" i="10"/>
  <c r="AY156" i="10"/>
  <c r="W216" i="10"/>
  <c r="AY201" i="10"/>
  <c r="U235" i="11"/>
  <c r="X68" i="20" s="1"/>
  <c r="U263" i="11"/>
  <c r="Y222" i="14"/>
  <c r="AI222" i="14"/>
  <c r="O235" i="10"/>
  <c r="O264" i="10"/>
  <c r="O262" i="10"/>
  <c r="J127" i="21"/>
  <c r="Y82" i="21"/>
  <c r="AL172" i="21"/>
  <c r="Z81" i="16"/>
  <c r="M126" i="16"/>
  <c r="T100" i="21"/>
  <c r="T6" i="21"/>
  <c r="T96" i="21" s="1"/>
  <c r="AI185" i="16"/>
  <c r="G140" i="16"/>
  <c r="AI140" i="16"/>
  <c r="W141" i="21"/>
  <c r="AY141" i="21"/>
  <c r="K186" i="19"/>
  <c r="K141" i="19" s="1"/>
  <c r="K146" i="19"/>
  <c r="AA205" i="14"/>
  <c r="BA160" i="14"/>
  <c r="BA205" i="14"/>
  <c r="AA112" i="14"/>
  <c r="AA157" i="14"/>
  <c r="BA173" i="9"/>
  <c r="AU146" i="9"/>
  <c r="AA169" i="5"/>
  <c r="BC169" i="5"/>
  <c r="BC214" i="5"/>
  <c r="R141" i="5"/>
  <c r="AT141" i="5"/>
  <c r="Z140" i="5"/>
  <c r="BB140" i="5"/>
  <c r="K146" i="5"/>
  <c r="AM146" i="5"/>
  <c r="AM191" i="5"/>
  <c r="K186" i="5"/>
  <c r="BC220" i="19"/>
  <c r="AA175" i="19"/>
  <c r="BC175" i="19"/>
  <c r="AB66" i="20"/>
  <c r="AH141" i="9"/>
  <c r="Y51" i="9"/>
  <c r="J71" i="20"/>
  <c r="Z110" i="20"/>
  <c r="Z137" i="20" s="1"/>
  <c r="Z83" i="20"/>
  <c r="AC38" i="14"/>
  <c r="BC148" i="9"/>
  <c r="AA148" i="9"/>
  <c r="BC193" i="9"/>
  <c r="AC37" i="14"/>
  <c r="J66" i="20"/>
  <c r="AA237" i="5"/>
  <c r="L231" i="5"/>
  <c r="AA147" i="14"/>
  <c r="BC147" i="14"/>
  <c r="AA28" i="9"/>
  <c r="Z118" i="9"/>
  <c r="AL190" i="11"/>
  <c r="H40" i="20" s="1"/>
  <c r="H68" i="20"/>
  <c r="J231" i="11"/>
  <c r="D7" i="20"/>
  <c r="AH190" i="10"/>
  <c r="D39" i="20" s="1"/>
  <c r="Y190" i="10"/>
  <c r="F186" i="10"/>
  <c r="AH145" i="10"/>
  <c r="F145" i="10"/>
  <c r="D24" i="20" s="1"/>
  <c r="U106" i="20"/>
  <c r="R82" i="20"/>
  <c r="R109" i="20"/>
  <c r="Q190" i="5"/>
  <c r="AS156" i="5"/>
  <c r="Q219" i="5"/>
  <c r="AS201" i="5"/>
  <c r="Z108" i="20"/>
  <c r="AJ171" i="21"/>
  <c r="H126" i="21"/>
  <c r="AI177" i="21"/>
  <c r="Y87" i="21"/>
  <c r="AT208" i="21"/>
  <c r="R192" i="21"/>
  <c r="AT163" i="21"/>
  <c r="Z208" i="21"/>
  <c r="AA22" i="21"/>
  <c r="Y112" i="21"/>
  <c r="Y157" i="21"/>
  <c r="M96" i="21"/>
  <c r="Q231" i="21"/>
  <c r="AS186" i="21" s="1"/>
  <c r="AS190" i="21"/>
  <c r="T44" i="20" s="1"/>
  <c r="T59" i="20" s="1"/>
  <c r="J186" i="21"/>
  <c r="Y191" i="21"/>
  <c r="AL191" i="21"/>
  <c r="AL146" i="21"/>
  <c r="J146" i="21"/>
  <c r="Y99" i="16"/>
  <c r="AA9" i="16"/>
  <c r="AA99" i="16" s="1"/>
  <c r="AM185" i="16"/>
  <c r="K140" i="16"/>
  <c r="AM140" i="16"/>
  <c r="AI145" i="16"/>
  <c r="G51" i="16"/>
  <c r="G96" i="16" s="1"/>
  <c r="Y55" i="16"/>
  <c r="G100" i="16"/>
  <c r="AS147" i="19"/>
  <c r="Q186" i="19"/>
  <c r="AS192" i="19"/>
  <c r="Z192" i="19"/>
  <c r="Q147" i="19"/>
  <c r="AL192" i="16"/>
  <c r="J147" i="16"/>
  <c r="AL147" i="16"/>
  <c r="Y192" i="16"/>
  <c r="BC216" i="19"/>
  <c r="BC148" i="14"/>
  <c r="BC193" i="14"/>
  <c r="AA148" i="14"/>
  <c r="AL140" i="10"/>
  <c r="AL185" i="10"/>
  <c r="J140" i="10"/>
  <c r="L95" i="10"/>
  <c r="AZ192" i="19"/>
  <c r="P235" i="10"/>
  <c r="P264" i="10"/>
  <c r="P262" i="10"/>
  <c r="F126" i="19"/>
  <c r="Y36" i="19"/>
  <c r="W71" i="20"/>
  <c r="T231" i="19"/>
  <c r="AV186" i="19" s="1"/>
  <c r="AB11" i="20"/>
  <c r="Y145" i="19"/>
  <c r="AB28" i="20" s="1"/>
  <c r="G78" i="20"/>
  <c r="G105" i="20"/>
  <c r="G51" i="19"/>
  <c r="G100" i="19"/>
  <c r="AI145" i="19"/>
  <c r="L192" i="5"/>
  <c r="AN164" i="5"/>
  <c r="AN209" i="5"/>
  <c r="AA209" i="5"/>
  <c r="U190" i="5"/>
  <c r="AW156" i="5"/>
  <c r="U218" i="5"/>
  <c r="AW201" i="5"/>
  <c r="AH172" i="19"/>
  <c r="Y82" i="19"/>
  <c r="G132" i="21"/>
  <c r="Y42" i="21"/>
  <c r="H100" i="21"/>
  <c r="AJ145" i="21"/>
  <c r="H51" i="21"/>
  <c r="AJ141" i="21" s="1"/>
  <c r="Y55" i="21"/>
  <c r="AM190" i="21"/>
  <c r="I44" i="20" s="1"/>
  <c r="I59" i="20" s="1"/>
  <c r="AM145" i="21"/>
  <c r="Y190" i="21"/>
  <c r="AB12" i="20" s="1"/>
  <c r="K186" i="21"/>
  <c r="K145" i="21"/>
  <c r="I29" i="20" s="1"/>
  <c r="AX140" i="21"/>
  <c r="V140" i="21"/>
  <c r="AX185" i="21"/>
  <c r="AO207" i="21"/>
  <c r="Z207" i="21"/>
  <c r="AA207" i="21" s="1"/>
  <c r="M192" i="21"/>
  <c r="AO162" i="21"/>
  <c r="AA7" i="21"/>
  <c r="AA97" i="21" s="1"/>
  <c r="Y97" i="21"/>
  <c r="AA11" i="21"/>
  <c r="AA37" i="21"/>
  <c r="AX208" i="21"/>
  <c r="V192" i="21"/>
  <c r="AX163" i="21"/>
  <c r="R102" i="21"/>
  <c r="R6" i="21"/>
  <c r="R96" i="21" s="1"/>
  <c r="Z12" i="21"/>
  <c r="H235" i="21"/>
  <c r="F72" i="20" s="1"/>
  <c r="AJ202" i="21"/>
  <c r="AJ222" i="21"/>
  <c r="F51" i="21"/>
  <c r="Y162" i="21"/>
  <c r="BA162" i="21"/>
  <c r="BA207" i="21"/>
  <c r="AJ185" i="16"/>
  <c r="H140" i="16"/>
  <c r="AJ140" i="16"/>
  <c r="Y185" i="16"/>
  <c r="AV140" i="16"/>
  <c r="AV185" i="16"/>
  <c r="T140" i="16"/>
  <c r="F126" i="16"/>
  <c r="Y81" i="16"/>
  <c r="AH171" i="16"/>
  <c r="F127" i="16"/>
  <c r="AH172" i="16"/>
  <c r="Y82" i="16"/>
  <c r="BB189" i="16"/>
  <c r="BB144" i="16"/>
  <c r="Z144" i="16"/>
  <c r="AA189" i="16"/>
  <c r="P141" i="19"/>
  <c r="P96" i="19"/>
  <c r="AA144" i="19"/>
  <c r="BC189" i="19"/>
  <c r="BC144" i="19"/>
  <c r="AA142" i="19"/>
  <c r="BC187" i="19"/>
  <c r="BC142" i="19"/>
  <c r="Z5" i="16"/>
  <c r="Z95" i="16" s="1"/>
  <c r="BC188" i="16"/>
  <c r="AA143" i="16"/>
  <c r="BC143" i="16"/>
  <c r="BA204" i="16"/>
  <c r="Y159" i="16"/>
  <c r="BA159" i="16"/>
  <c r="AA204" i="16"/>
  <c r="K96" i="16"/>
  <c r="AM141" i="16"/>
  <c r="BB140" i="19"/>
  <c r="Z140" i="19"/>
  <c r="BB185" i="19"/>
  <c r="AA129" i="19"/>
  <c r="Z102" i="16"/>
  <c r="AA12" i="16"/>
  <c r="BA162" i="16"/>
  <c r="Y162" i="16"/>
  <c r="BA207" i="16"/>
  <c r="AA207" i="16"/>
  <c r="K101" i="14"/>
  <c r="K6" i="14"/>
  <c r="Z51" i="14"/>
  <c r="Y11" i="14"/>
  <c r="X96" i="14"/>
  <c r="AC39" i="14"/>
  <c r="J231" i="14"/>
  <c r="H140" i="11"/>
  <c r="AJ185" i="11"/>
  <c r="AJ140" i="11"/>
  <c r="H140" i="10"/>
  <c r="AJ185" i="10"/>
  <c r="AJ140" i="10"/>
  <c r="M95" i="10"/>
  <c r="Z5" i="10"/>
  <c r="Z95" i="10" s="1"/>
  <c r="O140" i="10"/>
  <c r="AQ185" i="10"/>
  <c r="AQ140" i="10"/>
  <c r="BC212" i="10"/>
  <c r="BC167" i="10"/>
  <c r="AA167" i="10"/>
  <c r="BC208" i="10"/>
  <c r="AA163" i="10"/>
  <c r="BC163" i="10"/>
  <c r="AA67" i="9"/>
  <c r="AA233" i="11"/>
  <c r="L230" i="11"/>
  <c r="G96" i="11"/>
  <c r="G141" i="11"/>
  <c r="AA188" i="11"/>
  <c r="BA143" i="11"/>
  <c r="BA188" i="11"/>
  <c r="Y143" i="11"/>
  <c r="X140" i="10"/>
  <c r="AZ140" i="10"/>
  <c r="AZ185" i="10"/>
  <c r="L96" i="10"/>
  <c r="F95" i="10"/>
  <c r="Y5" i="10"/>
  <c r="Y95" i="10" s="1"/>
  <c r="BB187" i="10"/>
  <c r="BB142" i="10"/>
  <c r="Z142" i="10"/>
  <c r="BC223" i="10"/>
  <c r="BC178" i="10"/>
  <c r="AA178" i="10"/>
  <c r="AM146" i="10"/>
  <c r="AM191" i="10"/>
  <c r="K186" i="10"/>
  <c r="K146" i="10"/>
  <c r="AH171" i="10"/>
  <c r="F126" i="10"/>
  <c r="Y81" i="10"/>
  <c r="BC175" i="10"/>
  <c r="AA175" i="10"/>
  <c r="BC220" i="10"/>
  <c r="AA12" i="10"/>
  <c r="Z236" i="11"/>
  <c r="AA144" i="10"/>
  <c r="BC189" i="10"/>
  <c r="BC144" i="10"/>
  <c r="AA87" i="9"/>
  <c r="I231" i="9"/>
  <c r="AK190" i="9"/>
  <c r="AO190" i="9"/>
  <c r="M186" i="9"/>
  <c r="AO145" i="9"/>
  <c r="M145" i="9"/>
  <c r="BC199" i="9"/>
  <c r="AA154" i="9"/>
  <c r="BC154" i="9"/>
  <c r="BB148" i="9"/>
  <c r="BB193" i="9"/>
  <c r="Z148" i="9"/>
  <c r="Z143" i="9"/>
  <c r="BB143" i="9"/>
  <c r="BB188" i="9"/>
  <c r="AA188" i="9"/>
  <c r="AJ185" i="9"/>
  <c r="H140" i="9"/>
  <c r="AJ140" i="9"/>
  <c r="V96" i="9"/>
  <c r="L95" i="9"/>
  <c r="AA127" i="10"/>
  <c r="AB37" i="10"/>
  <c r="U235" i="9"/>
  <c r="U263" i="9"/>
  <c r="F6" i="9"/>
  <c r="F145" i="9"/>
  <c r="Y10" i="9"/>
  <c r="F100" i="9"/>
  <c r="Y37" i="9"/>
  <c r="F127" i="9"/>
  <c r="Z230" i="11"/>
  <c r="H261" i="9"/>
  <c r="H235" i="9"/>
  <c r="AJ201" i="9"/>
  <c r="X10" i="9"/>
  <c r="X246" i="9"/>
  <c r="X201" i="9"/>
  <c r="X39" i="9"/>
  <c r="AA169" i="9"/>
  <c r="BC169" i="9"/>
  <c r="BC214" i="9"/>
  <c r="AY140" i="9"/>
  <c r="W140" i="9"/>
  <c r="AY185" i="9"/>
  <c r="Y99" i="9"/>
  <c r="AA9" i="9"/>
  <c r="N95" i="9"/>
  <c r="AA12" i="11"/>
  <c r="AA177" i="10"/>
  <c r="BC222" i="10"/>
  <c r="BC203" i="9"/>
  <c r="BC158" i="9"/>
  <c r="AA158" i="9"/>
  <c r="V237" i="9"/>
  <c r="BC223" i="9"/>
  <c r="BC178" i="9"/>
  <c r="AA178" i="9"/>
  <c r="Q140" i="9"/>
  <c r="AS185" i="9"/>
  <c r="AS140" i="9"/>
  <c r="AW163" i="9"/>
  <c r="U192" i="9"/>
  <c r="AW208" i="9"/>
  <c r="W261" i="9"/>
  <c r="W235" i="9"/>
  <c r="AA105" i="9"/>
  <c r="Y103" i="9"/>
  <c r="AY201" i="9"/>
  <c r="Y177" i="9"/>
  <c r="BA177" i="9"/>
  <c r="BA222" i="9"/>
  <c r="AA222" i="9"/>
  <c r="Z98" i="9"/>
  <c r="AA234" i="9"/>
  <c r="BB142" i="9"/>
  <c r="Z142" i="9"/>
  <c r="BB187" i="9"/>
  <c r="AH216" i="9"/>
  <c r="AA8" i="9"/>
  <c r="Y50" i="9"/>
  <c r="X237" i="9"/>
  <c r="AA187" i="9"/>
  <c r="Y114" i="9"/>
  <c r="AA87" i="5"/>
  <c r="AA132" i="5" s="1"/>
  <c r="Y132" i="5"/>
  <c r="BA177" i="5"/>
  <c r="AA178" i="5"/>
  <c r="BC178" i="5"/>
  <c r="BC223" i="5"/>
  <c r="AA125" i="5"/>
  <c r="AY192" i="5"/>
  <c r="AY147" i="5"/>
  <c r="W186" i="5"/>
  <c r="W147" i="5"/>
  <c r="O141" i="5"/>
  <c r="O96" i="5"/>
  <c r="AP146" i="5"/>
  <c r="N146" i="5"/>
  <c r="AP191" i="5"/>
  <c r="N186" i="5"/>
  <c r="Z191" i="5"/>
  <c r="Z129" i="5"/>
  <c r="Y50" i="5"/>
  <c r="AX147" i="5"/>
  <c r="V186" i="5"/>
  <c r="V147" i="5"/>
  <c r="AX192" i="5"/>
  <c r="Q237" i="9"/>
  <c r="AS208" i="9"/>
  <c r="AA128" i="5"/>
  <c r="AB38" i="5"/>
  <c r="Y172" i="5"/>
  <c r="BA172" i="5"/>
  <c r="BA217" i="5"/>
  <c r="S141" i="5"/>
  <c r="AU141" i="5"/>
  <c r="AA11" i="10"/>
  <c r="V96" i="5"/>
  <c r="F51" i="5"/>
  <c r="Y56" i="5"/>
  <c r="AH146" i="5"/>
  <c r="Z101" i="11"/>
  <c r="BB146" i="11"/>
  <c r="W231" i="19"/>
  <c r="AY186" i="19" s="1"/>
  <c r="AY192" i="19"/>
  <c r="L192" i="11"/>
  <c r="AA209" i="11"/>
  <c r="AN164" i="11"/>
  <c r="AN209" i="11"/>
  <c r="Y66" i="20"/>
  <c r="AX190" i="5"/>
  <c r="V231" i="5"/>
  <c r="W68" i="20"/>
  <c r="T231" i="11"/>
  <c r="AV186" i="11" s="1"/>
  <c r="AX190" i="19"/>
  <c r="Y43" i="20" s="1"/>
  <c r="Y125" i="20" s="1"/>
  <c r="Y71" i="20"/>
  <c r="V231" i="19"/>
  <c r="AX186" i="19" s="1"/>
  <c r="Q109" i="20"/>
  <c r="Q82" i="20"/>
  <c r="U105" i="20"/>
  <c r="T235" i="5"/>
  <c r="T263" i="5"/>
  <c r="Y81" i="19"/>
  <c r="AH171" i="19"/>
  <c r="Z101" i="21"/>
  <c r="Z146" i="21"/>
  <c r="BA185" i="21"/>
  <c r="BA140" i="21"/>
  <c r="Y140" i="21"/>
  <c r="Z103" i="21"/>
  <c r="Z148" i="21"/>
  <c r="H95" i="21"/>
  <c r="Y5" i="21"/>
  <c r="Y95" i="21" s="1"/>
  <c r="AA160" i="21"/>
  <c r="BC205" i="21"/>
  <c r="BC160" i="21"/>
  <c r="AA159" i="21"/>
  <c r="BC204" i="21"/>
  <c r="BC159" i="21"/>
  <c r="I95" i="16"/>
  <c r="Y5" i="16"/>
  <c r="AI141" i="16"/>
  <c r="G141" i="16"/>
  <c r="O96" i="16"/>
  <c r="Z51" i="16"/>
  <c r="Y191" i="19"/>
  <c r="AL146" i="19"/>
  <c r="J186" i="19"/>
  <c r="AL191" i="19"/>
  <c r="J146" i="19"/>
  <c r="AT147" i="19"/>
  <c r="AT192" i="19"/>
  <c r="R147" i="19"/>
  <c r="Y82" i="11"/>
  <c r="AH172" i="11"/>
  <c r="BA160" i="16"/>
  <c r="Y160" i="16"/>
  <c r="BA205" i="16"/>
  <c r="AA205" i="16"/>
  <c r="T96" i="16"/>
  <c r="BB189" i="14"/>
  <c r="AA189" i="14"/>
  <c r="BB144" i="14"/>
  <c r="Z144" i="14"/>
  <c r="Y145" i="14"/>
  <c r="AB26" i="20" s="1"/>
  <c r="Y100" i="14"/>
  <c r="AA10" i="14"/>
  <c r="Z5" i="14"/>
  <c r="Z95" i="14" s="1"/>
  <c r="M95" i="14"/>
  <c r="BB207" i="14"/>
  <c r="AA207" i="14"/>
  <c r="BB162" i="14"/>
  <c r="Z162" i="14"/>
  <c r="Y5" i="11"/>
  <c r="X186" i="11"/>
  <c r="AZ193" i="11"/>
  <c r="X148" i="11"/>
  <c r="AZ148" i="11"/>
  <c r="Z193" i="11"/>
  <c r="AK141" i="10"/>
  <c r="I141" i="10"/>
  <c r="AK186" i="10"/>
  <c r="F96" i="10"/>
  <c r="Y6" i="10"/>
  <c r="Y96" i="10" s="1"/>
  <c r="Y128" i="10"/>
  <c r="AA38" i="10"/>
  <c r="AL191" i="10"/>
  <c r="J186" i="10"/>
  <c r="J146" i="10"/>
  <c r="Y191" i="10"/>
  <c r="AL146" i="10"/>
  <c r="AO141" i="10"/>
  <c r="AO186" i="10"/>
  <c r="M141" i="10"/>
  <c r="Z98" i="10"/>
  <c r="AA8" i="10"/>
  <c r="AA98" i="10" s="1"/>
  <c r="AB42" i="10"/>
  <c r="BC142" i="10"/>
  <c r="BC187" i="10"/>
  <c r="AA142" i="10"/>
  <c r="M147" i="10"/>
  <c r="AO147" i="10"/>
  <c r="AO192" i="10"/>
  <c r="Z192" i="10"/>
  <c r="M235" i="14"/>
  <c r="AO219" i="14"/>
  <c r="AO218" i="14"/>
  <c r="AO217" i="14"/>
  <c r="AO201" i="14"/>
  <c r="AO216" i="14"/>
  <c r="J68" i="20"/>
  <c r="L231" i="11"/>
  <c r="AA237" i="11"/>
  <c r="X70" i="20"/>
  <c r="U231" i="16"/>
  <c r="Z68" i="20"/>
  <c r="W231" i="11"/>
  <c r="AB10" i="20"/>
  <c r="Y145" i="16"/>
  <c r="AB27" i="20" s="1"/>
  <c r="BA145" i="16"/>
  <c r="E78" i="20"/>
  <c r="E105" i="20"/>
  <c r="Y237" i="19"/>
  <c r="Y237" i="14"/>
  <c r="Y36" i="11"/>
  <c r="F126" i="11"/>
  <c r="AX190" i="11"/>
  <c r="Y40" i="20" s="1"/>
  <c r="Y68" i="20"/>
  <c r="V231" i="11"/>
  <c r="P190" i="10"/>
  <c r="P219" i="10"/>
  <c r="P217" i="10"/>
  <c r="AR201" i="10"/>
  <c r="AR156" i="10"/>
  <c r="Z201" i="10"/>
  <c r="Y106" i="20"/>
  <c r="Y79" i="20"/>
  <c r="G126" i="14"/>
  <c r="Y36" i="14"/>
  <c r="AP190" i="14"/>
  <c r="Q41" i="20" s="1"/>
  <c r="Q56" i="20" s="1"/>
  <c r="Q69" i="20"/>
  <c r="N231" i="14"/>
  <c r="AP186" i="14" s="1"/>
  <c r="H235" i="16"/>
  <c r="AJ201" i="16"/>
  <c r="AJ216" i="16"/>
  <c r="J70" i="20"/>
  <c r="AA237" i="16"/>
  <c r="P219" i="11"/>
  <c r="Z201" i="11"/>
  <c r="P217" i="11"/>
  <c r="AR201" i="11"/>
  <c r="AR156" i="11"/>
  <c r="R190" i="16"/>
  <c r="AT156" i="16"/>
  <c r="Z201" i="16"/>
  <c r="AT201" i="16"/>
  <c r="Y37" i="19"/>
  <c r="F127" i="19"/>
  <c r="L192" i="19"/>
  <c r="AA209" i="19"/>
  <c r="AN209" i="19"/>
  <c r="AN164" i="19"/>
  <c r="Q106" i="20"/>
  <c r="Y42" i="16"/>
  <c r="G132" i="16"/>
  <c r="P235" i="5"/>
  <c r="P264" i="5"/>
  <c r="P262" i="5"/>
  <c r="Z70" i="20"/>
  <c r="W231" i="16"/>
  <c r="AY186" i="16" s="1"/>
  <c r="L231" i="19"/>
  <c r="R108" i="20"/>
  <c r="R81" i="20"/>
  <c r="T66" i="20"/>
  <c r="Q231" i="5"/>
  <c r="AY190" i="16"/>
  <c r="Z42" i="20" s="1"/>
  <c r="D57" i="20"/>
  <c r="S231" i="5"/>
  <c r="AU186" i="5" s="1"/>
  <c r="AB8" i="20"/>
  <c r="Y145" i="11"/>
  <c r="AB25" i="20" s="1"/>
  <c r="BA145" i="11"/>
  <c r="E58" i="20"/>
  <c r="L231" i="16"/>
  <c r="G57" i="20"/>
  <c r="H51" i="19"/>
  <c r="H100" i="19"/>
  <c r="AJ145" i="19"/>
  <c r="P57" i="20"/>
  <c r="U235" i="19"/>
  <c r="Z51" i="19"/>
  <c r="AZ141" i="19"/>
  <c r="AM185" i="21"/>
  <c r="AM140" i="21"/>
  <c r="K140" i="21"/>
  <c r="P141" i="21"/>
  <c r="AR141" i="21"/>
  <c r="AR186" i="21"/>
  <c r="Z237" i="21"/>
  <c r="AA237" i="21" s="1"/>
  <c r="M231" i="21"/>
  <c r="H96" i="21"/>
  <c r="H141" i="21"/>
  <c r="Z5" i="21"/>
  <c r="Z95" i="21" s="1"/>
  <c r="O141" i="21"/>
  <c r="O96" i="21"/>
  <c r="V102" i="21"/>
  <c r="V6" i="21"/>
  <c r="V96" i="21" s="1"/>
  <c r="J96" i="21"/>
  <c r="AA8" i="21"/>
  <c r="AA98" i="21" s="1"/>
  <c r="AA130" i="21"/>
  <c r="Y114" i="21"/>
  <c r="BA159" i="21"/>
  <c r="AA134" i="21"/>
  <c r="BC179" i="21"/>
  <c r="AV141" i="21"/>
  <c r="K146" i="21"/>
  <c r="AM191" i="21"/>
  <c r="AY190" i="21"/>
  <c r="L141" i="21"/>
  <c r="AN141" i="21"/>
  <c r="AN186" i="21"/>
  <c r="AL147" i="21"/>
  <c r="J147" i="21"/>
  <c r="Y192" i="21"/>
  <c r="AL192" i="21"/>
  <c r="AT172" i="21"/>
  <c r="AT217" i="21"/>
  <c r="Z217" i="21"/>
  <c r="Y172" i="21"/>
  <c r="Z230" i="16"/>
  <c r="AA230" i="16" s="1"/>
  <c r="AR141" i="16"/>
  <c r="P141" i="16"/>
  <c r="Y11" i="16"/>
  <c r="J6" i="16"/>
  <c r="J101" i="16"/>
  <c r="V186" i="16"/>
  <c r="V147" i="16"/>
  <c r="AX147" i="16"/>
  <c r="AX192" i="16"/>
  <c r="Z192" i="16"/>
  <c r="AT192" i="16"/>
  <c r="R147" i="16"/>
  <c r="AT147" i="16"/>
  <c r="J186" i="16"/>
  <c r="J146" i="16"/>
  <c r="AL146" i="16"/>
  <c r="Y191" i="16"/>
  <c r="AA37" i="16"/>
  <c r="AB37" i="16" s="1"/>
  <c r="AK185" i="14"/>
  <c r="I140" i="14"/>
  <c r="Y185" i="14"/>
  <c r="AK140" i="14"/>
  <c r="BC214" i="14"/>
  <c r="AA169" i="14"/>
  <c r="BC169" i="14"/>
  <c r="Z6" i="16"/>
  <c r="AA120" i="14"/>
  <c r="AA165" i="14"/>
  <c r="AA9" i="14"/>
  <c r="AA99" i="14" s="1"/>
  <c r="Y99" i="14"/>
  <c r="AA39" i="14"/>
  <c r="Z129" i="14"/>
  <c r="R96" i="14"/>
  <c r="Z6" i="14"/>
  <c r="AO141" i="14"/>
  <c r="M141" i="14"/>
  <c r="AR185" i="14"/>
  <c r="AR140" i="14"/>
  <c r="P140" i="14"/>
  <c r="Z185" i="14"/>
  <c r="Y115" i="14"/>
  <c r="AA25" i="14"/>
  <c r="Y160" i="14"/>
  <c r="V96" i="14"/>
  <c r="BC159" i="14"/>
  <c r="AA159" i="14"/>
  <c r="BC204" i="14"/>
  <c r="BA171" i="14"/>
  <c r="Y5" i="14"/>
  <c r="Y95" i="14" s="1"/>
  <c r="V140" i="11"/>
  <c r="AX185" i="11"/>
  <c r="AX140" i="11"/>
  <c r="AK140" i="11"/>
  <c r="AK185" i="11"/>
  <c r="I140" i="11"/>
  <c r="AN140" i="11"/>
  <c r="L140" i="11"/>
  <c r="AN185" i="11"/>
  <c r="F141" i="11"/>
  <c r="AH141" i="11"/>
  <c r="BA193" i="11"/>
  <c r="Y148" i="11"/>
  <c r="BA148" i="11"/>
  <c r="AM185" i="11"/>
  <c r="K140" i="11"/>
  <c r="AM140" i="11"/>
  <c r="BB187" i="11"/>
  <c r="BB142" i="11"/>
  <c r="Z142" i="11"/>
  <c r="AA151" i="10"/>
  <c r="BC196" i="10"/>
  <c r="BC151" i="10"/>
  <c r="BB205" i="10"/>
  <c r="Z160" i="10"/>
  <c r="AA205" i="10"/>
  <c r="BB160" i="10"/>
  <c r="AA168" i="10"/>
  <c r="BC213" i="10"/>
  <c r="BC168" i="10"/>
  <c r="Y147" i="10"/>
  <c r="BA147" i="10"/>
  <c r="AA192" i="10"/>
  <c r="BA192" i="10"/>
  <c r="AT185" i="11"/>
  <c r="AT140" i="11"/>
  <c r="R140" i="11"/>
  <c r="L96" i="11"/>
  <c r="AA144" i="11"/>
  <c r="BC189" i="11"/>
  <c r="BC144" i="11"/>
  <c r="R140" i="10"/>
  <c r="AT140" i="10"/>
  <c r="AT185" i="10"/>
  <c r="H51" i="10"/>
  <c r="H100" i="10"/>
  <c r="AJ145" i="10"/>
  <c r="Y143" i="10"/>
  <c r="BA188" i="10"/>
  <c r="BA143" i="10"/>
  <c r="BC166" i="10"/>
  <c r="BC211" i="10"/>
  <c r="AA166" i="10"/>
  <c r="BA204" i="10"/>
  <c r="BA159" i="10"/>
  <c r="AA204" i="10"/>
  <c r="Y159" i="10"/>
  <c r="BC170" i="10"/>
  <c r="AA170" i="10"/>
  <c r="BC215" i="10"/>
  <c r="AL140" i="11"/>
  <c r="J140" i="11"/>
  <c r="AL185" i="11"/>
  <c r="Y50" i="11"/>
  <c r="AA50" i="11" s="1"/>
  <c r="G96" i="10"/>
  <c r="Y55" i="10"/>
  <c r="AA55" i="10" s="1"/>
  <c r="BB208" i="10"/>
  <c r="BB163" i="10"/>
  <c r="Z163" i="10"/>
  <c r="Z148" i="10"/>
  <c r="Y159" i="9"/>
  <c r="BA204" i="9"/>
  <c r="AA204" i="9"/>
  <c r="BA159" i="9"/>
  <c r="AK217" i="9"/>
  <c r="AO219" i="9"/>
  <c r="AO174" i="9"/>
  <c r="M174" i="9"/>
  <c r="F174" i="9"/>
  <c r="F173" i="9"/>
  <c r="F171" i="9"/>
  <c r="F175" i="9"/>
  <c r="F172" i="9"/>
  <c r="G141" i="9"/>
  <c r="AI141" i="9"/>
  <c r="BA174" i="9"/>
  <c r="Y174" i="9"/>
  <c r="BA219" i="9"/>
  <c r="BC193" i="10"/>
  <c r="BC148" i="10"/>
  <c r="AA148" i="10"/>
  <c r="Z6" i="10"/>
  <c r="AX192" i="10"/>
  <c r="Y127" i="10"/>
  <c r="Y111" i="9"/>
  <c r="Z232" i="11"/>
  <c r="AA230" i="10"/>
  <c r="Z185" i="10"/>
  <c r="Y56" i="10"/>
  <c r="AA56" i="10" s="1"/>
  <c r="AH146" i="10"/>
  <c r="X51" i="9"/>
  <c r="J140" i="9"/>
  <c r="AL140" i="9"/>
  <c r="AL185" i="9"/>
  <c r="J95" i="9"/>
  <c r="O262" i="9"/>
  <c r="O264" i="9"/>
  <c r="AQ201" i="9"/>
  <c r="O235" i="9"/>
  <c r="BA171" i="9"/>
  <c r="BA216" i="9"/>
  <c r="AA216" i="9"/>
  <c r="AQ141" i="9"/>
  <c r="O141" i="9"/>
  <c r="Y6" i="11"/>
  <c r="BC165" i="11"/>
  <c r="AA165" i="11"/>
  <c r="BC210" i="11"/>
  <c r="AA165" i="10"/>
  <c r="Z83" i="9"/>
  <c r="V102" i="9"/>
  <c r="U102" i="9"/>
  <c r="W126" i="9"/>
  <c r="Z36" i="9"/>
  <c r="AA109" i="9"/>
  <c r="Z103" i="9"/>
  <c r="P96" i="9"/>
  <c r="P141" i="9"/>
  <c r="Y115" i="9"/>
  <c r="AL190" i="9"/>
  <c r="AA66" i="10"/>
  <c r="AA111" i="10" s="1"/>
  <c r="AA121" i="9"/>
  <c r="K96" i="9"/>
  <c r="Q95" i="9"/>
  <c r="H95" i="9"/>
  <c r="P140" i="9"/>
  <c r="AR140" i="9"/>
  <c r="AR185" i="9"/>
  <c r="AU141" i="9"/>
  <c r="S141" i="9"/>
  <c r="AH217" i="9"/>
  <c r="BC167" i="9"/>
  <c r="AA167" i="9"/>
  <c r="BC212" i="9"/>
  <c r="AA133" i="9"/>
  <c r="AZ208" i="9"/>
  <c r="AZ163" i="9"/>
  <c r="X192" i="9"/>
  <c r="I96" i="9"/>
  <c r="Y5" i="9"/>
  <c r="AA5" i="9" s="1"/>
  <c r="BA162" i="5"/>
  <c r="AA207" i="5"/>
  <c r="Y162" i="5"/>
  <c r="BA207" i="5"/>
  <c r="Z55" i="9"/>
  <c r="R51" i="9"/>
  <c r="Z50" i="5"/>
  <c r="AB51" i="5"/>
  <c r="Y238" i="5"/>
  <c r="H231" i="5"/>
  <c r="AJ186" i="5" s="1"/>
  <c r="AA233" i="5"/>
  <c r="R96" i="9"/>
  <c r="AA11" i="5"/>
  <c r="AA233" i="9"/>
  <c r="BA156" i="5"/>
  <c r="Y111" i="5"/>
  <c r="AA66" i="5"/>
  <c r="AA111" i="5" s="1"/>
  <c r="BA218" i="5"/>
  <c r="Y173" i="5"/>
  <c r="BA173" i="5"/>
  <c r="BC224" i="5"/>
  <c r="AA179" i="5"/>
  <c r="BC179" i="5"/>
  <c r="Q230" i="5"/>
  <c r="Q102" i="9"/>
  <c r="Q6" i="9"/>
  <c r="I141" i="5"/>
  <c r="AA129" i="5"/>
  <c r="Y6" i="5"/>
  <c r="X231" i="16"/>
  <c r="AZ192" i="16"/>
  <c r="AN192" i="10"/>
  <c r="J39" i="20" s="1"/>
  <c r="J54" i="20" s="1"/>
  <c r="J67" i="20"/>
  <c r="AA237" i="10"/>
  <c r="Q235" i="10"/>
  <c r="Q264" i="10"/>
  <c r="G132" i="11"/>
  <c r="Y42" i="11"/>
  <c r="U107" i="20"/>
  <c r="U80" i="20"/>
  <c r="U70" i="20"/>
  <c r="R231" i="16"/>
  <c r="F235" i="19"/>
  <c r="AH201" i="19"/>
  <c r="AH216" i="19"/>
  <c r="AH217" i="19"/>
  <c r="G235" i="16"/>
  <c r="AI202" i="16"/>
  <c r="P107" i="20"/>
  <c r="P80" i="20"/>
  <c r="I66" i="20"/>
  <c r="AM190" i="5"/>
  <c r="I38" i="20" s="1"/>
  <c r="K231" i="5"/>
  <c r="AM186" i="5" s="1"/>
  <c r="L231" i="14"/>
  <c r="R190" i="19"/>
  <c r="Z201" i="19"/>
  <c r="AT156" i="19"/>
  <c r="AT201" i="19"/>
  <c r="J96" i="19"/>
  <c r="U235" i="5"/>
  <c r="U263" i="5"/>
  <c r="AP185" i="21"/>
  <c r="AP140" i="21"/>
  <c r="N140" i="21"/>
  <c r="Z185" i="21"/>
  <c r="Y128" i="21"/>
  <c r="Y173" i="21"/>
  <c r="X140" i="16"/>
  <c r="AZ185" i="16"/>
  <c r="AZ140" i="16"/>
  <c r="AK186" i="16"/>
  <c r="AK141" i="16"/>
  <c r="I141" i="16"/>
  <c r="I140" i="16"/>
  <c r="AK185" i="16"/>
  <c r="AK140" i="16"/>
  <c r="J236" i="16"/>
  <c r="AL191" i="16" s="1"/>
  <c r="AL204" i="16"/>
  <c r="W96" i="16"/>
  <c r="J231" i="19"/>
  <c r="Y236" i="19"/>
  <c r="AA236" i="19" s="1"/>
  <c r="AV141" i="19"/>
  <c r="T141" i="19"/>
  <c r="AH141" i="16"/>
  <c r="F96" i="16"/>
  <c r="Y51" i="16"/>
  <c r="L95" i="14"/>
  <c r="BB208" i="14"/>
  <c r="Z163" i="14"/>
  <c r="BB163" i="14"/>
  <c r="AA208" i="14"/>
  <c r="BB147" i="14"/>
  <c r="BB192" i="14"/>
  <c r="Z147" i="14"/>
  <c r="AC36" i="14"/>
  <c r="BC173" i="14"/>
  <c r="BC218" i="14"/>
  <c r="AZ185" i="11"/>
  <c r="X140" i="11"/>
  <c r="AZ140" i="11"/>
  <c r="AX192" i="11"/>
  <c r="V186" i="11"/>
  <c r="AX147" i="11"/>
  <c r="V147" i="11"/>
  <c r="Y27" i="9"/>
  <c r="J252" i="9"/>
  <c r="J207" i="9"/>
  <c r="J12" i="9"/>
  <c r="E38" i="11"/>
  <c r="AC38" i="11" s="1"/>
  <c r="E36" i="11"/>
  <c r="AC36" i="11" s="1"/>
  <c r="E37" i="11"/>
  <c r="AC37" i="11" s="1"/>
  <c r="E39" i="11"/>
  <c r="AC39" i="11" s="1"/>
  <c r="AU185" i="10"/>
  <c r="AU140" i="10"/>
  <c r="S140" i="10"/>
  <c r="BB146" i="10"/>
  <c r="BB191" i="10"/>
  <c r="Z146" i="10"/>
  <c r="Z57" i="9"/>
  <c r="BC187" i="11"/>
  <c r="BC142" i="11"/>
  <c r="AA142" i="11"/>
  <c r="F140" i="10"/>
  <c r="Y185" i="10"/>
  <c r="AH140" i="10"/>
  <c r="AH185" i="10"/>
  <c r="AA207" i="11"/>
  <c r="BB207" i="11"/>
  <c r="BB162" i="11"/>
  <c r="Z162" i="11"/>
  <c r="O231" i="5"/>
  <c r="AQ186" i="5" s="1"/>
  <c r="F235" i="11"/>
  <c r="AH217" i="11"/>
  <c r="AH216" i="11"/>
  <c r="AH201" i="11"/>
  <c r="R68" i="20"/>
  <c r="O231" i="11"/>
  <c r="X231" i="11"/>
  <c r="AZ192" i="11"/>
  <c r="F68" i="20"/>
  <c r="H231" i="11"/>
  <c r="AJ186" i="11" s="1"/>
  <c r="AM190" i="14"/>
  <c r="I41" i="20" s="1"/>
  <c r="I69" i="20"/>
  <c r="K231" i="14"/>
  <c r="AM186" i="14" s="1"/>
  <c r="AJ190" i="11"/>
  <c r="F40" i="20" s="1"/>
  <c r="F55" i="20" s="1"/>
  <c r="BA190" i="5"/>
  <c r="AB38" i="20" s="1"/>
  <c r="Y145" i="5"/>
  <c r="AB23" i="20" s="1"/>
  <c r="P235" i="11"/>
  <c r="P264" i="11"/>
  <c r="P262" i="11"/>
  <c r="AR190" i="16"/>
  <c r="S42" i="20" s="1"/>
  <c r="S70" i="20"/>
  <c r="P231" i="16"/>
  <c r="G126" i="16"/>
  <c r="Y36" i="16"/>
  <c r="P190" i="5"/>
  <c r="P219" i="5"/>
  <c r="AR156" i="5"/>
  <c r="P217" i="5"/>
  <c r="AR201" i="5"/>
  <c r="Z201" i="5"/>
  <c r="BA190" i="14"/>
  <c r="AB41" i="20" s="1"/>
  <c r="AY190" i="11"/>
  <c r="Z40" i="20" s="1"/>
  <c r="T190" i="5"/>
  <c r="T218" i="5"/>
  <c r="AV156" i="5"/>
  <c r="AV201" i="5"/>
  <c r="Y37" i="11"/>
  <c r="F127" i="11"/>
  <c r="Y42" i="19"/>
  <c r="G132" i="19"/>
  <c r="Q190" i="10"/>
  <c r="Q219" i="10"/>
  <c r="AS201" i="10"/>
  <c r="AS156" i="10"/>
  <c r="G132" i="14"/>
  <c r="Y42" i="14"/>
  <c r="H54" i="20"/>
  <c r="X67" i="20"/>
  <c r="U231" i="10"/>
  <c r="AV190" i="11"/>
  <c r="W40" i="20" s="1"/>
  <c r="F54" i="20"/>
  <c r="G55" i="20"/>
  <c r="P247" i="11"/>
  <c r="P269" i="11" s="1"/>
  <c r="P202" i="11"/>
  <c r="Z22" i="11"/>
  <c r="P44" i="11"/>
  <c r="P10" i="11"/>
  <c r="P112" i="11"/>
  <c r="AM190" i="16"/>
  <c r="I42" i="20" s="1"/>
  <c r="I70" i="20"/>
  <c r="K231" i="16"/>
  <c r="AM186" i="16" s="1"/>
  <c r="U190" i="16"/>
  <c r="AW201" i="16"/>
  <c r="AW156" i="16"/>
  <c r="H235" i="19"/>
  <c r="AJ222" i="19"/>
  <c r="AJ202" i="19"/>
  <c r="E56" i="20"/>
  <c r="U66" i="20"/>
  <c r="U78" i="20" s="1"/>
  <c r="R231" i="5"/>
  <c r="AT186" i="5" s="1"/>
  <c r="L231" i="10"/>
  <c r="I55" i="20"/>
  <c r="AO190" i="5"/>
  <c r="P38" i="20" s="1"/>
  <c r="Z235" i="5"/>
  <c r="AC66" i="20" s="1"/>
  <c r="P66" i="20"/>
  <c r="M231" i="5"/>
  <c r="R235" i="19"/>
  <c r="AI177" i="19"/>
  <c r="Y87" i="19"/>
  <c r="AJ177" i="19"/>
  <c r="H132" i="19"/>
  <c r="U190" i="19"/>
  <c r="AW201" i="19"/>
  <c r="AW156" i="19"/>
  <c r="F51" i="19"/>
  <c r="AH145" i="19"/>
  <c r="Y55" i="19"/>
  <c r="F100" i="19"/>
  <c r="M230" i="21"/>
  <c r="Z230" i="21" s="1"/>
  <c r="Z233" i="21"/>
  <c r="AA233" i="21" s="1"/>
  <c r="AH217" i="21"/>
  <c r="AH216" i="21"/>
  <c r="AH201" i="21"/>
  <c r="F235" i="21"/>
  <c r="D72" i="20" s="1"/>
  <c r="AP141" i="21"/>
  <c r="N141" i="21"/>
  <c r="Y10" i="21"/>
  <c r="F6" i="21"/>
  <c r="F145" i="21"/>
  <c r="D29" i="20" s="1"/>
  <c r="F100" i="21"/>
  <c r="Y81" i="21"/>
  <c r="AA133" i="21"/>
  <c r="Z117" i="21"/>
  <c r="AA27" i="21"/>
  <c r="AA117" i="21" s="1"/>
  <c r="T231" i="21"/>
  <c r="AV186" i="21" s="1"/>
  <c r="Y36" i="21"/>
  <c r="L95" i="21"/>
  <c r="AA5" i="21"/>
  <c r="AA95" i="21" s="1"/>
  <c r="P96" i="21"/>
  <c r="Z51" i="21"/>
  <c r="BC188" i="21"/>
  <c r="BC143" i="21"/>
  <c r="AA143" i="21"/>
  <c r="BB165" i="21"/>
  <c r="Z165" i="21"/>
  <c r="AA210" i="21"/>
  <c r="BB210" i="21"/>
  <c r="AS141" i="21"/>
  <c r="Q141" i="21"/>
  <c r="U95" i="19"/>
  <c r="Z5" i="19"/>
  <c r="AQ186" i="16"/>
  <c r="O141" i="16"/>
  <c r="AQ141" i="16"/>
  <c r="AA133" i="16"/>
  <c r="Y97" i="16"/>
  <c r="AA7" i="16"/>
  <c r="AA97" i="16" s="1"/>
  <c r="AQ140" i="16"/>
  <c r="AQ185" i="16"/>
  <c r="O140" i="16"/>
  <c r="Y87" i="16"/>
  <c r="AI177" i="16"/>
  <c r="BA160" i="19"/>
  <c r="Y160" i="19"/>
  <c r="BA205" i="19"/>
  <c r="AA205" i="19"/>
  <c r="Z185" i="16"/>
  <c r="X96" i="19"/>
  <c r="AH171" i="11"/>
  <c r="Y81" i="11"/>
  <c r="Y87" i="14"/>
  <c r="AI177" i="14"/>
  <c r="AA185" i="19"/>
  <c r="Y140" i="19"/>
  <c r="BA140" i="19"/>
  <c r="BA185" i="19"/>
  <c r="BB163" i="19"/>
  <c r="AA208" i="19"/>
  <c r="Z163" i="19"/>
  <c r="BB208" i="19"/>
  <c r="AA193" i="16"/>
  <c r="BB193" i="16"/>
  <c r="Z148" i="16"/>
  <c r="BB148" i="16"/>
  <c r="AA151" i="14"/>
  <c r="BC196" i="14"/>
  <c r="BC151" i="14"/>
  <c r="AV192" i="14"/>
  <c r="T147" i="14"/>
  <c r="T186" i="14"/>
  <c r="AV147" i="14"/>
  <c r="BC206" i="14"/>
  <c r="AA161" i="14"/>
  <c r="BC161" i="14"/>
  <c r="AA12" i="14"/>
  <c r="AA134" i="14"/>
  <c r="AA179" i="14"/>
  <c r="Q96" i="14"/>
  <c r="U141" i="14"/>
  <c r="AW141" i="14"/>
  <c r="AW186" i="14"/>
  <c r="BA191" i="14"/>
  <c r="Z173" i="14"/>
  <c r="AI177" i="11"/>
  <c r="Y87" i="11"/>
  <c r="AP185" i="11"/>
  <c r="N140" i="11"/>
  <c r="Z185" i="11"/>
  <c r="AP140" i="11"/>
  <c r="I96" i="11"/>
  <c r="I141" i="11"/>
  <c r="O100" i="11"/>
  <c r="O51" i="11"/>
  <c r="AR140" i="11"/>
  <c r="AR185" i="11"/>
  <c r="P140" i="11"/>
  <c r="F140" i="11"/>
  <c r="AH140" i="11"/>
  <c r="Y185" i="11"/>
  <c r="AH185" i="11"/>
  <c r="M95" i="11"/>
  <c r="Z5" i="11"/>
  <c r="Z95" i="11" s="1"/>
  <c r="T141" i="11"/>
  <c r="T96" i="11"/>
  <c r="AX145" i="10"/>
  <c r="V51" i="10"/>
  <c r="V96" i="10" s="1"/>
  <c r="AA155" i="10"/>
  <c r="BC155" i="10"/>
  <c r="BC200" i="10"/>
  <c r="AB40" i="10"/>
  <c r="AA130" i="10"/>
  <c r="BC188" i="10"/>
  <c r="BC143" i="10"/>
  <c r="AA143" i="10"/>
  <c r="BC176" i="10"/>
  <c r="AA176" i="10"/>
  <c r="BC221" i="10"/>
  <c r="K146" i="11"/>
  <c r="K186" i="11"/>
  <c r="AM191" i="11"/>
  <c r="AL146" i="11"/>
  <c r="J146" i="11"/>
  <c r="AL191" i="11"/>
  <c r="Y191" i="11"/>
  <c r="J186" i="11"/>
  <c r="AA205" i="11"/>
  <c r="BA160" i="11"/>
  <c r="Y160" i="11"/>
  <c r="BA205" i="11"/>
  <c r="AV146" i="10"/>
  <c r="T146" i="10"/>
  <c r="AV191" i="10"/>
  <c r="T186" i="10"/>
  <c r="AR140" i="10"/>
  <c r="P140" i="10"/>
  <c r="AR185" i="10"/>
  <c r="V100" i="10"/>
  <c r="Y99" i="10"/>
  <c r="AA9" i="10"/>
  <c r="AA99" i="10" s="1"/>
  <c r="AA72" i="9"/>
  <c r="Y232" i="11"/>
  <c r="AA232" i="11" s="1"/>
  <c r="T140" i="11"/>
  <c r="AV185" i="11"/>
  <c r="AV140" i="11"/>
  <c r="Z97" i="11"/>
  <c r="AA7" i="11"/>
  <c r="AA97" i="11" s="1"/>
  <c r="AN185" i="10"/>
  <c r="L140" i="10"/>
  <c r="AN140" i="10"/>
  <c r="H96" i="10"/>
  <c r="F236" i="10"/>
  <c r="AH204" i="10"/>
  <c r="AO192" i="11"/>
  <c r="M147" i="11"/>
  <c r="Z192" i="11"/>
  <c r="M186" i="11"/>
  <c r="AO147" i="11"/>
  <c r="H141" i="10"/>
  <c r="Y51" i="10"/>
  <c r="AV192" i="10"/>
  <c r="T147" i="10"/>
  <c r="AV147" i="10"/>
  <c r="U51" i="9"/>
  <c r="AO216" i="9"/>
  <c r="M171" i="9"/>
  <c r="Z216" i="9"/>
  <c r="AO171" i="9"/>
  <c r="I141" i="9"/>
  <c r="AK141" i="9"/>
  <c r="AP140" i="9"/>
  <c r="AP185" i="9"/>
  <c r="Z185" i="9"/>
  <c r="N140" i="9"/>
  <c r="N96" i="9"/>
  <c r="AA97" i="9"/>
  <c r="Y97" i="9"/>
  <c r="Y112" i="9"/>
  <c r="BC208" i="11"/>
  <c r="AA163" i="11"/>
  <c r="BC163" i="11"/>
  <c r="L12" i="9"/>
  <c r="AA29" i="9"/>
  <c r="L254" i="9"/>
  <c r="L209" i="9"/>
  <c r="AI202" i="9"/>
  <c r="G267" i="9"/>
  <c r="Q235" i="9"/>
  <c r="AS201" i="9"/>
  <c r="Q264" i="9"/>
  <c r="W208" i="9"/>
  <c r="W12" i="9"/>
  <c r="Z12" i="9" s="1"/>
  <c r="W253" i="9"/>
  <c r="BC215" i="9"/>
  <c r="BC170" i="9"/>
  <c r="AA170" i="9"/>
  <c r="AW201" i="9"/>
  <c r="U190" i="9"/>
  <c r="U218" i="9"/>
  <c r="AW156" i="9"/>
  <c r="Z97" i="9"/>
  <c r="Z5" i="9"/>
  <c r="P172" i="9"/>
  <c r="AR217" i="9"/>
  <c r="AR172" i="9"/>
  <c r="BA157" i="9"/>
  <c r="BA145" i="9"/>
  <c r="Y145" i="9"/>
  <c r="T10" i="9"/>
  <c r="T38" i="9"/>
  <c r="T201" i="9"/>
  <c r="T246" i="9"/>
  <c r="L230" i="9"/>
  <c r="BC194" i="9"/>
  <c r="AA149" i="9"/>
  <c r="BC149" i="9"/>
  <c r="W100" i="9"/>
  <c r="W6" i="9"/>
  <c r="J101" i="9"/>
  <c r="J6" i="9"/>
  <c r="AY216" i="9"/>
  <c r="AY171" i="9"/>
  <c r="W171" i="9"/>
  <c r="N230" i="9"/>
  <c r="Z232" i="9"/>
  <c r="AZ191" i="9"/>
  <c r="X146" i="9"/>
  <c r="AZ146" i="9"/>
  <c r="Z159" i="9"/>
  <c r="BB204" i="9"/>
  <c r="BB159" i="9"/>
  <c r="X95" i="9"/>
  <c r="AA236" i="9"/>
  <c r="M231" i="9"/>
  <c r="AI185" i="9"/>
  <c r="G140" i="9"/>
  <c r="Y185" i="9"/>
  <c r="AI140" i="9"/>
  <c r="AU191" i="9"/>
  <c r="AO192" i="9"/>
  <c r="M147" i="9"/>
  <c r="AO147" i="9"/>
  <c r="BA217" i="9"/>
  <c r="BA172" i="9"/>
  <c r="Y172" i="9"/>
  <c r="AA165" i="9"/>
  <c r="BC210" i="9"/>
  <c r="BC165" i="9"/>
  <c r="AZ185" i="9"/>
  <c r="AZ140" i="9"/>
  <c r="X140" i="9"/>
  <c r="Z50" i="9"/>
  <c r="Y129" i="9"/>
  <c r="M96" i="9"/>
  <c r="K95" i="9"/>
  <c r="U6" i="9"/>
  <c r="AL147" i="5"/>
  <c r="J186" i="5"/>
  <c r="AL192" i="5"/>
  <c r="Y192" i="5"/>
  <c r="J147" i="5"/>
  <c r="AA66" i="9"/>
  <c r="F236" i="5"/>
  <c r="AH204" i="5"/>
  <c r="P230" i="5"/>
  <c r="Z232" i="5"/>
  <c r="Z238" i="5"/>
  <c r="AA9" i="5"/>
  <c r="AA99" i="5" s="1"/>
  <c r="Z99" i="5"/>
  <c r="BB159" i="5"/>
  <c r="BB204" i="5"/>
  <c r="Z159" i="5"/>
  <c r="AA204" i="5"/>
  <c r="Y81" i="5"/>
  <c r="H126" i="5"/>
  <c r="AJ171" i="5"/>
  <c r="R262" i="9"/>
  <c r="R235" i="9"/>
  <c r="AT190" i="9" s="1"/>
  <c r="AV163" i="9"/>
  <c r="T192" i="9"/>
  <c r="AV208" i="9"/>
  <c r="R100" i="9"/>
  <c r="Y5" i="5"/>
  <c r="BB160" i="5"/>
  <c r="Z115" i="5"/>
  <c r="Y146" i="5"/>
  <c r="Y232" i="5"/>
  <c r="AA232" i="5" s="1"/>
  <c r="Z51" i="5"/>
  <c r="Z96" i="5" s="1"/>
  <c r="Q141" i="9"/>
  <c r="AS141" i="9"/>
  <c r="Q147" i="9"/>
  <c r="AA42" i="9"/>
  <c r="Y132" i="9"/>
  <c r="AV160" i="9"/>
  <c r="Z70" i="9"/>
  <c r="T56" i="9"/>
  <c r="H96" i="9"/>
  <c r="AP217" i="9"/>
  <c r="AP172" i="9"/>
  <c r="N172" i="9"/>
  <c r="Z217" i="9"/>
  <c r="AA82" i="9"/>
  <c r="BC204" i="11"/>
  <c r="BC159" i="11"/>
  <c r="AA159" i="11"/>
  <c r="AX186" i="10"/>
  <c r="AX141" i="10"/>
  <c r="V141" i="10"/>
  <c r="F126" i="9"/>
  <c r="Y36" i="9"/>
  <c r="BA189" i="9"/>
  <c r="Y144" i="9"/>
  <c r="AA189" i="9"/>
  <c r="BA144" i="9"/>
  <c r="U128" i="9"/>
  <c r="BB207" i="10"/>
  <c r="AA207" i="10"/>
  <c r="BB162" i="10"/>
  <c r="Z162" i="10"/>
  <c r="L141" i="10"/>
  <c r="T51" i="9"/>
  <c r="H230" i="9"/>
  <c r="AP190" i="9"/>
  <c r="AP145" i="9"/>
  <c r="N145" i="9"/>
  <c r="N186" i="9"/>
  <c r="AX208" i="9"/>
  <c r="V192" i="9"/>
  <c r="AX163" i="9"/>
  <c r="BC220" i="9"/>
  <c r="AA175" i="9"/>
  <c r="BC175" i="9"/>
  <c r="Y148" i="9"/>
  <c r="BA148" i="9"/>
  <c r="BA193" i="9"/>
  <c r="AJ141" i="9"/>
  <c r="H141" i="9"/>
  <c r="AK185" i="9"/>
  <c r="I140" i="9"/>
  <c r="AK140" i="9"/>
  <c r="AT140" i="9"/>
  <c r="R140" i="9"/>
  <c r="AT185" i="9"/>
  <c r="AA113" i="9"/>
  <c r="G96" i="9"/>
  <c r="J191" i="9"/>
  <c r="Y205" i="9"/>
  <c r="AL160" i="9"/>
  <c r="AL205" i="9"/>
  <c r="J230" i="9"/>
  <c r="BB205" i="9"/>
  <c r="Z160" i="9"/>
  <c r="BB160" i="9"/>
  <c r="AP191" i="9"/>
  <c r="AP146" i="9"/>
  <c r="Z191" i="9"/>
  <c r="N146" i="9"/>
  <c r="AA124" i="9"/>
  <c r="O96" i="9"/>
  <c r="AA11" i="9"/>
  <c r="R95" i="9"/>
  <c r="AA55" i="9"/>
  <c r="AR186" i="9"/>
  <c r="AO218" i="9"/>
  <c r="G235" i="9"/>
  <c r="K140" i="9"/>
  <c r="AM140" i="9"/>
  <c r="AM185" i="9"/>
  <c r="AH146" i="9"/>
  <c r="Y56" i="9"/>
  <c r="F101" i="9"/>
  <c r="BB207" i="9"/>
  <c r="BB162" i="9"/>
  <c r="Z162" i="9"/>
  <c r="Z51" i="10"/>
  <c r="Y173" i="10"/>
  <c r="BC211" i="9"/>
  <c r="AA166" i="9"/>
  <c r="BC166" i="9"/>
  <c r="AA52" i="9"/>
  <c r="AA131" i="9"/>
  <c r="AB41" i="9"/>
  <c r="X102" i="9"/>
  <c r="O230" i="5"/>
  <c r="AA135" i="5"/>
  <c r="Z21" i="9"/>
  <c r="K231" i="9"/>
  <c r="BC222" i="5"/>
  <c r="AA177" i="5"/>
  <c r="BC177" i="5"/>
  <c r="Z5" i="5"/>
  <c r="Z95" i="5" s="1"/>
  <c r="N95" i="5"/>
  <c r="X231" i="5"/>
  <c r="W145" i="9"/>
  <c r="AJ145" i="5"/>
  <c r="Y55" i="5"/>
  <c r="AA55" i="5" s="1"/>
  <c r="H51" i="5"/>
  <c r="H100" i="5"/>
  <c r="I230" i="5"/>
  <c r="Z236" i="5"/>
  <c r="R145" i="9"/>
  <c r="AT145" i="9"/>
  <c r="R186" i="9"/>
  <c r="Z208" i="9"/>
  <c r="Y171" i="5"/>
  <c r="BA171" i="5"/>
  <c r="BA216" i="5"/>
  <c r="BB208" i="5"/>
  <c r="BB163" i="5"/>
  <c r="AA208" i="5"/>
  <c r="Z163" i="5"/>
  <c r="AB37" i="5"/>
  <c r="AA127" i="5"/>
  <c r="AA148" i="5"/>
  <c r="BC148" i="5"/>
  <c r="Z192" i="5"/>
  <c r="AA173" i="14" l="1"/>
  <c r="AA128" i="19"/>
  <c r="AB38" i="19"/>
  <c r="AD11" i="16"/>
  <c r="AA100" i="16"/>
  <c r="S126" i="20"/>
  <c r="H58" i="20"/>
  <c r="H110" i="20" s="1"/>
  <c r="H137" i="20" s="1"/>
  <c r="AA55" i="21"/>
  <c r="Z100" i="16"/>
  <c r="AA71" i="20"/>
  <c r="AZ190" i="19"/>
  <c r="AA43" i="20" s="1"/>
  <c r="AA58" i="20" s="1"/>
  <c r="AA110" i="20" s="1"/>
  <c r="AA39" i="16"/>
  <c r="Z129" i="16"/>
  <c r="T126" i="20"/>
  <c r="AV190" i="21"/>
  <c r="W44" i="20" s="1"/>
  <c r="W72" i="20"/>
  <c r="AA72" i="20"/>
  <c r="AZ190" i="21"/>
  <c r="AA44" i="20" s="1"/>
  <c r="X231" i="21"/>
  <c r="Z6" i="19"/>
  <c r="AA6" i="19" s="1"/>
  <c r="Z174" i="19"/>
  <c r="BB174" i="19"/>
  <c r="BB219" i="19"/>
  <c r="AA100" i="19"/>
  <c r="X174" i="16"/>
  <c r="AZ174" i="16"/>
  <c r="AZ219" i="16"/>
  <c r="AA10" i="20"/>
  <c r="AZ145" i="16"/>
  <c r="X145" i="16"/>
  <c r="AA27" i="20" s="1"/>
  <c r="X186" i="16"/>
  <c r="AZ190" i="16"/>
  <c r="AA42" i="20" s="1"/>
  <c r="AA51" i="16"/>
  <c r="AA81" i="20"/>
  <c r="AA108" i="20"/>
  <c r="AA135" i="20" s="1"/>
  <c r="AZ141" i="14"/>
  <c r="AZ186" i="14"/>
  <c r="Y56" i="11"/>
  <c r="BC174" i="21"/>
  <c r="I106" i="20"/>
  <c r="I133" i="20" s="1"/>
  <c r="U134" i="20"/>
  <c r="U132" i="20"/>
  <c r="E134" i="20"/>
  <c r="P137" i="20"/>
  <c r="D78" i="20"/>
  <c r="U133" i="20"/>
  <c r="Y81" i="20"/>
  <c r="T83" i="20"/>
  <c r="Z135" i="20"/>
  <c r="Y135" i="20"/>
  <c r="R112" i="20"/>
  <c r="I126" i="20"/>
  <c r="R58" i="20"/>
  <c r="R110" i="20" s="1"/>
  <c r="R137" i="20" s="1"/>
  <c r="R155" i="20" s="1"/>
  <c r="P134" i="20"/>
  <c r="Q133" i="20"/>
  <c r="Y133" i="20"/>
  <c r="D121" i="20"/>
  <c r="G132" i="20"/>
  <c r="E132" i="20"/>
  <c r="P83" i="20"/>
  <c r="G135" i="20"/>
  <c r="F135" i="20"/>
  <c r="D135" i="20"/>
  <c r="AG107" i="20"/>
  <c r="L134" i="20"/>
  <c r="AE109" i="20"/>
  <c r="J136" i="20"/>
  <c r="AF109" i="20"/>
  <c r="K136" i="20"/>
  <c r="AF106" i="20"/>
  <c r="K133" i="20"/>
  <c r="Q136" i="20"/>
  <c r="Q154" i="20" s="1"/>
  <c r="F122" i="20"/>
  <c r="AF110" i="20"/>
  <c r="K137" i="20"/>
  <c r="R135" i="20"/>
  <c r="S127" i="20"/>
  <c r="S58" i="20"/>
  <c r="S110" i="20" s="1"/>
  <c r="S137" i="20" s="1"/>
  <c r="S155" i="20" s="1"/>
  <c r="S112" i="20"/>
  <c r="R136" i="20"/>
  <c r="R154" i="20" s="1"/>
  <c r="K101" i="21"/>
  <c r="K96" i="21"/>
  <c r="H59" i="20"/>
  <c r="H84" i="20" s="1"/>
  <c r="H126" i="20"/>
  <c r="Q43" i="20"/>
  <c r="Q125" i="20" s="1"/>
  <c r="Q127" i="20"/>
  <c r="T141" i="21"/>
  <c r="I56" i="20"/>
  <c r="I81" i="20" s="1"/>
  <c r="I123" i="20"/>
  <c r="Z57" i="20"/>
  <c r="Z109" i="20" s="1"/>
  <c r="Z124" i="20"/>
  <c r="H55" i="20"/>
  <c r="H107" i="20" s="1"/>
  <c r="H122" i="20"/>
  <c r="J121" i="20"/>
  <c r="G121" i="20"/>
  <c r="H56" i="20"/>
  <c r="H81" i="20" s="1"/>
  <c r="H123" i="20"/>
  <c r="AB120" i="20"/>
  <c r="I53" i="20"/>
  <c r="I78" i="20" s="1"/>
  <c r="I120" i="20"/>
  <c r="AB123" i="20"/>
  <c r="AA55" i="20"/>
  <c r="AA107" i="20" s="1"/>
  <c r="AA122" i="20"/>
  <c r="P54" i="20"/>
  <c r="P106" i="20" s="1"/>
  <c r="P121" i="20"/>
  <c r="Q123" i="20"/>
  <c r="P53" i="20"/>
  <c r="P105" i="20" s="1"/>
  <c r="P120" i="20"/>
  <c r="I57" i="20"/>
  <c r="I82" i="20" s="1"/>
  <c r="I124" i="20"/>
  <c r="W55" i="20"/>
  <c r="W107" i="20" s="1"/>
  <c r="W122" i="20"/>
  <c r="Y55" i="20"/>
  <c r="Y80" i="20" s="1"/>
  <c r="Y122" i="20"/>
  <c r="H53" i="20"/>
  <c r="H105" i="20" s="1"/>
  <c r="H120" i="20"/>
  <c r="S57" i="20"/>
  <c r="S109" i="20" s="1"/>
  <c r="S124" i="20"/>
  <c r="S111" i="20"/>
  <c r="S84" i="20"/>
  <c r="Z112" i="20"/>
  <c r="E112" i="20"/>
  <c r="W83" i="20"/>
  <c r="Z111" i="20"/>
  <c r="Z138" i="20" s="1"/>
  <c r="Z84" i="20"/>
  <c r="W112" i="20"/>
  <c r="AA112" i="20"/>
  <c r="R111" i="20"/>
  <c r="R138" i="20" s="1"/>
  <c r="R84" i="20"/>
  <c r="I83" i="20"/>
  <c r="T112" i="20"/>
  <c r="P111" i="20"/>
  <c r="P138" i="20" s="1"/>
  <c r="P84" i="20"/>
  <c r="T111" i="20"/>
  <c r="T84" i="20"/>
  <c r="I84" i="20"/>
  <c r="I111" i="20"/>
  <c r="H112" i="20"/>
  <c r="Y58" i="20"/>
  <c r="Y83" i="20" s="1"/>
  <c r="P112" i="20"/>
  <c r="I112" i="20"/>
  <c r="E106" i="20"/>
  <c r="E133" i="20" s="1"/>
  <c r="J82" i="20"/>
  <c r="AB53" i="20"/>
  <c r="AB78" i="20" s="1"/>
  <c r="S81" i="20"/>
  <c r="D81" i="20"/>
  <c r="R78" i="20"/>
  <c r="G110" i="20"/>
  <c r="G137" i="20" s="1"/>
  <c r="G83" i="20"/>
  <c r="Y82" i="20"/>
  <c r="E80" i="20"/>
  <c r="X81" i="20"/>
  <c r="H109" i="20"/>
  <c r="H136" i="20" s="1"/>
  <c r="W81" i="20"/>
  <c r="Q78" i="20"/>
  <c r="F105" i="20"/>
  <c r="F78" i="20"/>
  <c r="Y174" i="19"/>
  <c r="BA219" i="19"/>
  <c r="BA174" i="19"/>
  <c r="AA219" i="19"/>
  <c r="T70" i="20"/>
  <c r="Q231" i="16"/>
  <c r="AS190" i="16"/>
  <c r="T42" i="20" s="1"/>
  <c r="T10" i="20"/>
  <c r="Q186" i="16"/>
  <c r="AS145" i="16"/>
  <c r="Q145" i="16"/>
  <c r="T27" i="20" s="1"/>
  <c r="F141" i="14"/>
  <c r="Y186" i="14"/>
  <c r="AH186" i="14"/>
  <c r="BB146" i="16"/>
  <c r="AA56" i="16"/>
  <c r="Z101" i="16"/>
  <c r="AA6" i="20"/>
  <c r="X186" i="5"/>
  <c r="X145" i="5"/>
  <c r="AA23" i="20" s="1"/>
  <c r="AZ145" i="5"/>
  <c r="K101" i="19"/>
  <c r="K51" i="19"/>
  <c r="Y51" i="19" s="1"/>
  <c r="AA7" i="20"/>
  <c r="X145" i="10"/>
  <c r="AA24" i="20" s="1"/>
  <c r="AZ190" i="10"/>
  <c r="AA39" i="20" s="1"/>
  <c r="X186" i="10"/>
  <c r="AZ145" i="10"/>
  <c r="AT172" i="9"/>
  <c r="AJ186" i="14"/>
  <c r="AJ141" i="14"/>
  <c r="H141" i="14"/>
  <c r="BA174" i="11"/>
  <c r="BA219" i="11"/>
  <c r="Y174" i="11"/>
  <c r="M186" i="5"/>
  <c r="AO192" i="5"/>
  <c r="AO147" i="5"/>
  <c r="M147" i="5"/>
  <c r="X7" i="20"/>
  <c r="U145" i="10"/>
  <c r="X24" i="20" s="1"/>
  <c r="AW145" i="10"/>
  <c r="U186" i="10"/>
  <c r="AW190" i="10"/>
  <c r="X39" i="20" s="1"/>
  <c r="Z201" i="21"/>
  <c r="U190" i="21"/>
  <c r="X12" i="20" s="1"/>
  <c r="AW156" i="21"/>
  <c r="AW201" i="21"/>
  <c r="F141" i="16"/>
  <c r="AH186" i="16"/>
  <c r="AK141" i="14"/>
  <c r="I141" i="14"/>
  <c r="AQ217" i="10"/>
  <c r="O172" i="10"/>
  <c r="AQ172" i="10"/>
  <c r="BA217" i="16"/>
  <c r="Y172" i="16"/>
  <c r="AA82" i="21"/>
  <c r="AA127" i="21" s="1"/>
  <c r="BA172" i="21"/>
  <c r="BA185" i="5"/>
  <c r="BA140" i="5"/>
  <c r="Y140" i="5"/>
  <c r="U231" i="11"/>
  <c r="AZ174" i="10"/>
  <c r="X174" i="10"/>
  <c r="AZ219" i="10"/>
  <c r="AW186" i="10"/>
  <c r="F81" i="20"/>
  <c r="Y56" i="21"/>
  <c r="AA56" i="21" s="1"/>
  <c r="AY171" i="10"/>
  <c r="W171" i="10"/>
  <c r="AY216" i="10"/>
  <c r="Z216" i="10"/>
  <c r="AY190" i="5"/>
  <c r="Z38" i="20" s="1"/>
  <c r="Z6" i="20"/>
  <c r="W145" i="5"/>
  <c r="Z23" i="20" s="1"/>
  <c r="AY145" i="5"/>
  <c r="BA221" i="11"/>
  <c r="AA221" i="11"/>
  <c r="Y176" i="11"/>
  <c r="BA176" i="11"/>
  <c r="Z129" i="21"/>
  <c r="Z174" i="21"/>
  <c r="AB9" i="20"/>
  <c r="AB56" i="20" s="1"/>
  <c r="AB81" i="20" s="1"/>
  <c r="BA145" i="14"/>
  <c r="G81" i="20"/>
  <c r="BA217" i="14"/>
  <c r="Y172" i="14"/>
  <c r="BA172" i="14"/>
  <c r="AY216" i="11"/>
  <c r="W171" i="11"/>
  <c r="Z216" i="11"/>
  <c r="AY171" i="11"/>
  <c r="BB157" i="10"/>
  <c r="BB202" i="10"/>
  <c r="Z157" i="10"/>
  <c r="AA202" i="10"/>
  <c r="AK186" i="11"/>
  <c r="AK141" i="11"/>
  <c r="BC164" i="14"/>
  <c r="AA164" i="14"/>
  <c r="BC209" i="14"/>
  <c r="AK141" i="19"/>
  <c r="AK186" i="19"/>
  <c r="I141" i="19"/>
  <c r="U235" i="21"/>
  <c r="X72" i="20" s="1"/>
  <c r="AQ219" i="10"/>
  <c r="AQ174" i="10"/>
  <c r="O174" i="10"/>
  <c r="G106" i="20"/>
  <c r="G79" i="20"/>
  <c r="AM146" i="21"/>
  <c r="AZ186" i="5"/>
  <c r="AJ141" i="10"/>
  <c r="Y127" i="21"/>
  <c r="AA5" i="10"/>
  <c r="AA95" i="10" s="1"/>
  <c r="AM146" i="19"/>
  <c r="Z128" i="16"/>
  <c r="AA83" i="16"/>
  <c r="AA128" i="16" s="1"/>
  <c r="K51" i="14"/>
  <c r="AM141" i="14" s="1"/>
  <c r="AM146" i="14"/>
  <c r="AA120" i="16"/>
  <c r="AA165" i="16"/>
  <c r="AZ192" i="21"/>
  <c r="X147" i="21"/>
  <c r="AZ147" i="21"/>
  <c r="X186" i="21"/>
  <c r="J96" i="11"/>
  <c r="Z8" i="20"/>
  <c r="Z55" i="20" s="1"/>
  <c r="W186" i="11"/>
  <c r="AY186" i="11" s="1"/>
  <c r="AY145" i="11"/>
  <c r="W145" i="11"/>
  <c r="Z25" i="20" s="1"/>
  <c r="Z122" i="20" s="1"/>
  <c r="AN147" i="14"/>
  <c r="L186" i="14"/>
  <c r="L147" i="14"/>
  <c r="J26" i="20" s="1"/>
  <c r="AN192" i="14"/>
  <c r="J41" i="20" s="1"/>
  <c r="J9" i="20"/>
  <c r="AA185" i="5"/>
  <c r="R7" i="20"/>
  <c r="AQ145" i="10"/>
  <c r="O145" i="10"/>
  <c r="R24" i="20" s="1"/>
  <c r="O186" i="10"/>
  <c r="AS219" i="14"/>
  <c r="Z219" i="14"/>
  <c r="AA219" i="14" s="1"/>
  <c r="AS174" i="14"/>
  <c r="Q174" i="14"/>
  <c r="Z235" i="16"/>
  <c r="AC70" i="20" s="1"/>
  <c r="R8" i="20"/>
  <c r="O145" i="11"/>
  <c r="R25" i="20" s="1"/>
  <c r="AQ190" i="11"/>
  <c r="R40" i="20" s="1"/>
  <c r="O186" i="11"/>
  <c r="O141" i="11" s="1"/>
  <c r="BA221" i="19"/>
  <c r="AA221" i="19"/>
  <c r="Y176" i="19"/>
  <c r="BA176" i="19"/>
  <c r="Z127" i="9"/>
  <c r="AQ145" i="11"/>
  <c r="Y101" i="10"/>
  <c r="AA230" i="11"/>
  <c r="AM141" i="5"/>
  <c r="K141" i="5"/>
  <c r="AQ190" i="10"/>
  <c r="R39" i="20" s="1"/>
  <c r="R67" i="20"/>
  <c r="O231" i="10"/>
  <c r="AY190" i="10"/>
  <c r="Z39" i="20" s="1"/>
  <c r="W145" i="10"/>
  <c r="Z24" i="20" s="1"/>
  <c r="AY145" i="10"/>
  <c r="Z7" i="20"/>
  <c r="W186" i="10"/>
  <c r="BA216" i="16"/>
  <c r="AA216" i="16"/>
  <c r="BC216" i="16" s="1"/>
  <c r="AW173" i="11"/>
  <c r="U173" i="11"/>
  <c r="Z218" i="11"/>
  <c r="AW218" i="11"/>
  <c r="AL141" i="14"/>
  <c r="J96" i="14"/>
  <c r="Z218" i="10"/>
  <c r="AV218" i="10"/>
  <c r="T173" i="10"/>
  <c r="AV173" i="10"/>
  <c r="Y127" i="14"/>
  <c r="AA82" i="14"/>
  <c r="AA127" i="14" s="1"/>
  <c r="AA39" i="21"/>
  <c r="Y114" i="14"/>
  <c r="BA159" i="14"/>
  <c r="AS145" i="14"/>
  <c r="Q186" i="14"/>
  <c r="Q145" i="14"/>
  <c r="T26" i="20" s="1"/>
  <c r="AS190" i="14"/>
  <c r="T41" i="20" s="1"/>
  <c r="T9" i="20"/>
  <c r="Z190" i="14"/>
  <c r="R186" i="14"/>
  <c r="AT145" i="14"/>
  <c r="R145" i="14"/>
  <c r="U26" i="20" s="1"/>
  <c r="AT190" i="14"/>
  <c r="U41" i="20" s="1"/>
  <c r="U9" i="20"/>
  <c r="BB207" i="5"/>
  <c r="Z162" i="5"/>
  <c r="BB162" i="5"/>
  <c r="BC205" i="14"/>
  <c r="BC160" i="14"/>
  <c r="AA222" i="11"/>
  <c r="BC222" i="11" s="1"/>
  <c r="BA222" i="11"/>
  <c r="K101" i="11"/>
  <c r="K51" i="11"/>
  <c r="K96" i="11" s="1"/>
  <c r="X8" i="20"/>
  <c r="AW190" i="11"/>
  <c r="X40" i="20" s="1"/>
  <c r="U186" i="11"/>
  <c r="AW145" i="11"/>
  <c r="U145" i="11"/>
  <c r="X25" i="20" s="1"/>
  <c r="AT217" i="14"/>
  <c r="AT172" i="14"/>
  <c r="Z217" i="14"/>
  <c r="AA217" i="14" s="1"/>
  <c r="AV218" i="16"/>
  <c r="T173" i="16"/>
  <c r="AV173" i="16"/>
  <c r="W67" i="20"/>
  <c r="T231" i="10"/>
  <c r="H141" i="16"/>
  <c r="AJ141" i="16"/>
  <c r="BC189" i="21"/>
  <c r="BC144" i="21"/>
  <c r="AA144" i="21"/>
  <c r="T145" i="10"/>
  <c r="W24" i="20" s="1"/>
  <c r="AV190" i="10"/>
  <c r="W39" i="20" s="1"/>
  <c r="W7" i="20"/>
  <c r="AV145" i="10"/>
  <c r="AR224" i="10"/>
  <c r="Z224" i="10"/>
  <c r="AR179" i="10"/>
  <c r="P179" i="10"/>
  <c r="Y174" i="14"/>
  <c r="BA219" i="14"/>
  <c r="BA174" i="14"/>
  <c r="BA222" i="16"/>
  <c r="AA222" i="16"/>
  <c r="BC222" i="16" s="1"/>
  <c r="F51" i="14"/>
  <c r="Y56" i="14"/>
  <c r="Y101" i="14" s="1"/>
  <c r="AW218" i="10"/>
  <c r="AW173" i="10"/>
  <c r="U173" i="10"/>
  <c r="BA222" i="14"/>
  <c r="AA222" i="14"/>
  <c r="BC222" i="14" s="1"/>
  <c r="AA87" i="10"/>
  <c r="BA177" i="10"/>
  <c r="Y132" i="10"/>
  <c r="AY171" i="5"/>
  <c r="AY216" i="5"/>
  <c r="Z216" i="5"/>
  <c r="W171" i="5"/>
  <c r="AS219" i="16"/>
  <c r="Q174" i="16"/>
  <c r="AS174" i="16"/>
  <c r="Z219" i="16"/>
  <c r="Y56" i="19"/>
  <c r="BA146" i="19" s="1"/>
  <c r="AQ172" i="11"/>
  <c r="AQ217" i="11"/>
  <c r="O172" i="11"/>
  <c r="AJ141" i="11"/>
  <c r="H141" i="11"/>
  <c r="AA216" i="14"/>
  <c r="BA216" i="14"/>
  <c r="BA221" i="16"/>
  <c r="AA221" i="16"/>
  <c r="BA176" i="16"/>
  <c r="Y176" i="16"/>
  <c r="AM186" i="19"/>
  <c r="AK186" i="14"/>
  <c r="BB171" i="16"/>
  <c r="Z126" i="16"/>
  <c r="Y114" i="19"/>
  <c r="BA159" i="19"/>
  <c r="U128" i="21"/>
  <c r="Z38" i="21"/>
  <c r="AA201" i="14"/>
  <c r="BB156" i="14"/>
  <c r="BB201" i="14"/>
  <c r="Z156" i="14"/>
  <c r="AK186" i="9"/>
  <c r="AA232" i="9"/>
  <c r="AA50" i="5"/>
  <c r="W70" i="20"/>
  <c r="T231" i="16"/>
  <c r="Z231" i="16" s="1"/>
  <c r="AA221" i="14"/>
  <c r="Y176" i="14"/>
  <c r="BA176" i="14"/>
  <c r="BA221" i="14"/>
  <c r="AV190" i="16"/>
  <c r="W42" i="20" s="1"/>
  <c r="W10" i="20"/>
  <c r="T186" i="16"/>
  <c r="AV145" i="16"/>
  <c r="T145" i="16"/>
  <c r="W27" i="20" s="1"/>
  <c r="AQ219" i="11"/>
  <c r="O174" i="11"/>
  <c r="AQ174" i="11"/>
  <c r="AZ219" i="5"/>
  <c r="AZ174" i="5"/>
  <c r="X174" i="5"/>
  <c r="AZ190" i="5"/>
  <c r="AA38" i="20" s="1"/>
  <c r="AA66" i="20"/>
  <c r="F23" i="20"/>
  <c r="F120" i="20" s="1"/>
  <c r="BA219" i="16"/>
  <c r="Y174" i="16"/>
  <c r="BA174" i="16"/>
  <c r="G231" i="21"/>
  <c r="AI186" i="21" s="1"/>
  <c r="AI190" i="21"/>
  <c r="E44" i="20" s="1"/>
  <c r="U6" i="21"/>
  <c r="U96" i="21" s="1"/>
  <c r="U100" i="21"/>
  <c r="F141" i="5"/>
  <c r="G141" i="14"/>
  <c r="AI141" i="14"/>
  <c r="Z102" i="9"/>
  <c r="AA95" i="9"/>
  <c r="AA81" i="11"/>
  <c r="BA171" i="11"/>
  <c r="F141" i="21"/>
  <c r="F96" i="21"/>
  <c r="Y6" i="21"/>
  <c r="Y100" i="19"/>
  <c r="AA55" i="19"/>
  <c r="X11" i="20"/>
  <c r="AW190" i="19"/>
  <c r="X43" i="20" s="1"/>
  <c r="U186" i="19"/>
  <c r="AW145" i="19"/>
  <c r="U145" i="19"/>
  <c r="X28" i="20" s="1"/>
  <c r="U71" i="20"/>
  <c r="R231" i="19"/>
  <c r="Z235" i="19"/>
  <c r="P134" i="11"/>
  <c r="Z44" i="11"/>
  <c r="G107" i="20"/>
  <c r="G134" i="20" s="1"/>
  <c r="G80" i="20"/>
  <c r="Y177" i="14"/>
  <c r="Y132" i="14"/>
  <c r="AA42" i="14"/>
  <c r="AS219" i="10"/>
  <c r="Q174" i="10"/>
  <c r="AS174" i="10"/>
  <c r="BB201" i="5"/>
  <c r="AA201" i="5"/>
  <c r="Z156" i="5"/>
  <c r="BB156" i="5"/>
  <c r="S68" i="20"/>
  <c r="P231" i="11"/>
  <c r="Z231" i="11" s="1"/>
  <c r="Y235" i="11"/>
  <c r="D68" i="20"/>
  <c r="F231" i="11"/>
  <c r="AH190" i="11"/>
  <c r="D40" i="20" s="1"/>
  <c r="BB140" i="21"/>
  <c r="Z140" i="21"/>
  <c r="BB185" i="21"/>
  <c r="J106" i="20"/>
  <c r="J79" i="20"/>
  <c r="BC162" i="5"/>
  <c r="BC207" i="5"/>
  <c r="AA162" i="5"/>
  <c r="AA83" i="9"/>
  <c r="BC216" i="9"/>
  <c r="BC171" i="9"/>
  <c r="AQ217" i="9"/>
  <c r="BB185" i="10"/>
  <c r="BB140" i="10"/>
  <c r="Z140" i="10"/>
  <c r="Y230" i="9"/>
  <c r="AA147" i="10"/>
  <c r="BC192" i="10"/>
  <c r="BC147" i="10"/>
  <c r="V141" i="16"/>
  <c r="AX186" i="16"/>
  <c r="AX141" i="16"/>
  <c r="X71" i="20"/>
  <c r="U231" i="19"/>
  <c r="H96" i="19"/>
  <c r="AJ141" i="19"/>
  <c r="E110" i="20"/>
  <c r="E137" i="20" s="1"/>
  <c r="E83" i="20"/>
  <c r="S66" i="20"/>
  <c r="P231" i="5"/>
  <c r="J11" i="20"/>
  <c r="AN192" i="19"/>
  <c r="J43" i="20" s="1"/>
  <c r="L186" i="19"/>
  <c r="L147" i="19"/>
  <c r="J28" i="20" s="1"/>
  <c r="AA192" i="19"/>
  <c r="AN147" i="19"/>
  <c r="BB156" i="16"/>
  <c r="AA201" i="16"/>
  <c r="BB201" i="16"/>
  <c r="Z156" i="16"/>
  <c r="Z156" i="11"/>
  <c r="BB156" i="11"/>
  <c r="BB201" i="11"/>
  <c r="AA201" i="11"/>
  <c r="AA36" i="14"/>
  <c r="AB36" i="14" s="1"/>
  <c r="Y126" i="14"/>
  <c r="Y171" i="14"/>
  <c r="BB201" i="10"/>
  <c r="Z156" i="10"/>
  <c r="BB156" i="10"/>
  <c r="AA201" i="10"/>
  <c r="P174" i="10"/>
  <c r="AR219" i="10"/>
  <c r="AR174" i="10"/>
  <c r="Z219" i="10"/>
  <c r="L58" i="20"/>
  <c r="L110" i="20" s="1"/>
  <c r="BA192" i="19"/>
  <c r="BC205" i="16"/>
  <c r="AA160" i="16"/>
  <c r="BC160" i="16"/>
  <c r="BA191" i="19"/>
  <c r="AA191" i="19"/>
  <c r="Y146" i="19"/>
  <c r="J8" i="20"/>
  <c r="AN192" i="11"/>
  <c r="J40" i="20" s="1"/>
  <c r="L186" i="11"/>
  <c r="AN147" i="11"/>
  <c r="L147" i="11"/>
  <c r="J25" i="20" s="1"/>
  <c r="AA192" i="11"/>
  <c r="AA56" i="5"/>
  <c r="BA146" i="5"/>
  <c r="BB191" i="5"/>
  <c r="BB146" i="5"/>
  <c r="Z146" i="5"/>
  <c r="AA191" i="5"/>
  <c r="AY141" i="5"/>
  <c r="W141" i="5"/>
  <c r="AY186" i="5"/>
  <c r="BC142" i="9"/>
  <c r="AA142" i="9"/>
  <c r="BC187" i="9"/>
  <c r="AA50" i="9"/>
  <c r="V231" i="9"/>
  <c r="AA112" i="9"/>
  <c r="BC157" i="9"/>
  <c r="BC159" i="16"/>
  <c r="BC204" i="16"/>
  <c r="AA159" i="16"/>
  <c r="BC189" i="16"/>
  <c r="AA144" i="16"/>
  <c r="BC144" i="16"/>
  <c r="AJ190" i="21"/>
  <c r="F44" i="20" s="1"/>
  <c r="H231" i="21"/>
  <c r="AJ186" i="21" s="1"/>
  <c r="Z102" i="21"/>
  <c r="AA12" i="21"/>
  <c r="V147" i="21"/>
  <c r="V186" i="21"/>
  <c r="AX192" i="21"/>
  <c r="AX147" i="21"/>
  <c r="X6" i="20"/>
  <c r="AW190" i="5"/>
  <c r="X38" i="20" s="1"/>
  <c r="AW145" i="5"/>
  <c r="U145" i="5"/>
  <c r="X23" i="20" s="1"/>
  <c r="U186" i="5"/>
  <c r="AN192" i="5"/>
  <c r="J38" i="20" s="1"/>
  <c r="J6" i="20"/>
  <c r="L147" i="5"/>
  <c r="J23" i="20" s="1"/>
  <c r="AN147" i="5"/>
  <c r="L186" i="5"/>
  <c r="AA192" i="5"/>
  <c r="S67" i="20"/>
  <c r="P231" i="10"/>
  <c r="Z235" i="10"/>
  <c r="BA192" i="16"/>
  <c r="AA192" i="16"/>
  <c r="BA147" i="16"/>
  <c r="Y147" i="16"/>
  <c r="BA191" i="21"/>
  <c r="Y146" i="21"/>
  <c r="AA191" i="21"/>
  <c r="BA146" i="21"/>
  <c r="AA112" i="21"/>
  <c r="AA157" i="21"/>
  <c r="AH141" i="10"/>
  <c r="Y186" i="10"/>
  <c r="F141" i="10"/>
  <c r="AA118" i="9"/>
  <c r="BC163" i="5"/>
  <c r="AA163" i="5"/>
  <c r="BC208" i="5"/>
  <c r="AA132" i="9"/>
  <c r="AB42" i="9"/>
  <c r="AP186" i="9"/>
  <c r="AP141" i="9"/>
  <c r="N141" i="9"/>
  <c r="AT217" i="9"/>
  <c r="E37" i="9"/>
  <c r="AC37" i="9" s="1"/>
  <c r="E37" i="5"/>
  <c r="AC37" i="5" s="1"/>
  <c r="E37" i="10"/>
  <c r="AC37" i="10" s="1"/>
  <c r="J96" i="9"/>
  <c r="T100" i="9"/>
  <c r="T6" i="9"/>
  <c r="Z10" i="9"/>
  <c r="AY163" i="9"/>
  <c r="AY208" i="9"/>
  <c r="W192" i="9"/>
  <c r="Q231" i="9"/>
  <c r="AS190" i="9"/>
  <c r="BB185" i="9"/>
  <c r="Z140" i="9"/>
  <c r="BB140" i="9"/>
  <c r="AO141" i="11"/>
  <c r="M141" i="11"/>
  <c r="AO186" i="11"/>
  <c r="AA185" i="10"/>
  <c r="AA160" i="11"/>
  <c r="BC160" i="11"/>
  <c r="BC205" i="11"/>
  <c r="K141" i="11"/>
  <c r="AM186" i="11"/>
  <c r="BC193" i="16"/>
  <c r="AA148" i="16"/>
  <c r="BC148" i="16"/>
  <c r="AA160" i="19"/>
  <c r="BC205" i="19"/>
  <c r="BC160" i="19"/>
  <c r="AA81" i="21"/>
  <c r="BC171" i="21" s="1"/>
  <c r="BA171" i="21"/>
  <c r="Y100" i="21"/>
  <c r="AH190" i="21"/>
  <c r="D44" i="20" s="1"/>
  <c r="D59" i="20" s="1"/>
  <c r="Y235" i="21"/>
  <c r="AB72" i="20" s="1"/>
  <c r="F231" i="21"/>
  <c r="U173" i="16"/>
  <c r="Z218" i="16"/>
  <c r="AW173" i="16"/>
  <c r="AW218" i="16"/>
  <c r="Z112" i="11"/>
  <c r="AA22" i="11"/>
  <c r="AA112" i="11" s="1"/>
  <c r="F106" i="20"/>
  <c r="F133" i="20" s="1"/>
  <c r="F79" i="20"/>
  <c r="AS190" i="10"/>
  <c r="T39" i="20" s="1"/>
  <c r="T7" i="20"/>
  <c r="Q186" i="10"/>
  <c r="AS145" i="10"/>
  <c r="Q145" i="10"/>
  <c r="T24" i="20" s="1"/>
  <c r="AA37" i="11"/>
  <c r="Y127" i="11"/>
  <c r="Y172" i="11"/>
  <c r="P174" i="5"/>
  <c r="AR219" i="5"/>
  <c r="AR174" i="5"/>
  <c r="Z219" i="5"/>
  <c r="J192" i="9"/>
  <c r="AL162" i="9"/>
  <c r="Y207" i="9"/>
  <c r="AL207" i="9"/>
  <c r="AA163" i="14"/>
  <c r="BC163" i="14"/>
  <c r="BC208" i="14"/>
  <c r="J231" i="16"/>
  <c r="Y236" i="16"/>
  <c r="AA236" i="16" s="1"/>
  <c r="BB201" i="19"/>
  <c r="Z156" i="19"/>
  <c r="BB156" i="19"/>
  <c r="AA201" i="19"/>
  <c r="E70" i="20"/>
  <c r="AI190" i="16"/>
  <c r="E42" i="20" s="1"/>
  <c r="G231" i="16"/>
  <c r="Y235" i="16"/>
  <c r="T67" i="20"/>
  <c r="Q231" i="10"/>
  <c r="AA238" i="5"/>
  <c r="Y95" i="9"/>
  <c r="AZ147" i="9"/>
  <c r="X147" i="9"/>
  <c r="AZ192" i="9"/>
  <c r="O231" i="9"/>
  <c r="AQ190" i="9"/>
  <c r="AA159" i="9"/>
  <c r="BC159" i="9"/>
  <c r="BC204" i="9"/>
  <c r="BB185" i="14"/>
  <c r="Z140" i="14"/>
  <c r="BB140" i="14"/>
  <c r="AA129" i="14"/>
  <c r="P109" i="20"/>
  <c r="P136" i="20" s="1"/>
  <c r="P82" i="20"/>
  <c r="G109" i="20"/>
  <c r="G136" i="20" s="1"/>
  <c r="G82" i="20"/>
  <c r="AT217" i="16"/>
  <c r="Z217" i="16"/>
  <c r="AT172" i="16"/>
  <c r="P174" i="11"/>
  <c r="Z219" i="11"/>
  <c r="AR174" i="11"/>
  <c r="AR219" i="11"/>
  <c r="AR190" i="10"/>
  <c r="S39" i="20" s="1"/>
  <c r="S7" i="20"/>
  <c r="Z190" i="10"/>
  <c r="AR145" i="10"/>
  <c r="P186" i="10"/>
  <c r="P145" i="10"/>
  <c r="S24" i="20" s="1"/>
  <c r="P69" i="20"/>
  <c r="Z235" i="14"/>
  <c r="M231" i="14"/>
  <c r="AO190" i="14"/>
  <c r="P41" i="20" s="1"/>
  <c r="AL141" i="10"/>
  <c r="J141" i="10"/>
  <c r="AL186" i="10"/>
  <c r="BB148" i="11"/>
  <c r="Z148" i="11"/>
  <c r="BB193" i="11"/>
  <c r="AZ186" i="11"/>
  <c r="X141" i="11"/>
  <c r="AZ141" i="11"/>
  <c r="BC207" i="14"/>
  <c r="AA162" i="14"/>
  <c r="BC162" i="14"/>
  <c r="AA100" i="14"/>
  <c r="AD11" i="14"/>
  <c r="AA82" i="11"/>
  <c r="BA172" i="11"/>
  <c r="AA81" i="19"/>
  <c r="BC171" i="19" s="1"/>
  <c r="BA171" i="19"/>
  <c r="Y38" i="20"/>
  <c r="AH141" i="5"/>
  <c r="Y51" i="5"/>
  <c r="AA51" i="5" s="1"/>
  <c r="F96" i="5"/>
  <c r="AP186" i="5"/>
  <c r="AP141" i="5"/>
  <c r="N141" i="5"/>
  <c r="Z51" i="9"/>
  <c r="AY190" i="9"/>
  <c r="AW192" i="9"/>
  <c r="AW147" i="9"/>
  <c r="U147" i="9"/>
  <c r="AA99" i="9"/>
  <c r="AZ156" i="9"/>
  <c r="X190" i="9"/>
  <c r="X219" i="9"/>
  <c r="AZ201" i="9"/>
  <c r="Y100" i="9"/>
  <c r="BC188" i="9"/>
  <c r="AA143" i="9"/>
  <c r="BC143" i="9"/>
  <c r="AO186" i="9"/>
  <c r="M141" i="9"/>
  <c r="AO141" i="9"/>
  <c r="AA6" i="10"/>
  <c r="AA143" i="11"/>
  <c r="BC188" i="11"/>
  <c r="BC143" i="11"/>
  <c r="AL186" i="14"/>
  <c r="Y231" i="14"/>
  <c r="BA186" i="14" s="1"/>
  <c r="K141" i="14"/>
  <c r="Y6" i="14"/>
  <c r="AA162" i="16"/>
  <c r="BC162" i="16"/>
  <c r="BC207" i="16"/>
  <c r="K141" i="21"/>
  <c r="AM141" i="21"/>
  <c r="AM186" i="21"/>
  <c r="AA42" i="21"/>
  <c r="Y132" i="21"/>
  <c r="Y177" i="21"/>
  <c r="BC164" i="5"/>
  <c r="BC209" i="5"/>
  <c r="AA164" i="5"/>
  <c r="BA145" i="19"/>
  <c r="AS186" i="19"/>
  <c r="AS141" i="19"/>
  <c r="Q141" i="19"/>
  <c r="AL186" i="21"/>
  <c r="J141" i="21"/>
  <c r="AL141" i="21"/>
  <c r="Y186" i="21"/>
  <c r="AA208" i="21"/>
  <c r="BB208" i="21"/>
  <c r="Z163" i="21"/>
  <c r="BB163" i="21"/>
  <c r="AS190" i="5"/>
  <c r="T38" i="20" s="1"/>
  <c r="T6" i="20"/>
  <c r="Q145" i="5"/>
  <c r="Q186" i="5"/>
  <c r="AS145" i="5"/>
  <c r="BA190" i="10"/>
  <c r="AB39" i="20" s="1"/>
  <c r="AB7" i="20"/>
  <c r="Y145" i="10"/>
  <c r="AB24" i="20" s="1"/>
  <c r="BA145" i="10"/>
  <c r="AA235" i="5"/>
  <c r="AE66" i="20" s="1"/>
  <c r="Z111" i="9"/>
  <c r="BC207" i="10"/>
  <c r="BC162" i="10"/>
  <c r="AA162" i="10"/>
  <c r="Y95" i="5"/>
  <c r="AA5" i="5"/>
  <c r="AA95" i="5" s="1"/>
  <c r="E38" i="10"/>
  <c r="AC38" i="10" s="1"/>
  <c r="E38" i="5"/>
  <c r="AC38" i="5" s="1"/>
  <c r="E38" i="9"/>
  <c r="AC38" i="9" s="1"/>
  <c r="BB193" i="5"/>
  <c r="AL186" i="5"/>
  <c r="J141" i="5"/>
  <c r="AL141" i="5"/>
  <c r="Y186" i="5"/>
  <c r="L6" i="9"/>
  <c r="L102" i="9"/>
  <c r="BB185" i="11"/>
  <c r="BB140" i="11"/>
  <c r="Z140" i="11"/>
  <c r="BB192" i="5"/>
  <c r="Z147" i="5"/>
  <c r="BB147" i="5"/>
  <c r="AJ141" i="5"/>
  <c r="H96" i="5"/>
  <c r="BB191" i="9"/>
  <c r="BB146" i="9"/>
  <c r="Z146" i="9"/>
  <c r="BB208" i="9"/>
  <c r="AA208" i="9"/>
  <c r="Z163" i="9"/>
  <c r="BB163" i="9"/>
  <c r="G231" i="9"/>
  <c r="Y235" i="9"/>
  <c r="AI190" i="9"/>
  <c r="Y101" i="9"/>
  <c r="AA205" i="9"/>
  <c r="BA205" i="9"/>
  <c r="BA160" i="9"/>
  <c r="Y160" i="9"/>
  <c r="AX192" i="9"/>
  <c r="AX147" i="9"/>
  <c r="V147" i="9"/>
  <c r="V186" i="9"/>
  <c r="Y126" i="9"/>
  <c r="AA36" i="9"/>
  <c r="AA171" i="9" s="1"/>
  <c r="BB217" i="9"/>
  <c r="BB172" i="9"/>
  <c r="Z172" i="9"/>
  <c r="T101" i="9"/>
  <c r="Z56" i="9"/>
  <c r="AA56" i="9" s="1"/>
  <c r="AV146" i="9"/>
  <c r="Y230" i="5"/>
  <c r="AA81" i="5"/>
  <c r="Y126" i="5"/>
  <c r="E39" i="9"/>
  <c r="AC39" i="9" s="1"/>
  <c r="E39" i="5"/>
  <c r="AC39" i="5" s="1"/>
  <c r="E39" i="10"/>
  <c r="AC39" i="10" s="1"/>
  <c r="Y236" i="5"/>
  <c r="AH191" i="5"/>
  <c r="F231" i="5"/>
  <c r="BA147" i="5"/>
  <c r="BA192" i="5"/>
  <c r="Y147" i="5"/>
  <c r="U96" i="9"/>
  <c r="AA217" i="9"/>
  <c r="Z230" i="9"/>
  <c r="T263" i="9"/>
  <c r="T235" i="9"/>
  <c r="Z95" i="9"/>
  <c r="AI222" i="9"/>
  <c r="L237" i="9"/>
  <c r="AA51" i="10"/>
  <c r="BB192" i="11"/>
  <c r="BB147" i="11"/>
  <c r="Z147" i="11"/>
  <c r="Y236" i="10"/>
  <c r="AA236" i="10" s="1"/>
  <c r="F231" i="10"/>
  <c r="Y231" i="10" s="1"/>
  <c r="AH191" i="10"/>
  <c r="T141" i="10"/>
  <c r="AV186" i="10"/>
  <c r="AV141" i="10"/>
  <c r="AL186" i="11"/>
  <c r="AL141" i="11"/>
  <c r="J141" i="11"/>
  <c r="BC208" i="19"/>
  <c r="AA163" i="19"/>
  <c r="BC163" i="19"/>
  <c r="BA177" i="16"/>
  <c r="AA87" i="16"/>
  <c r="BC177" i="16" s="1"/>
  <c r="Z95" i="19"/>
  <c r="AA5" i="19"/>
  <c r="AA95" i="19" s="1"/>
  <c r="BC165" i="21"/>
  <c r="BC210" i="21"/>
  <c r="AA165" i="21"/>
  <c r="Y126" i="21"/>
  <c r="Y171" i="21"/>
  <c r="AA36" i="21"/>
  <c r="F96" i="19"/>
  <c r="AH141" i="19"/>
  <c r="AO186" i="5"/>
  <c r="I107" i="20"/>
  <c r="I134" i="20" s="1"/>
  <c r="I80" i="20"/>
  <c r="F71" i="20"/>
  <c r="AJ190" i="19"/>
  <c r="F43" i="20" s="1"/>
  <c r="F125" i="20" s="1"/>
  <c r="H231" i="19"/>
  <c r="AJ186" i="19" s="1"/>
  <c r="AW190" i="16"/>
  <c r="X42" i="20" s="1"/>
  <c r="X10" i="20"/>
  <c r="U186" i="16"/>
  <c r="AW145" i="16"/>
  <c r="U145" i="16"/>
  <c r="X27" i="20" s="1"/>
  <c r="Z202" i="11"/>
  <c r="P224" i="11"/>
  <c r="AR157" i="11"/>
  <c r="AR202" i="11"/>
  <c r="AV173" i="5"/>
  <c r="T173" i="5"/>
  <c r="AV218" i="5"/>
  <c r="Z218" i="5"/>
  <c r="P172" i="5"/>
  <c r="AR172" i="5"/>
  <c r="AR217" i="5"/>
  <c r="Z217" i="5"/>
  <c r="AR190" i="5"/>
  <c r="S6" i="20"/>
  <c r="P186" i="5"/>
  <c r="P145" i="5"/>
  <c r="AR145" i="5"/>
  <c r="Z190" i="5"/>
  <c r="BA145" i="5"/>
  <c r="F107" i="20"/>
  <c r="F80" i="20"/>
  <c r="BC207" i="11"/>
  <c r="AA162" i="11"/>
  <c r="BC162" i="11"/>
  <c r="BA185" i="10"/>
  <c r="Y140" i="10"/>
  <c r="BA140" i="10"/>
  <c r="J237" i="9"/>
  <c r="AX186" i="11"/>
  <c r="V141" i="11"/>
  <c r="AX141" i="11"/>
  <c r="AA5" i="14"/>
  <c r="AA95" i="14" s="1"/>
  <c r="AT217" i="19"/>
  <c r="AT172" i="19"/>
  <c r="Z217" i="19"/>
  <c r="AA42" i="11"/>
  <c r="Y132" i="11"/>
  <c r="Y177" i="11"/>
  <c r="Q96" i="9"/>
  <c r="AA101" i="5"/>
  <c r="Z126" i="9"/>
  <c r="Y186" i="11"/>
  <c r="Z96" i="16"/>
  <c r="BA140" i="14"/>
  <c r="BA185" i="14"/>
  <c r="Y140" i="14"/>
  <c r="AA185" i="14"/>
  <c r="BB147" i="16"/>
  <c r="BB192" i="16"/>
  <c r="Z147" i="16"/>
  <c r="J96" i="16"/>
  <c r="Y6" i="16"/>
  <c r="AN186" i="16"/>
  <c r="D109" i="20"/>
  <c r="D136" i="20" s="1"/>
  <c r="D82" i="20"/>
  <c r="Y132" i="16"/>
  <c r="AA42" i="16"/>
  <c r="AB42" i="16" s="1"/>
  <c r="Y177" i="16"/>
  <c r="Y127" i="19"/>
  <c r="Y172" i="19"/>
  <c r="AA37" i="19"/>
  <c r="AB37" i="19" s="1"/>
  <c r="P190" i="11"/>
  <c r="Q108" i="20"/>
  <c r="Q81" i="20"/>
  <c r="Y126" i="11"/>
  <c r="AA36" i="11"/>
  <c r="Y171" i="11"/>
  <c r="BB192" i="10"/>
  <c r="BB147" i="10"/>
  <c r="Z147" i="10"/>
  <c r="AB38" i="10"/>
  <c r="AA128" i="10"/>
  <c r="AA5" i="11"/>
  <c r="AA95" i="11" s="1"/>
  <c r="Y95" i="11"/>
  <c r="BC144" i="14"/>
  <c r="BC189" i="14"/>
  <c r="AA144" i="14"/>
  <c r="Y186" i="19"/>
  <c r="AL186" i="19"/>
  <c r="J141" i="19"/>
  <c r="AL141" i="19"/>
  <c r="AA185" i="21"/>
  <c r="AX141" i="5"/>
  <c r="V141" i="5"/>
  <c r="AX186" i="5"/>
  <c r="Y100" i="5"/>
  <c r="AA98" i="9"/>
  <c r="BC177" i="9"/>
  <c r="BC222" i="9"/>
  <c r="AA177" i="9"/>
  <c r="X264" i="9"/>
  <c r="X235" i="9"/>
  <c r="H231" i="9"/>
  <c r="AJ190" i="9"/>
  <c r="Y127" i="9"/>
  <c r="AA37" i="9"/>
  <c r="U231" i="9"/>
  <c r="AA81" i="10"/>
  <c r="Y126" i="10"/>
  <c r="BA171" i="10"/>
  <c r="AM186" i="10"/>
  <c r="AM141" i="10"/>
  <c r="K141" i="10"/>
  <c r="AA11" i="14"/>
  <c r="Y146" i="14"/>
  <c r="AA82" i="16"/>
  <c r="AA127" i="16" s="1"/>
  <c r="Y127" i="16"/>
  <c r="BA172" i="16"/>
  <c r="AA81" i="16"/>
  <c r="BA171" i="16"/>
  <c r="BA140" i="16"/>
  <c r="Y140" i="16"/>
  <c r="AA185" i="16"/>
  <c r="BA185" i="16"/>
  <c r="Z192" i="21"/>
  <c r="AA192" i="21" s="1"/>
  <c r="AO147" i="21"/>
  <c r="M186" i="21"/>
  <c r="AO192" i="21"/>
  <c r="M147" i="21"/>
  <c r="BA145" i="21"/>
  <c r="Y145" i="21"/>
  <c r="AB29" i="20" s="1"/>
  <c r="AW218" i="5"/>
  <c r="U173" i="5"/>
  <c r="AW173" i="5"/>
  <c r="AI141" i="19"/>
  <c r="G96" i="19"/>
  <c r="AZ186" i="19"/>
  <c r="AA55" i="16"/>
  <c r="Y100" i="16"/>
  <c r="AS174" i="5"/>
  <c r="Q174" i="5"/>
  <c r="AS219" i="5"/>
  <c r="D54" i="20"/>
  <c r="R231" i="9"/>
  <c r="W96" i="9"/>
  <c r="T128" i="9"/>
  <c r="Z38" i="9"/>
  <c r="U186" i="9"/>
  <c r="AW190" i="9"/>
  <c r="U145" i="9"/>
  <c r="AW145" i="9"/>
  <c r="W102" i="9"/>
  <c r="AA209" i="9"/>
  <c r="L192" i="9"/>
  <c r="AN164" i="9"/>
  <c r="AN209" i="9"/>
  <c r="BA185" i="11"/>
  <c r="BA140" i="11"/>
  <c r="Y140" i="11"/>
  <c r="AT141" i="9"/>
  <c r="R141" i="9"/>
  <c r="AM186" i="9"/>
  <c r="Z230" i="5"/>
  <c r="AL191" i="9"/>
  <c r="J146" i="9"/>
  <c r="AL146" i="9"/>
  <c r="Y191" i="9"/>
  <c r="J186" i="9"/>
  <c r="BC189" i="9"/>
  <c r="AA144" i="9"/>
  <c r="BC144" i="9"/>
  <c r="Z115" i="9"/>
  <c r="AV147" i="9"/>
  <c r="AV192" i="9"/>
  <c r="T147" i="9"/>
  <c r="BC159" i="5"/>
  <c r="AA159" i="5"/>
  <c r="BC204" i="5"/>
  <c r="E36" i="9"/>
  <c r="AC36" i="9" s="1"/>
  <c r="E36" i="10"/>
  <c r="AC36" i="10" s="1"/>
  <c r="E36" i="5"/>
  <c r="AC36" i="5" s="1"/>
  <c r="Z192" i="9"/>
  <c r="BA185" i="9"/>
  <c r="Y140" i="9"/>
  <c r="BA140" i="9"/>
  <c r="AA185" i="9"/>
  <c r="Z235" i="9"/>
  <c r="AA230" i="9"/>
  <c r="T190" i="9"/>
  <c r="AV156" i="9"/>
  <c r="AV201" i="9"/>
  <c r="T218" i="9"/>
  <c r="Z201" i="9"/>
  <c r="U173" i="9"/>
  <c r="AW173" i="9"/>
  <c r="AW218" i="9"/>
  <c r="W237" i="9"/>
  <c r="AS219" i="9"/>
  <c r="AA119" i="9"/>
  <c r="BB171" i="9"/>
  <c r="BB216" i="9"/>
  <c r="Z171" i="9"/>
  <c r="AA191" i="11"/>
  <c r="BA191" i="11"/>
  <c r="BA146" i="11"/>
  <c r="Y146" i="11"/>
  <c r="Z51" i="11"/>
  <c r="O96" i="11"/>
  <c r="AQ141" i="11"/>
  <c r="AA87" i="11"/>
  <c r="BC177" i="11" s="1"/>
  <c r="BA177" i="11"/>
  <c r="AV141" i="14"/>
  <c r="AV186" i="14"/>
  <c r="T141" i="14"/>
  <c r="BC185" i="19"/>
  <c r="AA140" i="19"/>
  <c r="BC140" i="19"/>
  <c r="BA177" i="14"/>
  <c r="AA87" i="14"/>
  <c r="BB140" i="16"/>
  <c r="BB185" i="16"/>
  <c r="Z140" i="16"/>
  <c r="AW173" i="19"/>
  <c r="Z218" i="19"/>
  <c r="AW218" i="19"/>
  <c r="AA87" i="19"/>
  <c r="BC177" i="19" s="1"/>
  <c r="BA177" i="19"/>
  <c r="AN186" i="10"/>
  <c r="E108" i="20"/>
  <c r="E135" i="20" s="1"/>
  <c r="E81" i="20"/>
  <c r="P100" i="11"/>
  <c r="Z10" i="11"/>
  <c r="Z100" i="11" s="1"/>
  <c r="P6" i="11"/>
  <c r="H106" i="20"/>
  <c r="H133" i="20" s="1"/>
  <c r="H79" i="20"/>
  <c r="AA42" i="19"/>
  <c r="AB42" i="19" s="1"/>
  <c r="Y132" i="19"/>
  <c r="Y177" i="19"/>
  <c r="AV190" i="5"/>
  <c r="W38" i="20" s="1"/>
  <c r="W6" i="20"/>
  <c r="T145" i="5"/>
  <c r="W23" i="20" s="1"/>
  <c r="T186" i="5"/>
  <c r="AV145" i="5"/>
  <c r="AA36" i="16"/>
  <c r="AB36" i="16" s="1"/>
  <c r="Y171" i="16"/>
  <c r="Y126" i="16"/>
  <c r="Z235" i="11"/>
  <c r="AC68" i="20" s="1"/>
  <c r="J102" i="9"/>
  <c r="Y12" i="9"/>
  <c r="Y117" i="9"/>
  <c r="AA27" i="9"/>
  <c r="X66" i="20"/>
  <c r="U231" i="5"/>
  <c r="AT190" i="19"/>
  <c r="U43" i="20" s="1"/>
  <c r="Z190" i="19"/>
  <c r="U11" i="20"/>
  <c r="AT145" i="19"/>
  <c r="R145" i="19"/>
  <c r="U28" i="20" s="1"/>
  <c r="R186" i="19"/>
  <c r="Z186" i="19" s="1"/>
  <c r="AN186" i="14"/>
  <c r="D71" i="20"/>
  <c r="Y235" i="19"/>
  <c r="F231" i="19"/>
  <c r="AH190" i="19"/>
  <c r="D43" i="20" s="1"/>
  <c r="D125" i="20" s="1"/>
  <c r="Y96" i="5"/>
  <c r="AA6" i="5"/>
  <c r="AA96" i="5" s="1"/>
  <c r="Y101" i="5"/>
  <c r="Y171" i="9"/>
  <c r="AQ219" i="9"/>
  <c r="AA21" i="9"/>
  <c r="Z96" i="10"/>
  <c r="BC204" i="10"/>
  <c r="AA159" i="10"/>
  <c r="BC159" i="10"/>
  <c r="BC160" i="10"/>
  <c r="BC205" i="10"/>
  <c r="AA160" i="10"/>
  <c r="AA193" i="11"/>
  <c r="AA185" i="11"/>
  <c r="AA115" i="14"/>
  <c r="AA160" i="14"/>
  <c r="Z186" i="14"/>
  <c r="Z96" i="14"/>
  <c r="BA146" i="16"/>
  <c r="Y146" i="16"/>
  <c r="BA191" i="16"/>
  <c r="AA191" i="16"/>
  <c r="AL186" i="16"/>
  <c r="J141" i="16"/>
  <c r="AL141" i="16"/>
  <c r="AA11" i="16"/>
  <c r="AA101" i="16" s="1"/>
  <c r="Y101" i="16"/>
  <c r="AR186" i="16"/>
  <c r="BB217" i="21"/>
  <c r="BB172" i="21"/>
  <c r="Z172" i="21"/>
  <c r="AA217" i="21"/>
  <c r="BA192" i="21"/>
  <c r="BA147" i="21"/>
  <c r="Y147" i="21"/>
  <c r="BC164" i="19"/>
  <c r="AA164" i="19"/>
  <c r="BC209" i="19"/>
  <c r="AT190" i="16"/>
  <c r="U42" i="20" s="1"/>
  <c r="U10" i="20"/>
  <c r="R145" i="16"/>
  <c r="U27" i="20" s="1"/>
  <c r="AT145" i="16"/>
  <c r="R186" i="16"/>
  <c r="Z190" i="16"/>
  <c r="AR172" i="11"/>
  <c r="AR217" i="11"/>
  <c r="P172" i="11"/>
  <c r="Z217" i="11"/>
  <c r="F70" i="20"/>
  <c r="H231" i="16"/>
  <c r="AJ186" i="16" s="1"/>
  <c r="AJ190" i="16"/>
  <c r="F42" i="20" s="1"/>
  <c r="AR172" i="10"/>
  <c r="P172" i="10"/>
  <c r="AR217" i="10"/>
  <c r="Z217" i="10"/>
  <c r="L56" i="20"/>
  <c r="L108" i="20" s="1"/>
  <c r="AA237" i="14"/>
  <c r="BC192" i="14" s="1"/>
  <c r="BA192" i="14"/>
  <c r="AA191" i="10"/>
  <c r="BA191" i="10"/>
  <c r="BA146" i="10"/>
  <c r="Y146" i="10"/>
  <c r="Y186" i="16"/>
  <c r="AA5" i="16"/>
  <c r="AA95" i="16" s="1"/>
  <c r="Y95" i="16"/>
  <c r="W66" i="20"/>
  <c r="T231" i="5"/>
  <c r="Z231" i="5" s="1"/>
  <c r="BC209" i="11"/>
  <c r="AA164" i="11"/>
  <c r="BC164" i="11"/>
  <c r="AA101" i="10"/>
  <c r="AS192" i="9"/>
  <c r="X129" i="9"/>
  <c r="Z39" i="9"/>
  <c r="X6" i="9"/>
  <c r="X100" i="9"/>
  <c r="AJ216" i="9"/>
  <c r="F96" i="9"/>
  <c r="Y6" i="9"/>
  <c r="F141" i="9"/>
  <c r="BB191" i="11"/>
  <c r="AA236" i="11"/>
  <c r="Y100" i="10"/>
  <c r="BC207" i="21"/>
  <c r="BC162" i="21"/>
  <c r="AA162" i="21"/>
  <c r="AH141" i="21"/>
  <c r="Y51" i="21"/>
  <c r="AA51" i="21" s="1"/>
  <c r="AA101" i="21"/>
  <c r="BB162" i="21"/>
  <c r="Z162" i="21"/>
  <c r="BB207" i="21"/>
  <c r="BA172" i="19"/>
  <c r="AA82" i="19"/>
  <c r="AA36" i="19"/>
  <c r="AB36" i="19" s="1"/>
  <c r="Y171" i="19"/>
  <c r="Y126" i="19"/>
  <c r="BB147" i="19"/>
  <c r="Z147" i="19"/>
  <c r="BB192" i="19"/>
  <c r="R147" i="21"/>
  <c r="AT192" i="21"/>
  <c r="AT147" i="21"/>
  <c r="R186" i="21"/>
  <c r="AA87" i="21"/>
  <c r="BC177" i="21" s="1"/>
  <c r="BA177" i="21"/>
  <c r="AA237" i="19"/>
  <c r="AA51" i="9"/>
  <c r="BC177" i="14" l="1"/>
  <c r="AA129" i="16"/>
  <c r="AB39" i="16"/>
  <c r="D126" i="20"/>
  <c r="BC171" i="16"/>
  <c r="Q135" i="20"/>
  <c r="S138" i="20"/>
  <c r="S156" i="20" s="1"/>
  <c r="T138" i="20"/>
  <c r="H83" i="20"/>
  <c r="AA125" i="20"/>
  <c r="AA137" i="20" s="1"/>
  <c r="AA83" i="20"/>
  <c r="AA57" i="20"/>
  <c r="AA109" i="20" s="1"/>
  <c r="AA124" i="20"/>
  <c r="S118" i="20"/>
  <c r="W59" i="20"/>
  <c r="W126" i="20"/>
  <c r="AA59" i="20"/>
  <c r="AA126" i="20"/>
  <c r="Z96" i="19"/>
  <c r="X141" i="16"/>
  <c r="AZ141" i="16"/>
  <c r="AZ186" i="16"/>
  <c r="Y101" i="11"/>
  <c r="AA56" i="11"/>
  <c r="AA101" i="11" s="1"/>
  <c r="K96" i="14"/>
  <c r="Y101" i="21"/>
  <c r="W139" i="20"/>
  <c r="W157" i="20" s="1"/>
  <c r="W118" i="20"/>
  <c r="P139" i="20"/>
  <c r="P157" i="20" s="1"/>
  <c r="P118" i="20"/>
  <c r="H139" i="20"/>
  <c r="H157" i="20" s="1"/>
  <c r="H118" i="20"/>
  <c r="E139" i="20"/>
  <c r="E157" i="20" s="1"/>
  <c r="E118" i="20"/>
  <c r="Z139" i="20"/>
  <c r="Z157" i="20" s="1"/>
  <c r="Z118" i="20"/>
  <c r="T139" i="20"/>
  <c r="T157" i="20" s="1"/>
  <c r="T118" i="20"/>
  <c r="I139" i="20"/>
  <c r="I157" i="20" s="1"/>
  <c r="I118" i="20"/>
  <c r="AA139" i="20"/>
  <c r="AA157" i="20" s="1"/>
  <c r="AA118" i="20"/>
  <c r="R139" i="20"/>
  <c r="R157" i="20" s="1"/>
  <c r="R118" i="20"/>
  <c r="J53" i="20"/>
  <c r="F134" i="20"/>
  <c r="P79" i="20"/>
  <c r="H108" i="20"/>
  <c r="H135" i="20" s="1"/>
  <c r="I108" i="20"/>
  <c r="I135" i="20" s="1"/>
  <c r="I138" i="20"/>
  <c r="R83" i="20"/>
  <c r="W80" i="20"/>
  <c r="AA134" i="20"/>
  <c r="H80" i="20"/>
  <c r="W121" i="20"/>
  <c r="P132" i="20"/>
  <c r="S121" i="20"/>
  <c r="S136" i="20"/>
  <c r="S154" i="20" s="1"/>
  <c r="W134" i="20"/>
  <c r="S82" i="20"/>
  <c r="X120" i="20"/>
  <c r="H134" i="20"/>
  <c r="I105" i="20"/>
  <c r="I132" i="20" s="1"/>
  <c r="P78" i="20"/>
  <c r="H111" i="20"/>
  <c r="H138" i="20" s="1"/>
  <c r="AA80" i="20"/>
  <c r="G133" i="20"/>
  <c r="X124" i="20"/>
  <c r="J120" i="20"/>
  <c r="Z121" i="20"/>
  <c r="Z136" i="20"/>
  <c r="Y107" i="20"/>
  <c r="Y134" i="20" s="1"/>
  <c r="P133" i="20"/>
  <c r="AB121" i="20"/>
  <c r="F132" i="20"/>
  <c r="U125" i="20"/>
  <c r="Z82" i="20"/>
  <c r="Y110" i="20"/>
  <c r="Y137" i="20" s="1"/>
  <c r="AA120" i="20"/>
  <c r="U124" i="20"/>
  <c r="Z120" i="20"/>
  <c r="X121" i="20"/>
  <c r="T124" i="20"/>
  <c r="H132" i="20"/>
  <c r="AG108" i="20"/>
  <c r="L135" i="20"/>
  <c r="AG110" i="20"/>
  <c r="L137" i="20"/>
  <c r="AE106" i="20"/>
  <c r="J133" i="20"/>
  <c r="S139" i="20"/>
  <c r="S157" i="20" s="1"/>
  <c r="S83" i="20"/>
  <c r="AC71" i="20"/>
  <c r="E59" i="20"/>
  <c r="E126" i="20"/>
  <c r="Q112" i="20"/>
  <c r="AD112" i="20" s="1"/>
  <c r="Q58" i="20"/>
  <c r="F59" i="20"/>
  <c r="F126" i="20"/>
  <c r="H78" i="20"/>
  <c r="D55" i="20"/>
  <c r="D107" i="20" s="1"/>
  <c r="D122" i="20"/>
  <c r="X122" i="20"/>
  <c r="AA121" i="20"/>
  <c r="W124" i="20"/>
  <c r="P56" i="20"/>
  <c r="P81" i="20" s="1"/>
  <c r="P123" i="20"/>
  <c r="T121" i="20"/>
  <c r="F57" i="20"/>
  <c r="F109" i="20" s="1"/>
  <c r="F124" i="20"/>
  <c r="W120" i="20"/>
  <c r="E57" i="20"/>
  <c r="E109" i="20" s="1"/>
  <c r="E124" i="20"/>
  <c r="I109" i="20"/>
  <c r="I136" i="20" s="1"/>
  <c r="J122" i="20"/>
  <c r="J125" i="20"/>
  <c r="X125" i="20"/>
  <c r="R122" i="20"/>
  <c r="R121" i="20"/>
  <c r="J123" i="20"/>
  <c r="Y53" i="20"/>
  <c r="Y105" i="20" s="1"/>
  <c r="Y120" i="20"/>
  <c r="U123" i="20"/>
  <c r="T123" i="20"/>
  <c r="Y112" i="20"/>
  <c r="Q111" i="20"/>
  <c r="Q138" i="20" s="1"/>
  <c r="Q156" i="20" s="1"/>
  <c r="Q84" i="20"/>
  <c r="G84" i="20"/>
  <c r="G111" i="20"/>
  <c r="G138" i="20" s="1"/>
  <c r="D58" i="20"/>
  <c r="D83" i="20" s="1"/>
  <c r="G112" i="20"/>
  <c r="Y84" i="20"/>
  <c r="Y111" i="20"/>
  <c r="Y138" i="20" s="1"/>
  <c r="F58" i="20"/>
  <c r="F110" i="20" s="1"/>
  <c r="F137" i="20" s="1"/>
  <c r="U56" i="20"/>
  <c r="U81" i="20" s="1"/>
  <c r="AA54" i="20"/>
  <c r="AA79" i="20" s="1"/>
  <c r="Z107" i="20"/>
  <c r="Z134" i="20" s="1"/>
  <c r="Z80" i="20"/>
  <c r="X53" i="20"/>
  <c r="X78" i="20" s="1"/>
  <c r="X57" i="20"/>
  <c r="X82" i="20" s="1"/>
  <c r="R54" i="20"/>
  <c r="R79" i="20" s="1"/>
  <c r="W57" i="20"/>
  <c r="W82" i="20" s="1"/>
  <c r="R55" i="20"/>
  <c r="J55" i="20"/>
  <c r="J107" i="20" s="1"/>
  <c r="X55" i="20"/>
  <c r="X107" i="20" s="1"/>
  <c r="AA53" i="20"/>
  <c r="AA78" i="20" s="1"/>
  <c r="Z54" i="20"/>
  <c r="Z106" i="20" s="1"/>
  <c r="Z53" i="20"/>
  <c r="Z78" i="20" s="1"/>
  <c r="T54" i="20"/>
  <c r="T106" i="20" s="1"/>
  <c r="T56" i="20"/>
  <c r="T57" i="20"/>
  <c r="T109" i="20" s="1"/>
  <c r="X54" i="20"/>
  <c r="S54" i="20"/>
  <c r="S106" i="20" s="1"/>
  <c r="S133" i="20" s="1"/>
  <c r="BC219" i="14"/>
  <c r="BC174" i="14"/>
  <c r="AA174" i="14"/>
  <c r="AA101" i="9"/>
  <c r="BC217" i="14"/>
  <c r="AA172" i="14"/>
  <c r="BC172" i="14"/>
  <c r="AH186" i="10"/>
  <c r="BC176" i="14"/>
  <c r="AA176" i="14"/>
  <c r="BC221" i="14"/>
  <c r="Y101" i="19"/>
  <c r="AA56" i="19"/>
  <c r="AA101" i="19" s="1"/>
  <c r="Z171" i="5"/>
  <c r="BB216" i="5"/>
  <c r="BB171" i="5"/>
  <c r="AA216" i="5"/>
  <c r="AA218" i="10"/>
  <c r="Z173" i="10"/>
  <c r="BB218" i="10"/>
  <c r="BB173" i="10"/>
  <c r="AW186" i="11"/>
  <c r="X141" i="10"/>
  <c r="AZ186" i="10"/>
  <c r="AZ141" i="10"/>
  <c r="X141" i="5"/>
  <c r="AZ141" i="5"/>
  <c r="AM141" i="11"/>
  <c r="AA219" i="16"/>
  <c r="BB174" i="16"/>
  <c r="Z174" i="16"/>
  <c r="BB219" i="16"/>
  <c r="AS186" i="14"/>
  <c r="Q141" i="14"/>
  <c r="AS141" i="14"/>
  <c r="O141" i="10"/>
  <c r="AQ141" i="10"/>
  <c r="AQ186" i="10"/>
  <c r="J56" i="20"/>
  <c r="Z218" i="21"/>
  <c r="AW218" i="21"/>
  <c r="AW173" i="21"/>
  <c r="BC219" i="19"/>
  <c r="BC174" i="19"/>
  <c r="AA174" i="19"/>
  <c r="AV186" i="16"/>
  <c r="AV141" i="16"/>
  <c r="T141" i="16"/>
  <c r="AT186" i="14"/>
  <c r="AT141" i="14"/>
  <c r="R141" i="14"/>
  <c r="Y51" i="11"/>
  <c r="Y96" i="11" s="1"/>
  <c r="AA230" i="5"/>
  <c r="AA56" i="14"/>
  <c r="BC146" i="14" s="1"/>
  <c r="BA146" i="14"/>
  <c r="W54" i="20"/>
  <c r="AY141" i="10"/>
  <c r="W141" i="10"/>
  <c r="AY186" i="10"/>
  <c r="AQ186" i="11"/>
  <c r="AN141" i="14"/>
  <c r="L141" i="14"/>
  <c r="AA216" i="11"/>
  <c r="BC216" i="11" s="1"/>
  <c r="BB216" i="11"/>
  <c r="BB171" i="11"/>
  <c r="Z171" i="11"/>
  <c r="AW145" i="21"/>
  <c r="U145" i="21"/>
  <c r="X29" i="20" s="1"/>
  <c r="U186" i="21"/>
  <c r="Z190" i="21"/>
  <c r="AC12" i="20" s="1"/>
  <c r="AW190" i="21"/>
  <c r="X44" i="20" s="1"/>
  <c r="X59" i="20" s="1"/>
  <c r="AS186" i="16"/>
  <c r="Q141" i="16"/>
  <c r="AS141" i="16"/>
  <c r="W53" i="20"/>
  <c r="W105" i="20" s="1"/>
  <c r="T53" i="20"/>
  <c r="T105" i="20" s="1"/>
  <c r="BC221" i="16"/>
  <c r="AA176" i="16"/>
  <c r="BC176" i="16"/>
  <c r="Y51" i="14"/>
  <c r="AA51" i="14" s="1"/>
  <c r="F96" i="14"/>
  <c r="AW141" i="11"/>
  <c r="U141" i="11"/>
  <c r="Z235" i="21"/>
  <c r="AC72" i="20" s="1"/>
  <c r="U231" i="21"/>
  <c r="BB156" i="21"/>
  <c r="AA201" i="21"/>
  <c r="BB201" i="21"/>
  <c r="AM141" i="19"/>
  <c r="K96" i="19"/>
  <c r="AC9" i="20"/>
  <c r="BB145" i="14"/>
  <c r="Z145" i="14"/>
  <c r="AC26" i="20" s="1"/>
  <c r="AA129" i="21"/>
  <c r="AA174" i="21"/>
  <c r="X141" i="21"/>
  <c r="AZ141" i="21"/>
  <c r="AZ186" i="21"/>
  <c r="AO141" i="5"/>
  <c r="M141" i="5"/>
  <c r="BC156" i="14"/>
  <c r="AA156" i="14"/>
  <c r="BC201" i="14"/>
  <c r="BB224" i="10"/>
  <c r="Z179" i="10"/>
  <c r="BB179" i="10"/>
  <c r="AA224" i="10"/>
  <c r="BB218" i="11"/>
  <c r="BB173" i="11"/>
  <c r="Z173" i="11"/>
  <c r="AA218" i="11"/>
  <c r="BC221" i="19"/>
  <c r="BC176" i="19"/>
  <c r="AA176" i="19"/>
  <c r="BC157" i="10"/>
  <c r="BC202" i="10"/>
  <c r="AA157" i="10"/>
  <c r="AA190" i="14"/>
  <c r="AA216" i="10"/>
  <c r="BB171" i="10"/>
  <c r="BB216" i="10"/>
  <c r="Z171" i="10"/>
  <c r="AW141" i="10"/>
  <c r="U141" i="10"/>
  <c r="AH141" i="14"/>
  <c r="BC171" i="11"/>
  <c r="Z128" i="21"/>
  <c r="AA38" i="21"/>
  <c r="BC171" i="14"/>
  <c r="BC216" i="14"/>
  <c r="AA132" i="10"/>
  <c r="BC177" i="10"/>
  <c r="BB172" i="14"/>
  <c r="BB217" i="14"/>
  <c r="Z172" i="14"/>
  <c r="BB174" i="14"/>
  <c r="BB219" i="14"/>
  <c r="Z174" i="14"/>
  <c r="BC140" i="5"/>
  <c r="BC185" i="5"/>
  <c r="AA140" i="5"/>
  <c r="AY141" i="11"/>
  <c r="W141" i="11"/>
  <c r="BC176" i="11"/>
  <c r="BC221" i="11"/>
  <c r="AA176" i="11"/>
  <c r="Z129" i="9"/>
  <c r="AA39" i="9"/>
  <c r="BC208" i="21"/>
  <c r="BC163" i="21"/>
  <c r="AA163" i="21"/>
  <c r="BB141" i="19"/>
  <c r="Z141" i="19"/>
  <c r="AC69" i="20"/>
  <c r="AA235" i="14"/>
  <c r="BB190" i="14"/>
  <c r="AC41" i="20" s="1"/>
  <c r="BC193" i="5"/>
  <c r="BC201" i="19"/>
  <c r="BC156" i="19"/>
  <c r="AA156" i="19"/>
  <c r="AA207" i="9"/>
  <c r="BA207" i="9"/>
  <c r="Y162" i="9"/>
  <c r="BA162" i="9"/>
  <c r="BB219" i="10"/>
  <c r="Z174" i="10"/>
  <c r="BB174" i="10"/>
  <c r="AA219" i="10"/>
  <c r="AN186" i="19"/>
  <c r="L141" i="19"/>
  <c r="AA186" i="19"/>
  <c r="AN141" i="19"/>
  <c r="AW141" i="9"/>
  <c r="AW186" i="9"/>
  <c r="U141" i="9"/>
  <c r="T23" i="20"/>
  <c r="T120" i="20" s="1"/>
  <c r="BA141" i="21"/>
  <c r="Y141" i="21"/>
  <c r="X186" i="9"/>
  <c r="AZ145" i="9"/>
  <c r="AZ190" i="9"/>
  <c r="X145" i="9"/>
  <c r="BB190" i="10"/>
  <c r="AC39" i="20" s="1"/>
  <c r="AC7" i="20"/>
  <c r="Z145" i="10"/>
  <c r="AC24" i="20" s="1"/>
  <c r="BB145" i="10"/>
  <c r="Z172" i="16"/>
  <c r="AA217" i="16"/>
  <c r="BB172" i="16"/>
  <c r="BB217" i="16"/>
  <c r="BB173" i="16"/>
  <c r="Z173" i="16"/>
  <c r="BB218" i="16"/>
  <c r="AA218" i="16"/>
  <c r="BC185" i="10"/>
  <c r="BC140" i="10"/>
  <c r="AA140" i="10"/>
  <c r="AY147" i="9"/>
  <c r="W147" i="9"/>
  <c r="AY192" i="9"/>
  <c r="W186" i="9"/>
  <c r="BC192" i="16"/>
  <c r="AA147" i="16"/>
  <c r="BC147" i="16"/>
  <c r="BC147" i="5"/>
  <c r="AA147" i="5"/>
  <c r="BC192" i="5"/>
  <c r="AN141" i="11"/>
  <c r="AN186" i="11"/>
  <c r="L141" i="11"/>
  <c r="J58" i="20"/>
  <c r="Y231" i="11"/>
  <c r="AA231" i="11" s="1"/>
  <c r="AH186" i="11"/>
  <c r="AA177" i="14"/>
  <c r="AA132" i="14"/>
  <c r="Z231" i="19"/>
  <c r="BB186" i="19" s="1"/>
  <c r="Z172" i="11"/>
  <c r="BB217" i="11"/>
  <c r="BB172" i="11"/>
  <c r="AA217" i="11"/>
  <c r="AA111" i="9"/>
  <c r="AA132" i="19"/>
  <c r="AA177" i="19"/>
  <c r="BB218" i="19"/>
  <c r="BB173" i="19"/>
  <c r="Z173" i="19"/>
  <c r="AA218" i="19"/>
  <c r="AV145" i="9"/>
  <c r="T145" i="9"/>
  <c r="AV190" i="9"/>
  <c r="T186" i="9"/>
  <c r="Z190" i="9"/>
  <c r="AA191" i="9"/>
  <c r="BA146" i="9"/>
  <c r="BA191" i="9"/>
  <c r="Y146" i="9"/>
  <c r="Z128" i="9"/>
  <c r="AA38" i="9"/>
  <c r="D106" i="20"/>
  <c r="D79" i="20"/>
  <c r="AA127" i="19"/>
  <c r="Z173" i="5"/>
  <c r="BB218" i="5"/>
  <c r="BB173" i="5"/>
  <c r="AA218" i="5"/>
  <c r="AA51" i="19"/>
  <c r="AA96" i="19" s="1"/>
  <c r="Y96" i="19"/>
  <c r="T231" i="9"/>
  <c r="BC191" i="21"/>
  <c r="AA146" i="21"/>
  <c r="BC146" i="21"/>
  <c r="BC191" i="19"/>
  <c r="AA146" i="19"/>
  <c r="BC201" i="10"/>
  <c r="BC156" i="10"/>
  <c r="AA156" i="10"/>
  <c r="AA156" i="5"/>
  <c r="BC156" i="5"/>
  <c r="BC201" i="5"/>
  <c r="Z134" i="11"/>
  <c r="AA44" i="11"/>
  <c r="AA134" i="11" s="1"/>
  <c r="AA126" i="19"/>
  <c r="AA171" i="19"/>
  <c r="BC191" i="10"/>
  <c r="BC146" i="10"/>
  <c r="AA146" i="10"/>
  <c r="AT186" i="16"/>
  <c r="R141" i="16"/>
  <c r="AT141" i="16"/>
  <c r="Z186" i="16"/>
  <c r="U57" i="20"/>
  <c r="BC146" i="16"/>
  <c r="BC191" i="16"/>
  <c r="AA146" i="16"/>
  <c r="AT141" i="19"/>
  <c r="AT186" i="19"/>
  <c r="R141" i="19"/>
  <c r="AC11" i="20"/>
  <c r="BB190" i="19"/>
  <c r="BB145" i="19"/>
  <c r="Z145" i="19"/>
  <c r="AA190" i="19"/>
  <c r="Y102" i="9"/>
  <c r="T141" i="5"/>
  <c r="AV186" i="5"/>
  <c r="AV141" i="5"/>
  <c r="AV218" i="9"/>
  <c r="T173" i="9"/>
  <c r="AV173" i="9"/>
  <c r="Z218" i="9"/>
  <c r="AN147" i="9"/>
  <c r="AN192" i="9"/>
  <c r="L147" i="9"/>
  <c r="L186" i="9"/>
  <c r="AO186" i="21"/>
  <c r="Z186" i="21"/>
  <c r="AO141" i="21"/>
  <c r="M141" i="21"/>
  <c r="AA101" i="14"/>
  <c r="AA146" i="14"/>
  <c r="AA140" i="21"/>
  <c r="BC140" i="21"/>
  <c r="BC185" i="21"/>
  <c r="Y96" i="16"/>
  <c r="AA6" i="16"/>
  <c r="AA96" i="16" s="1"/>
  <c r="BA186" i="11"/>
  <c r="Y141" i="11"/>
  <c r="Z172" i="19"/>
  <c r="BB217" i="19"/>
  <c r="AA217" i="19"/>
  <c r="BB172" i="19"/>
  <c r="S23" i="20"/>
  <c r="S38" i="20"/>
  <c r="S53" i="20" s="1"/>
  <c r="L231" i="9"/>
  <c r="Y231" i="5"/>
  <c r="AA231" i="5" s="1"/>
  <c r="AH186" i="5"/>
  <c r="V141" i="9"/>
  <c r="AX186" i="9"/>
  <c r="AX141" i="9"/>
  <c r="AA235" i="9"/>
  <c r="BA190" i="9"/>
  <c r="AA12" i="9"/>
  <c r="AA140" i="11"/>
  <c r="BC140" i="11"/>
  <c r="BC185" i="11"/>
  <c r="AH186" i="19"/>
  <c r="Y231" i="19"/>
  <c r="U58" i="20"/>
  <c r="AA117" i="9"/>
  <c r="BC185" i="9"/>
  <c r="AA140" i="9"/>
  <c r="BC140" i="9"/>
  <c r="Z147" i="9"/>
  <c r="BB147" i="9"/>
  <c r="BC164" i="9"/>
  <c r="AA164" i="9"/>
  <c r="BC209" i="9"/>
  <c r="BC140" i="16"/>
  <c r="BC185" i="16"/>
  <c r="AA140" i="16"/>
  <c r="AA126" i="10"/>
  <c r="BC171" i="10"/>
  <c r="X231" i="9"/>
  <c r="AA140" i="14"/>
  <c r="BC140" i="14"/>
  <c r="BC185" i="14"/>
  <c r="AR141" i="5"/>
  <c r="AR186" i="5"/>
  <c r="P141" i="5"/>
  <c r="BB217" i="5"/>
  <c r="BB172" i="5"/>
  <c r="Z172" i="5"/>
  <c r="AA217" i="5"/>
  <c r="Z224" i="11"/>
  <c r="AR179" i="11"/>
  <c r="P179" i="11"/>
  <c r="AR224" i="11"/>
  <c r="AW141" i="16"/>
  <c r="AW186" i="16"/>
  <c r="U141" i="16"/>
  <c r="AA126" i="5"/>
  <c r="AA160" i="9"/>
  <c r="BC160" i="9"/>
  <c r="BC205" i="9"/>
  <c r="AI186" i="9"/>
  <c r="BC163" i="9"/>
  <c r="AA163" i="9"/>
  <c r="BC208" i="9"/>
  <c r="AA190" i="10"/>
  <c r="AB54" i="20"/>
  <c r="AB79" i="20" s="1"/>
  <c r="AA132" i="21"/>
  <c r="AA177" i="21"/>
  <c r="Y96" i="14"/>
  <c r="AA6" i="14"/>
  <c r="Y141" i="14"/>
  <c r="Z186" i="5"/>
  <c r="BB219" i="11"/>
  <c r="BB174" i="11"/>
  <c r="Z174" i="11"/>
  <c r="AA219" i="11"/>
  <c r="AQ186" i="9"/>
  <c r="AB70" i="20"/>
  <c r="AA235" i="16"/>
  <c r="AE70" i="20" s="1"/>
  <c r="BA190" i="16"/>
  <c r="AB42" i="20" s="1"/>
  <c r="AL192" i="9"/>
  <c r="AL147" i="9"/>
  <c r="J147" i="9"/>
  <c r="Y192" i="9"/>
  <c r="AA192" i="9" s="1"/>
  <c r="AS186" i="10"/>
  <c r="Q141" i="10"/>
  <c r="AS141" i="10"/>
  <c r="Z100" i="9"/>
  <c r="BC171" i="5"/>
  <c r="BA186" i="10"/>
  <c r="BA141" i="10"/>
  <c r="Y141" i="10"/>
  <c r="AC67" i="20"/>
  <c r="AA235" i="10"/>
  <c r="AE67" i="20" s="1"/>
  <c r="L141" i="5"/>
  <c r="AN141" i="5"/>
  <c r="AN186" i="5"/>
  <c r="AA186" i="5"/>
  <c r="BC146" i="5"/>
  <c r="AA146" i="5"/>
  <c r="AA147" i="11"/>
  <c r="BC147" i="11"/>
  <c r="BC192" i="11"/>
  <c r="AA126" i="14"/>
  <c r="AA171" i="14"/>
  <c r="AA147" i="19"/>
  <c r="BC147" i="19"/>
  <c r="BC192" i="19"/>
  <c r="AW141" i="19"/>
  <c r="U141" i="19"/>
  <c r="AW186" i="19"/>
  <c r="AT186" i="21"/>
  <c r="AT141" i="21"/>
  <c r="R141" i="21"/>
  <c r="AC10" i="20"/>
  <c r="BB190" i="16"/>
  <c r="AC42" i="20" s="1"/>
  <c r="Z145" i="16"/>
  <c r="AC27" i="20" s="1"/>
  <c r="BB145" i="16"/>
  <c r="AA190" i="16"/>
  <c r="Z141" i="14"/>
  <c r="BB141" i="14"/>
  <c r="AA186" i="14"/>
  <c r="AB71" i="20"/>
  <c r="AA235" i="19"/>
  <c r="BA190" i="19"/>
  <c r="AB43" i="20" s="1"/>
  <c r="AB125" i="20" s="1"/>
  <c r="BC191" i="11"/>
  <c r="AA146" i="11"/>
  <c r="BC146" i="11"/>
  <c r="Z237" i="9"/>
  <c r="AJ186" i="9"/>
  <c r="AA177" i="16"/>
  <c r="AA132" i="16"/>
  <c r="AA132" i="11"/>
  <c r="AB42" i="11"/>
  <c r="AA177" i="11"/>
  <c r="Y237" i="9"/>
  <c r="J231" i="9"/>
  <c r="AA236" i="5"/>
  <c r="BA191" i="5"/>
  <c r="BA141" i="5"/>
  <c r="Y141" i="5"/>
  <c r="AS186" i="5"/>
  <c r="AS141" i="5"/>
  <c r="Q141" i="5"/>
  <c r="AZ174" i="9"/>
  <c r="X174" i="9"/>
  <c r="AZ219" i="9"/>
  <c r="Z219" i="9"/>
  <c r="BB219" i="5"/>
  <c r="BB174" i="5"/>
  <c r="Z174" i="5"/>
  <c r="AA219" i="5"/>
  <c r="Y96" i="9"/>
  <c r="X96" i="9"/>
  <c r="BA141" i="16"/>
  <c r="Y141" i="16"/>
  <c r="BB172" i="10"/>
  <c r="AA217" i="10"/>
  <c r="BB217" i="10"/>
  <c r="Z172" i="10"/>
  <c r="AA147" i="21"/>
  <c r="BC147" i="21"/>
  <c r="BC192" i="21"/>
  <c r="BC172" i="21"/>
  <c r="BC217" i="21"/>
  <c r="AA172" i="21"/>
  <c r="BC148" i="11"/>
  <c r="BC193" i="11"/>
  <c r="AA148" i="11"/>
  <c r="AA126" i="16"/>
  <c r="AA171" i="16"/>
  <c r="P96" i="11"/>
  <c r="Z6" i="11"/>
  <c r="AA201" i="9"/>
  <c r="BB201" i="9"/>
  <c r="Z156" i="9"/>
  <c r="BB156" i="9"/>
  <c r="J141" i="9"/>
  <c r="AL186" i="9"/>
  <c r="AL141" i="9"/>
  <c r="Y186" i="9"/>
  <c r="AT186" i="9"/>
  <c r="BA190" i="21"/>
  <c r="AB44" i="20" s="1"/>
  <c r="AB59" i="20" s="1"/>
  <c r="BB147" i="21"/>
  <c r="Z147" i="21"/>
  <c r="BB192" i="21"/>
  <c r="AB37" i="9"/>
  <c r="AA127" i="9"/>
  <c r="BA141" i="19"/>
  <c r="Y141" i="19"/>
  <c r="BA186" i="19"/>
  <c r="AB36" i="11"/>
  <c r="AA126" i="11"/>
  <c r="AA171" i="11"/>
  <c r="AR190" i="11"/>
  <c r="S40" i="20" s="1"/>
  <c r="S8" i="20"/>
  <c r="Z190" i="11"/>
  <c r="AR145" i="11"/>
  <c r="P186" i="11"/>
  <c r="P145" i="11"/>
  <c r="S25" i="20" s="1"/>
  <c r="AC6" i="20"/>
  <c r="BB190" i="5"/>
  <c r="AC38" i="20" s="1"/>
  <c r="BB145" i="5"/>
  <c r="Z145" i="5"/>
  <c r="AC23" i="20" s="1"/>
  <c r="AA190" i="5"/>
  <c r="BB202" i="11"/>
  <c r="Z157" i="11"/>
  <c r="BB157" i="11"/>
  <c r="AA202" i="11"/>
  <c r="AA171" i="21"/>
  <c r="AA126" i="21"/>
  <c r="AA172" i="9"/>
  <c r="BC172" i="9"/>
  <c r="BC217" i="9"/>
  <c r="Z101" i="9"/>
  <c r="AB36" i="9"/>
  <c r="AA126" i="9"/>
  <c r="L96" i="9"/>
  <c r="AA96" i="10"/>
  <c r="W231" i="9"/>
  <c r="Z231" i="14"/>
  <c r="AA231" i="14" s="1"/>
  <c r="AO186" i="14"/>
  <c r="AR186" i="10"/>
  <c r="AR141" i="10"/>
  <c r="P141" i="10"/>
  <c r="Z186" i="10"/>
  <c r="Y231" i="16"/>
  <c r="AA231" i="16" s="1"/>
  <c r="AI186" i="16"/>
  <c r="AA127" i="11"/>
  <c r="AB37" i="11"/>
  <c r="Y231" i="21"/>
  <c r="AH186" i="21"/>
  <c r="AS186" i="9"/>
  <c r="T96" i="9"/>
  <c r="Z6" i="9"/>
  <c r="Z231" i="10"/>
  <c r="AA231" i="10" s="1"/>
  <c r="AW141" i="5"/>
  <c r="AW186" i="5"/>
  <c r="U141" i="5"/>
  <c r="AX186" i="21"/>
  <c r="AX141" i="21"/>
  <c r="V141" i="21"/>
  <c r="BC201" i="11"/>
  <c r="AA156" i="11"/>
  <c r="BC156" i="11"/>
  <c r="BC156" i="16"/>
  <c r="BC201" i="16"/>
  <c r="AA156" i="16"/>
  <c r="AB68" i="20"/>
  <c r="AA235" i="11"/>
  <c r="AE68" i="20" s="1"/>
  <c r="BA190" i="11"/>
  <c r="AB40" i="20" s="1"/>
  <c r="X58" i="20"/>
  <c r="Y96" i="21"/>
  <c r="BA141" i="14" l="1"/>
  <c r="AA136" i="20"/>
  <c r="AA82" i="20"/>
  <c r="X126" i="20"/>
  <c r="W84" i="20"/>
  <c r="W111" i="20"/>
  <c r="W138" i="20" s="1"/>
  <c r="AA84" i="20"/>
  <c r="AA111" i="20"/>
  <c r="AA138" i="20" s="1"/>
  <c r="AA96" i="14"/>
  <c r="BA141" i="11"/>
  <c r="BC146" i="19"/>
  <c r="Q139" i="20"/>
  <c r="Q157" i="20" s="1"/>
  <c r="Q118" i="20"/>
  <c r="AD118" i="20" s="1"/>
  <c r="Y139" i="20"/>
  <c r="Y157" i="20" s="1"/>
  <c r="Y118" i="20"/>
  <c r="G139" i="20"/>
  <c r="G157" i="20" s="1"/>
  <c r="G118" i="20"/>
  <c r="AB108" i="20"/>
  <c r="AB135" i="20" s="1"/>
  <c r="P108" i="20"/>
  <c r="P135" i="20" s="1"/>
  <c r="X134" i="20"/>
  <c r="W132" i="20"/>
  <c r="Y132" i="20"/>
  <c r="D80" i="20"/>
  <c r="Y78" i="20"/>
  <c r="E136" i="20"/>
  <c r="T136" i="20"/>
  <c r="AC120" i="20"/>
  <c r="T133" i="20"/>
  <c r="AB105" i="20"/>
  <c r="AB132" i="20" s="1"/>
  <c r="AB150" i="20" s="1"/>
  <c r="E82" i="20"/>
  <c r="Z133" i="20"/>
  <c r="F136" i="20"/>
  <c r="AC121" i="20"/>
  <c r="AC124" i="20"/>
  <c r="AB107" i="20"/>
  <c r="D134" i="20"/>
  <c r="T132" i="20"/>
  <c r="F82" i="20"/>
  <c r="AB106" i="20"/>
  <c r="AB133" i="20" s="1"/>
  <c r="D133" i="20"/>
  <c r="AE107" i="20"/>
  <c r="J134" i="20"/>
  <c r="D110" i="20"/>
  <c r="D137" i="20" s="1"/>
  <c r="S122" i="20"/>
  <c r="AA235" i="21"/>
  <c r="AE72" i="20" s="1"/>
  <c r="AE71" i="20"/>
  <c r="E111" i="20"/>
  <c r="E138" i="20" s="1"/>
  <c r="E84" i="20"/>
  <c r="Q110" i="20"/>
  <c r="Q137" i="20" s="1"/>
  <c r="Q155" i="20" s="1"/>
  <c r="Q83" i="20"/>
  <c r="AC43" i="20"/>
  <c r="AC58" i="20" s="1"/>
  <c r="AC83" i="20" s="1"/>
  <c r="AC28" i="20"/>
  <c r="AB126" i="20"/>
  <c r="AB55" i="20"/>
  <c r="AB80" i="20" s="1"/>
  <c r="AB122" i="20"/>
  <c r="S120" i="20"/>
  <c r="AB57" i="20"/>
  <c r="AB82" i="20" s="1"/>
  <c r="AB124" i="20"/>
  <c r="AC123" i="20"/>
  <c r="X111" i="20"/>
  <c r="X138" i="20" s="1"/>
  <c r="X84" i="20"/>
  <c r="D112" i="20"/>
  <c r="F83" i="20"/>
  <c r="X112" i="20"/>
  <c r="D111" i="20"/>
  <c r="D138" i="20" s="1"/>
  <c r="D84" i="20"/>
  <c r="J112" i="20"/>
  <c r="J118" i="20" s="1"/>
  <c r="AE118" i="20" s="1"/>
  <c r="AK118" i="20" s="1"/>
  <c r="J80" i="20"/>
  <c r="F111" i="20"/>
  <c r="F138" i="20" s="1"/>
  <c r="F84" i="20"/>
  <c r="J84" i="20"/>
  <c r="J111" i="20"/>
  <c r="AB58" i="20"/>
  <c r="AB83" i="20" s="1"/>
  <c r="AB84" i="20"/>
  <c r="F112" i="20"/>
  <c r="U111" i="20"/>
  <c r="U84" i="20"/>
  <c r="U108" i="20"/>
  <c r="U135" i="20" s="1"/>
  <c r="X80" i="20"/>
  <c r="X105" i="20"/>
  <c r="X132" i="20" s="1"/>
  <c r="T79" i="20"/>
  <c r="AA106" i="20"/>
  <c r="AA133" i="20" s="1"/>
  <c r="R106" i="20"/>
  <c r="R133" i="20" s="1"/>
  <c r="T78" i="20"/>
  <c r="Z79" i="20"/>
  <c r="AA105" i="20"/>
  <c r="AA132" i="20" s="1"/>
  <c r="AB109" i="20"/>
  <c r="X109" i="20"/>
  <c r="X136" i="20" s="1"/>
  <c r="T82" i="20"/>
  <c r="W78" i="20"/>
  <c r="Z105" i="20"/>
  <c r="Z132" i="20" s="1"/>
  <c r="W109" i="20"/>
  <c r="W136" i="20" s="1"/>
  <c r="R107" i="20"/>
  <c r="R134" i="20" s="1"/>
  <c r="R80" i="20"/>
  <c r="AC56" i="20"/>
  <c r="AC81" i="20" s="1"/>
  <c r="AC54" i="20"/>
  <c r="AC79" i="20" s="1"/>
  <c r="X106" i="20"/>
  <c r="X133" i="20" s="1"/>
  <c r="X79" i="20"/>
  <c r="S79" i="20"/>
  <c r="T81" i="20"/>
  <c r="T108" i="20"/>
  <c r="BC224" i="10"/>
  <c r="BC179" i="10"/>
  <c r="AA179" i="10"/>
  <c r="BC173" i="10"/>
  <c r="AA173" i="10"/>
  <c r="BC218" i="10"/>
  <c r="AA218" i="21"/>
  <c r="BB173" i="21"/>
  <c r="Z173" i="21"/>
  <c r="BB218" i="21"/>
  <c r="AA171" i="5"/>
  <c r="BC216" i="5"/>
  <c r="AA128" i="21"/>
  <c r="BC201" i="21"/>
  <c r="BC156" i="21"/>
  <c r="BC216" i="10"/>
  <c r="AA171" i="10"/>
  <c r="BC173" i="11"/>
  <c r="BC218" i="11"/>
  <c r="AA173" i="11"/>
  <c r="AA51" i="11"/>
  <c r="AE9" i="20"/>
  <c r="BC145" i="14"/>
  <c r="AA145" i="14"/>
  <c r="AE26" i="20" s="1"/>
  <c r="AW186" i="21"/>
  <c r="Z231" i="21"/>
  <c r="AA231" i="21" s="1"/>
  <c r="BB145" i="21"/>
  <c r="AA190" i="21"/>
  <c r="AE12" i="20" s="1"/>
  <c r="W106" i="20"/>
  <c r="W133" i="20" s="1"/>
  <c r="W79" i="20"/>
  <c r="J81" i="20"/>
  <c r="J108" i="20"/>
  <c r="AC53" i="20"/>
  <c r="AC78" i="20" s="1"/>
  <c r="BB190" i="21"/>
  <c r="AC44" i="20" s="1"/>
  <c r="AC59" i="20" s="1"/>
  <c r="AC84" i="20" s="1"/>
  <c r="AW141" i="21"/>
  <c r="U141" i="21"/>
  <c r="AA174" i="16"/>
  <c r="BC174" i="16"/>
  <c r="BC219" i="16"/>
  <c r="J105" i="20"/>
  <c r="J78" i="20"/>
  <c r="BC147" i="9"/>
  <c r="AA147" i="9"/>
  <c r="Z141" i="16"/>
  <c r="BB141" i="16"/>
  <c r="BB186" i="16"/>
  <c r="AA173" i="5"/>
  <c r="BC218" i="5"/>
  <c r="BC173" i="5"/>
  <c r="J83" i="20"/>
  <c r="J110" i="20"/>
  <c r="AE69" i="20"/>
  <c r="BC190" i="14"/>
  <c r="AE41" i="20" s="1"/>
  <c r="AA186" i="16"/>
  <c r="AA174" i="11"/>
  <c r="BC219" i="11"/>
  <c r="BC174" i="11"/>
  <c r="Z141" i="5"/>
  <c r="BB186" i="5"/>
  <c r="BB141" i="5"/>
  <c r="BB141" i="21"/>
  <c r="AA128" i="9"/>
  <c r="AB38" i="9"/>
  <c r="AA172" i="16"/>
  <c r="BC217" i="16"/>
  <c r="BC172" i="16"/>
  <c r="AA186" i="21"/>
  <c r="BC174" i="10"/>
  <c r="AA174" i="10"/>
  <c r="BC219" i="10"/>
  <c r="BC162" i="9"/>
  <c r="AA162" i="9"/>
  <c r="BC207" i="9"/>
  <c r="AA129" i="9"/>
  <c r="AB39" i="9"/>
  <c r="Z96" i="9"/>
  <c r="BA186" i="16"/>
  <c r="BC141" i="14"/>
  <c r="BC186" i="14"/>
  <c r="AA141" i="14"/>
  <c r="AA237" i="9"/>
  <c r="AV186" i="9"/>
  <c r="T141" i="9"/>
  <c r="AV141" i="9"/>
  <c r="Z186" i="9"/>
  <c r="BB186" i="10"/>
  <c r="Z141" i="10"/>
  <c r="BB141" i="10"/>
  <c r="AA141" i="5"/>
  <c r="BC186" i="5"/>
  <c r="BC141" i="5"/>
  <c r="AE7" i="20"/>
  <c r="BC190" i="10"/>
  <c r="AE39" i="20" s="1"/>
  <c r="BC145" i="10"/>
  <c r="AA145" i="10"/>
  <c r="AE24" i="20" s="1"/>
  <c r="BB224" i="11"/>
  <c r="BB179" i="11"/>
  <c r="Z179" i="11"/>
  <c r="AA224" i="11"/>
  <c r="BC202" i="11"/>
  <c r="AA157" i="11"/>
  <c r="BC157" i="11"/>
  <c r="BC190" i="5"/>
  <c r="AE38" i="20" s="1"/>
  <c r="BC145" i="5"/>
  <c r="AA145" i="5"/>
  <c r="AE23" i="20" s="1"/>
  <c r="AR186" i="11"/>
  <c r="P141" i="11"/>
  <c r="AR141" i="11"/>
  <c r="Z186" i="11"/>
  <c r="S55" i="20"/>
  <c r="AA172" i="10"/>
  <c r="BC172" i="10"/>
  <c r="BC217" i="10"/>
  <c r="BA186" i="5"/>
  <c r="BC191" i="5"/>
  <c r="AA186" i="10"/>
  <c r="BA147" i="9"/>
  <c r="BA192" i="9"/>
  <c r="Y147" i="9"/>
  <c r="Y231" i="9"/>
  <c r="BC172" i="5"/>
  <c r="BC217" i="5"/>
  <c r="AA172" i="5"/>
  <c r="BB192" i="9"/>
  <c r="U83" i="20"/>
  <c r="U110" i="20"/>
  <c r="U137" i="20" s="1"/>
  <c r="BC172" i="19"/>
  <c r="BC217" i="19"/>
  <c r="AA172" i="19"/>
  <c r="AA146" i="9"/>
  <c r="BC191" i="9"/>
  <c r="BC146" i="9"/>
  <c r="BC217" i="11"/>
  <c r="BC172" i="11"/>
  <c r="AA172" i="11"/>
  <c r="Z231" i="9"/>
  <c r="AZ141" i="9"/>
  <c r="AZ186" i="9"/>
  <c r="X141" i="9"/>
  <c r="BC141" i="19"/>
  <c r="AA141" i="19"/>
  <c r="AC8" i="20"/>
  <c r="BB190" i="11"/>
  <c r="AC40" i="20" s="1"/>
  <c r="Z145" i="11"/>
  <c r="AC25" i="20" s="1"/>
  <c r="BB145" i="11"/>
  <c r="AA190" i="11"/>
  <c r="Z96" i="11"/>
  <c r="AA6" i="11"/>
  <c r="AA96" i="11" s="1"/>
  <c r="BC174" i="5"/>
  <c r="AA174" i="5"/>
  <c r="BC219" i="5"/>
  <c r="BC190" i="16"/>
  <c r="AE42" i="20" s="1"/>
  <c r="AE10" i="20"/>
  <c r="AA145" i="16"/>
  <c r="AE27" i="20" s="1"/>
  <c r="BC145" i="16"/>
  <c r="S105" i="20"/>
  <c r="S78" i="20"/>
  <c r="BA186" i="21"/>
  <c r="Y141" i="9"/>
  <c r="BA141" i="9"/>
  <c r="BA186" i="9"/>
  <c r="BB174" i="9"/>
  <c r="Z174" i="9"/>
  <c r="BB219" i="9"/>
  <c r="AA219" i="9"/>
  <c r="X110" i="20"/>
  <c r="X137" i="20" s="1"/>
  <c r="X83" i="20"/>
  <c r="AA6" i="9"/>
  <c r="BC156" i="9"/>
  <c r="BC201" i="9"/>
  <c r="AA156" i="9"/>
  <c r="BB186" i="14"/>
  <c r="AC57" i="20"/>
  <c r="AC82" i="20" s="1"/>
  <c r="AA231" i="19"/>
  <c r="BC186" i="19" s="1"/>
  <c r="AN141" i="9"/>
  <c r="AN186" i="9"/>
  <c r="L141" i="9"/>
  <c r="AA186" i="9"/>
  <c r="AA218" i="9"/>
  <c r="Z173" i="9"/>
  <c r="BB173" i="9"/>
  <c r="BB218" i="9"/>
  <c r="AE11" i="20"/>
  <c r="BC190" i="19"/>
  <c r="BC145" i="19"/>
  <c r="AA145" i="19"/>
  <c r="U109" i="20"/>
  <c r="U136" i="20" s="1"/>
  <c r="U82" i="20"/>
  <c r="BB190" i="9"/>
  <c r="Z145" i="9"/>
  <c r="BB145" i="9"/>
  <c r="AA190" i="9"/>
  <c r="BC173" i="19"/>
  <c r="AA173" i="19"/>
  <c r="BC218" i="19"/>
  <c r="AY141" i="9"/>
  <c r="AY186" i="9"/>
  <c r="W141" i="9"/>
  <c r="AA173" i="16"/>
  <c r="BC218" i="16"/>
  <c r="BC173" i="16"/>
  <c r="U118" i="20" l="1"/>
  <c r="AC112" i="20"/>
  <c r="D139" i="20"/>
  <c r="D157" i="20" s="1"/>
  <c r="D118" i="20"/>
  <c r="X139" i="20"/>
  <c r="X157" i="20" s="1"/>
  <c r="X118" i="20"/>
  <c r="F139" i="20"/>
  <c r="F157" i="20" s="1"/>
  <c r="F118" i="20"/>
  <c r="S132" i="20"/>
  <c r="AB110" i="20"/>
  <c r="AB137" i="20" s="1"/>
  <c r="AE120" i="20"/>
  <c r="AB136" i="20"/>
  <c r="AE112" i="20"/>
  <c r="J139" i="20"/>
  <c r="J157" i="20" s="1"/>
  <c r="AC108" i="20"/>
  <c r="AC135" i="20" s="1"/>
  <c r="T135" i="20"/>
  <c r="AC122" i="20"/>
  <c r="U139" i="20"/>
  <c r="U157" i="20" s="1"/>
  <c r="AE105" i="20"/>
  <c r="J132" i="20"/>
  <c r="AE110" i="20"/>
  <c r="J137" i="20"/>
  <c r="AE108" i="20"/>
  <c r="J135" i="20"/>
  <c r="AB134" i="20"/>
  <c r="AE124" i="20"/>
  <c r="AC125" i="20"/>
  <c r="AC127" i="20"/>
  <c r="AE28" i="20"/>
  <c r="AE43" i="20"/>
  <c r="AC111" i="20"/>
  <c r="U138" i="20"/>
  <c r="AE111" i="20"/>
  <c r="J138" i="20"/>
  <c r="AE121" i="20"/>
  <c r="AE123" i="20"/>
  <c r="AB111" i="20"/>
  <c r="AB138" i="20" s="1"/>
  <c r="AB112" i="20"/>
  <c r="AC105" i="20"/>
  <c r="AC132" i="20" s="1"/>
  <c r="AC109" i="20"/>
  <c r="AC136" i="20" s="1"/>
  <c r="AC154" i="20" s="1"/>
  <c r="AC106" i="20"/>
  <c r="AC133" i="20" s="1"/>
  <c r="AE56" i="20"/>
  <c r="AE81" i="20" s="1"/>
  <c r="AC110" i="20"/>
  <c r="AE53" i="20"/>
  <c r="AE78" i="20" s="1"/>
  <c r="BC145" i="21"/>
  <c r="BC190" i="21"/>
  <c r="AE44" i="20" s="1"/>
  <c r="AE59" i="20" s="1"/>
  <c r="AE84" i="20" s="1"/>
  <c r="BC218" i="21"/>
  <c r="BC173" i="21"/>
  <c r="AA173" i="21"/>
  <c r="BB186" i="21"/>
  <c r="BC192" i="9"/>
  <c r="AE57" i="20"/>
  <c r="AE82" i="20" s="1"/>
  <c r="AA231" i="9"/>
  <c r="Z141" i="11"/>
  <c r="BB186" i="11"/>
  <c r="BB141" i="11"/>
  <c r="AA186" i="11"/>
  <c r="AA179" i="11"/>
  <c r="BC179" i="11"/>
  <c r="BC224" i="11"/>
  <c r="Z141" i="9"/>
  <c r="BB141" i="9"/>
  <c r="BB186" i="9"/>
  <c r="AA141" i="9"/>
  <c r="BC141" i="9"/>
  <c r="S80" i="20"/>
  <c r="S107" i="20"/>
  <c r="AA145" i="9"/>
  <c r="BC190" i="9"/>
  <c r="BC145" i="9"/>
  <c r="AA96" i="9"/>
  <c r="BC174" i="9"/>
  <c r="BC219" i="9"/>
  <c r="AA174" i="9"/>
  <c r="AC55" i="20"/>
  <c r="AC80" i="20" s="1"/>
  <c r="BC186" i="10"/>
  <c r="AA141" i="10"/>
  <c r="BC141" i="10"/>
  <c r="BC186" i="21"/>
  <c r="BC141" i="21"/>
  <c r="BC173" i="9"/>
  <c r="BC218" i="9"/>
  <c r="AA173" i="9"/>
  <c r="BC190" i="11"/>
  <c r="AE40" i="20" s="1"/>
  <c r="AE8" i="20"/>
  <c r="AA145" i="11"/>
  <c r="AE25" i="20" s="1"/>
  <c r="BC145" i="11"/>
  <c r="AE54" i="20"/>
  <c r="AE79" i="20" s="1"/>
  <c r="BC186" i="16"/>
  <c r="AA141" i="16"/>
  <c r="BC141" i="16"/>
  <c r="AC118" i="20" l="1"/>
  <c r="AB118" i="20"/>
  <c r="AK103" i="20"/>
  <c r="AE95" i="20" s="1"/>
  <c r="AH93" i="20"/>
  <c r="AB139" i="20"/>
  <c r="AB157" i="20" s="1"/>
  <c r="AL103" i="20"/>
  <c r="AC107" i="20"/>
  <c r="AC134" i="20" s="1"/>
  <c r="S134" i="20"/>
  <c r="AC139" i="20"/>
  <c r="AC157" i="20" s="1"/>
  <c r="AE127" i="20"/>
  <c r="AC137" i="20"/>
  <c r="AC155" i="20" s="1"/>
  <c r="AE125" i="20"/>
  <c r="AE58" i="20"/>
  <c r="AE83" i="20" s="1"/>
  <c r="AE122" i="20"/>
  <c r="AE55" i="20"/>
  <c r="AE80" i="20" s="1"/>
  <c r="BC186" i="9"/>
  <c r="AA141" i="11"/>
  <c r="BC186" i="11"/>
  <c r="BC141" i="11"/>
  <c r="AL118" i="20" l="1"/>
  <c r="AE94" i="20"/>
  <c r="Z30" i="28" l="1"/>
  <c r="Z165" i="28" s="1"/>
  <c r="Z13" i="28"/>
  <c r="Z148" i="28" s="1"/>
  <c r="V120" i="28"/>
  <c r="V13" i="28"/>
  <c r="V6" i="28" s="1"/>
  <c r="V103" i="28"/>
  <c r="Z6" i="28" l="1"/>
  <c r="V96" i="28"/>
  <c r="V141" i="28"/>
  <c r="Z103" i="28"/>
  <c r="AA30" i="28"/>
  <c r="Z120" i="28"/>
  <c r="AA165" i="28" l="1"/>
  <c r="AA120" i="28"/>
  <c r="Z141" i="28"/>
  <c r="Z96" i="28"/>
  <c r="AA6" i="28"/>
  <c r="AA141" i="28" l="1"/>
  <c r="AA96" i="28"/>
  <c r="Z21" i="21"/>
  <c r="Z156" i="21" s="1"/>
  <c r="S10" i="21"/>
  <c r="S6" i="21" s="1"/>
  <c r="S100" i="21"/>
  <c r="Z111" i="21" l="1"/>
  <c r="Z6" i="21"/>
  <c r="S141" i="21"/>
  <c r="S96" i="21"/>
  <c r="Z10" i="21"/>
  <c r="AA21" i="21"/>
  <c r="Z141" i="21" l="1"/>
  <c r="AA6" i="21"/>
  <c r="Z96" i="21"/>
  <c r="AA156" i="21"/>
  <c r="AA111" i="21"/>
  <c r="AA10" i="21"/>
  <c r="Z145" i="21"/>
  <c r="AC29" i="20" s="1"/>
  <c r="AC126" i="20" s="1"/>
  <c r="AC138" i="20" s="1"/>
  <c r="AC156" i="20" s="1"/>
  <c r="Z100" i="21"/>
  <c r="AA145" i="21" l="1"/>
  <c r="AE29" i="20" s="1"/>
  <c r="AE126" i="20" s="1"/>
  <c r="AB36" i="21"/>
  <c r="AB38" i="21"/>
  <c r="AB43" i="21"/>
  <c r="AB39" i="21"/>
  <c r="AB40" i="21"/>
  <c r="AB37" i="21"/>
  <c r="AB42" i="21"/>
  <c r="AA100" i="21"/>
  <c r="AB41" i="21"/>
  <c r="AB44" i="21"/>
  <c r="AA96" i="21"/>
  <c r="AA141" i="21"/>
</calcChain>
</file>

<file path=xl/comments1.xml><?xml version="1.0" encoding="utf-8"?>
<comments xmlns="http://schemas.openxmlformats.org/spreadsheetml/2006/main">
  <authors>
    <author>Chancerel, Perrine</author>
  </authors>
  <commentList>
    <comment ref="C25" authorId="0" shapeId="0">
      <text>
        <r>
          <rPr>
            <b/>
            <sz val="9"/>
            <color indexed="81"/>
            <rFont val="Tahoma"/>
            <family val="2"/>
          </rPr>
          <t>Chancerel, Perrine:</t>
        </r>
        <r>
          <rPr>
            <sz val="9"/>
            <color indexed="81"/>
            <rFont val="Tahoma"/>
            <family val="2"/>
          </rPr>
          <t xml:space="preserve">
See data per country!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Chancerel, Perrine:</t>
        </r>
        <r>
          <rPr>
            <sz val="9"/>
            <color indexed="81"/>
            <rFont val="Tahoma"/>
            <family val="2"/>
          </rPr>
          <t xml:space="preserve">
Other rechargeable</t>
        </r>
      </text>
    </comment>
    <comment ref="S50" authorId="0" shapeId="0">
      <text>
        <r>
          <rPr>
            <b/>
            <sz val="9"/>
            <color indexed="81"/>
            <rFont val="Tahoma"/>
            <family val="2"/>
          </rPr>
          <t>Chancerel, Perrine:</t>
        </r>
        <r>
          <rPr>
            <sz val="9"/>
            <color indexed="81"/>
            <rFont val="Tahoma"/>
            <family val="2"/>
          </rPr>
          <t xml:space="preserve">
+2 because of pouch Li-ion batteries</t>
        </r>
      </text>
    </comment>
  </commentList>
</comments>
</file>

<file path=xl/sharedStrings.xml><?xml version="1.0" encoding="utf-8"?>
<sst xmlns="http://schemas.openxmlformats.org/spreadsheetml/2006/main" count="17978" uniqueCount="526">
  <si>
    <t>Other</t>
  </si>
  <si>
    <t>MWh</t>
  </si>
  <si>
    <t>Total</t>
  </si>
  <si>
    <t>total</t>
  </si>
  <si>
    <t>buses</t>
  </si>
  <si>
    <t>HEV</t>
  </si>
  <si>
    <t>%</t>
  </si>
  <si>
    <t>PHEV</t>
  </si>
  <si>
    <t>EV</t>
  </si>
  <si>
    <t>others</t>
  </si>
  <si>
    <t>GWh</t>
  </si>
  <si>
    <t>NiMH</t>
  </si>
  <si>
    <t>Wh/kg</t>
  </si>
  <si>
    <t>Li-ion</t>
  </si>
  <si>
    <t>Avicenne</t>
  </si>
  <si>
    <t>Lead acid</t>
  </si>
  <si>
    <t>SLI</t>
  </si>
  <si>
    <t>Wh/Unit</t>
  </si>
  <si>
    <t>M$</t>
  </si>
  <si>
    <t>$/Wh</t>
  </si>
  <si>
    <t>$/kWh</t>
  </si>
  <si>
    <t>other</t>
  </si>
  <si>
    <t>$/Unit</t>
  </si>
  <si>
    <t>Ni based</t>
  </si>
  <si>
    <t>M€</t>
  </si>
  <si>
    <t>Munits</t>
  </si>
  <si>
    <t>Industrial</t>
  </si>
  <si>
    <t>button</t>
  </si>
  <si>
    <t>ktons</t>
  </si>
  <si>
    <t>ESS</t>
  </si>
  <si>
    <t>Automotive</t>
  </si>
  <si>
    <t>UPS</t>
  </si>
  <si>
    <t>LFP</t>
  </si>
  <si>
    <t>k tons</t>
  </si>
  <si>
    <t>ebikes</t>
  </si>
  <si>
    <t>M units</t>
  </si>
  <si>
    <t>Portable PC</t>
  </si>
  <si>
    <t>tablets</t>
  </si>
  <si>
    <t>cell phones</t>
  </si>
  <si>
    <t>cordless tools</t>
  </si>
  <si>
    <t>forklift, handling equpt.</t>
  </si>
  <si>
    <t xml:space="preserve">Telecom </t>
  </si>
  <si>
    <t>security lighting</t>
  </si>
  <si>
    <t>grids</t>
  </si>
  <si>
    <t>Portable batteries</t>
  </si>
  <si>
    <t>others portable</t>
  </si>
  <si>
    <t>mobility</t>
  </si>
  <si>
    <t>stationnary</t>
  </si>
  <si>
    <t>industrial</t>
  </si>
  <si>
    <t>Ni-Cd</t>
  </si>
  <si>
    <t>Ni-MH</t>
  </si>
  <si>
    <t>primary</t>
  </si>
  <si>
    <t>Zn based</t>
  </si>
  <si>
    <t>Zn C</t>
  </si>
  <si>
    <t>Zn Alk</t>
  </si>
  <si>
    <t>Zn others</t>
  </si>
  <si>
    <t>Li based</t>
  </si>
  <si>
    <t>Li  cyl</t>
  </si>
  <si>
    <t>Button Li</t>
  </si>
  <si>
    <t>Button others</t>
  </si>
  <si>
    <t>rechargeable</t>
  </si>
  <si>
    <t>cyl/prism</t>
  </si>
  <si>
    <t>pouch</t>
  </si>
  <si>
    <t>button+others</t>
  </si>
  <si>
    <t>Ni other</t>
  </si>
  <si>
    <t>Pb</t>
  </si>
  <si>
    <t>Pb sealed</t>
  </si>
  <si>
    <t>Pb vented</t>
  </si>
  <si>
    <t>Pb automotive</t>
  </si>
  <si>
    <t>Others</t>
  </si>
  <si>
    <t>Li SO2</t>
  </si>
  <si>
    <t>Li SOCl2</t>
  </si>
  <si>
    <t>Li MnO2</t>
  </si>
  <si>
    <t>Li CFx</t>
  </si>
  <si>
    <t>Li met others</t>
  </si>
  <si>
    <t>Li CoO2</t>
  </si>
  <si>
    <t>Li NMC</t>
  </si>
  <si>
    <t>Li PO4</t>
  </si>
  <si>
    <t>Li Mn</t>
  </si>
  <si>
    <t>L-ion others</t>
  </si>
  <si>
    <t>cameras/games</t>
  </si>
  <si>
    <t>industrial batteries</t>
  </si>
  <si>
    <t>Military/space</t>
  </si>
  <si>
    <t>Others industrial</t>
  </si>
  <si>
    <t>kWh/kg</t>
  </si>
  <si>
    <t>Portable</t>
  </si>
  <si>
    <t>toal</t>
  </si>
  <si>
    <t>Medical</t>
  </si>
  <si>
    <t>dont automotive(Pb hybride ou Li ?)=3733</t>
  </si>
  <si>
    <t>Lishen</t>
  </si>
  <si>
    <t>BAK</t>
  </si>
  <si>
    <t>Wh</t>
  </si>
  <si>
    <t>cathode</t>
  </si>
  <si>
    <t>anode</t>
  </si>
  <si>
    <t>separator</t>
  </si>
  <si>
    <t>LCO</t>
  </si>
  <si>
    <t>LMO</t>
  </si>
  <si>
    <t>manque</t>
  </si>
  <si>
    <t>kt</t>
  </si>
  <si>
    <t>Indust</t>
  </si>
  <si>
    <t>$/Wh??</t>
  </si>
  <si>
    <t>g/ unit</t>
  </si>
  <si>
    <t>g</t>
  </si>
  <si>
    <t>Li</t>
  </si>
  <si>
    <t>Wh/g</t>
  </si>
  <si>
    <t>Avicenne material suppliers analysis</t>
  </si>
  <si>
    <t>VRECs</t>
  </si>
  <si>
    <t>Ah</t>
  </si>
  <si>
    <t>V</t>
  </si>
  <si>
    <t>mm height</t>
  </si>
  <si>
    <t>mm diam</t>
  </si>
  <si>
    <t>VHCs</t>
  </si>
  <si>
    <t>Vol (square)</t>
  </si>
  <si>
    <t>Wh/l</t>
  </si>
  <si>
    <t>Takeshita</t>
  </si>
  <si>
    <t>portable</t>
  </si>
  <si>
    <t>MH HEV</t>
  </si>
  <si>
    <t>MH port</t>
  </si>
  <si>
    <t>ESS Li</t>
  </si>
  <si>
    <t>Auto Li</t>
  </si>
  <si>
    <t>Li portable</t>
  </si>
  <si>
    <t>Cell phones</t>
  </si>
  <si>
    <t>iMH HEV</t>
  </si>
  <si>
    <t>Li HEV</t>
  </si>
  <si>
    <t>0,6 Li,ion HEV</t>
  </si>
  <si>
    <t>grids/ESS</t>
  </si>
  <si>
    <t>li HEV</t>
  </si>
  <si>
    <t>pack level</t>
  </si>
  <si>
    <t>16000 cel level</t>
  </si>
  <si>
    <t>without industrila</t>
  </si>
  <si>
    <t>BYD</t>
  </si>
  <si>
    <t>P</t>
  </si>
  <si>
    <t xml:space="preserve"> </t>
  </si>
  <si>
    <t>(18650: 0,17 $/Wh)</t>
  </si>
  <si>
    <t>Pouch 36 Ah 250 $/kWh)</t>
  </si>
  <si>
    <t>China</t>
  </si>
  <si>
    <t>EV PHEV</t>
  </si>
  <si>
    <t>E Bus</t>
  </si>
  <si>
    <t>?? (manque auto chine)</t>
  </si>
  <si>
    <t>Lead</t>
  </si>
  <si>
    <t>Lion</t>
  </si>
  <si>
    <t>% EU of the world</t>
  </si>
  <si>
    <t>NCA</t>
  </si>
  <si>
    <t>NMC</t>
  </si>
  <si>
    <t>Co</t>
  </si>
  <si>
    <t>Ni</t>
  </si>
  <si>
    <t>BEV</t>
  </si>
  <si>
    <t>ktons in EU</t>
  </si>
  <si>
    <t>Ni Cd</t>
  </si>
  <si>
    <t>Verification</t>
  </si>
  <si>
    <t>ecart</t>
  </si>
  <si>
    <t>Portable MH</t>
  </si>
  <si>
    <t>Tons POM (EU)</t>
  </si>
  <si>
    <t>Ni CD</t>
  </si>
  <si>
    <t>Nu MH</t>
  </si>
  <si>
    <t>sum</t>
  </si>
  <si>
    <t>Millions</t>
  </si>
  <si>
    <t>Study for Batteries Ecodesign (Commission)</t>
  </si>
  <si>
    <t>BEV typ</t>
  </si>
  <si>
    <t>kWh/batt</t>
  </si>
  <si>
    <t>BEV light</t>
  </si>
  <si>
    <t>BEV max</t>
  </si>
  <si>
    <t>ESS home</t>
  </si>
  <si>
    <t>BEV bus</t>
  </si>
  <si>
    <t>PHEV car</t>
  </si>
  <si>
    <t>PHEV truck</t>
  </si>
  <si>
    <t>Average 2018</t>
  </si>
  <si>
    <t>GWh POM EU</t>
  </si>
  <si>
    <t>Portable EPBA</t>
  </si>
  <si>
    <t>g/capita</t>
  </si>
  <si>
    <t>M hab</t>
  </si>
  <si>
    <t>LG Chem</t>
  </si>
  <si>
    <t>Asia</t>
  </si>
  <si>
    <t>EU</t>
  </si>
  <si>
    <t>USA</t>
  </si>
  <si>
    <t>Samsung Korea</t>
  </si>
  <si>
    <t>Panasonic</t>
  </si>
  <si>
    <t>SK innovation</t>
  </si>
  <si>
    <t>AESC</t>
  </si>
  <si>
    <t>Tesla</t>
  </si>
  <si>
    <t>Producers (GWh/y)</t>
  </si>
  <si>
    <t>CATL</t>
  </si>
  <si>
    <t>CALB</t>
  </si>
  <si>
    <t>Dynavolt</t>
  </si>
  <si>
    <t>Greatwall</t>
  </si>
  <si>
    <t>GreatPower</t>
  </si>
  <si>
    <t>Youlio</t>
  </si>
  <si>
    <t>Guoxuan</t>
  </si>
  <si>
    <t>Lithium Energ japan</t>
  </si>
  <si>
    <t>EVE</t>
  </si>
  <si>
    <t>Northvolt</t>
  </si>
  <si>
    <t>GSR</t>
  </si>
  <si>
    <t>BEI</t>
  </si>
  <si>
    <t xml:space="preserve">EV </t>
  </si>
  <si>
    <t>comparison  to VITO/Frainhoffer study 2019 for DG Grow ( Batteries Ecodesign)</t>
  </si>
  <si>
    <t>PRODCOM</t>
  </si>
  <si>
    <t>€/kWh</t>
  </si>
  <si>
    <t>IEA report</t>
  </si>
  <si>
    <t>https://www.iea.org/reports/global-ev-outlook-2018</t>
  </si>
  <si>
    <t>too largecompared to Avicenne?</t>
  </si>
  <si>
    <t>xEV</t>
  </si>
  <si>
    <t>Numbers BEV</t>
  </si>
  <si>
    <t>M BEV manuf in EU</t>
  </si>
  <si>
    <t>solds BEV</t>
  </si>
  <si>
    <t>sold HEV</t>
  </si>
  <si>
    <t>sold PHEV</t>
  </si>
  <si>
    <t>ESS -solar</t>
  </si>
  <si>
    <t>Large storage</t>
  </si>
  <si>
    <t>Buses/truck</t>
  </si>
  <si>
    <t>Nb BEV (M) In circulation</t>
  </si>
  <si>
    <t>GWh Worldwide</t>
  </si>
  <si>
    <t>Electric bikes</t>
  </si>
  <si>
    <t>Buses</t>
  </si>
  <si>
    <t>ICT</t>
  </si>
  <si>
    <t>camras/games</t>
  </si>
  <si>
    <t>CPT</t>
  </si>
  <si>
    <t>Power tools/gardening</t>
  </si>
  <si>
    <t>LiCOO2</t>
  </si>
  <si>
    <t>Li NCA</t>
  </si>
  <si>
    <t>Li Metal Pol</t>
  </si>
  <si>
    <t>https://www.statista.com/outlook/1000000/102/tesla/europe/1000164#market-volume</t>
  </si>
  <si>
    <t>tesla sales in EU 2019</t>
  </si>
  <si>
    <t>k vehicles</t>
  </si>
  <si>
    <t>motorcyles</t>
  </si>
  <si>
    <t>5% electric?</t>
  </si>
  <si>
    <t>g/unit</t>
  </si>
  <si>
    <t>kton</t>
  </si>
  <si>
    <t>€/Wh</t>
  </si>
  <si>
    <t>kvehicles</t>
  </si>
  <si>
    <t>ebikes in EU</t>
  </si>
  <si>
    <t>Mbikes in EU</t>
  </si>
  <si>
    <t>Cordless power tools</t>
  </si>
  <si>
    <t>Eu</t>
  </si>
  <si>
    <t>US</t>
  </si>
  <si>
    <t>of total , 50% CPT electric in EU</t>
  </si>
  <si>
    <t>Laptops</t>
  </si>
  <si>
    <t>Cameras/games</t>
  </si>
  <si>
    <t>Powertools</t>
  </si>
  <si>
    <t>ESS solar</t>
  </si>
  <si>
    <t>large srtorage</t>
  </si>
  <si>
    <t>Tablets</t>
  </si>
  <si>
    <t>M€ 2019 in EU</t>
  </si>
  <si>
    <t>Li Manganese oxide</t>
  </si>
  <si>
    <t>prius  5 K veh</t>
  </si>
  <si>
    <t>medical/others</t>
  </si>
  <si>
    <t>Li-Ion</t>
  </si>
  <si>
    <t>Pd-Ac (Sealed)</t>
  </si>
  <si>
    <t>tons POM portable 2017</t>
  </si>
  <si>
    <t>Grand Total</t>
  </si>
  <si>
    <t>Grand total</t>
  </si>
  <si>
    <t xml:space="preserve">% of market share in EU per technology and application 2019 </t>
  </si>
  <si>
    <t>LiCoO2</t>
  </si>
  <si>
    <t>Li MnO</t>
  </si>
  <si>
    <t>Put-On-Market (POM) of lithium-ion batteries in EU28 by application (2007-2020), (Weyhe &amp; Yang, 2018)</t>
  </si>
  <si>
    <t>ACEA: EU 2019, Avicenne</t>
  </si>
  <si>
    <t>Base</t>
  </si>
  <si>
    <t>Prosum</t>
  </si>
  <si>
    <t>Collection</t>
  </si>
  <si>
    <t>ESS deployments in the U.S. market since 2012 have demonstrated a shift from LFP to NMC and back to LFP, while the form</t>
  </si>
  <si>
    <t>factors have varied significantly.</t>
  </si>
  <si>
    <t>Commissioned MW</t>
  </si>
  <si>
    <t>Chemistry</t>
  </si>
  <si>
    <t>Year</t>
  </si>
  <si>
    <t>2013 35 LFP large prismatic</t>
  </si>
  <si>
    <t>2014 70 LFP large prismatic</t>
  </si>
  <si>
    <t>2015 230 LFP large prismatic</t>
  </si>
  <si>
    <t>2016 230 NMC and NCA mix of pouch, prismatic, and cylindrical</t>
  </si>
  <si>
    <t>2017 210 NMC and NCA mix of pouch, prismatic, and cylindrical</t>
  </si>
  <si>
    <t>2018 220 NMC and NCA mix of pouch, prismatic, and cylindrical</t>
  </si>
  <si>
    <t>2019 520 NMC and NCA mix of pouch, prismatic, and cylindrical</t>
  </si>
  <si>
    <t>2020 &gt;500 NMC and NCA mix of pouch, prismatic, and cylindrical</t>
  </si>
  <si>
    <t>2021 &gt; 1 GW LFP large prismatic</t>
  </si>
  <si>
    <t>2022 &gt; 1 GW LFP large prismatic</t>
  </si>
  <si>
    <t>Dominated Form factor</t>
  </si>
  <si>
    <t>DNV-GL Battery 2020 scorebord report, for Energy storage</t>
  </si>
  <si>
    <t>Manufacturing capa</t>
  </si>
  <si>
    <t>Million units BEV+PHEV</t>
  </si>
  <si>
    <t>BloombergNEF  2020</t>
  </si>
  <si>
    <t>LiB market  b$</t>
  </si>
  <si>
    <t>Pack ($/kWh)</t>
  </si>
  <si>
    <t>Market(GWh)</t>
  </si>
  <si>
    <t>Passenger EV</t>
  </si>
  <si>
    <t>Consumer electronics</t>
  </si>
  <si>
    <t>two wheelers</t>
  </si>
  <si>
    <t>Commercial veh</t>
  </si>
  <si>
    <t>e-buses</t>
  </si>
  <si>
    <t>storage</t>
  </si>
  <si>
    <t>NMC111</t>
  </si>
  <si>
    <t>NMC532</t>
  </si>
  <si>
    <t>NMC622</t>
  </si>
  <si>
    <t>NMC811</t>
  </si>
  <si>
    <t>NCA90</t>
  </si>
  <si>
    <t>Mix pasxsengers eV n(%)</t>
  </si>
  <si>
    <t>kg/kWh</t>
  </si>
  <si>
    <t>Mn</t>
  </si>
  <si>
    <t>Al</t>
  </si>
  <si>
    <t>Fe</t>
  </si>
  <si>
    <t>Avicenne data (estimation) 2009</t>
  </si>
  <si>
    <t>Lithium (en g)</t>
  </si>
  <si>
    <t>Update 2019</t>
  </si>
  <si>
    <t>Type d’appareil</t>
  </si>
  <si>
    <t>Couple électrochimique</t>
  </si>
  <si>
    <t>Poids moyen</t>
  </si>
  <si>
    <t>Min.</t>
  </si>
  <si>
    <t>Max.</t>
  </si>
  <si>
    <t>(en g)</t>
  </si>
  <si>
    <t>Outillage sans fil</t>
  </si>
  <si>
    <t>NiCd  (10 x Sub-C)</t>
  </si>
  <si>
    <t>587.5</t>
  </si>
  <si>
    <t>Pc et Mini PC</t>
  </si>
  <si>
    <t>Li Ion</t>
  </si>
  <si>
    <t>Tablettes</t>
  </si>
  <si>
    <t>Lecteur Mp3 Mp4</t>
  </si>
  <si>
    <t>Pile sauvegarde PC                      CR2032 type</t>
  </si>
  <si>
    <t>Lithium</t>
  </si>
  <si>
    <t>1.0</t>
  </si>
  <si>
    <t>6.0</t>
  </si>
  <si>
    <t>Mobile et Smartphone</t>
  </si>
  <si>
    <t>Cellule Li Ion</t>
  </si>
  <si>
    <t>Téléphone Portable</t>
  </si>
  <si>
    <t>Pack fin Li Ion (Flexible)</t>
  </si>
  <si>
    <t>Téléphone sans fil</t>
  </si>
  <si>
    <t>Ni MH (3 x AAA)</t>
  </si>
  <si>
    <t>GPS</t>
  </si>
  <si>
    <t>Ni MH (2 X AAA)</t>
  </si>
  <si>
    <t>Brosse à dent</t>
  </si>
  <si>
    <t>NiMH  (2 X AAA)</t>
  </si>
  <si>
    <t>Appareil photo</t>
  </si>
  <si>
    <t>Bluetooth oreillette</t>
  </si>
  <si>
    <t>Camescope</t>
  </si>
  <si>
    <t>UNU Key</t>
  </si>
  <si>
    <t>Chemistries</t>
  </si>
  <si>
    <t>Battery weight</t>
  </si>
  <si>
    <t>Battery weight range 25%</t>
  </si>
  <si>
    <t>Battery weight range 75%</t>
  </si>
  <si>
    <t>Battery mass share</t>
  </si>
  <si>
    <t>Eqpt weight</t>
  </si>
  <si>
    <t>previous analysis (JP)</t>
  </si>
  <si>
    <t>0201: cloks, adapters, others:</t>
  </si>
  <si>
    <t>Zn alkaline</t>
  </si>
  <si>
    <t>Li primary (LiMn)</t>
  </si>
  <si>
    <t>0204: vacuum cleaners</t>
  </si>
  <si>
    <t>Li rechargeable</t>
  </si>
  <si>
    <t>0205:tooth brush, razors</t>
  </si>
  <si>
    <t>0301: small IT</t>
  </si>
  <si>
    <t>302: desktop PC</t>
  </si>
  <si>
    <t>303: laptop PC</t>
  </si>
  <si>
    <t>(including tablets)</t>
  </si>
  <si>
    <t>305: DECT phones</t>
  </si>
  <si>
    <t>306: Smartphones</t>
  </si>
  <si>
    <t>401: Headphones, remote controls</t>
  </si>
  <si>
    <t>402: Portable audio video ( MP3, e readers, car nav,..)</t>
  </si>
  <si>
    <t>406: Cameras</t>
  </si>
  <si>
    <t>Li prmary (LiMn)</t>
  </si>
  <si>
    <t>501: SHA Lamps</t>
  </si>
  <si>
    <t>506: SHA Luminaires</t>
  </si>
  <si>
    <t>601: SHA Tools (saw, drills, …)</t>
  </si>
  <si>
    <t>701: Toys</t>
  </si>
  <si>
    <t>901: SHA monitoring (alarm, heat, smoke security)</t>
  </si>
  <si>
    <t>Study EMPA 2018</t>
  </si>
  <si>
    <t>J. Huisman, T. Ciuta, F. Mathieux, S. Bobba,</t>
  </si>
  <si>
    <t>K. Georgitzikis, D. Pennington</t>
  </si>
  <si>
    <t>RMIS – Raw Materials in the</t>
  </si>
  <si>
    <t>Battery Value Chain</t>
  </si>
  <si>
    <t>JRC118410</t>
  </si>
  <si>
    <t>2017  b$</t>
  </si>
  <si>
    <t xml:space="preserve">Lead </t>
  </si>
  <si>
    <t xml:space="preserve">total </t>
  </si>
  <si>
    <t>Telecoms</t>
  </si>
  <si>
    <t>Ind traction</t>
  </si>
  <si>
    <t>CBI RoadMap (2019)</t>
  </si>
  <si>
    <t>secondary</t>
  </si>
  <si>
    <t>EV China</t>
  </si>
  <si>
    <t>EV non china</t>
  </si>
  <si>
    <t>IT</t>
  </si>
  <si>
    <t>Indust/ESS</t>
  </si>
  <si>
    <t>Avicenne 2019</t>
  </si>
  <si>
    <t>electrolytre</t>
  </si>
  <si>
    <t>cell manuf</t>
  </si>
  <si>
    <t>pack cost</t>
  </si>
  <si>
    <t>Pack cost 2019</t>
  </si>
  <si>
    <t>Capex=</t>
  </si>
  <si>
    <t>Invest</t>
  </si>
  <si>
    <t>b€</t>
  </si>
  <si>
    <t>EU%</t>
  </si>
  <si>
    <t>EV (excl China until 2018)</t>
  </si>
  <si>
    <t>value chain (B$)</t>
  </si>
  <si>
    <t>change slower according to Avicenne</t>
  </si>
  <si>
    <t>Avicenne 2018</t>
  </si>
  <si>
    <t>Million units POM EU</t>
  </si>
  <si>
    <t>tons Pom portable 2019</t>
  </si>
  <si>
    <t>kt POM</t>
  </si>
  <si>
    <t>CRO datas</t>
  </si>
  <si>
    <t>Market data</t>
  </si>
  <si>
    <t>is overestimated due to interstates exchange?</t>
  </si>
  <si>
    <t>CRO declaration</t>
  </si>
  <si>
    <t>average li-ion portable</t>
  </si>
  <si>
    <t>average Ni-MH portable</t>
  </si>
  <si>
    <t>which part of industrila is declared?</t>
  </si>
  <si>
    <t>Value/kWh</t>
  </si>
  <si>
    <t>weighted average</t>
  </si>
  <si>
    <t>Secondary raw materials</t>
  </si>
  <si>
    <t>Market price</t>
  </si>
  <si>
    <t>(€/kg material)</t>
  </si>
  <si>
    <t>C-LNMC</t>
  </si>
  <si>
    <t>(€/kg battery)</t>
  </si>
  <si>
    <t>C-LNCA</t>
  </si>
  <si>
    <t>C-LFP</t>
  </si>
  <si>
    <t>LTO-LFP</t>
  </si>
  <si>
    <t>Stainless steel</t>
  </si>
  <si>
    <t>0.60</t>
  </si>
  <si>
    <t>Aluminium</t>
  </si>
  <si>
    <t>1.30</t>
  </si>
  <si>
    <t>Copper</t>
  </si>
  <si>
    <t>4.90</t>
  </si>
  <si>
    <t>Nickel</t>
  </si>
  <si>
    <t>11.90</t>
  </si>
  <si>
    <t>-</t>
  </si>
  <si>
    <t>Manganese</t>
  </si>
  <si>
    <t>1.70</t>
  </si>
  <si>
    <t>Cobalt</t>
  </si>
  <si>
    <t>23.30</t>
  </si>
  <si>
    <t>Lithium carbonate or hydroxide</t>
  </si>
  <si>
    <t>5.20</t>
  </si>
  <si>
    <t>Aluminium — Cell</t>
  </si>
  <si>
    <t>Copper — Cell</t>
  </si>
  <si>
    <t>CSWD report EU Commission 2019</t>
  </si>
  <si>
    <t>Value/kWh (cathode material)</t>
  </si>
  <si>
    <t>Value/cell</t>
  </si>
  <si>
    <t>(€/kWh battery)</t>
  </si>
  <si>
    <t xml:space="preserve">portable </t>
  </si>
  <si>
    <t>kTons POM (world)</t>
  </si>
  <si>
    <t>EU Comm impact study</t>
  </si>
  <si>
    <t>Nickel based</t>
  </si>
  <si>
    <t>Zn based (primary)</t>
  </si>
  <si>
    <t>Recycled 2019</t>
  </si>
  <si>
    <t>Po M2019</t>
  </si>
  <si>
    <t>Recycled 2015</t>
  </si>
  <si>
    <t>Pom2015</t>
  </si>
  <si>
    <t>Comm Impact Ass (Annex 7)</t>
  </si>
  <si>
    <t>PoM 2019</t>
  </si>
  <si>
    <t xml:space="preserve">Tel Brand in EU </t>
  </si>
  <si>
    <t>vol buttons Li primary</t>
  </si>
  <si>
    <t>Avicenne 2020</t>
  </si>
  <si>
    <t>Cyl</t>
  </si>
  <si>
    <t>Prism</t>
  </si>
  <si>
    <t>Pouch</t>
  </si>
  <si>
    <t>% Wh</t>
  </si>
  <si>
    <t>EU 40%</t>
  </si>
  <si>
    <t>Graphit</t>
  </si>
  <si>
    <t>natural</t>
  </si>
  <si>
    <t>artificial</t>
  </si>
  <si>
    <t>NiMH HEV</t>
  </si>
  <si>
    <t>World</t>
  </si>
  <si>
    <t>year</t>
  </si>
  <si>
    <t>battery subkey</t>
  </si>
  <si>
    <t>battery key</t>
  </si>
  <si>
    <t>application</t>
  </si>
  <si>
    <t>total (portable + industrial)</t>
  </si>
  <si>
    <t>Mistake corrected --&gt; "D47" instead of "D46)</t>
  </si>
  <si>
    <t>mistake corrected: Av2021 instead of Av2020</t>
  </si>
  <si>
    <t>Wh/unit</t>
  </si>
  <si>
    <t>battLirechargeable</t>
  </si>
  <si>
    <t>battPb</t>
  </si>
  <si>
    <t>battNi</t>
  </si>
  <si>
    <t>battOther</t>
  </si>
  <si>
    <t>BATT Stock and Flow model_battLiCoO2-cameras/games.xlsx</t>
  </si>
  <si>
    <t>k tons per subkey</t>
  </si>
  <si>
    <t>Application</t>
  </si>
  <si>
    <t>Keys</t>
  </si>
  <si>
    <t>Table to be used to calculate the national share</t>
  </si>
  <si>
    <t>Data source until 2015</t>
  </si>
  <si>
    <t>Data source trends before 2011</t>
  </si>
  <si>
    <t>battLiRechargeable</t>
  </si>
  <si>
    <t>battLiCoO2</t>
  </si>
  <si>
    <t>030301</t>
  </si>
  <si>
    <t>BattLaptop</t>
  </si>
  <si>
    <t>Aligned with the EEE data in pieces collected and consolidated by UNU</t>
  </si>
  <si>
    <t>0306</t>
  </si>
  <si>
    <t>BattCellPhone</t>
  </si>
  <si>
    <t>Market trends based on historic market studies. All cell phones have LiCoO2 batteries before 2005. Linear increase of the market share of LiNMC from 2005 to 2011</t>
  </si>
  <si>
    <t>Market stable</t>
  </si>
  <si>
    <t>0406, 0702</t>
  </si>
  <si>
    <t>BattLiRechPortable</t>
  </si>
  <si>
    <t>Yearly market increase of 23%</t>
  </si>
  <si>
    <t>0703</t>
  </si>
  <si>
    <t>E-bikes</t>
  </si>
  <si>
    <t>Zero until 2006. 2006-2010: CONEBI</t>
  </si>
  <si>
    <t>Industrial excluding mobility</t>
  </si>
  <si>
    <t>Linear increase between 2000 (one tenth of the sales of 2008) and 2008. For 2008-2010 CAGR of 5%</t>
  </si>
  <si>
    <t>030302</t>
  </si>
  <si>
    <t>BattTablet</t>
  </si>
  <si>
    <t>battLiFePO4</t>
  </si>
  <si>
    <t>Zero until 2006. Linear increase between 2007 and 2011.</t>
  </si>
  <si>
    <t>battLiMn</t>
  </si>
  <si>
    <t>Zero until 2003. Linear increase between 2004 and 2011.</t>
  </si>
  <si>
    <t>ICCT</t>
  </si>
  <si>
    <t>battLiPrimary</t>
  </si>
  <si>
    <t>battLiMnO2</t>
  </si>
  <si>
    <t>battLiCFx</t>
  </si>
  <si>
    <t>battLiNMC</t>
  </si>
  <si>
    <t>Zero until 2005. Linear increase between 2006 and 2011.</t>
  </si>
  <si>
    <t>0601</t>
  </si>
  <si>
    <t>battLiSO2</t>
  </si>
  <si>
    <t>battLiSOCl2</t>
  </si>
  <si>
    <t>battNiCd</t>
  </si>
  <si>
    <t>battNiCdSealed</t>
  </si>
  <si>
    <t>BattNiCdPortable</t>
  </si>
  <si>
    <t>EPBA/Eucobat 2012-2015</t>
  </si>
  <si>
    <t>battNiCdVented</t>
  </si>
  <si>
    <t>battNiMH</t>
  </si>
  <si>
    <t>battNiMHSealed</t>
  </si>
  <si>
    <t>BattNiMHPortable</t>
  </si>
  <si>
    <t>battNiMHVented</t>
  </si>
  <si>
    <t>battPbSealed</t>
  </si>
  <si>
    <t>BattPbPortable</t>
  </si>
  <si>
    <t>EPBA/Eucobat</t>
  </si>
  <si>
    <t>2006-2010: CONEBI</t>
  </si>
  <si>
    <t>battZn</t>
  </si>
  <si>
    <t>BattZn</t>
  </si>
  <si>
    <t>BattLiPrimary</t>
  </si>
  <si>
    <t>Linear increase from 0 in 2004 to the figure in 2009</t>
  </si>
  <si>
    <t>0901</t>
  </si>
  <si>
    <t>battPbVented</t>
  </si>
  <si>
    <t>0301, 0305</t>
  </si>
  <si>
    <t>0801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</si>
</sst>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92D05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rgb="FF000000"/>
      <name val="Calibri"/>
      <family val="2"/>
    </font>
    <font>
      <b/>
      <sz val="9"/>
      <color rgb="FF000000"/>
      <name val="Arial"/>
      <family val="2"/>
    </font>
    <font>
      <sz val="10"/>
      <color rgb="FF000000"/>
      <name val="Calibri"/>
      <family val="2"/>
    </font>
    <font>
      <sz val="11"/>
      <color rgb="FF1F497D"/>
      <name val="Calibri"/>
      <family val="2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/>
    <xf numFmtId="0" fontId="7" fillId="0" borderId="0"/>
    <xf numFmtId="0" fontId="9" fillId="0" borderId="0"/>
  </cellStyleXfs>
  <cellXfs count="3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5" borderId="1" xfId="0" applyFill="1" applyBorder="1"/>
    <xf numFmtId="0" fontId="0" fillId="5" borderId="0" xfId="0" applyFill="1"/>
    <xf numFmtId="0" fontId="0" fillId="7" borderId="0" xfId="0" applyFill="1"/>
    <xf numFmtId="165" fontId="0" fillId="0" borderId="0" xfId="0" applyNumberFormat="1"/>
    <xf numFmtId="0" fontId="0" fillId="0" borderId="9" xfId="0" applyBorder="1"/>
    <xf numFmtId="0" fontId="0" fillId="0" borderId="12" xfId="0" applyBorder="1"/>
    <xf numFmtId="0" fontId="0" fillId="9" borderId="0" xfId="0" applyFill="1" applyBorder="1"/>
    <xf numFmtId="0" fontId="0" fillId="10" borderId="9" xfId="0" applyFill="1" applyBorder="1"/>
    <xf numFmtId="0" fontId="0" fillId="10" borderId="0" xfId="0" applyFill="1" applyBorder="1"/>
    <xf numFmtId="0" fontId="0" fillId="0" borderId="16" xfId="0" applyBorder="1"/>
    <xf numFmtId="0" fontId="0" fillId="0" borderId="3" xfId="0" applyBorder="1"/>
    <xf numFmtId="0" fontId="0" fillId="10" borderId="3" xfId="0" applyFill="1" applyBorder="1"/>
    <xf numFmtId="0" fontId="2" fillId="0" borderId="0" xfId="0" applyFont="1"/>
    <xf numFmtId="0" fontId="0" fillId="0" borderId="11" xfId="0" applyBorder="1"/>
    <xf numFmtId="0" fontId="0" fillId="0" borderId="0" xfId="0" applyFill="1" applyBorder="1"/>
    <xf numFmtId="0" fontId="0" fillId="15" borderId="0" xfId="0" applyFill="1"/>
    <xf numFmtId="0" fontId="0" fillId="14" borderId="0" xfId="0" applyFill="1"/>
    <xf numFmtId="0" fontId="6" fillId="10" borderId="9" xfId="0" applyFont="1" applyFill="1" applyBorder="1"/>
    <xf numFmtId="0" fontId="6" fillId="10" borderId="0" xfId="0" applyFont="1" applyFill="1" applyBorder="1"/>
    <xf numFmtId="0" fontId="7" fillId="10" borderId="0" xfId="0" applyFont="1" applyFill="1" applyBorder="1"/>
    <xf numFmtId="0" fontId="6" fillId="6" borderId="9" xfId="0" applyFont="1" applyFill="1" applyBorder="1"/>
    <xf numFmtId="0" fontId="6" fillId="6" borderId="0" xfId="0" applyFont="1" applyFill="1" applyBorder="1"/>
    <xf numFmtId="0" fontId="0" fillId="6" borderId="9" xfId="0" applyFill="1" applyBorder="1"/>
    <xf numFmtId="0" fontId="0" fillId="6" borderId="0" xfId="0" applyFill="1" applyBorder="1"/>
    <xf numFmtId="0" fontId="7" fillId="6" borderId="0" xfId="0" applyFont="1" applyFill="1" applyBorder="1"/>
    <xf numFmtId="0" fontId="0" fillId="6" borderId="11" xfId="0" applyFill="1" applyBorder="1"/>
    <xf numFmtId="0" fontId="0" fillId="6" borderId="12" xfId="0" applyFill="1" applyBorder="1"/>
    <xf numFmtId="0" fontId="7" fillId="6" borderId="12" xfId="0" applyFont="1" applyFill="1" applyBorder="1"/>
    <xf numFmtId="0" fontId="2" fillId="6" borderId="9" xfId="0" applyFont="1" applyFill="1" applyBorder="1"/>
    <xf numFmtId="0" fontId="2" fillId="6" borderId="0" xfId="0" applyFont="1" applyFill="1" applyBorder="1"/>
    <xf numFmtId="0" fontId="3" fillId="15" borderId="10" xfId="0" applyFont="1" applyFill="1" applyBorder="1" applyAlignment="1">
      <alignment vertical="center" wrapText="1"/>
    </xf>
    <xf numFmtId="0" fontId="3" fillId="6" borderId="10" xfId="0" applyFont="1" applyFill="1" applyBorder="1" applyAlignment="1">
      <alignment vertical="center" wrapText="1"/>
    </xf>
    <xf numFmtId="0" fontId="3" fillId="14" borderId="10" xfId="0" applyFont="1" applyFill="1" applyBorder="1" applyAlignment="1">
      <alignment vertical="center" wrapText="1"/>
    </xf>
    <xf numFmtId="0" fontId="2" fillId="3" borderId="0" xfId="0" applyFont="1" applyFill="1"/>
    <xf numFmtId="0" fontId="5" fillId="0" borderId="0" xfId="0" applyFont="1"/>
    <xf numFmtId="0" fontId="0" fillId="16" borderId="0" xfId="0" applyFill="1" applyBorder="1"/>
    <xf numFmtId="0" fontId="0" fillId="8" borderId="0" xfId="0" applyFill="1"/>
    <xf numFmtId="0" fontId="3" fillId="8" borderId="10" xfId="0" applyFont="1" applyFill="1" applyBorder="1" applyAlignment="1">
      <alignment vertical="center" wrapText="1"/>
    </xf>
    <xf numFmtId="0" fontId="7" fillId="0" borderId="0" xfId="0" applyFont="1" applyBorder="1"/>
    <xf numFmtId="0" fontId="0" fillId="0" borderId="24" xfId="0" applyBorder="1"/>
    <xf numFmtId="0" fontId="0" fillId="6" borderId="28" xfId="0" applyFill="1" applyBorder="1"/>
    <xf numFmtId="0" fontId="0" fillId="6" borderId="29" xfId="0" applyFill="1" applyBorder="1"/>
    <xf numFmtId="0" fontId="0" fillId="0" borderId="29" xfId="0" applyBorder="1"/>
    <xf numFmtId="0" fontId="0" fillId="9" borderId="1" xfId="0" applyFill="1" applyBorder="1"/>
    <xf numFmtId="0" fontId="0" fillId="6" borderId="1" xfId="0" applyFill="1" applyBorder="1"/>
    <xf numFmtId="0" fontId="0" fillId="9" borderId="30" xfId="0" applyFill="1" applyBorder="1"/>
    <xf numFmtId="0" fontId="0" fillId="0" borderId="32" xfId="0" applyBorder="1"/>
    <xf numFmtId="0" fontId="0" fillId="9" borderId="32" xfId="0" applyFill="1" applyBorder="1"/>
    <xf numFmtId="0" fontId="0" fillId="9" borderId="33" xfId="0" applyFill="1" applyBorder="1"/>
    <xf numFmtId="0" fontId="0" fillId="0" borderId="22" xfId="0" applyBorder="1"/>
    <xf numFmtId="0" fontId="0" fillId="0" borderId="31" xfId="0" applyBorder="1"/>
    <xf numFmtId="0" fontId="0" fillId="9" borderId="31" xfId="0" applyFill="1" applyBorder="1"/>
    <xf numFmtId="0" fontId="0" fillId="9" borderId="34" xfId="0" applyFill="1" applyBorder="1"/>
    <xf numFmtId="0" fontId="0" fillId="0" borderId="35" xfId="0" applyBorder="1"/>
    <xf numFmtId="0" fontId="0" fillId="6" borderId="30" xfId="0" applyFill="1" applyBorder="1"/>
    <xf numFmtId="0" fontId="0" fillId="6" borderId="24" xfId="0" applyFill="1" applyBorder="1"/>
    <xf numFmtId="0" fontId="0" fillId="2" borderId="1" xfId="0" applyFill="1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14" borderId="1" xfId="0" applyFill="1" applyBorder="1"/>
    <xf numFmtId="0" fontId="0" fillId="15" borderId="1" xfId="0" applyFill="1" applyBorder="1"/>
    <xf numFmtId="9" fontId="0" fillId="0" borderId="0" xfId="1" applyFont="1"/>
    <xf numFmtId="9" fontId="0" fillId="0" borderId="0" xfId="0" applyNumberFormat="1"/>
    <xf numFmtId="9" fontId="0" fillId="16" borderId="0" xfId="1" applyFont="1" applyFill="1" applyBorder="1"/>
    <xf numFmtId="1" fontId="0" fillId="9" borderId="1" xfId="0" applyNumberFormat="1" applyFill="1" applyBorder="1"/>
    <xf numFmtId="1" fontId="0" fillId="9" borderId="30" xfId="0" applyNumberFormat="1" applyFill="1" applyBorder="1"/>
    <xf numFmtId="1" fontId="0" fillId="9" borderId="33" xfId="0" applyNumberFormat="1" applyFill="1" applyBorder="1"/>
    <xf numFmtId="0" fontId="0" fillId="15" borderId="32" xfId="0" applyFill="1" applyBorder="1"/>
    <xf numFmtId="0" fontId="0" fillId="12" borderId="1" xfId="0" applyFill="1" applyBorder="1"/>
    <xf numFmtId="0" fontId="0" fillId="0" borderId="2" xfId="0" applyBorder="1"/>
    <xf numFmtId="0" fontId="0" fillId="12" borderId="32" xfId="0" applyFill="1" applyBorder="1"/>
    <xf numFmtId="164" fontId="0" fillId="12" borderId="1" xfId="0" applyNumberFormat="1" applyFill="1" applyBorder="1"/>
    <xf numFmtId="1" fontId="0" fillId="12" borderId="1" xfId="0" applyNumberFormat="1" applyFill="1" applyBorder="1"/>
    <xf numFmtId="0" fontId="3" fillId="2" borderId="0" xfId="0" applyFont="1" applyFill="1"/>
    <xf numFmtId="1" fontId="0" fillId="2" borderId="1" xfId="0" applyNumberFormat="1" applyFill="1" applyBorder="1"/>
    <xf numFmtId="2" fontId="0" fillId="12" borderId="1" xfId="0" applyNumberFormat="1" applyFill="1" applyBorder="1"/>
    <xf numFmtId="2" fontId="0" fillId="9" borderId="1" xfId="0" applyNumberFormat="1" applyFill="1" applyBorder="1"/>
    <xf numFmtId="164" fontId="0" fillId="9" borderId="1" xfId="0" applyNumberFormat="1" applyFill="1" applyBorder="1"/>
    <xf numFmtId="2" fontId="0" fillId="9" borderId="32" xfId="0" applyNumberFormat="1" applyFill="1" applyBorder="1"/>
    <xf numFmtId="1" fontId="0" fillId="6" borderId="1" xfId="0" applyNumberFormat="1" applyFill="1" applyBorder="1"/>
    <xf numFmtId="1" fontId="0" fillId="9" borderId="32" xfId="0" applyNumberFormat="1" applyFill="1" applyBorder="1"/>
    <xf numFmtId="0" fontId="0" fillId="10" borderId="1" xfId="0" applyFill="1" applyBorder="1"/>
    <xf numFmtId="0" fontId="0" fillId="13" borderId="1" xfId="0" applyFill="1" applyBorder="1"/>
    <xf numFmtId="0" fontId="0" fillId="0" borderId="19" xfId="0" applyBorder="1"/>
    <xf numFmtId="0" fontId="0" fillId="0" borderId="21" xfId="0" applyBorder="1"/>
    <xf numFmtId="0" fontId="0" fillId="0" borderId="25" xfId="0" applyBorder="1"/>
    <xf numFmtId="164" fontId="0" fillId="9" borderId="32" xfId="0" applyNumberFormat="1" applyFill="1" applyBorder="1"/>
    <xf numFmtId="0" fontId="0" fillId="16" borderId="1" xfId="0" applyFill="1" applyBorder="1"/>
    <xf numFmtId="0" fontId="0" fillId="2" borderId="0" xfId="0" applyFill="1"/>
    <xf numFmtId="0" fontId="0" fillId="17" borderId="0" xfId="0" applyFill="1"/>
    <xf numFmtId="0" fontId="0" fillId="13" borderId="0" xfId="0" applyFill="1"/>
    <xf numFmtId="1" fontId="0" fillId="0" borderId="0" xfId="0" applyNumberFormat="1"/>
    <xf numFmtId="0" fontId="0" fillId="11" borderId="0" xfId="0" applyFill="1" applyBorder="1"/>
    <xf numFmtId="0" fontId="0" fillId="11" borderId="0" xfId="0" applyFill="1"/>
    <xf numFmtId="1" fontId="0" fillId="13" borderId="1" xfId="0" applyNumberFormat="1" applyFill="1" applyBorder="1"/>
    <xf numFmtId="0" fontId="0" fillId="13" borderId="30" xfId="0" applyFill="1" applyBorder="1"/>
    <xf numFmtId="0" fontId="0" fillId="13" borderId="31" xfId="0" applyFill="1" applyBorder="1"/>
    <xf numFmtId="0" fontId="0" fillId="13" borderId="32" xfId="0" applyFill="1" applyBorder="1"/>
    <xf numFmtId="2" fontId="0" fillId="13" borderId="1" xfId="0" applyNumberFormat="1" applyFill="1" applyBorder="1"/>
    <xf numFmtId="1" fontId="0" fillId="9" borderId="31" xfId="0" applyNumberFormat="1" applyFill="1" applyBorder="1"/>
    <xf numFmtId="0" fontId="3" fillId="5" borderId="0" xfId="0" applyFont="1" applyFill="1"/>
    <xf numFmtId="2" fontId="0" fillId="0" borderId="0" xfId="0" applyNumberFormat="1"/>
    <xf numFmtId="164" fontId="0" fillId="0" borderId="0" xfId="0" applyNumberFormat="1"/>
    <xf numFmtId="0" fontId="3" fillId="3" borderId="0" xfId="0" applyFont="1" applyFill="1"/>
    <xf numFmtId="1" fontId="0" fillId="14" borderId="0" xfId="0" applyNumberFormat="1" applyFill="1"/>
    <xf numFmtId="0" fontId="0" fillId="18" borderId="0" xfId="0" applyFill="1"/>
    <xf numFmtId="0" fontId="3" fillId="18" borderId="10" xfId="0" applyFont="1" applyFill="1" applyBorder="1" applyAlignment="1">
      <alignment vertical="center" wrapText="1"/>
    </xf>
    <xf numFmtId="1" fontId="0" fillId="0" borderId="0" xfId="1" applyNumberFormat="1" applyFont="1"/>
    <xf numFmtId="0" fontId="0" fillId="19" borderId="0" xfId="0" applyFill="1"/>
    <xf numFmtId="165" fontId="0" fillId="9" borderId="1" xfId="0" applyNumberFormat="1" applyFill="1" applyBorder="1"/>
    <xf numFmtId="0" fontId="4" fillId="0" borderId="0" xfId="2"/>
    <xf numFmtId="0" fontId="10" fillId="0" borderId="0" xfId="0" applyFont="1"/>
    <xf numFmtId="0" fontId="11" fillId="0" borderId="0" xfId="0" applyFont="1"/>
    <xf numFmtId="0" fontId="0" fillId="0" borderId="14" xfId="0" applyBorder="1"/>
    <xf numFmtId="0" fontId="0" fillId="0" borderId="38" xfId="0" applyBorder="1"/>
    <xf numFmtId="1" fontId="0" fillId="0" borderId="9" xfId="0" applyNumberFormat="1" applyBorder="1"/>
    <xf numFmtId="1" fontId="0" fillId="0" borderId="5" xfId="0" applyNumberFormat="1" applyBorder="1"/>
    <xf numFmtId="1" fontId="0" fillId="0" borderId="39" xfId="0" applyNumberFormat="1" applyBorder="1"/>
    <xf numFmtId="1" fontId="0" fillId="0" borderId="11" xfId="0" applyNumberFormat="1" applyBorder="1"/>
    <xf numFmtId="1" fontId="0" fillId="0" borderId="15" xfId="0" applyNumberFormat="1" applyBorder="1"/>
    <xf numFmtId="1" fontId="0" fillId="0" borderId="40" xfId="0" applyNumberFormat="1" applyBorder="1"/>
    <xf numFmtId="0" fontId="2" fillId="6" borderId="2" xfId="0" applyFont="1" applyFill="1" applyBorder="1"/>
    <xf numFmtId="0" fontId="2" fillId="6" borderId="3" xfId="0" applyFont="1" applyFill="1" applyBorder="1"/>
    <xf numFmtId="1" fontId="2" fillId="6" borderId="2" xfId="0" applyNumberFormat="1" applyFont="1" applyFill="1" applyBorder="1"/>
    <xf numFmtId="1" fontId="2" fillId="6" borderId="14" xfId="0" applyNumberFormat="1" applyFont="1" applyFill="1" applyBorder="1"/>
    <xf numFmtId="1" fontId="2" fillId="6" borderId="38" xfId="0" applyNumberFormat="1" applyFont="1" applyFill="1" applyBorder="1"/>
    <xf numFmtId="0" fontId="0" fillId="0" borderId="6" xfId="0" applyFill="1" applyBorder="1"/>
    <xf numFmtId="1" fontId="0" fillId="0" borderId="8" xfId="0" applyNumberFormat="1" applyBorder="1"/>
    <xf numFmtId="1" fontId="0" fillId="0" borderId="36" xfId="0" applyNumberFormat="1" applyBorder="1"/>
    <xf numFmtId="0" fontId="0" fillId="0" borderId="26" xfId="0" applyBorder="1"/>
    <xf numFmtId="1" fontId="0" fillId="0" borderId="16" xfId="0" applyNumberFormat="1" applyBorder="1"/>
    <xf numFmtId="1" fontId="0" fillId="0" borderId="27" xfId="0" applyNumberFormat="1" applyBorder="1"/>
    <xf numFmtId="0" fontId="12" fillId="0" borderId="0" xfId="0" applyFont="1"/>
    <xf numFmtId="0" fontId="13" fillId="0" borderId="0" xfId="0" applyFont="1"/>
    <xf numFmtId="0" fontId="12" fillId="6" borderId="2" xfId="0" applyFont="1" applyFill="1" applyBorder="1"/>
    <xf numFmtId="0" fontId="12" fillId="6" borderId="3" xfId="0" applyFont="1" applyFill="1" applyBorder="1"/>
    <xf numFmtId="0" fontId="13" fillId="0" borderId="9" xfId="0" applyFont="1" applyBorder="1"/>
    <xf numFmtId="0" fontId="13" fillId="0" borderId="0" xfId="0" applyFont="1" applyBorder="1"/>
    <xf numFmtId="0" fontId="13" fillId="0" borderId="11" xfId="0" applyFont="1" applyBorder="1"/>
    <xf numFmtId="0" fontId="13" fillId="0" borderId="12" xfId="0" applyFont="1" applyBorder="1"/>
    <xf numFmtId="0" fontId="13" fillId="0" borderId="26" xfId="0" applyFont="1" applyBorder="1"/>
    <xf numFmtId="0" fontId="13" fillId="0" borderId="16" xfId="0" applyFont="1" applyBorder="1"/>
    <xf numFmtId="9" fontId="12" fillId="6" borderId="2" xfId="1" applyFont="1" applyFill="1" applyBorder="1" applyAlignment="1">
      <alignment horizontal="center"/>
    </xf>
    <xf numFmtId="9" fontId="12" fillId="6" borderId="14" xfId="1" applyFont="1" applyFill="1" applyBorder="1" applyAlignment="1">
      <alignment horizontal="center"/>
    </xf>
    <xf numFmtId="9" fontId="12" fillId="6" borderId="38" xfId="1" applyFont="1" applyFill="1" applyBorder="1" applyAlignment="1">
      <alignment horizontal="center"/>
    </xf>
    <xf numFmtId="1" fontId="13" fillId="0" borderId="8" xfId="0" applyNumberFormat="1" applyFont="1" applyBorder="1" applyAlignment="1">
      <alignment horizontal="center"/>
    </xf>
    <xf numFmtId="9" fontId="13" fillId="0" borderId="9" xfId="1" applyFont="1" applyBorder="1" applyAlignment="1">
      <alignment horizontal="center"/>
    </xf>
    <xf numFmtId="9" fontId="13" fillId="0" borderId="5" xfId="1" applyFont="1" applyBorder="1" applyAlignment="1">
      <alignment horizontal="center"/>
    </xf>
    <xf numFmtId="9" fontId="13" fillId="0" borderId="39" xfId="1" applyFont="1" applyBorder="1" applyAlignment="1">
      <alignment horizontal="center"/>
    </xf>
    <xf numFmtId="9" fontId="13" fillId="20" borderId="8" xfId="1" applyFont="1" applyFill="1" applyBorder="1" applyAlignment="1">
      <alignment horizontal="center"/>
    </xf>
    <xf numFmtId="9" fontId="13" fillId="20" borderId="5" xfId="1" applyFont="1" applyFill="1" applyBorder="1" applyAlignment="1">
      <alignment horizontal="center"/>
    </xf>
    <xf numFmtId="9" fontId="13" fillId="0" borderId="8" xfId="1" applyFont="1" applyBorder="1" applyAlignment="1">
      <alignment horizontal="center"/>
    </xf>
    <xf numFmtId="9" fontId="13" fillId="0" borderId="11" xfId="1" applyFont="1" applyBorder="1" applyAlignment="1">
      <alignment horizontal="center"/>
    </xf>
    <xf numFmtId="9" fontId="13" fillId="20" borderId="15" xfId="1" applyFont="1" applyFill="1" applyBorder="1" applyAlignment="1">
      <alignment horizontal="center"/>
    </xf>
    <xf numFmtId="9" fontId="13" fillId="0" borderId="15" xfId="1" applyFont="1" applyBorder="1" applyAlignment="1">
      <alignment horizontal="center"/>
    </xf>
    <xf numFmtId="9" fontId="13" fillId="0" borderId="40" xfId="1" applyFont="1" applyBorder="1" applyAlignment="1">
      <alignment horizontal="center"/>
    </xf>
    <xf numFmtId="9" fontId="13" fillId="0" borderId="36" xfId="1" applyFont="1" applyBorder="1" applyAlignment="1">
      <alignment horizontal="center"/>
    </xf>
    <xf numFmtId="9" fontId="13" fillId="20" borderId="16" xfId="1" applyFont="1" applyFill="1" applyBorder="1" applyAlignment="1">
      <alignment horizontal="center"/>
    </xf>
    <xf numFmtId="9" fontId="13" fillId="0" borderId="16" xfId="1" applyFont="1" applyBorder="1" applyAlignment="1">
      <alignment horizontal="center"/>
    </xf>
    <xf numFmtId="9" fontId="13" fillId="0" borderId="27" xfId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164" fontId="2" fillId="6" borderId="2" xfId="0" applyNumberFormat="1" applyFont="1" applyFill="1" applyBorder="1"/>
    <xf numFmtId="1" fontId="13" fillId="20" borderId="16" xfId="1" applyNumberFormat="1" applyFont="1" applyFill="1" applyBorder="1" applyAlignment="1">
      <alignment horizontal="center"/>
    </xf>
    <xf numFmtId="0" fontId="0" fillId="0" borderId="17" xfId="0" applyBorder="1"/>
    <xf numFmtId="0" fontId="0" fillId="0" borderId="23" xfId="0" applyBorder="1"/>
    <xf numFmtId="0" fontId="0" fillId="0" borderId="7" xfId="0" applyFill="1" applyBorder="1"/>
    <xf numFmtId="0" fontId="0" fillId="0" borderId="17" xfId="0" applyFill="1" applyBorder="1"/>
    <xf numFmtId="0" fontId="0" fillId="0" borderId="19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5" xfId="0" applyFill="1" applyBorder="1"/>
    <xf numFmtId="0" fontId="0" fillId="0" borderId="41" xfId="0" applyFill="1" applyBorder="1"/>
    <xf numFmtId="0" fontId="0" fillId="0" borderId="37" xfId="0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16" fillId="0" borderId="41" xfId="0" applyFont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6" borderId="20" xfId="0" applyFill="1" applyBorder="1" applyAlignment="1">
      <alignment horizontal="center" wrapText="1"/>
    </xf>
    <xf numFmtId="0" fontId="17" fillId="21" borderId="0" xfId="0" applyFont="1" applyFill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17" fillId="21" borderId="46" xfId="0" applyFont="1" applyFill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18" fillId="0" borderId="44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18" fillId="3" borderId="44" xfId="0" applyFont="1" applyFill="1" applyBorder="1" applyAlignment="1">
      <alignment horizontal="center" vertical="center" wrapText="1"/>
    </xf>
    <xf numFmtId="0" fontId="19" fillId="3" borderId="44" xfId="0" applyFont="1" applyFill="1" applyBorder="1" applyAlignment="1">
      <alignment horizontal="center" vertical="center" wrapText="1"/>
    </xf>
    <xf numFmtId="0" fontId="19" fillId="3" borderId="46" xfId="0" applyFont="1" applyFill="1" applyBorder="1" applyAlignment="1">
      <alignment horizontal="center" vertical="center" wrapText="1"/>
    </xf>
    <xf numFmtId="2" fontId="19" fillId="0" borderId="46" xfId="0" applyNumberFormat="1" applyFont="1" applyBorder="1" applyAlignment="1">
      <alignment horizontal="center" vertical="center" wrapText="1"/>
    </xf>
    <xf numFmtId="0" fontId="0" fillId="6" borderId="24" xfId="0" applyFill="1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/>
    </xf>
    <xf numFmtId="10" fontId="0" fillId="0" borderId="0" xfId="0" applyNumberFormat="1"/>
    <xf numFmtId="0" fontId="19" fillId="0" borderId="4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1" fontId="0" fillId="4" borderId="1" xfId="0" applyNumberFormat="1" applyFill="1" applyBorder="1"/>
    <xf numFmtId="0" fontId="0" fillId="4" borderId="1" xfId="0" applyFill="1" applyBorder="1"/>
    <xf numFmtId="0" fontId="3" fillId="4" borderId="0" xfId="0" applyFont="1" applyFill="1"/>
    <xf numFmtId="2" fontId="0" fillId="4" borderId="1" xfId="0" applyNumberFormat="1" applyFill="1" applyBorder="1"/>
    <xf numFmtId="0" fontId="0" fillId="22" borderId="0" xfId="0" applyFill="1"/>
    <xf numFmtId="0" fontId="2" fillId="22" borderId="0" xfId="0" applyFont="1" applyFill="1"/>
    <xf numFmtId="0" fontId="0" fillId="4" borderId="31" xfId="0" applyFill="1" applyBorder="1"/>
    <xf numFmtId="0" fontId="0" fillId="4" borderId="7" xfId="0" applyFill="1" applyBorder="1"/>
    <xf numFmtId="0" fontId="0" fillId="4" borderId="17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22" xfId="0" applyFill="1" applyBorder="1"/>
    <xf numFmtId="0" fontId="0" fillId="4" borderId="23" xfId="0" applyFill="1" applyBorder="1"/>
    <xf numFmtId="9" fontId="0" fillId="0" borderId="21" xfId="1" applyFont="1" applyBorder="1"/>
    <xf numFmtId="9" fontId="0" fillId="0" borderId="25" xfId="1" applyFont="1" applyBorder="1"/>
    <xf numFmtId="0" fontId="0" fillId="11" borderId="7" xfId="0" applyFill="1" applyBorder="1"/>
    <xf numFmtId="0" fontId="0" fillId="11" borderId="17" xfId="0" applyFill="1" applyBorder="1"/>
    <xf numFmtId="0" fontId="0" fillId="11" borderId="19" xfId="0" applyFill="1" applyBorder="1"/>
    <xf numFmtId="0" fontId="0" fillId="11" borderId="5" xfId="0" applyFill="1" applyBorder="1"/>
    <xf numFmtId="0" fontId="0" fillId="11" borderId="21" xfId="0" applyFill="1" applyBorder="1"/>
    <xf numFmtId="0" fontId="0" fillId="11" borderId="22" xfId="0" applyFill="1" applyBorder="1"/>
    <xf numFmtId="0" fontId="0" fillId="11" borderId="23" xfId="0" applyFill="1" applyBorder="1"/>
    <xf numFmtId="0" fontId="0" fillId="11" borderId="25" xfId="0" applyFill="1" applyBorder="1"/>
    <xf numFmtId="0" fontId="0" fillId="11" borderId="32" xfId="0" applyFill="1" applyBorder="1"/>
    <xf numFmtId="0" fontId="0" fillId="11" borderId="41" xfId="0" applyFill="1" applyBorder="1"/>
    <xf numFmtId="0" fontId="0" fillId="11" borderId="37" xfId="0" applyFill="1" applyBorder="1"/>
    <xf numFmtId="0" fontId="0" fillId="6" borderId="32" xfId="0" applyFill="1" applyBorder="1"/>
    <xf numFmtId="0" fontId="0" fillId="6" borderId="41" xfId="0" applyFill="1" applyBorder="1"/>
    <xf numFmtId="0" fontId="0" fillId="6" borderId="37" xfId="0" applyFill="1" applyBorder="1"/>
    <xf numFmtId="1" fontId="0" fillId="15" borderId="0" xfId="0" applyNumberFormat="1" applyFill="1"/>
    <xf numFmtId="1" fontId="0" fillId="19" borderId="0" xfId="0" applyNumberFormat="1" applyFill="1"/>
    <xf numFmtId="0" fontId="2" fillId="19" borderId="0" xfId="0" applyFont="1" applyFill="1"/>
    <xf numFmtId="9" fontId="0" fillId="3" borderId="0" xfId="1" applyFont="1" applyFill="1"/>
    <xf numFmtId="0" fontId="21" fillId="0" borderId="0" xfId="0" applyFont="1" applyFill="1"/>
    <xf numFmtId="0" fontId="0" fillId="10" borderId="0" xfId="0" applyFill="1"/>
    <xf numFmtId="0" fontId="0" fillId="3" borderId="3" xfId="0" applyFill="1" applyBorder="1"/>
    <xf numFmtId="0" fontId="0" fillId="10" borderId="4" xfId="0" applyFill="1" applyBorder="1"/>
    <xf numFmtId="0" fontId="0" fillId="10" borderId="10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0" borderId="18" xfId="0" applyBorder="1"/>
    <xf numFmtId="0" fontId="0" fillId="6" borderId="18" xfId="0" applyFill="1" applyBorder="1"/>
    <xf numFmtId="0" fontId="0" fillId="0" borderId="47" xfId="0" applyBorder="1"/>
    <xf numFmtId="0" fontId="0" fillId="10" borderId="18" xfId="0" applyFill="1" applyBorder="1"/>
    <xf numFmtId="0" fontId="0" fillId="6" borderId="2" xfId="0" applyFill="1" applyBorder="1"/>
    <xf numFmtId="0" fontId="0" fillId="6" borderId="3" xfId="0" applyFill="1" applyBorder="1"/>
    <xf numFmtId="0" fontId="7" fillId="6" borderId="3" xfId="0" applyFont="1" applyFill="1" applyBorder="1"/>
    <xf numFmtId="0" fontId="0" fillId="9" borderId="48" xfId="0" applyFill="1" applyBorder="1"/>
    <xf numFmtId="1" fontId="0" fillId="9" borderId="48" xfId="0" applyNumberFormat="1" applyFill="1" applyBorder="1"/>
    <xf numFmtId="0" fontId="0" fillId="6" borderId="48" xfId="0" applyFill="1" applyBorder="1"/>
    <xf numFmtId="0" fontId="0" fillId="9" borderId="49" xfId="0" applyFill="1" applyBorder="1"/>
    <xf numFmtId="0" fontId="0" fillId="9" borderId="50" xfId="0" applyFill="1" applyBorder="1"/>
    <xf numFmtId="0" fontId="0" fillId="0" borderId="48" xfId="0" applyBorder="1"/>
    <xf numFmtId="0" fontId="0" fillId="9" borderId="51" xfId="0" applyFill="1" applyBorder="1"/>
    <xf numFmtId="0" fontId="0" fillId="6" borderId="51" xfId="0" applyFill="1" applyBorder="1"/>
    <xf numFmtId="0" fontId="0" fillId="9" borderId="52" xfId="0" applyFill="1" applyBorder="1"/>
    <xf numFmtId="0" fontId="0" fillId="9" borderId="53" xfId="0" applyFill="1" applyBorder="1"/>
    <xf numFmtId="0" fontId="0" fillId="0" borderId="51" xfId="0" applyBorder="1"/>
    <xf numFmtId="0" fontId="0" fillId="10" borderId="24" xfId="0" applyFill="1" applyBorder="1"/>
    <xf numFmtId="0" fontId="0" fillId="12" borderId="48" xfId="0" applyFill="1" applyBorder="1"/>
    <xf numFmtId="164" fontId="0" fillId="12" borderId="48" xfId="0" applyNumberFormat="1" applyFill="1" applyBorder="1"/>
    <xf numFmtId="2" fontId="0" fillId="4" borderId="48" xfId="0" applyNumberFormat="1" applyFill="1" applyBorder="1"/>
    <xf numFmtId="164" fontId="0" fillId="12" borderId="51" xfId="0" applyNumberFormat="1" applyFill="1" applyBorder="1"/>
    <xf numFmtId="0" fontId="0" fillId="9" borderId="18" xfId="0" applyFill="1" applyBorder="1"/>
    <xf numFmtId="0" fontId="0" fillId="9" borderId="7" xfId="0" applyFill="1" applyBorder="1"/>
    <xf numFmtId="0" fontId="0" fillId="9" borderId="47" xfId="0" applyFill="1" applyBorder="1"/>
    <xf numFmtId="0" fontId="0" fillId="2" borderId="48" xfId="0" applyFill="1" applyBorder="1"/>
    <xf numFmtId="164" fontId="0" fillId="3" borderId="0" xfId="0" applyNumberFormat="1" applyFill="1"/>
    <xf numFmtId="0" fontId="0" fillId="9" borderId="0" xfId="0" applyFill="1"/>
    <xf numFmtId="0" fontId="0" fillId="23" borderId="0" xfId="0" applyFill="1"/>
    <xf numFmtId="164" fontId="2" fillId="23" borderId="0" xfId="0" applyNumberFormat="1" applyFont="1" applyFill="1"/>
    <xf numFmtId="0" fontId="0" fillId="0" borderId="0" xfId="0" applyFill="1"/>
    <xf numFmtId="49" fontId="0" fillId="0" borderId="0" xfId="0" applyNumberFormat="1" applyFill="1"/>
    <xf numFmtId="0" fontId="0" fillId="0" borderId="0" xfId="0" applyFont="1" applyFill="1"/>
    <xf numFmtId="164" fontId="0" fillId="0" borderId="0" xfId="0" applyNumberFormat="1" applyFill="1"/>
    <xf numFmtId="164" fontId="0" fillId="9" borderId="0" xfId="0" applyNumberFormat="1" applyFill="1"/>
    <xf numFmtId="0" fontId="0" fillId="16" borderId="0" xfId="0" applyFill="1"/>
    <xf numFmtId="49" fontId="0" fillId="3" borderId="0" xfId="0" applyNumberFormat="1" applyFill="1"/>
    <xf numFmtId="0" fontId="0" fillId="0" borderId="0" xfId="0" applyNumberFormat="1" applyFill="1"/>
    <xf numFmtId="164" fontId="0" fillId="0" borderId="0" xfId="0" applyNumberFormat="1" applyFont="1" applyFill="1"/>
    <xf numFmtId="49" fontId="0" fillId="0" borderId="0" xfId="0" applyNumberFormat="1" applyFont="1" applyFill="1"/>
    <xf numFmtId="0" fontId="23" fillId="0" borderId="0" xfId="0" applyFont="1" applyFill="1"/>
    <xf numFmtId="0" fontId="23" fillId="0" borderId="0" xfId="0" applyNumberFormat="1" applyFont="1" applyFill="1"/>
    <xf numFmtId="164" fontId="23" fillId="0" borderId="0" xfId="0" applyNumberFormat="1" applyFont="1" applyFill="1"/>
    <xf numFmtId="164" fontId="0" fillId="9" borderId="0" xfId="0" applyNumberFormat="1" applyFont="1" applyFill="1"/>
    <xf numFmtId="165" fontId="0" fillId="0" borderId="0" xfId="0" applyNumberFormat="1" applyFill="1"/>
    <xf numFmtId="165" fontId="0" fillId="0" borderId="0" xfId="0" applyNumberFormat="1" applyFont="1" applyFill="1"/>
    <xf numFmtId="165" fontId="0" fillId="9" borderId="0" xfId="0" applyNumberFormat="1" applyFont="1" applyFill="1"/>
    <xf numFmtId="164" fontId="0" fillId="11" borderId="0" xfId="0" applyNumberFormat="1" applyFill="1"/>
    <xf numFmtId="9" fontId="0" fillId="0" borderId="0" xfId="1" applyFont="1" applyFill="1"/>
    <xf numFmtId="1" fontId="0" fillId="0" borderId="0" xfId="0" applyNumberFormat="1" applyFill="1"/>
    <xf numFmtId="1" fontId="0" fillId="9" borderId="0" xfId="0" applyNumberFormat="1" applyFill="1"/>
    <xf numFmtId="164" fontId="22" fillId="9" borderId="0" xfId="0" applyNumberFormat="1" applyFont="1" applyFill="1"/>
    <xf numFmtId="0" fontId="0" fillId="0" borderId="0" xfId="0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7" fillId="21" borderId="42" xfId="0" applyFont="1" applyFill="1" applyBorder="1" applyAlignment="1">
      <alignment horizontal="center" vertical="center" wrapText="1"/>
    </xf>
    <xf numFmtId="0" fontId="17" fillId="21" borderId="44" xfId="0" applyFont="1" applyFill="1" applyBorder="1" applyAlignment="1">
      <alignment horizontal="center" vertical="center" wrapText="1"/>
    </xf>
    <xf numFmtId="0" fontId="17" fillId="21" borderId="43" xfId="0" applyFont="1" applyFill="1" applyBorder="1" applyAlignment="1">
      <alignment horizontal="center" wrapText="1"/>
    </xf>
    <xf numFmtId="0" fontId="17" fillId="21" borderId="45" xfId="0" applyFont="1" applyFill="1" applyBorder="1" applyAlignment="1">
      <alignment horizontal="center" wrapText="1"/>
    </xf>
  </cellXfs>
  <cellStyles count="6">
    <cellStyle name="Link" xfId="2" builtinId="8"/>
    <cellStyle name="Normal 2" xfId="4"/>
    <cellStyle name="Normal 3" xfId="3"/>
    <cellStyle name="Normal 4" xfId="5"/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Lithium ion cathodes chemistry market share</a:t>
            </a:r>
          </a:p>
          <a:p>
            <a:pPr>
              <a:defRPr/>
            </a:pPr>
            <a:r>
              <a:rPr lang="fr-BE"/>
              <a:t>in EV application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'product app 2020'!$M$13</c:f>
              <c:strCache>
                <c:ptCount val="1"/>
                <c:pt idx="0">
                  <c:v>LMO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'product app 2020'!$N$12:$Q$12</c:f>
              <c:numCache>
                <c:formatCode>General</c:formatCode>
                <c:ptCount val="4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</c:numCache>
            </c:numRef>
          </c:cat>
          <c:val>
            <c:numRef>
              <c:f>'product app 2020'!$N$13:$Q$13</c:f>
              <c:numCache>
                <c:formatCode>General</c:formatCode>
                <c:ptCount val="4"/>
                <c:pt idx="0">
                  <c:v>25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5-402B-9ABD-E41F1F160B6F}"/>
            </c:ext>
          </c:extLst>
        </c:ser>
        <c:ser>
          <c:idx val="1"/>
          <c:order val="1"/>
          <c:tx>
            <c:strRef>
              <c:f>'product app 2020'!$M$14</c:f>
              <c:strCache>
                <c:ptCount val="1"/>
                <c:pt idx="0">
                  <c:v>LFP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'product app 2020'!$N$12:$Q$12</c:f>
              <c:numCache>
                <c:formatCode>General</c:formatCode>
                <c:ptCount val="4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</c:numCache>
            </c:numRef>
          </c:cat>
          <c:val>
            <c:numRef>
              <c:f>'product app 2020'!$N$14:$Q$14</c:f>
              <c:numCache>
                <c:formatCode>General</c:formatCode>
                <c:ptCount val="4"/>
                <c:pt idx="0">
                  <c:v>30</c:v>
                </c:pt>
                <c:pt idx="1">
                  <c:v>18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5-402B-9ABD-E41F1F160B6F}"/>
            </c:ext>
          </c:extLst>
        </c:ser>
        <c:ser>
          <c:idx val="2"/>
          <c:order val="2"/>
          <c:tx>
            <c:strRef>
              <c:f>'product app 2020'!$M$15</c:f>
              <c:strCache>
                <c:ptCount val="1"/>
                <c:pt idx="0">
                  <c:v>NMC111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'product app 2020'!$N$12:$Q$12</c:f>
              <c:numCache>
                <c:formatCode>General</c:formatCode>
                <c:ptCount val="4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</c:numCache>
            </c:numRef>
          </c:cat>
          <c:val>
            <c:numRef>
              <c:f>'product app 2020'!$N$15:$Q$15</c:f>
              <c:numCache>
                <c:formatCode>General</c:formatCode>
                <c:ptCount val="4"/>
                <c:pt idx="0">
                  <c:v>25</c:v>
                </c:pt>
                <c:pt idx="1">
                  <c:v>28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5-402B-9ABD-E41F1F160B6F}"/>
            </c:ext>
          </c:extLst>
        </c:ser>
        <c:ser>
          <c:idx val="3"/>
          <c:order val="3"/>
          <c:tx>
            <c:strRef>
              <c:f>'product app 2020'!$M$16</c:f>
              <c:strCache>
                <c:ptCount val="1"/>
                <c:pt idx="0">
                  <c:v>NMC532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'product app 2020'!$N$12:$Q$12</c:f>
              <c:numCache>
                <c:formatCode>General</c:formatCode>
                <c:ptCount val="4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</c:numCache>
            </c:numRef>
          </c:cat>
          <c:val>
            <c:numRef>
              <c:f>'product app 2020'!$N$16:$Q$16</c:f>
              <c:numCache>
                <c:formatCode>General</c:formatCode>
                <c:ptCount val="4"/>
                <c:pt idx="0">
                  <c:v>1</c:v>
                </c:pt>
                <c:pt idx="1">
                  <c:v>9</c:v>
                </c:pt>
                <c:pt idx="2">
                  <c:v>37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5-402B-9ABD-E41F1F160B6F}"/>
            </c:ext>
          </c:extLst>
        </c:ser>
        <c:ser>
          <c:idx val="4"/>
          <c:order val="4"/>
          <c:tx>
            <c:strRef>
              <c:f>'product app 2020'!$M$17</c:f>
              <c:strCache>
                <c:ptCount val="1"/>
                <c:pt idx="0">
                  <c:v>NMC622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'product app 2020'!$N$12:$Q$12</c:f>
              <c:numCache>
                <c:formatCode>General</c:formatCode>
                <c:ptCount val="4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</c:numCache>
            </c:numRef>
          </c:cat>
          <c:val>
            <c:numRef>
              <c:f>'product app 2020'!$N$17:$Q$17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27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5-402B-9ABD-E41F1F160B6F}"/>
            </c:ext>
          </c:extLst>
        </c:ser>
        <c:ser>
          <c:idx val="5"/>
          <c:order val="5"/>
          <c:tx>
            <c:strRef>
              <c:f>'product app 2020'!$M$18</c:f>
              <c:strCache>
                <c:ptCount val="1"/>
                <c:pt idx="0">
                  <c:v>NMC811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'product app 2020'!$N$12:$Q$12</c:f>
              <c:numCache>
                <c:formatCode>General</c:formatCode>
                <c:ptCount val="4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</c:numCache>
            </c:numRef>
          </c:cat>
          <c:val>
            <c:numRef>
              <c:f>'product app 2020'!$N$18:$Q$18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5-402B-9ABD-E41F1F160B6F}"/>
            </c:ext>
          </c:extLst>
        </c:ser>
        <c:ser>
          <c:idx val="6"/>
          <c:order val="6"/>
          <c:tx>
            <c:strRef>
              <c:f>'product app 2020'!$M$19</c:f>
              <c:strCache>
                <c:ptCount val="1"/>
                <c:pt idx="0">
                  <c:v>NCA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'product app 2020'!$N$12:$Q$12</c:f>
              <c:numCache>
                <c:formatCode>General</c:formatCode>
                <c:ptCount val="4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</c:numCache>
            </c:numRef>
          </c:cat>
          <c:val>
            <c:numRef>
              <c:f>'product app 2020'!$N$19:$Q$19</c:f>
              <c:numCache>
                <c:formatCode>General</c:formatCode>
                <c:ptCount val="4"/>
                <c:pt idx="0">
                  <c:v>19</c:v>
                </c:pt>
                <c:pt idx="1">
                  <c:v>37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5-402B-9ABD-E41F1F160B6F}"/>
            </c:ext>
          </c:extLst>
        </c:ser>
        <c:ser>
          <c:idx val="7"/>
          <c:order val="7"/>
          <c:tx>
            <c:strRef>
              <c:f>'product app 2020'!$M$20</c:f>
              <c:strCache>
                <c:ptCount val="1"/>
                <c:pt idx="0">
                  <c:v>NCA90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'product app 2020'!$N$12:$Q$12</c:f>
              <c:numCache>
                <c:formatCode>General</c:formatCode>
                <c:ptCount val="4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</c:numCache>
            </c:numRef>
          </c:cat>
          <c:val>
            <c:numRef>
              <c:f>'product app 2020'!$N$20:$Q$20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5-402B-9ABD-E41F1F160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042415"/>
        <c:axId val="967041119"/>
      </c:areaChart>
      <c:catAx>
        <c:axId val="967042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041119"/>
        <c:crosses val="autoZero"/>
        <c:auto val="1"/>
        <c:lblAlgn val="ctr"/>
        <c:lblOffset val="100"/>
        <c:noMultiLvlLbl val="0"/>
      </c:catAx>
      <c:valAx>
        <c:axId val="9670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042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Tons of batteries PoM</a:t>
            </a:r>
            <a:r>
              <a:rPr lang="fr-BE" baseline="0"/>
              <a:t> in EU 2020</a:t>
            </a:r>
          </a:p>
          <a:p>
            <a:pPr>
              <a:defRPr/>
            </a:pPr>
            <a:r>
              <a:rPr lang="fr-BE" baseline="0"/>
              <a:t>3200 ktons</a:t>
            </a:r>
            <a:r>
              <a:rPr lang="fr-BE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6663350734999"/>
          <c:y val="0.22040886221844214"/>
          <c:w val="0.45679547900990758"/>
          <c:h val="0.6072620820986476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AF-4BE5-9AA3-9BBE3B83C6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AF-4BE5-9AA3-9BBE3B83C6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CD-4305-BB08-6809CCE56A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CCD-4305-BB08-6809CCE56A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BAF-4BE5-9AA3-9BBE3B83C6C3}"/>
              </c:ext>
            </c:extLst>
          </c:dPt>
          <c:dLbls>
            <c:dLbl>
              <c:idx val="2"/>
              <c:layout>
                <c:manualLayout>
                  <c:x val="6.1457489762835008E-2"/>
                  <c:y val="0.10180663796784828"/>
                </c:manualLayout>
              </c:layout>
              <c:numFmt formatCode="0.0%" sourceLinked="0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834071881750052E-2"/>
                      <c:h val="6.623833253507924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CCD-4305-BB08-6809CCE56AFD}"/>
                </c:ext>
              </c:extLst>
            </c:dLbl>
            <c:dLbl>
              <c:idx val="3"/>
              <c:layout>
                <c:manualLayout>
                  <c:x val="4.322319989923596E-2"/>
                  <c:y val="8.32666858625856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CD-4305-BB08-6809CCE56AFD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trends!$AK$102:$AO$102</c:f>
              <c:strCache>
                <c:ptCount val="5"/>
                <c:pt idx="0">
                  <c:v>Lead</c:v>
                </c:pt>
                <c:pt idx="1">
                  <c:v>Li-ion</c:v>
                </c:pt>
                <c:pt idx="2">
                  <c:v>Nickel based</c:v>
                </c:pt>
                <c:pt idx="3">
                  <c:v>Zn based (primary)</c:v>
                </c:pt>
                <c:pt idx="4">
                  <c:v>others</c:v>
                </c:pt>
              </c:strCache>
            </c:strRef>
          </c:cat>
          <c:val>
            <c:numRef>
              <c:f>trends!$AK$103:$AO$103</c:f>
              <c:numCache>
                <c:formatCode>0</c:formatCode>
                <c:ptCount val="5"/>
                <c:pt idx="0">
                  <c:v>2669341.6666666665</c:v>
                </c:pt>
                <c:pt idx="1">
                  <c:v>385659.00256769382</c:v>
                </c:pt>
                <c:pt idx="2">
                  <c:v>10670.714285714286</c:v>
                </c:pt>
                <c:pt idx="3" formatCode="General">
                  <c:v>240000</c:v>
                </c:pt>
                <c:pt idx="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D-4305-BB08-6809CCE56A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82521236286572"/>
          <c:y val="0.24987739308882254"/>
          <c:w val="0.21980442059350755"/>
          <c:h val="0.7314817116935710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Tons of Li-ion batteries PoM in EU 2019</a:t>
            </a:r>
          </a:p>
          <a:p>
            <a:pPr>
              <a:defRPr/>
            </a:pPr>
            <a:r>
              <a:rPr lang="fr-BE"/>
              <a:t>140 ktons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8326457565982"/>
          <c:y val="0.20811264293947052"/>
          <c:w val="0.21804193210385858"/>
          <c:h val="0.2744532643728702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1C-4D90-8978-853A4F521E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B1C-4D90-8978-853A4F521E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1C-4D90-8978-853A4F521E2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trends!$AB$101:$AD$102</c:f>
              <c:multiLvlStrCache>
                <c:ptCount val="3"/>
                <c:lvl>
                  <c:pt idx="0">
                    <c:v>portable </c:v>
                  </c:pt>
                  <c:pt idx="1">
                    <c:v>Industrial</c:v>
                  </c:pt>
                  <c:pt idx="2">
                    <c:v>EV</c:v>
                  </c:pt>
                </c:lvl>
                <c:lvl>
                  <c:pt idx="0">
                    <c:v>Li-ion</c:v>
                  </c:pt>
                  <c:pt idx="1">
                    <c:v>Li-ion</c:v>
                  </c:pt>
                  <c:pt idx="2">
                    <c:v>Li-ion</c:v>
                  </c:pt>
                </c:lvl>
              </c:multiLvlStrCache>
            </c:multiLvlStrRef>
          </c:cat>
          <c:val>
            <c:numRef>
              <c:f>trends!$AB$103:$AD$103</c:f>
              <c:numCache>
                <c:formatCode>0</c:formatCode>
                <c:ptCount val="3"/>
                <c:pt idx="0">
                  <c:v>38616.117647058825</c:v>
                </c:pt>
                <c:pt idx="1">
                  <c:v>18995.634920634922</c:v>
                </c:pt>
                <c:pt idx="2">
                  <c:v>328047.25000000006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0-4EB7-B587-3297304EF80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92218707828043"/>
          <c:y val="0.76412661952796723"/>
          <c:w val="0.18780911689089505"/>
          <c:h val="0.1647502156295691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Tons of batteries PoM in EU 2025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4280 kt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99-46AC-B058-5D237D1462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99-46AC-B058-5D237D1462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199-46AC-B058-5D237D1462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199-46AC-B058-5D237D1462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313-4797-AD86-5714E644EBFA}"/>
              </c:ext>
            </c:extLst>
          </c:dPt>
          <c:dLbls>
            <c:dLbl>
              <c:idx val="2"/>
              <c:numFmt formatCode="0.0%" sourceLinked="0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4199-46AC-B058-5D237D1462B7}"/>
                </c:ext>
              </c:extLst>
            </c:dLbl>
            <c:dLbl>
              <c:idx val="3"/>
              <c:layout>
                <c:manualLayout>
                  <c:x val="4.21294880478396E-2"/>
                  <c:y val="0.1808615899001443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99-46AC-B058-5D237D1462B7}"/>
                </c:ext>
              </c:extLst>
            </c:dLbl>
            <c:dLbl>
              <c:idx val="4"/>
              <c:layout>
                <c:manualLayout>
                  <c:x val="3.5209973753280331E-3"/>
                  <c:y val="0.1232363662875473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13-4797-AD86-5714E644EBFA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trends!$AK$117:$AO$117</c:f>
              <c:strCache>
                <c:ptCount val="5"/>
                <c:pt idx="0">
                  <c:v>Lead</c:v>
                </c:pt>
                <c:pt idx="1">
                  <c:v>Li-ion</c:v>
                </c:pt>
                <c:pt idx="2">
                  <c:v>Nickel based</c:v>
                </c:pt>
                <c:pt idx="3">
                  <c:v>Zn based (primary)</c:v>
                </c:pt>
                <c:pt idx="4">
                  <c:v>others</c:v>
                </c:pt>
              </c:strCache>
            </c:strRef>
          </c:cat>
          <c:val>
            <c:numRef>
              <c:f>trends!$AK$118:$AO$118</c:f>
              <c:numCache>
                <c:formatCode>0</c:formatCode>
                <c:ptCount val="5"/>
                <c:pt idx="0">
                  <c:v>2821925.4166666665</c:v>
                </c:pt>
                <c:pt idx="1">
                  <c:v>3471288.8192727813</c:v>
                </c:pt>
                <c:pt idx="2">
                  <c:v>10670.714285714286</c:v>
                </c:pt>
                <c:pt idx="3">
                  <c:v>240000</c:v>
                </c:pt>
                <c:pt idx="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3-4797-AD86-5714E644EBF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Tons of Li-ion batteries PoM</a:t>
            </a:r>
            <a:r>
              <a:rPr lang="fr-BE" baseline="0"/>
              <a:t> in EU 2025</a:t>
            </a:r>
          </a:p>
          <a:p>
            <a:pPr>
              <a:defRPr/>
            </a:pPr>
            <a:r>
              <a:rPr lang="fr-BE" baseline="0"/>
              <a:t>1250 ktons</a:t>
            </a:r>
            <a:endParaRPr lang="fr-BE"/>
          </a:p>
        </c:rich>
      </c:tx>
      <c:layout>
        <c:manualLayout>
          <c:xMode val="edge"/>
          <c:yMode val="edge"/>
          <c:x val="8.8960023538438168E-2"/>
          <c:y val="1.9649121359368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22-462A-87A5-9451FF7D7D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9C8-4ACB-B74E-2F370966A6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22-462A-87A5-9451FF7D7D7B}"/>
              </c:ext>
            </c:extLst>
          </c:dPt>
          <c:dLbls>
            <c:dLbl>
              <c:idx val="1"/>
              <c:layout>
                <c:manualLayout>
                  <c:x val="-3.361657917760285E-2"/>
                  <c:y val="0.1262839020122485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C8-4ACB-B74E-2F370966A62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trends!$AB$117:$AD$117</c:f>
              <c:strCache>
                <c:ptCount val="3"/>
                <c:pt idx="0">
                  <c:v>portable </c:v>
                </c:pt>
                <c:pt idx="1">
                  <c:v>0</c:v>
                </c:pt>
                <c:pt idx="2">
                  <c:v>EV</c:v>
                </c:pt>
              </c:strCache>
            </c:strRef>
          </c:cat>
          <c:val>
            <c:numRef>
              <c:f>trends!$AB$118:$AD$118</c:f>
              <c:numCache>
                <c:formatCode>0</c:formatCode>
                <c:ptCount val="3"/>
                <c:pt idx="0">
                  <c:v>42930.215376676984</c:v>
                </c:pt>
                <c:pt idx="1">
                  <c:v>13971.103896103899</c:v>
                </c:pt>
                <c:pt idx="2">
                  <c:v>3414387.5000000005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8-4ACB-B74E-2F370966A62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Portable batteries PoM in 2019 in EU</a:t>
            </a:r>
          </a:p>
          <a:p>
            <a:pPr>
              <a:defRPr/>
            </a:pPr>
            <a:r>
              <a:rPr lang="en-US"/>
              <a:t>301 ktons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2"/>
          <c:dPt>
            <c:idx val="0"/>
            <c:bubble3D val="0"/>
            <c:explosion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61-4D5A-9822-C784F88CAA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961-4D5A-9822-C784F88CAA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961-4D5A-9822-C784F88CAA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1A-4D6A-9E2C-92AFE45B3B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31A-4D6A-9E2C-92AFE45B3BFE}"/>
              </c:ext>
            </c:extLst>
          </c:dPt>
          <c:dLbls>
            <c:dLbl>
              <c:idx val="2"/>
              <c:layout>
                <c:manualLayout>
                  <c:x val="9.4045793047503129E-2"/>
                  <c:y val="0.1748628838699706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961-4D5A-9822-C784F88CAAE3}"/>
                </c:ext>
              </c:extLst>
            </c:dLbl>
            <c:dLbl>
              <c:idx val="3"/>
              <c:layout>
                <c:manualLayout>
                  <c:x val="3.2865537699206193E-2"/>
                  <c:y val="6.25446146503209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31A-4D6A-9E2C-92AFE45B3BFE}"/>
                </c:ext>
              </c:extLst>
            </c:dLbl>
            <c:dLbl>
              <c:idx val="4"/>
              <c:layout>
                <c:manualLayout>
                  <c:x val="2.9166313412906767E-2"/>
                  <c:y val="0.1210082003647159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31A-4D6A-9E2C-92AFE45B3BFE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trends!$AG$95:$AK$95</c:f>
              <c:strCache>
                <c:ptCount val="5"/>
                <c:pt idx="0">
                  <c:v>Zn based (primary)</c:v>
                </c:pt>
                <c:pt idx="1">
                  <c:v>Li-ion</c:v>
                </c:pt>
                <c:pt idx="2">
                  <c:v>Lead</c:v>
                </c:pt>
                <c:pt idx="3">
                  <c:v>Ni-Cd</c:v>
                </c:pt>
                <c:pt idx="4">
                  <c:v>Ni-MH</c:v>
                </c:pt>
              </c:strCache>
            </c:strRef>
          </c:cat>
          <c:val>
            <c:numRef>
              <c:f>trends!$AG$96:$AK$96</c:f>
              <c:numCache>
                <c:formatCode>General</c:formatCode>
                <c:ptCount val="5"/>
                <c:pt idx="0">
                  <c:v>240000</c:v>
                </c:pt>
                <c:pt idx="1">
                  <c:v>39751.579635362919</c:v>
                </c:pt>
                <c:pt idx="2">
                  <c:v>7500</c:v>
                </c:pt>
                <c:pt idx="3">
                  <c:v>1200</c:v>
                </c:pt>
                <c:pt idx="4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A-4D6A-9E2C-92AFE45B3BF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45340889702995"/>
          <c:y val="0.15853191355876306"/>
          <c:w val="0.22651605819714568"/>
          <c:h val="0.647103583469236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Portable</a:t>
            </a:r>
            <a:r>
              <a:rPr lang="fr-BE" baseline="0"/>
              <a:t> batteries PoM and recycled in 2019</a:t>
            </a:r>
            <a:endParaRPr lang="fr-BE"/>
          </a:p>
        </c:rich>
      </c:tx>
      <c:layout>
        <c:manualLayout>
          <c:xMode val="edge"/>
          <c:yMode val="edge"/>
          <c:x val="0.15306022204597239"/>
          <c:y val="2.39056198598603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trends!$AF$96</c:f>
              <c:strCache>
                <c:ptCount val="1"/>
                <c:pt idx="0">
                  <c:v>Po M2019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trends!$AG$95:$AK$95</c:f>
              <c:strCache>
                <c:ptCount val="5"/>
                <c:pt idx="0">
                  <c:v>Zn based (primary)</c:v>
                </c:pt>
                <c:pt idx="1">
                  <c:v>Li-ion</c:v>
                </c:pt>
                <c:pt idx="2">
                  <c:v>Lead</c:v>
                </c:pt>
                <c:pt idx="3">
                  <c:v>Ni-Cd</c:v>
                </c:pt>
                <c:pt idx="4">
                  <c:v>Ni-MH</c:v>
                </c:pt>
              </c:strCache>
            </c:strRef>
          </c:cat>
          <c:val>
            <c:numRef>
              <c:f>trends!$AG$96:$AK$96</c:f>
              <c:numCache>
                <c:formatCode>General</c:formatCode>
                <c:ptCount val="5"/>
                <c:pt idx="0">
                  <c:v>240000</c:v>
                </c:pt>
                <c:pt idx="1">
                  <c:v>39751.579635362919</c:v>
                </c:pt>
                <c:pt idx="2">
                  <c:v>7500</c:v>
                </c:pt>
                <c:pt idx="3">
                  <c:v>1200</c:v>
                </c:pt>
                <c:pt idx="4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8-4464-9C74-14032E338B15}"/>
            </c:ext>
          </c:extLst>
        </c:ser>
        <c:ser>
          <c:idx val="1"/>
          <c:order val="1"/>
          <c:tx>
            <c:strRef>
              <c:f>trends!$AF$97</c:f>
              <c:strCache>
                <c:ptCount val="1"/>
                <c:pt idx="0">
                  <c:v>Recycled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trends!$AG$95:$AK$95</c:f>
              <c:strCache>
                <c:ptCount val="5"/>
                <c:pt idx="0">
                  <c:v>Zn based (primary)</c:v>
                </c:pt>
                <c:pt idx="1">
                  <c:v>Li-ion</c:v>
                </c:pt>
                <c:pt idx="2">
                  <c:v>Lead</c:v>
                </c:pt>
                <c:pt idx="3">
                  <c:v>Ni-Cd</c:v>
                </c:pt>
                <c:pt idx="4">
                  <c:v>Ni-MH</c:v>
                </c:pt>
              </c:strCache>
            </c:strRef>
          </c:cat>
          <c:val>
            <c:numRef>
              <c:f>trends!$AG$97:$AK$97</c:f>
              <c:numCache>
                <c:formatCode>General</c:formatCode>
                <c:ptCount val="5"/>
                <c:pt idx="0">
                  <c:v>110000</c:v>
                </c:pt>
                <c:pt idx="1">
                  <c:v>4300</c:v>
                </c:pt>
                <c:pt idx="2">
                  <c:v>5010</c:v>
                </c:pt>
                <c:pt idx="3">
                  <c:v>5400</c:v>
                </c:pt>
                <c:pt idx="4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8-4464-9C74-14032E338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1664047"/>
        <c:axId val="301659055"/>
      </c:barChart>
      <c:catAx>
        <c:axId val="301664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59055"/>
        <c:crosses val="autoZero"/>
        <c:auto val="1"/>
        <c:lblAlgn val="ctr"/>
        <c:lblOffset val="100"/>
        <c:noMultiLvlLbl val="0"/>
      </c:catAx>
      <c:valAx>
        <c:axId val="30165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Tons per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6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Industrial Batteries PoM in 2019 in EU 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1100 ktons</a:t>
            </a:r>
          </a:p>
        </c:rich>
      </c:tx>
      <c:layout>
        <c:manualLayout>
          <c:xMode val="edge"/>
          <c:yMode val="edge"/>
          <c:x val="0.12038924945245502"/>
          <c:y val="2.64786809387451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745-46AE-8FDF-F519D8988A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745-46AE-8FDF-F519D8988A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745-46AE-8FDF-F519D8988A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745-46AE-8FDF-F519D8988A3B}"/>
              </c:ext>
            </c:extLst>
          </c:dPt>
          <c:dLbls>
            <c:dLbl>
              <c:idx val="0"/>
              <c:layout>
                <c:manualLayout>
                  <c:x val="6.0576403766806841E-2"/>
                  <c:y val="0.14648429239373822"/>
                </c:manualLayout>
              </c:layout>
              <c:numFmt formatCode="0.0%" sourceLinked="0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694660346998045E-2"/>
                      <c:h val="0.10290765105804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745-46AE-8FDF-F519D8988A3B}"/>
                </c:ext>
              </c:extLst>
            </c:dLbl>
            <c:dLbl>
              <c:idx val="1"/>
              <c:numFmt formatCode="0.0%" sourceLinked="0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3745-46AE-8FDF-F519D8988A3B}"/>
                </c:ext>
              </c:extLst>
            </c:dLbl>
            <c:dLbl>
              <c:idx val="2"/>
              <c:layout>
                <c:manualLayout>
                  <c:x val="-3.8042982927104028E-2"/>
                  <c:y val="0.34318544786499616"/>
                </c:manualLayout>
              </c:layout>
              <c:numFmt formatCode="0.0%" sourceLinked="0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4201049996835924E-2"/>
                      <c:h val="0.110472988469115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745-46AE-8FDF-F519D8988A3B}"/>
                </c:ext>
              </c:extLst>
            </c:dLbl>
            <c:dLbl>
              <c:idx val="3"/>
              <c:layout>
                <c:manualLayout>
                  <c:x val="-4.1125672068420584E-2"/>
                  <c:y val="0.20896966061419817"/>
                </c:manualLayout>
              </c:layout>
              <c:numFmt formatCode="0.0%" sourceLinked="0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9255617435312481E-2"/>
                      <c:h val="0.1218209945857203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745-46AE-8FDF-F519D8988A3B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trends!$AH$92:$AK$92</c:f>
              <c:strCache>
                <c:ptCount val="4"/>
                <c:pt idx="0">
                  <c:v>Li-ion</c:v>
                </c:pt>
                <c:pt idx="1">
                  <c:v>Lead</c:v>
                </c:pt>
                <c:pt idx="2">
                  <c:v>Ni-Cd</c:v>
                </c:pt>
                <c:pt idx="3">
                  <c:v>Ni-MH</c:v>
                </c:pt>
              </c:strCache>
            </c:strRef>
          </c:cat>
          <c:val>
            <c:numRef>
              <c:f>trends!$AH$93:$AK$93</c:f>
              <c:numCache>
                <c:formatCode>0</c:formatCode>
                <c:ptCount val="4"/>
                <c:pt idx="0">
                  <c:v>13971.103896103899</c:v>
                </c:pt>
                <c:pt idx="1">
                  <c:v>1121587.5</c:v>
                </c:pt>
                <c:pt idx="2">
                  <c:v>7500</c:v>
                </c:pt>
                <c:pt idx="3" formatCode="General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5-46AE-8FDF-F519D8988A3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18982726513291"/>
          <c:y val="9.7995840851511487E-2"/>
          <c:w val="0.14864647041943754"/>
          <c:h val="0.9020041591484885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image" Target="../media/image2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36286</xdr:colOff>
      <xdr:row>24</xdr:row>
      <xdr:rowOff>2722</xdr:rowOff>
    </xdr:from>
    <xdr:to>
      <xdr:col>26</xdr:col>
      <xdr:colOff>353786</xdr:colOff>
      <xdr:row>38</xdr:row>
      <xdr:rowOff>86179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517071</xdr:colOff>
      <xdr:row>23</xdr:row>
      <xdr:rowOff>176893</xdr:rowOff>
    </xdr:from>
    <xdr:to>
      <xdr:col>39</xdr:col>
      <xdr:colOff>222250</xdr:colOff>
      <xdr:row>43</xdr:row>
      <xdr:rowOff>213181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7095" t="21023" r="31426" b="7537"/>
        <a:stretch/>
      </xdr:blipFill>
      <xdr:spPr>
        <a:xfrm>
          <a:off x="19326678" y="4454072"/>
          <a:ext cx="4567465" cy="49167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547687</xdr:colOff>
      <xdr:row>168</xdr:row>
      <xdr:rowOff>39687</xdr:rowOff>
    </xdr:from>
    <xdr:to>
      <xdr:col>32</xdr:col>
      <xdr:colOff>84502</xdr:colOff>
      <xdr:row>188</xdr:row>
      <xdr:rowOff>19783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61125" y="27185937"/>
          <a:ext cx="6394815" cy="378692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41</xdr:col>
      <xdr:colOff>458928</xdr:colOff>
      <xdr:row>69</xdr:row>
      <xdr:rowOff>58389</xdr:rowOff>
    </xdr:from>
    <xdr:to>
      <xdr:col>48</xdr:col>
      <xdr:colOff>23501</xdr:colOff>
      <xdr:row>92</xdr:row>
      <xdr:rowOff>23915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444501</xdr:colOff>
      <xdr:row>93</xdr:row>
      <xdr:rowOff>52617</xdr:rowOff>
    </xdr:from>
    <xdr:to>
      <xdr:col>48</xdr:col>
      <xdr:colOff>22680</xdr:colOff>
      <xdr:row>117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712109</xdr:colOff>
      <xdr:row>69</xdr:row>
      <xdr:rowOff>40409</xdr:rowOff>
    </xdr:from>
    <xdr:to>
      <xdr:col>54</xdr:col>
      <xdr:colOff>158751</xdr:colOff>
      <xdr:row>92</xdr:row>
      <xdr:rowOff>29689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72572</xdr:colOff>
      <xdr:row>93</xdr:row>
      <xdr:rowOff>31749</xdr:rowOff>
    </xdr:from>
    <xdr:to>
      <xdr:col>54</xdr:col>
      <xdr:colOff>426358</xdr:colOff>
      <xdr:row>116</xdr:row>
      <xdr:rowOff>140607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504701</xdr:colOff>
      <xdr:row>57</xdr:row>
      <xdr:rowOff>74468</xdr:rowOff>
    </xdr:from>
    <xdr:to>
      <xdr:col>39</xdr:col>
      <xdr:colOff>686130</xdr:colOff>
      <xdr:row>80</xdr:row>
      <xdr:rowOff>-1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211117</xdr:colOff>
      <xdr:row>100</xdr:row>
      <xdr:rowOff>184975</xdr:rowOff>
    </xdr:from>
    <xdr:to>
      <xdr:col>48</xdr:col>
      <xdr:colOff>494598</xdr:colOff>
      <xdr:row>119</xdr:row>
      <xdr:rowOff>174419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479137</xdr:colOff>
      <xdr:row>51</xdr:row>
      <xdr:rowOff>256308</xdr:rowOff>
    </xdr:from>
    <xdr:to>
      <xdr:col>46</xdr:col>
      <xdr:colOff>170295</xdr:colOff>
      <xdr:row>69</xdr:row>
      <xdr:rowOff>46181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kte/FutuRaM_EU_TUB/2_Projektbearbeitung/23_Untersuchungen/02_Work%20Packages/WP4/Task%204.1/POM%20Batteries/FutuRaM_2022_Battery_P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 2011"/>
      <sheetName val="Av 2012"/>
      <sheetName val="Av 2013"/>
      <sheetName val="Av 2014"/>
      <sheetName val="Av 2015"/>
      <sheetName val="Av 2016"/>
      <sheetName val="Av 2017"/>
      <sheetName val="Avicenne-European market"/>
      <sheetName val="EPBA"/>
      <sheetName val="Eurostat POM port"/>
      <sheetName val="Eucobat distribution"/>
      <sheetName val="Powertools EPTA"/>
      <sheetName val="E-Bikes"/>
      <sheetName val="Eurobat"/>
      <sheetName val="POM ktons Europe"/>
      <sheetName val="POM Mio pcs Europe"/>
      <sheetName val="POM kg per unit"/>
      <sheetName val="POM ktons key"/>
      <sheetName val="POM Mio units key"/>
      <sheetName val="DQ"/>
      <sheetName val="Metadata"/>
      <sheetName val="Graphs POM"/>
    </sheetNames>
    <sheetDataSet>
      <sheetData sheetId="0">
        <row r="4">
          <cell r="F4" t="str">
            <v>Portable PC</v>
          </cell>
        </row>
        <row r="230">
          <cell r="G230" t="str">
            <v>tablets</v>
          </cell>
          <cell r="H230" t="str">
            <v>cell phones</v>
          </cell>
          <cell r="I230" t="str">
            <v>cameras-games</v>
          </cell>
          <cell r="J230" t="str">
            <v>cordless tools</v>
          </cell>
          <cell r="K230" t="str">
            <v>others portable</v>
          </cell>
          <cell r="L230" t="str">
            <v>SLI</v>
          </cell>
          <cell r="M230" t="str">
            <v>ebikes</v>
          </cell>
          <cell r="N230" t="str">
            <v>HEV</v>
          </cell>
          <cell r="O230" t="str">
            <v>PHEV</v>
          </cell>
          <cell r="P230" t="str">
            <v>BEV</v>
          </cell>
          <cell r="Q230" t="str">
            <v>forklift, handling equpt.</v>
          </cell>
          <cell r="R230" t="str">
            <v xml:space="preserve">Telecom </v>
          </cell>
          <cell r="S230" t="str">
            <v>security lighting</v>
          </cell>
          <cell r="T230" t="str">
            <v>UPS</v>
          </cell>
          <cell r="V230" t="str">
            <v>Military/space</v>
          </cell>
          <cell r="W230" t="str">
            <v>Medical</v>
          </cell>
          <cell r="X230" t="str">
            <v>Others industrial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statista.com/outlook/1000000/102/tesla/europe/1000164" TargetMode="External"/><Relationship Id="rId1" Type="http://schemas.openxmlformats.org/officeDocument/2006/relationships/hyperlink" Target="https://www.iea.org/reports/global-ev-outlook-2018" TargetMode="External"/><Relationship Id="rId4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315"/>
  <sheetViews>
    <sheetView topLeftCell="A208" workbookViewId="0">
      <pane ySplit="22" topLeftCell="A257" activePane="bottomLeft" state="frozen"/>
      <selection activeCell="A208" sqref="A208"/>
      <selection pane="bottomLeft" activeCell="F261" sqref="F261"/>
    </sheetView>
  </sheetViews>
  <sheetFormatPr baseColWidth="10" defaultColWidth="8.85546875" defaultRowHeight="15" x14ac:dyDescent="0.25"/>
  <cols>
    <col min="5" max="5" width="4.42578125" customWidth="1"/>
  </cols>
  <sheetData>
    <row r="1" spans="1:33" ht="18.75" x14ac:dyDescent="0.3">
      <c r="A1" s="42" t="s">
        <v>14</v>
      </c>
      <c r="B1" s="42"/>
      <c r="C1" s="82">
        <v>2011</v>
      </c>
    </row>
    <row r="2" spans="1:33" x14ac:dyDescent="0.25">
      <c r="D2" s="41" t="s">
        <v>1</v>
      </c>
      <c r="E2" s="41"/>
      <c r="M2" s="24" t="s">
        <v>81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33" x14ac:dyDescent="0.25">
      <c r="F3" s="23" t="s">
        <v>44</v>
      </c>
      <c r="G3" s="23"/>
      <c r="H3" s="23"/>
      <c r="I3" s="23"/>
      <c r="J3" s="23"/>
      <c r="K3" s="23"/>
      <c r="L3" s="7" t="s">
        <v>30</v>
      </c>
      <c r="M3" s="24" t="s">
        <v>46</v>
      </c>
      <c r="N3" s="24"/>
      <c r="O3" s="24"/>
      <c r="P3" s="24"/>
      <c r="Q3" s="24"/>
      <c r="R3" s="24" t="s">
        <v>47</v>
      </c>
      <c r="S3" s="24"/>
      <c r="T3" s="24"/>
      <c r="U3" s="24"/>
      <c r="V3" s="24"/>
      <c r="W3" s="24"/>
      <c r="X3" s="24"/>
      <c r="Y3" s="44" t="s">
        <v>85</v>
      </c>
      <c r="Z3" s="44" t="s">
        <v>48</v>
      </c>
      <c r="AA3" s="44" t="s">
        <v>3</v>
      </c>
    </row>
    <row r="4" spans="1:33" ht="63" x14ac:dyDescent="0.25">
      <c r="F4" s="38" t="s">
        <v>36</v>
      </c>
      <c r="G4" s="38" t="s">
        <v>37</v>
      </c>
      <c r="H4" s="38" t="s">
        <v>38</v>
      </c>
      <c r="I4" s="38" t="s">
        <v>80</v>
      </c>
      <c r="J4" s="38" t="s">
        <v>39</v>
      </c>
      <c r="K4" s="38" t="s">
        <v>45</v>
      </c>
      <c r="L4" s="39" t="s">
        <v>16</v>
      </c>
      <c r="M4" s="40" t="s">
        <v>34</v>
      </c>
      <c r="N4" s="40" t="s">
        <v>5</v>
      </c>
      <c r="O4" s="40" t="s">
        <v>7</v>
      </c>
      <c r="P4" s="40" t="s">
        <v>8</v>
      </c>
      <c r="Q4" s="40" t="s">
        <v>40</v>
      </c>
      <c r="R4" s="40" t="s">
        <v>41</v>
      </c>
      <c r="S4" s="40" t="s">
        <v>42</v>
      </c>
      <c r="T4" s="40" t="s">
        <v>31</v>
      </c>
      <c r="U4" s="40" t="s">
        <v>43</v>
      </c>
      <c r="V4" s="40" t="s">
        <v>82</v>
      </c>
      <c r="W4" s="40" t="s">
        <v>87</v>
      </c>
      <c r="X4" s="40" t="s">
        <v>83</v>
      </c>
      <c r="Y4" s="45" t="s">
        <v>3</v>
      </c>
      <c r="Z4" s="45" t="s">
        <v>3</v>
      </c>
      <c r="AA4" s="45" t="s">
        <v>3</v>
      </c>
    </row>
    <row r="5" spans="1:33" x14ac:dyDescent="0.25">
      <c r="A5" s="15" t="s">
        <v>51</v>
      </c>
      <c r="B5" s="2"/>
      <c r="C5" s="2"/>
      <c r="F5" s="1">
        <f t="shared" ref="F5:M5" si="0">F7+F8+F9</f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52">
        <f t="shared" si="0"/>
        <v>0</v>
      </c>
      <c r="M5" s="1">
        <f t="shared" si="0"/>
        <v>0</v>
      </c>
      <c r="N5" s="1">
        <f t="shared" ref="N5:X5" si="1">N7+N8+N9</f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58">
        <f t="shared" ref="Y5:Y45" si="2">SUM(F5:K5)</f>
        <v>0</v>
      </c>
      <c r="Z5" s="1">
        <f t="shared" ref="Z5:Z45" si="3">SUM(M5:X5)</f>
        <v>0</v>
      </c>
      <c r="AA5" s="1">
        <f>L5+Y5+Z5</f>
        <v>0</v>
      </c>
    </row>
    <row r="6" spans="1:33" x14ac:dyDescent="0.25">
      <c r="A6" s="30" t="s">
        <v>60</v>
      </c>
      <c r="B6" s="2"/>
      <c r="C6" s="2"/>
      <c r="F6" s="1">
        <f>F10+F11+F12+F13</f>
        <v>11070</v>
      </c>
      <c r="G6" s="1">
        <f t="shared" ref="G6:X6" si="4">G10+G11+G12+G13</f>
        <v>1800</v>
      </c>
      <c r="H6" s="1">
        <f t="shared" si="4"/>
        <v>6600</v>
      </c>
      <c r="I6" s="1">
        <f t="shared" si="4"/>
        <v>2940</v>
      </c>
      <c r="J6" s="1">
        <f t="shared" si="4"/>
        <v>6006.9600189802695</v>
      </c>
      <c r="K6" s="1">
        <f t="shared" si="4"/>
        <v>2922</v>
      </c>
      <c r="L6" s="52">
        <f t="shared" si="4"/>
        <v>196078.43137254904</v>
      </c>
      <c r="M6" s="1">
        <f t="shared" si="4"/>
        <v>10386.111111111111</v>
      </c>
      <c r="N6" s="1">
        <f t="shared" si="4"/>
        <v>1388</v>
      </c>
      <c r="O6" s="1">
        <f t="shared" si="4"/>
        <v>444</v>
      </c>
      <c r="P6" s="1">
        <f t="shared" si="4"/>
        <v>1110</v>
      </c>
      <c r="Q6" s="1">
        <f t="shared" si="4"/>
        <v>21954.003267973858</v>
      </c>
      <c r="R6" s="1">
        <f t="shared" si="4"/>
        <v>14353.045751633988</v>
      </c>
      <c r="S6" s="1">
        <f t="shared" si="4"/>
        <v>245</v>
      </c>
      <c r="T6" s="1">
        <f t="shared" si="4"/>
        <v>14066.096732026144</v>
      </c>
      <c r="U6" s="1">
        <f t="shared" si="4"/>
        <v>7118.0653594771247</v>
      </c>
      <c r="V6" s="1">
        <f t="shared" si="4"/>
        <v>4994.9673202614376</v>
      </c>
      <c r="W6" s="1">
        <f t="shared" si="4"/>
        <v>5980.6535947712418</v>
      </c>
      <c r="X6" s="54">
        <f t="shared" si="4"/>
        <v>17870.971055088703</v>
      </c>
      <c r="Y6" s="58">
        <f t="shared" si="2"/>
        <v>31338.96001898027</v>
      </c>
      <c r="Z6" s="1">
        <f t="shared" si="3"/>
        <v>99910.914192343596</v>
      </c>
      <c r="AA6" s="1">
        <f>L6+Y6+Z6</f>
        <v>327328.30558387289</v>
      </c>
    </row>
    <row r="7" spans="1:33" x14ac:dyDescent="0.25">
      <c r="A7" s="15" t="s">
        <v>51</v>
      </c>
      <c r="B7" s="16" t="s">
        <v>52</v>
      </c>
      <c r="C7" s="2"/>
      <c r="F7" s="1">
        <f>F14+F15+F16</f>
        <v>0</v>
      </c>
      <c r="G7" s="1">
        <f t="shared" ref="G7:X7" si="5">G14+G15+G16</f>
        <v>0</v>
      </c>
      <c r="H7" s="1">
        <f t="shared" si="5"/>
        <v>0</v>
      </c>
      <c r="I7" s="1">
        <f t="shared" si="5"/>
        <v>0</v>
      </c>
      <c r="J7" s="1">
        <f t="shared" si="5"/>
        <v>0</v>
      </c>
      <c r="K7" s="1">
        <f t="shared" si="5"/>
        <v>0</v>
      </c>
      <c r="L7" s="52">
        <f t="shared" si="5"/>
        <v>0</v>
      </c>
      <c r="M7" s="1">
        <f t="shared" si="5"/>
        <v>0</v>
      </c>
      <c r="N7" s="1">
        <f t="shared" si="5"/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  <c r="R7" s="1">
        <f t="shared" si="5"/>
        <v>0</v>
      </c>
      <c r="S7" s="1">
        <f t="shared" si="5"/>
        <v>0</v>
      </c>
      <c r="T7" s="1">
        <f t="shared" si="5"/>
        <v>0</v>
      </c>
      <c r="U7" s="1">
        <f t="shared" si="5"/>
        <v>0</v>
      </c>
      <c r="V7" s="1">
        <f t="shared" si="5"/>
        <v>0</v>
      </c>
      <c r="W7" s="1">
        <f t="shared" si="5"/>
        <v>0</v>
      </c>
      <c r="X7" s="54">
        <f t="shared" si="5"/>
        <v>0</v>
      </c>
      <c r="Y7" s="58">
        <f t="shared" si="2"/>
        <v>0</v>
      </c>
      <c r="Z7" s="1">
        <f t="shared" si="3"/>
        <v>0</v>
      </c>
      <c r="AA7" s="1">
        <f>L7+Y7+Z7</f>
        <v>0</v>
      </c>
    </row>
    <row r="8" spans="1:33" x14ac:dyDescent="0.25">
      <c r="A8" s="15" t="s">
        <v>51</v>
      </c>
      <c r="B8" s="16" t="s">
        <v>56</v>
      </c>
      <c r="C8" s="2"/>
      <c r="F8" s="1">
        <f>F17+F18+F19</f>
        <v>0</v>
      </c>
      <c r="G8" s="1">
        <f t="shared" ref="G8:X8" si="6">G17+G18+G19</f>
        <v>0</v>
      </c>
      <c r="H8" s="1">
        <f t="shared" si="6"/>
        <v>0</v>
      </c>
      <c r="I8" s="1">
        <f t="shared" si="6"/>
        <v>0</v>
      </c>
      <c r="J8" s="1">
        <f t="shared" si="6"/>
        <v>0</v>
      </c>
      <c r="K8" s="1">
        <f t="shared" si="6"/>
        <v>0</v>
      </c>
      <c r="L8" s="52">
        <f t="shared" si="6"/>
        <v>0</v>
      </c>
      <c r="M8" s="1">
        <f t="shared" si="6"/>
        <v>0</v>
      </c>
      <c r="N8" s="1">
        <f t="shared" si="6"/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  <c r="R8" s="1">
        <f t="shared" si="6"/>
        <v>0</v>
      </c>
      <c r="S8" s="1">
        <f t="shared" si="6"/>
        <v>0</v>
      </c>
      <c r="T8" s="1">
        <f t="shared" si="6"/>
        <v>0</v>
      </c>
      <c r="U8" s="1">
        <f t="shared" si="6"/>
        <v>0</v>
      </c>
      <c r="V8" s="1">
        <f t="shared" si="6"/>
        <v>0</v>
      </c>
      <c r="W8" s="1">
        <f t="shared" si="6"/>
        <v>0</v>
      </c>
      <c r="X8" s="54">
        <f t="shared" si="6"/>
        <v>0</v>
      </c>
      <c r="Y8" s="58">
        <f t="shared" si="2"/>
        <v>0</v>
      </c>
      <c r="Z8" s="1">
        <f t="shared" si="3"/>
        <v>0</v>
      </c>
      <c r="AA8" s="1">
        <f>L8+Y8+Z8</f>
        <v>0</v>
      </c>
      <c r="AE8" s="98" t="s">
        <v>114</v>
      </c>
      <c r="AF8" s="98"/>
      <c r="AG8" s="98"/>
    </row>
    <row r="9" spans="1:33" x14ac:dyDescent="0.25">
      <c r="A9" s="15" t="s">
        <v>51</v>
      </c>
      <c r="B9" s="16" t="s">
        <v>9</v>
      </c>
      <c r="C9" s="2"/>
      <c r="F9" s="1">
        <f>F20</f>
        <v>0</v>
      </c>
      <c r="G9" s="1">
        <f t="shared" ref="G9:X9" si="7">G20</f>
        <v>0</v>
      </c>
      <c r="H9" s="1">
        <f t="shared" si="7"/>
        <v>0</v>
      </c>
      <c r="I9" s="1">
        <f t="shared" si="7"/>
        <v>0</v>
      </c>
      <c r="J9" s="1">
        <f t="shared" si="7"/>
        <v>0</v>
      </c>
      <c r="K9" s="1">
        <f t="shared" si="7"/>
        <v>0</v>
      </c>
      <c r="L9" s="52">
        <f t="shared" si="7"/>
        <v>0</v>
      </c>
      <c r="M9" s="1">
        <f t="shared" si="7"/>
        <v>0</v>
      </c>
      <c r="N9" s="1">
        <f t="shared" si="7"/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  <c r="R9" s="1">
        <f t="shared" si="7"/>
        <v>0</v>
      </c>
      <c r="S9" s="1">
        <f t="shared" si="7"/>
        <v>0</v>
      </c>
      <c r="T9" s="1">
        <f t="shared" si="7"/>
        <v>0</v>
      </c>
      <c r="U9" s="1">
        <f t="shared" si="7"/>
        <v>0</v>
      </c>
      <c r="V9" s="1">
        <f t="shared" si="7"/>
        <v>0</v>
      </c>
      <c r="W9" s="1">
        <f t="shared" si="7"/>
        <v>0</v>
      </c>
      <c r="X9" s="54">
        <f t="shared" si="7"/>
        <v>0</v>
      </c>
      <c r="Y9" s="58">
        <f t="shared" si="2"/>
        <v>0</v>
      </c>
      <c r="Z9" s="1">
        <f t="shared" si="3"/>
        <v>0</v>
      </c>
      <c r="AA9" s="1">
        <f>L9+Y9+Z9</f>
        <v>0</v>
      </c>
      <c r="AE9" s="98" t="s">
        <v>115</v>
      </c>
      <c r="AF9" s="98" t="s">
        <v>8</v>
      </c>
      <c r="AG9" s="98" t="s">
        <v>29</v>
      </c>
    </row>
    <row r="10" spans="1:33" x14ac:dyDescent="0.25">
      <c r="A10" s="30" t="s">
        <v>60</v>
      </c>
      <c r="B10" s="32" t="s">
        <v>13</v>
      </c>
      <c r="C10" s="2"/>
      <c r="F10" s="51">
        <f>F21+F22+F23</f>
        <v>10920</v>
      </c>
      <c r="G10" s="51">
        <f t="shared" ref="G10:X10" si="8">G21+G22+G23</f>
        <v>1800</v>
      </c>
      <c r="H10" s="64">
        <v>6600</v>
      </c>
      <c r="I10" s="51">
        <f t="shared" si="8"/>
        <v>2940</v>
      </c>
      <c r="J10" s="51">
        <f t="shared" si="8"/>
        <v>1100</v>
      </c>
      <c r="K10" s="51">
        <f t="shared" si="8"/>
        <v>570</v>
      </c>
      <c r="L10" s="52">
        <f t="shared" si="8"/>
        <v>0</v>
      </c>
      <c r="M10" s="51">
        <f t="shared" si="8"/>
        <v>1150</v>
      </c>
      <c r="N10" s="51">
        <f t="shared" si="8"/>
        <v>77</v>
      </c>
      <c r="O10" s="51">
        <f t="shared" si="8"/>
        <v>444</v>
      </c>
      <c r="P10" s="51">
        <f t="shared" si="8"/>
        <v>1110</v>
      </c>
      <c r="Q10" s="51">
        <f t="shared" si="8"/>
        <v>22.5</v>
      </c>
      <c r="R10" s="51">
        <f t="shared" si="8"/>
        <v>72</v>
      </c>
      <c r="S10" s="51">
        <f t="shared" si="8"/>
        <v>0</v>
      </c>
      <c r="T10" s="51">
        <f t="shared" si="8"/>
        <v>57.6</v>
      </c>
      <c r="U10" s="51">
        <f t="shared" si="8"/>
        <v>288</v>
      </c>
      <c r="V10" s="51">
        <f t="shared" si="8"/>
        <v>50</v>
      </c>
      <c r="W10" s="51">
        <f t="shared" si="8"/>
        <v>1013.3333333333334</v>
      </c>
      <c r="X10" s="55">
        <f t="shared" si="8"/>
        <v>760</v>
      </c>
      <c r="Y10" s="59">
        <f t="shared" si="2"/>
        <v>23930</v>
      </c>
      <c r="Z10" s="73">
        <f t="shared" si="3"/>
        <v>5044.4333333333334</v>
      </c>
      <c r="AA10" s="64">
        <v>32900</v>
      </c>
      <c r="AE10" s="98">
        <v>29228</v>
      </c>
      <c r="AF10" s="98">
        <v>2585</v>
      </c>
      <c r="AG10" s="98">
        <v>274</v>
      </c>
    </row>
    <row r="11" spans="1:33" x14ac:dyDescent="0.25">
      <c r="A11" s="30" t="s">
        <v>60</v>
      </c>
      <c r="B11" s="31" t="s">
        <v>23</v>
      </c>
      <c r="C11" s="2"/>
      <c r="F11" s="51">
        <f>F24+F25+F26</f>
        <v>150</v>
      </c>
      <c r="G11" s="51">
        <f t="shared" ref="G11:X11" si="9">G24+G25+G26</f>
        <v>0</v>
      </c>
      <c r="H11" s="51">
        <f t="shared" si="9"/>
        <v>0</v>
      </c>
      <c r="I11" s="51">
        <f t="shared" si="9"/>
        <v>0</v>
      </c>
      <c r="J11" s="51">
        <f t="shared" si="9"/>
        <v>1802.3848555815766</v>
      </c>
      <c r="K11" s="51">
        <f t="shared" si="9"/>
        <v>2352</v>
      </c>
      <c r="L11" s="52">
        <f t="shared" si="9"/>
        <v>0</v>
      </c>
      <c r="M11" s="51">
        <f t="shared" si="9"/>
        <v>0</v>
      </c>
      <c r="N11" s="51">
        <f t="shared" si="9"/>
        <v>1311</v>
      </c>
      <c r="O11" s="51">
        <f t="shared" si="9"/>
        <v>0</v>
      </c>
      <c r="P11" s="51">
        <f t="shared" si="9"/>
        <v>0</v>
      </c>
      <c r="Q11" s="51">
        <f t="shared" si="9"/>
        <v>0</v>
      </c>
      <c r="R11" s="51">
        <f t="shared" si="9"/>
        <v>0</v>
      </c>
      <c r="S11" s="51">
        <f t="shared" si="9"/>
        <v>245</v>
      </c>
      <c r="T11" s="51">
        <f t="shared" si="9"/>
        <v>100</v>
      </c>
      <c r="U11" s="51">
        <f t="shared" si="9"/>
        <v>0</v>
      </c>
      <c r="V11" s="51">
        <f t="shared" si="9"/>
        <v>100</v>
      </c>
      <c r="W11" s="51">
        <f t="shared" si="9"/>
        <v>0</v>
      </c>
      <c r="X11" s="55">
        <f t="shared" si="9"/>
        <v>100</v>
      </c>
      <c r="Y11" s="59">
        <f t="shared" si="2"/>
        <v>4304.3848555815766</v>
      </c>
      <c r="Z11" s="73">
        <f t="shared" si="3"/>
        <v>1856</v>
      </c>
      <c r="AA11" s="73">
        <f>L11+Y11+Z11</f>
        <v>6160.3848555815766</v>
      </c>
      <c r="AC11" t="s">
        <v>14</v>
      </c>
    </row>
    <row r="12" spans="1:33" x14ac:dyDescent="0.25">
      <c r="A12" s="30" t="s">
        <v>60</v>
      </c>
      <c r="B12" s="31" t="s">
        <v>65</v>
      </c>
      <c r="C12" s="46"/>
      <c r="F12" s="51">
        <f>F27+F28+F29</f>
        <v>0</v>
      </c>
      <c r="G12" s="51">
        <f t="shared" ref="G12:X12" si="10">G27+G28+G29</f>
        <v>0</v>
      </c>
      <c r="H12" s="51">
        <f t="shared" si="10"/>
        <v>0</v>
      </c>
      <c r="I12" s="51">
        <f t="shared" si="10"/>
        <v>0</v>
      </c>
      <c r="J12" s="51">
        <f t="shared" si="10"/>
        <v>3104.5751633986929</v>
      </c>
      <c r="K12" s="51">
        <f t="shared" si="10"/>
        <v>0</v>
      </c>
      <c r="L12" s="52">
        <f t="shared" si="10"/>
        <v>196078.43137254904</v>
      </c>
      <c r="M12" s="51">
        <f t="shared" si="10"/>
        <v>9236.1111111111113</v>
      </c>
      <c r="N12" s="51">
        <f t="shared" si="10"/>
        <v>0</v>
      </c>
      <c r="O12" s="51">
        <f t="shared" si="10"/>
        <v>0</v>
      </c>
      <c r="P12" s="51">
        <f t="shared" si="10"/>
        <v>0</v>
      </c>
      <c r="Q12" s="51">
        <f t="shared" si="10"/>
        <v>21931.503267973858</v>
      </c>
      <c r="R12" s="51">
        <f t="shared" si="10"/>
        <v>14281.045751633988</v>
      </c>
      <c r="S12" s="51">
        <f t="shared" si="10"/>
        <v>0</v>
      </c>
      <c r="T12" s="51">
        <f t="shared" si="10"/>
        <v>13908.496732026144</v>
      </c>
      <c r="U12" s="51">
        <f t="shared" si="10"/>
        <v>6830.0653594771247</v>
      </c>
      <c r="V12" s="51">
        <f t="shared" si="10"/>
        <v>4084.9673202614381</v>
      </c>
      <c r="W12" s="51">
        <f t="shared" si="10"/>
        <v>4967.3202614379088</v>
      </c>
      <c r="X12" s="55">
        <f t="shared" si="10"/>
        <v>15522.875816993464</v>
      </c>
      <c r="Y12" s="59">
        <f t="shared" si="2"/>
        <v>3104.5751633986929</v>
      </c>
      <c r="Z12" s="73">
        <f t="shared" si="3"/>
        <v>90762.385620915025</v>
      </c>
      <c r="AA12" s="81">
        <f>L12+Y12+Z12</f>
        <v>289945.39215686277</v>
      </c>
      <c r="AB12" s="64">
        <v>350000</v>
      </c>
      <c r="AC12">
        <f>32/350</f>
        <v>9.1428571428571428E-2</v>
      </c>
      <c r="AD12" t="s">
        <v>100</v>
      </c>
    </row>
    <row r="13" spans="1:33" ht="15.75" thickBot="1" x14ac:dyDescent="0.3">
      <c r="A13" s="48" t="s">
        <v>60</v>
      </c>
      <c r="B13" s="49" t="s">
        <v>9</v>
      </c>
      <c r="C13" s="50"/>
      <c r="D13" s="50"/>
      <c r="E13" s="50"/>
      <c r="F13" s="53">
        <f>F30</f>
        <v>0</v>
      </c>
      <c r="G13" s="53">
        <f t="shared" ref="G13:X13" si="11">G30</f>
        <v>0</v>
      </c>
      <c r="H13" s="53">
        <f t="shared" si="11"/>
        <v>0</v>
      </c>
      <c r="I13" s="53">
        <f t="shared" si="11"/>
        <v>0</v>
      </c>
      <c r="J13" s="53">
        <f t="shared" si="11"/>
        <v>0</v>
      </c>
      <c r="K13" s="53">
        <f t="shared" si="11"/>
        <v>0</v>
      </c>
      <c r="L13" s="62">
        <f t="shared" si="11"/>
        <v>0</v>
      </c>
      <c r="M13" s="53">
        <f t="shared" si="11"/>
        <v>0</v>
      </c>
      <c r="N13" s="53">
        <f t="shared" si="11"/>
        <v>0</v>
      </c>
      <c r="O13" s="53">
        <f t="shared" si="11"/>
        <v>0</v>
      </c>
      <c r="P13" s="53">
        <f t="shared" si="11"/>
        <v>0</v>
      </c>
      <c r="Q13" s="53">
        <f t="shared" si="11"/>
        <v>0</v>
      </c>
      <c r="R13" s="53">
        <f t="shared" si="11"/>
        <v>0</v>
      </c>
      <c r="S13" s="53">
        <f t="shared" si="11"/>
        <v>0</v>
      </c>
      <c r="T13" s="53">
        <f t="shared" si="11"/>
        <v>0</v>
      </c>
      <c r="U13" s="53">
        <f t="shared" si="11"/>
        <v>0</v>
      </c>
      <c r="V13" s="53">
        <f t="shared" si="11"/>
        <v>760</v>
      </c>
      <c r="W13" s="53">
        <f t="shared" si="11"/>
        <v>0</v>
      </c>
      <c r="X13" s="75">
        <f t="shared" si="11"/>
        <v>1488.0952380952381</v>
      </c>
      <c r="Y13" s="60">
        <f t="shared" si="2"/>
        <v>0</v>
      </c>
      <c r="Z13" s="74">
        <f t="shared" si="3"/>
        <v>2248.0952380952381</v>
      </c>
      <c r="AA13" s="65">
        <v>1500</v>
      </c>
    </row>
    <row r="14" spans="1:33" ht="15.75" thickTop="1" x14ac:dyDescent="0.25">
      <c r="A14" s="15" t="s">
        <v>51</v>
      </c>
      <c r="B14" s="16" t="s">
        <v>52</v>
      </c>
      <c r="C14" s="16" t="s">
        <v>53</v>
      </c>
      <c r="D14" s="2"/>
      <c r="E14" s="2"/>
      <c r="F14" s="47">
        <v>0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63">
        <v>0</v>
      </c>
      <c r="M14" s="47">
        <v>0</v>
      </c>
      <c r="N14" s="47">
        <v>0</v>
      </c>
      <c r="O14" s="47">
        <v>0</v>
      </c>
      <c r="P14" s="47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57">
        <v>0</v>
      </c>
      <c r="Y14" s="61">
        <f t="shared" si="2"/>
        <v>0</v>
      </c>
      <c r="Z14" s="47">
        <f t="shared" si="3"/>
        <v>0</v>
      </c>
      <c r="AA14" s="47">
        <f t="shared" ref="AA14:AA23" si="12">L14+Y14+Z14</f>
        <v>0</v>
      </c>
    </row>
    <row r="15" spans="1:33" x14ac:dyDescent="0.25">
      <c r="A15" s="15" t="s">
        <v>51</v>
      </c>
      <c r="B15" s="16" t="s">
        <v>52</v>
      </c>
      <c r="C15" s="16" t="s">
        <v>54</v>
      </c>
      <c r="D15" s="2"/>
      <c r="E15" s="2"/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52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54">
        <v>0</v>
      </c>
      <c r="Y15" s="58">
        <f t="shared" si="2"/>
        <v>0</v>
      </c>
      <c r="Z15" s="1">
        <f t="shared" si="3"/>
        <v>0</v>
      </c>
      <c r="AA15" s="1">
        <f t="shared" si="12"/>
        <v>0</v>
      </c>
    </row>
    <row r="16" spans="1:33" x14ac:dyDescent="0.25">
      <c r="A16" s="15" t="s">
        <v>51</v>
      </c>
      <c r="B16" s="16" t="s">
        <v>52</v>
      </c>
      <c r="C16" s="16" t="s">
        <v>55</v>
      </c>
      <c r="D16" s="2"/>
      <c r="E16" s="2"/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52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54">
        <v>0</v>
      </c>
      <c r="Y16" s="58">
        <f t="shared" si="2"/>
        <v>0</v>
      </c>
      <c r="Z16" s="1">
        <f t="shared" si="3"/>
        <v>0</v>
      </c>
      <c r="AA16" s="1">
        <f t="shared" si="12"/>
        <v>0</v>
      </c>
    </row>
    <row r="17" spans="1:30" x14ac:dyDescent="0.25">
      <c r="A17" s="25" t="s">
        <v>51</v>
      </c>
      <c r="B17" s="26" t="s">
        <v>56</v>
      </c>
      <c r="C17" s="26" t="s">
        <v>57</v>
      </c>
      <c r="D17" s="2"/>
      <c r="E17" s="2"/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52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54">
        <v>0</v>
      </c>
      <c r="Y17" s="58">
        <f t="shared" si="2"/>
        <v>0</v>
      </c>
      <c r="Z17" s="1">
        <f t="shared" si="3"/>
        <v>0</v>
      </c>
      <c r="AA17" s="1">
        <f t="shared" si="12"/>
        <v>0</v>
      </c>
    </row>
    <row r="18" spans="1:30" x14ac:dyDescent="0.25">
      <c r="A18" s="15" t="s">
        <v>51</v>
      </c>
      <c r="B18" s="16" t="s">
        <v>56</v>
      </c>
      <c r="C18" s="27" t="s">
        <v>58</v>
      </c>
      <c r="D18" s="2"/>
      <c r="E18" s="2"/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52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54">
        <v>0</v>
      </c>
      <c r="Y18" s="58">
        <f t="shared" si="2"/>
        <v>0</v>
      </c>
      <c r="Z18" s="1">
        <f t="shared" si="3"/>
        <v>0</v>
      </c>
      <c r="AA18" s="1">
        <f t="shared" si="12"/>
        <v>0</v>
      </c>
    </row>
    <row r="19" spans="1:30" x14ac:dyDescent="0.25">
      <c r="A19" s="15" t="s">
        <v>51</v>
      </c>
      <c r="B19" s="16" t="s">
        <v>9</v>
      </c>
      <c r="C19" s="27" t="s">
        <v>59</v>
      </c>
      <c r="D19" s="2"/>
      <c r="E19" s="2"/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52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54">
        <v>0</v>
      </c>
      <c r="Y19" s="58">
        <f t="shared" si="2"/>
        <v>0</v>
      </c>
      <c r="Z19" s="1">
        <f t="shared" si="3"/>
        <v>0</v>
      </c>
      <c r="AA19" s="1">
        <f t="shared" si="12"/>
        <v>0</v>
      </c>
    </row>
    <row r="20" spans="1:30" x14ac:dyDescent="0.25">
      <c r="A20" s="15" t="s">
        <v>51</v>
      </c>
      <c r="B20" s="16" t="s">
        <v>9</v>
      </c>
      <c r="C20" s="27" t="s">
        <v>9</v>
      </c>
      <c r="D20" s="2"/>
      <c r="E20" s="2"/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52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54">
        <v>0</v>
      </c>
      <c r="Y20" s="58">
        <f t="shared" si="2"/>
        <v>0</v>
      </c>
      <c r="Z20" s="1">
        <f t="shared" si="3"/>
        <v>0</v>
      </c>
      <c r="AA20" s="1">
        <f t="shared" si="12"/>
        <v>0</v>
      </c>
      <c r="AB20" t="s">
        <v>122</v>
      </c>
      <c r="AC20">
        <v>871.11111111111097</v>
      </c>
      <c r="AD20">
        <v>1333.3333333333333</v>
      </c>
    </row>
    <row r="21" spans="1:30" x14ac:dyDescent="0.25">
      <c r="A21" s="28" t="s">
        <v>60</v>
      </c>
      <c r="B21" s="29" t="s">
        <v>13</v>
      </c>
      <c r="C21" s="29" t="s">
        <v>61</v>
      </c>
      <c r="D21" s="2"/>
      <c r="E21" s="2"/>
      <c r="F21" s="64">
        <f>10920*0.94</f>
        <v>10264.799999999999</v>
      </c>
      <c r="G21" s="51">
        <v>0</v>
      </c>
      <c r="H21" s="64">
        <f>6600*0.75</f>
        <v>4950</v>
      </c>
      <c r="I21" s="64">
        <v>2940</v>
      </c>
      <c r="J21" s="64">
        <f>1100</f>
        <v>1100</v>
      </c>
      <c r="K21" s="64">
        <v>570</v>
      </c>
      <c r="L21" s="52">
        <v>0</v>
      </c>
      <c r="M21" s="64">
        <v>1150</v>
      </c>
      <c r="N21" s="64">
        <v>77</v>
      </c>
      <c r="O21" s="64">
        <v>444</v>
      </c>
      <c r="P21" s="64">
        <v>1110</v>
      </c>
      <c r="Q21" s="69">
        <f>Q66/Q111</f>
        <v>22.5</v>
      </c>
      <c r="R21" s="69">
        <f>R66/R111</f>
        <v>72</v>
      </c>
      <c r="S21" s="51">
        <v>0</v>
      </c>
      <c r="T21" s="69">
        <f>T66/T111</f>
        <v>57.6</v>
      </c>
      <c r="U21" s="69">
        <f>U66/U111</f>
        <v>288</v>
      </c>
      <c r="V21" s="77">
        <v>50</v>
      </c>
      <c r="W21" s="69">
        <f>W66/W111</f>
        <v>1013.3333333333334</v>
      </c>
      <c r="X21" s="69">
        <f>X66/X111</f>
        <v>760</v>
      </c>
      <c r="Y21" s="59">
        <f t="shared" si="2"/>
        <v>19824.8</v>
      </c>
      <c r="Z21" s="51">
        <f t="shared" si="3"/>
        <v>5044.4333333333334</v>
      </c>
      <c r="AA21" s="51">
        <f t="shared" si="12"/>
        <v>24869.233333333334</v>
      </c>
      <c r="AB21" t="s">
        <v>123</v>
      </c>
      <c r="AD21">
        <v>111.11111111111111</v>
      </c>
    </row>
    <row r="22" spans="1:30" x14ac:dyDescent="0.25">
      <c r="A22" s="36" t="s">
        <v>60</v>
      </c>
      <c r="B22" s="37" t="s">
        <v>13</v>
      </c>
      <c r="C22" s="29" t="s">
        <v>62</v>
      </c>
      <c r="D22" s="2"/>
      <c r="E22" s="2"/>
      <c r="F22" s="64">
        <f>10920*0.06</f>
        <v>655.19999999999993</v>
      </c>
      <c r="G22" s="64">
        <v>1800</v>
      </c>
      <c r="H22" s="64">
        <f>6600*0.25</f>
        <v>1650</v>
      </c>
      <c r="I22" s="51">
        <v>0</v>
      </c>
      <c r="J22" s="51">
        <v>0</v>
      </c>
      <c r="K22" s="51">
        <v>0</v>
      </c>
      <c r="L22" s="52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  <c r="R22" s="51">
        <v>0</v>
      </c>
      <c r="S22" s="51">
        <v>0</v>
      </c>
      <c r="T22" s="51">
        <v>0</v>
      </c>
      <c r="U22" s="51">
        <v>0</v>
      </c>
      <c r="V22" s="51">
        <v>0</v>
      </c>
      <c r="W22" s="51">
        <v>0</v>
      </c>
      <c r="X22" s="55">
        <v>0</v>
      </c>
      <c r="Y22" s="59">
        <f t="shared" si="2"/>
        <v>4105.2</v>
      </c>
      <c r="Z22" s="51">
        <f t="shared" si="3"/>
        <v>0</v>
      </c>
      <c r="AA22" s="51">
        <f t="shared" si="12"/>
        <v>4105.2</v>
      </c>
      <c r="AB22" t="s">
        <v>7</v>
      </c>
      <c r="AD22">
        <v>888.88888888888891</v>
      </c>
    </row>
    <row r="23" spans="1:30" x14ac:dyDescent="0.25">
      <c r="A23" s="30" t="s">
        <v>60</v>
      </c>
      <c r="B23" s="31" t="s">
        <v>13</v>
      </c>
      <c r="C23" s="32" t="s">
        <v>63</v>
      </c>
      <c r="D23" s="2"/>
      <c r="E23" s="2"/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2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55">
        <v>0</v>
      </c>
      <c r="Y23" s="59">
        <f t="shared" si="2"/>
        <v>0</v>
      </c>
      <c r="Z23" s="51">
        <f t="shared" si="3"/>
        <v>0</v>
      </c>
      <c r="AA23" s="51">
        <f t="shared" si="12"/>
        <v>0</v>
      </c>
      <c r="AB23" t="s">
        <v>8</v>
      </c>
      <c r="AC23">
        <v>28282.828282828283</v>
      </c>
      <c r="AD23">
        <v>2222.2222222222222</v>
      </c>
    </row>
    <row r="24" spans="1:30" x14ac:dyDescent="0.25">
      <c r="A24" s="30" t="s">
        <v>60</v>
      </c>
      <c r="B24" s="32" t="s">
        <v>23</v>
      </c>
      <c r="C24" s="31" t="s">
        <v>50</v>
      </c>
      <c r="D24" s="2"/>
      <c r="E24" s="2"/>
      <c r="F24" s="77">
        <f>F204*F159</f>
        <v>150</v>
      </c>
      <c r="G24" s="51">
        <v>0</v>
      </c>
      <c r="H24" s="51">
        <v>0</v>
      </c>
      <c r="I24" s="51">
        <v>0</v>
      </c>
      <c r="J24" s="77">
        <f>J21*0.05</f>
        <v>55</v>
      </c>
      <c r="K24" s="64">
        <f>2400*0.98</f>
        <v>2352</v>
      </c>
      <c r="L24" s="52">
        <v>0</v>
      </c>
      <c r="M24" s="51">
        <v>0</v>
      </c>
      <c r="N24" s="64">
        <f>1380*0.95</f>
        <v>1311</v>
      </c>
      <c r="O24" s="51">
        <v>0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51">
        <v>0</v>
      </c>
      <c r="X24" s="55">
        <v>0</v>
      </c>
      <c r="Y24" s="59">
        <f t="shared" si="2"/>
        <v>2557</v>
      </c>
      <c r="Z24" s="51">
        <f t="shared" si="3"/>
        <v>1311</v>
      </c>
      <c r="AA24" s="64">
        <v>3800</v>
      </c>
    </row>
    <row r="25" spans="1:30" x14ac:dyDescent="0.25">
      <c r="A25" s="30" t="s">
        <v>60</v>
      </c>
      <c r="B25" s="32" t="s">
        <v>23</v>
      </c>
      <c r="C25" s="31" t="s">
        <v>49</v>
      </c>
      <c r="D25" s="2"/>
      <c r="E25" s="2"/>
      <c r="F25" s="51">
        <v>0</v>
      </c>
      <c r="G25" s="51">
        <v>0</v>
      </c>
      <c r="H25" s="51">
        <v>0</v>
      </c>
      <c r="I25" s="51">
        <v>0</v>
      </c>
      <c r="J25" s="81">
        <f>J70/J115</f>
        <v>1747.3848555815766</v>
      </c>
      <c r="K25" s="51">
        <v>0</v>
      </c>
      <c r="L25" s="52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51">
        <v>0</v>
      </c>
      <c r="S25" s="77">
        <v>245</v>
      </c>
      <c r="T25" s="77">
        <v>100</v>
      </c>
      <c r="U25" s="51">
        <v>0</v>
      </c>
      <c r="V25" s="77">
        <v>100</v>
      </c>
      <c r="W25" s="51">
        <v>0</v>
      </c>
      <c r="X25" s="77">
        <v>100</v>
      </c>
      <c r="Y25" s="59">
        <f t="shared" si="2"/>
        <v>1747.3848555815766</v>
      </c>
      <c r="Z25" s="51">
        <f t="shared" si="3"/>
        <v>545</v>
      </c>
      <c r="AA25" s="64">
        <v>2500</v>
      </c>
    </row>
    <row r="26" spans="1:30" x14ac:dyDescent="0.25">
      <c r="A26" s="30" t="s">
        <v>60</v>
      </c>
      <c r="B26" s="32" t="s">
        <v>23</v>
      </c>
      <c r="C26" s="31" t="s">
        <v>64</v>
      </c>
      <c r="D26" s="2"/>
      <c r="E26" s="2"/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2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  <c r="V26" s="51">
        <v>0</v>
      </c>
      <c r="W26" s="51">
        <v>0</v>
      </c>
      <c r="X26" s="55">
        <v>0</v>
      </c>
      <c r="Y26" s="59">
        <f t="shared" si="2"/>
        <v>0</v>
      </c>
      <c r="Z26" s="51">
        <f t="shared" si="3"/>
        <v>0</v>
      </c>
      <c r="AA26" s="51">
        <f t="shared" ref="AA26:AA45" si="13">L26+Y26+Z26</f>
        <v>0</v>
      </c>
    </row>
    <row r="27" spans="1:30" x14ac:dyDescent="0.25">
      <c r="A27" s="30" t="s">
        <v>60</v>
      </c>
      <c r="B27" s="32" t="s">
        <v>65</v>
      </c>
      <c r="C27" s="31" t="s">
        <v>66</v>
      </c>
      <c r="D27" s="2"/>
      <c r="E27" s="2"/>
      <c r="F27" s="51">
        <v>0</v>
      </c>
      <c r="G27" s="51">
        <v>0</v>
      </c>
      <c r="H27" s="51">
        <v>0</v>
      </c>
      <c r="I27" s="51">
        <v>0</v>
      </c>
      <c r="J27" s="81">
        <f>J72/J117</f>
        <v>3104.5751633986929</v>
      </c>
      <c r="K27" s="51">
        <v>0</v>
      </c>
      <c r="L27" s="52">
        <v>0</v>
      </c>
      <c r="M27" s="81">
        <f>M72/M117</f>
        <v>9236.1111111111113</v>
      </c>
      <c r="N27" s="51">
        <v>0</v>
      </c>
      <c r="O27" s="51">
        <v>0</v>
      </c>
      <c r="P27" s="51">
        <v>0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51">
        <v>0</v>
      </c>
      <c r="X27" s="55">
        <v>0</v>
      </c>
      <c r="Y27" s="59">
        <f t="shared" si="2"/>
        <v>3104.5751633986929</v>
      </c>
      <c r="Z27" s="51">
        <f t="shared" si="3"/>
        <v>9236.1111111111113</v>
      </c>
      <c r="AA27" s="51">
        <f t="shared" si="13"/>
        <v>12340.686274509804</v>
      </c>
    </row>
    <row r="28" spans="1:30" x14ac:dyDescent="0.25">
      <c r="A28" s="30" t="s">
        <v>60</v>
      </c>
      <c r="B28" s="32" t="s">
        <v>65</v>
      </c>
      <c r="C28" s="31" t="s">
        <v>67</v>
      </c>
      <c r="D28" s="2"/>
      <c r="E28" s="2"/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2">
        <v>0</v>
      </c>
      <c r="M28" s="51">
        <v>0</v>
      </c>
      <c r="N28" s="51">
        <v>0</v>
      </c>
      <c r="O28" s="51">
        <v>0</v>
      </c>
      <c r="P28" s="51">
        <v>0</v>
      </c>
      <c r="Q28" s="81">
        <f>Q73/Q118</f>
        <v>21931.503267973858</v>
      </c>
      <c r="R28" s="81">
        <f>R73/R118</f>
        <v>14281.045751633988</v>
      </c>
      <c r="S28" s="51">
        <v>0</v>
      </c>
      <c r="T28" s="81">
        <f>T73/T118</f>
        <v>13908.496732026144</v>
      </c>
      <c r="U28" s="81">
        <f>U73/U118</f>
        <v>6830.0653594771247</v>
      </c>
      <c r="V28" s="81">
        <f>V73/V118</f>
        <v>4084.9673202614381</v>
      </c>
      <c r="W28" s="81">
        <f>W73/W118</f>
        <v>4967.3202614379088</v>
      </c>
      <c r="X28" s="81">
        <f>X73/X118</f>
        <v>15522.875816993464</v>
      </c>
      <c r="Y28" s="59">
        <f t="shared" si="2"/>
        <v>0</v>
      </c>
      <c r="Z28" s="51">
        <f t="shared" si="3"/>
        <v>81526.274509803916</v>
      </c>
      <c r="AA28" s="51">
        <f t="shared" si="13"/>
        <v>81526.274509803916</v>
      </c>
    </row>
    <row r="29" spans="1:30" x14ac:dyDescent="0.25">
      <c r="A29" s="30" t="s">
        <v>60</v>
      </c>
      <c r="B29" s="32" t="s">
        <v>65</v>
      </c>
      <c r="C29" s="31" t="s">
        <v>68</v>
      </c>
      <c r="D29" s="2"/>
      <c r="E29" s="2"/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81">
        <f>L74/L119</f>
        <v>196078.43137254904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  <c r="R29" s="51">
        <v>0</v>
      </c>
      <c r="S29" s="51">
        <v>0</v>
      </c>
      <c r="T29" s="51">
        <v>0</v>
      </c>
      <c r="U29" s="51">
        <v>0</v>
      </c>
      <c r="V29" s="51">
        <v>0</v>
      </c>
      <c r="W29" s="51">
        <v>0</v>
      </c>
      <c r="X29" s="55">
        <v>0</v>
      </c>
      <c r="Y29" s="59">
        <f t="shared" si="2"/>
        <v>0</v>
      </c>
      <c r="Z29" s="51">
        <f t="shared" si="3"/>
        <v>0</v>
      </c>
      <c r="AA29" s="51">
        <f t="shared" si="13"/>
        <v>196078.43137254904</v>
      </c>
    </row>
    <row r="30" spans="1:30" x14ac:dyDescent="0.25">
      <c r="A30" s="30" t="s">
        <v>60</v>
      </c>
      <c r="B30" s="32" t="s">
        <v>9</v>
      </c>
      <c r="C30" s="31" t="s">
        <v>69</v>
      </c>
      <c r="D30" s="2"/>
      <c r="E30" s="2"/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2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  <c r="R30" s="51">
        <v>0</v>
      </c>
      <c r="S30" s="51">
        <v>0</v>
      </c>
      <c r="T30" s="51">
        <v>0</v>
      </c>
      <c r="U30" s="51">
        <v>0</v>
      </c>
      <c r="V30" s="96">
        <v>760</v>
      </c>
      <c r="W30" s="51">
        <v>0</v>
      </c>
      <c r="X30" s="81">
        <f>X75/X120</f>
        <v>1488.0952380952381</v>
      </c>
      <c r="Y30" s="59">
        <f t="shared" si="2"/>
        <v>0</v>
      </c>
      <c r="Z30" s="51">
        <f t="shared" si="3"/>
        <v>2248.0952380952381</v>
      </c>
      <c r="AA30" s="51">
        <f t="shared" si="13"/>
        <v>2248.0952380952381</v>
      </c>
    </row>
    <row r="31" spans="1:30" x14ac:dyDescent="0.25">
      <c r="A31" s="15" t="s">
        <v>51</v>
      </c>
      <c r="B31" s="16" t="s">
        <v>56</v>
      </c>
      <c r="C31" s="27" t="s">
        <v>57</v>
      </c>
      <c r="D31" s="16" t="s">
        <v>70</v>
      </c>
      <c r="E31" s="43"/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52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54">
        <v>0</v>
      </c>
      <c r="Y31" s="58">
        <f t="shared" si="2"/>
        <v>0</v>
      </c>
      <c r="Z31" s="1">
        <f t="shared" si="3"/>
        <v>0</v>
      </c>
      <c r="AA31" s="1">
        <f t="shared" si="13"/>
        <v>0</v>
      </c>
    </row>
    <row r="32" spans="1:30" x14ac:dyDescent="0.25">
      <c r="A32" s="15" t="s">
        <v>51</v>
      </c>
      <c r="B32" s="16" t="s">
        <v>56</v>
      </c>
      <c r="C32" s="27" t="s">
        <v>57</v>
      </c>
      <c r="D32" s="16" t="s">
        <v>71</v>
      </c>
      <c r="E32" s="43"/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52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54">
        <v>0</v>
      </c>
      <c r="Y32" s="58">
        <f t="shared" si="2"/>
        <v>0</v>
      </c>
      <c r="Z32" s="1">
        <f t="shared" si="3"/>
        <v>0</v>
      </c>
      <c r="AA32" s="1">
        <f t="shared" si="13"/>
        <v>0</v>
      </c>
    </row>
    <row r="33" spans="1:29" x14ac:dyDescent="0.25">
      <c r="A33" s="15" t="s">
        <v>51</v>
      </c>
      <c r="B33" s="16" t="s">
        <v>56</v>
      </c>
      <c r="C33" s="27" t="s">
        <v>27</v>
      </c>
      <c r="D33" s="16" t="s">
        <v>72</v>
      </c>
      <c r="E33" s="43"/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52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54">
        <v>0</v>
      </c>
      <c r="Y33" s="58">
        <f t="shared" si="2"/>
        <v>0</v>
      </c>
      <c r="Z33" s="1">
        <f t="shared" si="3"/>
        <v>0</v>
      </c>
      <c r="AA33" s="1">
        <f t="shared" si="13"/>
        <v>0</v>
      </c>
    </row>
    <row r="34" spans="1:29" x14ac:dyDescent="0.25">
      <c r="A34" s="15" t="s">
        <v>51</v>
      </c>
      <c r="B34" s="16" t="s">
        <v>56</v>
      </c>
      <c r="C34" s="27" t="s">
        <v>57</v>
      </c>
      <c r="D34" s="16" t="s">
        <v>73</v>
      </c>
      <c r="E34" s="43"/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52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54">
        <v>0</v>
      </c>
      <c r="Y34" s="58">
        <f t="shared" si="2"/>
        <v>0</v>
      </c>
      <c r="Z34" s="1">
        <f t="shared" si="3"/>
        <v>0</v>
      </c>
      <c r="AA34" s="1">
        <f t="shared" si="13"/>
        <v>0</v>
      </c>
    </row>
    <row r="35" spans="1:29" x14ac:dyDescent="0.25">
      <c r="A35" s="15" t="s">
        <v>51</v>
      </c>
      <c r="B35" s="16" t="s">
        <v>56</v>
      </c>
      <c r="C35" s="27" t="s">
        <v>57</v>
      </c>
      <c r="D35" s="16" t="s">
        <v>74</v>
      </c>
      <c r="E35" s="43"/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52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54">
        <v>0</v>
      </c>
      <c r="Y35" s="58">
        <f t="shared" si="2"/>
        <v>0</v>
      </c>
      <c r="Z35" s="1">
        <f t="shared" si="3"/>
        <v>0</v>
      </c>
      <c r="AA35" s="1">
        <f t="shared" si="13"/>
        <v>0</v>
      </c>
      <c r="AC35" t="s">
        <v>105</v>
      </c>
    </row>
    <row r="36" spans="1:29" x14ac:dyDescent="0.25">
      <c r="A36" s="30" t="s">
        <v>60</v>
      </c>
      <c r="B36" s="31" t="s">
        <v>13</v>
      </c>
      <c r="C36" s="32" t="s">
        <v>61</v>
      </c>
      <c r="D36" s="31" t="s">
        <v>75</v>
      </c>
      <c r="E36" s="72" t="e">
        <f>#REF!</f>
        <v>#REF!</v>
      </c>
      <c r="F36" s="51">
        <f>F21*0.8</f>
        <v>8211.84</v>
      </c>
      <c r="G36" s="51">
        <v>0</v>
      </c>
      <c r="H36" s="51">
        <f>H21</f>
        <v>4950</v>
      </c>
      <c r="I36" s="51">
        <f>I21*0.1</f>
        <v>294</v>
      </c>
      <c r="J36" s="51">
        <v>0</v>
      </c>
      <c r="K36" s="51">
        <f>K21*0.05</f>
        <v>28.5</v>
      </c>
      <c r="L36" s="52">
        <v>0</v>
      </c>
      <c r="M36" s="51">
        <f>M21*0.1</f>
        <v>115</v>
      </c>
      <c r="N36" s="51">
        <v>0</v>
      </c>
      <c r="O36" s="51">
        <v>0</v>
      </c>
      <c r="P36" s="51">
        <v>0</v>
      </c>
      <c r="Q36" s="51"/>
      <c r="R36" s="51"/>
      <c r="S36" s="51"/>
      <c r="T36" s="51"/>
      <c r="U36" s="51"/>
      <c r="V36" s="51"/>
      <c r="W36" s="51">
        <f>W21</f>
        <v>1013.3333333333334</v>
      </c>
      <c r="X36" s="55"/>
      <c r="Y36" s="59">
        <f t="shared" si="2"/>
        <v>13484.34</v>
      </c>
      <c r="Z36" s="51">
        <f t="shared" si="3"/>
        <v>1128.3333333333335</v>
      </c>
      <c r="AA36" s="51">
        <f t="shared" si="13"/>
        <v>14612.673333333334</v>
      </c>
      <c r="AB36">
        <f>AA36/AA$10</f>
        <v>0.44415420466058764</v>
      </c>
      <c r="AC36" s="71" t="e">
        <f>E36</f>
        <v>#REF!</v>
      </c>
    </row>
    <row r="37" spans="1:29" x14ac:dyDescent="0.25">
      <c r="A37" s="30" t="s">
        <v>60</v>
      </c>
      <c r="B37" s="31" t="s">
        <v>13</v>
      </c>
      <c r="C37" s="32" t="s">
        <v>61</v>
      </c>
      <c r="D37" s="31" t="s">
        <v>76</v>
      </c>
      <c r="E37" s="72" t="e">
        <f>#REF!</f>
        <v>#REF!</v>
      </c>
      <c r="F37" s="51">
        <f>F21*0.2</f>
        <v>2052.96</v>
      </c>
      <c r="G37" s="51">
        <v>0</v>
      </c>
      <c r="H37" s="51">
        <v>0</v>
      </c>
      <c r="I37" s="51">
        <f>I21*0.7</f>
        <v>2058</v>
      </c>
      <c r="J37" s="51">
        <f>J21</f>
        <v>1100</v>
      </c>
      <c r="K37" s="51">
        <f>K21*0.15</f>
        <v>85.5</v>
      </c>
      <c r="L37" s="52">
        <v>0</v>
      </c>
      <c r="M37" s="51">
        <f>M21*0.3</f>
        <v>345</v>
      </c>
      <c r="N37" s="51">
        <f>N21</f>
        <v>77</v>
      </c>
      <c r="O37" s="51">
        <f>O21*0.9</f>
        <v>399.6</v>
      </c>
      <c r="P37" s="51">
        <f>P21*0.05</f>
        <v>55.5</v>
      </c>
      <c r="Q37" s="51"/>
      <c r="R37" s="51">
        <f>R21</f>
        <v>72</v>
      </c>
      <c r="S37" s="51"/>
      <c r="T37" s="51"/>
      <c r="U37" s="51"/>
      <c r="V37" s="51"/>
      <c r="W37" s="51"/>
      <c r="X37" s="55"/>
      <c r="Y37" s="59">
        <f t="shared" si="2"/>
        <v>5296.46</v>
      </c>
      <c r="Z37" s="51">
        <f t="shared" si="3"/>
        <v>949.1</v>
      </c>
      <c r="AA37" s="51">
        <f t="shared" si="13"/>
        <v>6245.56</v>
      </c>
      <c r="AB37">
        <f t="shared" ref="AB37:AB42" si="14">AA37/AA$10</f>
        <v>0.18983465045592707</v>
      </c>
      <c r="AC37" s="71" t="e">
        <f>E37</f>
        <v>#REF!</v>
      </c>
    </row>
    <row r="38" spans="1:29" x14ac:dyDescent="0.25">
      <c r="A38" s="30" t="s">
        <v>60</v>
      </c>
      <c r="B38" s="31" t="s">
        <v>13</v>
      </c>
      <c r="C38" s="32" t="s">
        <v>61</v>
      </c>
      <c r="D38" s="31" t="s">
        <v>77</v>
      </c>
      <c r="E38" s="72" t="e">
        <f>#REF!</f>
        <v>#REF!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f>K21*0.4</f>
        <v>228</v>
      </c>
      <c r="L38" s="52">
        <v>0</v>
      </c>
      <c r="M38" s="51">
        <f>M21*0.5</f>
        <v>575</v>
      </c>
      <c r="N38" s="51">
        <v>0</v>
      </c>
      <c r="O38" s="51">
        <v>0</v>
      </c>
      <c r="P38" s="51">
        <v>0</v>
      </c>
      <c r="Q38" s="51"/>
      <c r="R38" s="51"/>
      <c r="S38" s="51"/>
      <c r="T38" s="51">
        <f>T21/2</f>
        <v>28.8</v>
      </c>
      <c r="U38" s="51">
        <f>U21</f>
        <v>288</v>
      </c>
      <c r="V38" s="51"/>
      <c r="W38" s="51"/>
      <c r="X38" s="55"/>
      <c r="Y38" s="59">
        <f t="shared" si="2"/>
        <v>228</v>
      </c>
      <c r="Z38" s="51">
        <f t="shared" si="3"/>
        <v>891.8</v>
      </c>
      <c r="AA38" s="51">
        <f t="shared" si="13"/>
        <v>1119.8</v>
      </c>
      <c r="AB38">
        <f t="shared" si="14"/>
        <v>3.4036474164133738E-2</v>
      </c>
      <c r="AC38" s="71" t="e">
        <f>E38</f>
        <v>#REF!</v>
      </c>
    </row>
    <row r="39" spans="1:29" x14ac:dyDescent="0.25">
      <c r="A39" s="30" t="s">
        <v>60</v>
      </c>
      <c r="B39" s="31" t="s">
        <v>13</v>
      </c>
      <c r="C39" s="32" t="s">
        <v>61</v>
      </c>
      <c r="D39" s="31" t="s">
        <v>78</v>
      </c>
      <c r="E39" s="72" t="e">
        <f>#REF!</f>
        <v>#REF!</v>
      </c>
      <c r="F39" s="51">
        <v>0</v>
      </c>
      <c r="G39" s="51">
        <v>0</v>
      </c>
      <c r="H39" s="51">
        <v>0</v>
      </c>
      <c r="I39" s="51">
        <f>I21*0.2</f>
        <v>588</v>
      </c>
      <c r="J39" s="51">
        <v>0</v>
      </c>
      <c r="K39" s="51">
        <f>K21*0.4</f>
        <v>228</v>
      </c>
      <c r="L39" s="52">
        <v>0</v>
      </c>
      <c r="M39" s="51">
        <f>M21*0.1</f>
        <v>115</v>
      </c>
      <c r="N39" s="51">
        <v>0</v>
      </c>
      <c r="O39" s="51">
        <f>O21*0.1</f>
        <v>44.400000000000006</v>
      </c>
      <c r="P39" s="51">
        <f>P21*0.95</f>
        <v>1054.5</v>
      </c>
      <c r="Q39" s="51">
        <f>Q21</f>
        <v>22.5</v>
      </c>
      <c r="R39" s="51"/>
      <c r="S39" s="51"/>
      <c r="T39" s="51"/>
      <c r="U39" s="51"/>
      <c r="V39" s="51"/>
      <c r="W39" s="51"/>
      <c r="X39" s="55">
        <f>X21</f>
        <v>760</v>
      </c>
      <c r="Y39" s="59">
        <f t="shared" si="2"/>
        <v>816</v>
      </c>
      <c r="Z39" s="51">
        <f t="shared" si="3"/>
        <v>1996.4</v>
      </c>
      <c r="AA39" s="51">
        <f t="shared" si="13"/>
        <v>2812.4</v>
      </c>
      <c r="AB39">
        <f t="shared" si="14"/>
        <v>8.5483282674772038E-2</v>
      </c>
      <c r="AC39" s="71" t="e">
        <f>E39</f>
        <v>#REF!</v>
      </c>
    </row>
    <row r="40" spans="1:29" ht="15.75" thickBot="1" x14ac:dyDescent="0.3">
      <c r="A40" s="33" t="s">
        <v>60</v>
      </c>
      <c r="B40" s="34" t="s">
        <v>13</v>
      </c>
      <c r="C40" s="35" t="s">
        <v>61</v>
      </c>
      <c r="D40" s="34" t="s">
        <v>79</v>
      </c>
      <c r="E40" s="43"/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2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  <c r="V40" s="51">
        <v>0</v>
      </c>
      <c r="W40" s="51">
        <v>0</v>
      </c>
      <c r="X40" s="55">
        <v>0</v>
      </c>
      <c r="Y40" s="59">
        <f t="shared" si="2"/>
        <v>0</v>
      </c>
      <c r="Z40" s="51">
        <f t="shared" si="3"/>
        <v>0</v>
      </c>
      <c r="AA40" s="51">
        <f t="shared" si="13"/>
        <v>0</v>
      </c>
      <c r="AB40">
        <f t="shared" si="14"/>
        <v>0</v>
      </c>
    </row>
    <row r="41" spans="1:29" x14ac:dyDescent="0.25">
      <c r="A41" s="30" t="s">
        <v>60</v>
      </c>
      <c r="B41" s="31" t="s">
        <v>13</v>
      </c>
      <c r="C41" s="32" t="s">
        <v>62</v>
      </c>
      <c r="D41" s="31" t="s">
        <v>75</v>
      </c>
      <c r="E41" s="43"/>
      <c r="F41" s="51"/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2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  <c r="R41" s="51">
        <v>0</v>
      </c>
      <c r="S41" s="51">
        <v>0</v>
      </c>
      <c r="T41" s="51">
        <v>0</v>
      </c>
      <c r="U41" s="51">
        <v>0</v>
      </c>
      <c r="V41" s="51">
        <v>0</v>
      </c>
      <c r="W41" s="51">
        <v>0</v>
      </c>
      <c r="X41" s="55">
        <v>0</v>
      </c>
      <c r="Y41" s="59">
        <f t="shared" si="2"/>
        <v>0</v>
      </c>
      <c r="Z41" s="51">
        <f t="shared" si="3"/>
        <v>0</v>
      </c>
      <c r="AA41" s="51">
        <f t="shared" si="13"/>
        <v>0</v>
      </c>
      <c r="AB41">
        <f t="shared" si="14"/>
        <v>0</v>
      </c>
    </row>
    <row r="42" spans="1:29" x14ac:dyDescent="0.25">
      <c r="A42" s="30" t="s">
        <v>60</v>
      </c>
      <c r="B42" s="31" t="s">
        <v>13</v>
      </c>
      <c r="C42" s="32" t="s">
        <v>62</v>
      </c>
      <c r="D42" s="31" t="s">
        <v>76</v>
      </c>
      <c r="E42" s="43"/>
      <c r="F42" s="51">
        <f>F22</f>
        <v>655.19999999999993</v>
      </c>
      <c r="G42" s="51">
        <f>G22</f>
        <v>1800</v>
      </c>
      <c r="H42" s="51">
        <f>H22</f>
        <v>1650</v>
      </c>
      <c r="I42" s="51">
        <v>0</v>
      </c>
      <c r="J42" s="51">
        <v>0</v>
      </c>
      <c r="K42" s="51">
        <v>0</v>
      </c>
      <c r="L42" s="52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  <c r="R42" s="51">
        <v>0</v>
      </c>
      <c r="S42" s="51">
        <v>0</v>
      </c>
      <c r="T42" s="51">
        <v>0</v>
      </c>
      <c r="U42" s="51">
        <v>0</v>
      </c>
      <c r="V42" s="51">
        <v>0</v>
      </c>
      <c r="W42" s="51">
        <v>0</v>
      </c>
      <c r="X42" s="55">
        <v>0</v>
      </c>
      <c r="Y42" s="59">
        <f t="shared" si="2"/>
        <v>4105.2</v>
      </c>
      <c r="Z42" s="51">
        <f t="shared" si="3"/>
        <v>0</v>
      </c>
      <c r="AA42" s="51">
        <f t="shared" si="13"/>
        <v>4105.2</v>
      </c>
      <c r="AB42">
        <f t="shared" si="14"/>
        <v>0.12477811550151975</v>
      </c>
    </row>
    <row r="43" spans="1:29" x14ac:dyDescent="0.25">
      <c r="A43" s="30" t="s">
        <v>60</v>
      </c>
      <c r="B43" s="31" t="s">
        <v>13</v>
      </c>
      <c r="C43" s="32" t="s">
        <v>62</v>
      </c>
      <c r="D43" s="31" t="s">
        <v>77</v>
      </c>
      <c r="E43" s="43"/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2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  <c r="R43" s="51">
        <v>0</v>
      </c>
      <c r="S43" s="51">
        <v>0</v>
      </c>
      <c r="T43" s="51">
        <v>0</v>
      </c>
      <c r="U43" s="51">
        <v>0</v>
      </c>
      <c r="V43" s="51">
        <v>0</v>
      </c>
      <c r="W43" s="51">
        <v>0</v>
      </c>
      <c r="X43" s="55">
        <v>0</v>
      </c>
      <c r="Y43" s="59">
        <f t="shared" si="2"/>
        <v>0</v>
      </c>
      <c r="Z43" s="51">
        <f t="shared" si="3"/>
        <v>0</v>
      </c>
      <c r="AA43" s="51">
        <f t="shared" si="13"/>
        <v>0</v>
      </c>
    </row>
    <row r="44" spans="1:29" x14ac:dyDescent="0.25">
      <c r="A44" s="30" t="s">
        <v>60</v>
      </c>
      <c r="B44" s="31" t="s">
        <v>13</v>
      </c>
      <c r="C44" s="32" t="s">
        <v>62</v>
      </c>
      <c r="D44" s="31" t="s">
        <v>78</v>
      </c>
      <c r="E44" s="43"/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2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  <c r="R44" s="51">
        <v>0</v>
      </c>
      <c r="S44" s="51">
        <v>0</v>
      </c>
      <c r="T44" s="51">
        <v>0</v>
      </c>
      <c r="U44" s="51">
        <v>0</v>
      </c>
      <c r="V44" s="51">
        <v>0</v>
      </c>
      <c r="W44" s="51">
        <v>0</v>
      </c>
      <c r="X44" s="55">
        <v>0</v>
      </c>
      <c r="Y44" s="59">
        <f t="shared" si="2"/>
        <v>0</v>
      </c>
      <c r="Z44" s="51">
        <f t="shared" si="3"/>
        <v>0</v>
      </c>
      <c r="AA44" s="51">
        <f t="shared" si="13"/>
        <v>0</v>
      </c>
    </row>
    <row r="45" spans="1:29" ht="15.75" thickBot="1" x14ac:dyDescent="0.3">
      <c r="A45" s="33" t="s">
        <v>60</v>
      </c>
      <c r="B45" s="34" t="s">
        <v>13</v>
      </c>
      <c r="C45" s="32" t="s">
        <v>62</v>
      </c>
      <c r="D45" s="34" t="s">
        <v>79</v>
      </c>
      <c r="E45" s="43"/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2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  <c r="R45" s="51">
        <v>0</v>
      </c>
      <c r="S45" s="51">
        <v>0</v>
      </c>
      <c r="T45" s="51">
        <v>0</v>
      </c>
      <c r="U45" s="51">
        <v>0</v>
      </c>
      <c r="V45" s="51">
        <v>0</v>
      </c>
      <c r="W45" s="51">
        <v>0</v>
      </c>
      <c r="X45" s="55">
        <v>0</v>
      </c>
      <c r="Y45" s="59">
        <f t="shared" si="2"/>
        <v>0</v>
      </c>
      <c r="Z45" s="51">
        <f t="shared" si="3"/>
        <v>0</v>
      </c>
      <c r="AA45" s="51">
        <f t="shared" si="13"/>
        <v>0</v>
      </c>
    </row>
    <row r="47" spans="1:29" x14ac:dyDescent="0.25">
      <c r="D47" s="41" t="s">
        <v>18</v>
      </c>
      <c r="E47" s="41"/>
      <c r="M47" s="24" t="s">
        <v>81</v>
      </c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  <row r="48" spans="1:29" x14ac:dyDescent="0.25">
      <c r="F48" s="23" t="s">
        <v>44</v>
      </c>
      <c r="G48" s="23"/>
      <c r="H48" s="23"/>
      <c r="I48" s="23"/>
      <c r="J48" s="23"/>
      <c r="K48" s="23"/>
      <c r="L48" s="7" t="s">
        <v>30</v>
      </c>
      <c r="M48" s="24" t="s">
        <v>46</v>
      </c>
      <c r="N48" s="24"/>
      <c r="O48" s="24"/>
      <c r="P48" s="24"/>
      <c r="Q48" s="24"/>
      <c r="R48" s="24" t="s">
        <v>47</v>
      </c>
      <c r="S48" s="24"/>
      <c r="T48" s="24"/>
      <c r="U48" s="24"/>
      <c r="V48" s="24"/>
      <c r="W48" s="24"/>
      <c r="X48" s="24"/>
      <c r="Y48" s="44" t="s">
        <v>85</v>
      </c>
      <c r="Z48" s="44" t="s">
        <v>48</v>
      </c>
      <c r="AA48" s="44" t="s">
        <v>3</v>
      </c>
    </row>
    <row r="49" spans="1:31" ht="63" x14ac:dyDescent="0.25">
      <c r="F49" s="38" t="s">
        <v>36</v>
      </c>
      <c r="G49" s="38" t="s">
        <v>37</v>
      </c>
      <c r="H49" s="38" t="s">
        <v>38</v>
      </c>
      <c r="I49" s="38" t="s">
        <v>80</v>
      </c>
      <c r="J49" s="38" t="s">
        <v>39</v>
      </c>
      <c r="K49" s="38" t="s">
        <v>45</v>
      </c>
      <c r="L49" s="39" t="s">
        <v>16</v>
      </c>
      <c r="M49" s="40" t="s">
        <v>34</v>
      </c>
      <c r="N49" s="40" t="s">
        <v>5</v>
      </c>
      <c r="O49" s="40" t="s">
        <v>7</v>
      </c>
      <c r="P49" s="40" t="s">
        <v>8</v>
      </c>
      <c r="Q49" s="40" t="s">
        <v>40</v>
      </c>
      <c r="R49" s="40" t="s">
        <v>41</v>
      </c>
      <c r="S49" s="40" t="s">
        <v>42</v>
      </c>
      <c r="T49" s="40" t="s">
        <v>31</v>
      </c>
      <c r="U49" s="40" t="s">
        <v>43</v>
      </c>
      <c r="V49" s="40" t="s">
        <v>82</v>
      </c>
      <c r="W49" s="40" t="s">
        <v>87</v>
      </c>
      <c r="X49" s="40" t="s">
        <v>83</v>
      </c>
      <c r="Y49" s="45" t="s">
        <v>3</v>
      </c>
      <c r="Z49" s="45" t="s">
        <v>3</v>
      </c>
      <c r="AA49" s="45" t="s">
        <v>3</v>
      </c>
    </row>
    <row r="50" spans="1:31" x14ac:dyDescent="0.25">
      <c r="A50" s="15" t="s">
        <v>51</v>
      </c>
      <c r="B50" s="2"/>
      <c r="C50" s="2"/>
      <c r="F50" s="1">
        <f t="shared" ref="F50:M50" si="15">F52+F53+F54</f>
        <v>0</v>
      </c>
      <c r="G50" s="1">
        <f t="shared" si="15"/>
        <v>0</v>
      </c>
      <c r="H50" s="1">
        <f t="shared" si="15"/>
        <v>0</v>
      </c>
      <c r="I50" s="1">
        <f t="shared" si="15"/>
        <v>0</v>
      </c>
      <c r="J50" s="1">
        <f t="shared" si="15"/>
        <v>0</v>
      </c>
      <c r="K50" s="1">
        <f t="shared" si="15"/>
        <v>0</v>
      </c>
      <c r="L50" s="52">
        <f t="shared" si="15"/>
        <v>0</v>
      </c>
      <c r="M50" s="1">
        <f t="shared" si="15"/>
        <v>0</v>
      </c>
      <c r="N50" s="1">
        <f t="shared" ref="N50:X50" si="16">N52+N53+N54</f>
        <v>0</v>
      </c>
      <c r="O50" s="1">
        <f t="shared" si="16"/>
        <v>0</v>
      </c>
      <c r="P50" s="1">
        <f t="shared" si="16"/>
        <v>0</v>
      </c>
      <c r="Q50" s="1">
        <f t="shared" si="16"/>
        <v>0</v>
      </c>
      <c r="R50" s="1">
        <f t="shared" si="16"/>
        <v>0</v>
      </c>
      <c r="S50" s="1">
        <f t="shared" si="16"/>
        <v>0</v>
      </c>
      <c r="T50" s="1">
        <f t="shared" si="16"/>
        <v>0</v>
      </c>
      <c r="U50" s="1">
        <f t="shared" si="16"/>
        <v>0</v>
      </c>
      <c r="V50" s="1">
        <f t="shared" si="16"/>
        <v>0</v>
      </c>
      <c r="W50" s="1">
        <f t="shared" si="16"/>
        <v>0</v>
      </c>
      <c r="X50" s="1">
        <f t="shared" si="16"/>
        <v>0</v>
      </c>
      <c r="Y50" s="58">
        <f t="shared" ref="Y50:Y90" si="17">SUM(F50:K50)</f>
        <v>0</v>
      </c>
      <c r="Z50" s="1">
        <f t="shared" ref="Z50:Z90" si="18">SUM(M50:X50)</f>
        <v>0</v>
      </c>
      <c r="AA50" s="1">
        <f t="shared" ref="AA50:AA56" si="19">L50+Y50+Z50</f>
        <v>0</v>
      </c>
      <c r="AB50" s="44" t="s">
        <v>85</v>
      </c>
      <c r="AC50" s="44" t="s">
        <v>48</v>
      </c>
    </row>
    <row r="51" spans="1:31" x14ac:dyDescent="0.25">
      <c r="A51" s="30" t="s">
        <v>60</v>
      </c>
      <c r="B51" s="2"/>
      <c r="C51" s="2"/>
      <c r="F51" s="1">
        <f>F55+F56+F57+F58</f>
        <v>2650.4</v>
      </c>
      <c r="G51" s="1">
        <f t="shared" ref="G51:X51" si="20">G55+G56+G57+G58</f>
        <v>600</v>
      </c>
      <c r="H51" s="1">
        <f t="shared" si="20"/>
        <v>3000</v>
      </c>
      <c r="I51" s="1">
        <f t="shared" si="20"/>
        <v>850</v>
      </c>
      <c r="J51" s="64">
        <f>1480*0.97</f>
        <v>1435.6</v>
      </c>
      <c r="K51" s="1">
        <f t="shared" si="20"/>
        <v>765</v>
      </c>
      <c r="L51" s="52">
        <f t="shared" si="20"/>
        <v>18000</v>
      </c>
      <c r="M51" s="64">
        <v>1600</v>
      </c>
      <c r="N51" s="1">
        <f t="shared" si="20"/>
        <v>1045.0999999999999</v>
      </c>
      <c r="O51" s="1">
        <f t="shared" si="20"/>
        <v>220</v>
      </c>
      <c r="P51" s="1">
        <f t="shared" si="20"/>
        <v>480</v>
      </c>
      <c r="Q51" s="1">
        <f t="shared" si="20"/>
        <v>3364.52</v>
      </c>
      <c r="R51" s="1">
        <f t="shared" si="20"/>
        <v>1776.8</v>
      </c>
      <c r="S51" s="1">
        <f t="shared" si="20"/>
        <v>77.174999999999997</v>
      </c>
      <c r="T51" s="1">
        <f t="shared" si="20"/>
        <v>2198.8000000000002</v>
      </c>
      <c r="U51" s="1">
        <f t="shared" si="20"/>
        <v>980</v>
      </c>
      <c r="V51" s="1">
        <f t="shared" si="20"/>
        <v>1372</v>
      </c>
      <c r="W51" s="1">
        <f t="shared" si="20"/>
        <v>1216</v>
      </c>
      <c r="X51" s="54">
        <f t="shared" si="20"/>
        <v>2995</v>
      </c>
      <c r="Y51" s="58">
        <f t="shared" si="17"/>
        <v>9301</v>
      </c>
      <c r="Z51" s="1">
        <f t="shared" si="18"/>
        <v>17325.395</v>
      </c>
      <c r="AA51" s="1">
        <f t="shared" si="19"/>
        <v>44626.395000000004</v>
      </c>
      <c r="AB51" s="66">
        <f>11250+M50</f>
        <v>11250</v>
      </c>
      <c r="AC51" s="64">
        <f>10200+3750+200+P50</f>
        <v>14150</v>
      </c>
    </row>
    <row r="52" spans="1:31" x14ac:dyDescent="0.25">
      <c r="A52" s="15" t="s">
        <v>51</v>
      </c>
      <c r="B52" s="16" t="s">
        <v>52</v>
      </c>
      <c r="C52" s="2"/>
      <c r="F52" s="1">
        <f>F59+F60+F61</f>
        <v>0</v>
      </c>
      <c r="G52" s="1">
        <f t="shared" ref="G52:X52" si="21">G59+G60+G61</f>
        <v>0</v>
      </c>
      <c r="H52" s="1">
        <f t="shared" si="21"/>
        <v>0</v>
      </c>
      <c r="I52" s="1">
        <f t="shared" si="21"/>
        <v>0</v>
      </c>
      <c r="J52" s="1">
        <f t="shared" si="21"/>
        <v>0</v>
      </c>
      <c r="K52" s="1">
        <f t="shared" si="21"/>
        <v>0</v>
      </c>
      <c r="L52" s="52">
        <f t="shared" si="21"/>
        <v>0</v>
      </c>
      <c r="M52" s="1">
        <f t="shared" si="21"/>
        <v>0</v>
      </c>
      <c r="N52" s="1">
        <f t="shared" si="21"/>
        <v>0</v>
      </c>
      <c r="O52" s="1">
        <f t="shared" si="21"/>
        <v>0</v>
      </c>
      <c r="P52" s="1">
        <f t="shared" si="21"/>
        <v>0</v>
      </c>
      <c r="Q52" s="1">
        <f t="shared" si="21"/>
        <v>0</v>
      </c>
      <c r="R52" s="1">
        <f t="shared" si="21"/>
        <v>0</v>
      </c>
      <c r="S52" s="1">
        <f t="shared" si="21"/>
        <v>0</v>
      </c>
      <c r="T52" s="1">
        <f t="shared" si="21"/>
        <v>0</v>
      </c>
      <c r="U52" s="1">
        <f t="shared" si="21"/>
        <v>0</v>
      </c>
      <c r="V52" s="1">
        <f t="shared" si="21"/>
        <v>0</v>
      </c>
      <c r="W52" s="1">
        <f t="shared" si="21"/>
        <v>0</v>
      </c>
      <c r="X52" s="54">
        <f t="shared" si="21"/>
        <v>0</v>
      </c>
      <c r="Y52" s="58">
        <f t="shared" si="17"/>
        <v>0</v>
      </c>
      <c r="Z52" s="1">
        <f t="shared" si="18"/>
        <v>0</v>
      </c>
      <c r="AA52" s="1">
        <f t="shared" si="19"/>
        <v>0</v>
      </c>
      <c r="AB52" s="10" t="s">
        <v>88</v>
      </c>
    </row>
    <row r="53" spans="1:31" x14ac:dyDescent="0.25">
      <c r="A53" s="15" t="s">
        <v>51</v>
      </c>
      <c r="B53" s="16" t="s">
        <v>56</v>
      </c>
      <c r="C53" s="2"/>
      <c r="F53" s="1">
        <f>F62+F63+F64</f>
        <v>0</v>
      </c>
      <c r="G53" s="1">
        <f t="shared" ref="G53:X53" si="22">G62+G63+G64</f>
        <v>0</v>
      </c>
      <c r="H53" s="1">
        <f t="shared" si="22"/>
        <v>0</v>
      </c>
      <c r="I53" s="1">
        <f t="shared" si="22"/>
        <v>0</v>
      </c>
      <c r="J53" s="1">
        <f t="shared" si="22"/>
        <v>0</v>
      </c>
      <c r="K53" s="1">
        <f t="shared" si="22"/>
        <v>0</v>
      </c>
      <c r="L53" s="52">
        <f t="shared" si="22"/>
        <v>0</v>
      </c>
      <c r="M53" s="1">
        <f t="shared" si="22"/>
        <v>0</v>
      </c>
      <c r="N53" s="1">
        <f t="shared" si="22"/>
        <v>0</v>
      </c>
      <c r="O53" s="1">
        <f t="shared" si="22"/>
        <v>0</v>
      </c>
      <c r="P53" s="1">
        <f t="shared" si="22"/>
        <v>0</v>
      </c>
      <c r="Q53" s="1">
        <f t="shared" si="22"/>
        <v>0</v>
      </c>
      <c r="R53" s="1">
        <f t="shared" si="22"/>
        <v>0</v>
      </c>
      <c r="S53" s="1">
        <f t="shared" si="22"/>
        <v>0</v>
      </c>
      <c r="T53" s="1">
        <f t="shared" si="22"/>
        <v>0</v>
      </c>
      <c r="U53" s="1">
        <f t="shared" si="22"/>
        <v>0</v>
      </c>
      <c r="V53" s="1">
        <f t="shared" si="22"/>
        <v>0</v>
      </c>
      <c r="W53" s="1">
        <f t="shared" si="22"/>
        <v>0</v>
      </c>
      <c r="X53" s="54">
        <f t="shared" si="22"/>
        <v>0</v>
      </c>
      <c r="Y53" s="58">
        <f t="shared" si="17"/>
        <v>0</v>
      </c>
      <c r="Z53" s="1">
        <f t="shared" si="18"/>
        <v>0</v>
      </c>
      <c r="AA53" s="1">
        <f t="shared" si="19"/>
        <v>0</v>
      </c>
      <c r="AB53" t="s">
        <v>97</v>
      </c>
    </row>
    <row r="54" spans="1:31" x14ac:dyDescent="0.25">
      <c r="A54" s="15" t="s">
        <v>51</v>
      </c>
      <c r="B54" s="16" t="s">
        <v>9</v>
      </c>
      <c r="C54" s="2"/>
      <c r="F54" s="1">
        <f>F65</f>
        <v>0</v>
      </c>
      <c r="G54" s="1">
        <f t="shared" ref="G54:X54" si="23">G65</f>
        <v>0</v>
      </c>
      <c r="H54" s="1">
        <f t="shared" si="23"/>
        <v>0</v>
      </c>
      <c r="I54" s="1">
        <f t="shared" si="23"/>
        <v>0</v>
      </c>
      <c r="J54" s="1">
        <f t="shared" si="23"/>
        <v>0</v>
      </c>
      <c r="K54" s="1">
        <f t="shared" si="23"/>
        <v>0</v>
      </c>
      <c r="L54" s="52">
        <f t="shared" si="23"/>
        <v>0</v>
      </c>
      <c r="M54" s="1">
        <f t="shared" si="23"/>
        <v>0</v>
      </c>
      <c r="N54" s="1">
        <f t="shared" si="23"/>
        <v>0</v>
      </c>
      <c r="O54" s="1">
        <f t="shared" si="23"/>
        <v>0</v>
      </c>
      <c r="P54" s="1">
        <f t="shared" si="23"/>
        <v>0</v>
      </c>
      <c r="Q54" s="1">
        <f t="shared" si="23"/>
        <v>0</v>
      </c>
      <c r="R54" s="1">
        <f t="shared" si="23"/>
        <v>0</v>
      </c>
      <c r="S54" s="1">
        <f t="shared" si="23"/>
        <v>0</v>
      </c>
      <c r="T54" s="1">
        <f t="shared" si="23"/>
        <v>0</v>
      </c>
      <c r="U54" s="1">
        <f t="shared" si="23"/>
        <v>0</v>
      </c>
      <c r="V54" s="1">
        <f t="shared" si="23"/>
        <v>0</v>
      </c>
      <c r="W54" s="1">
        <f t="shared" si="23"/>
        <v>0</v>
      </c>
      <c r="X54" s="54">
        <f t="shared" si="23"/>
        <v>0</v>
      </c>
      <c r="Y54" s="58">
        <f t="shared" si="17"/>
        <v>0</v>
      </c>
      <c r="Z54" s="1">
        <f t="shared" si="18"/>
        <v>0</v>
      </c>
      <c r="AA54" s="1">
        <f t="shared" si="19"/>
        <v>0</v>
      </c>
    </row>
    <row r="55" spans="1:31" x14ac:dyDescent="0.25">
      <c r="A55" s="30" t="s">
        <v>60</v>
      </c>
      <c r="B55" s="32" t="s">
        <v>13</v>
      </c>
      <c r="C55" s="2"/>
      <c r="F55" s="51">
        <f>F66+F67+F68</f>
        <v>2600</v>
      </c>
      <c r="G55" s="51">
        <f t="shared" ref="G55:X55" si="24">G66+G67+G68</f>
        <v>600</v>
      </c>
      <c r="H55" s="51">
        <f t="shared" si="24"/>
        <v>3000</v>
      </c>
      <c r="I55" s="51">
        <f t="shared" si="24"/>
        <v>850</v>
      </c>
      <c r="J55" s="51">
        <f t="shared" si="24"/>
        <v>496</v>
      </c>
      <c r="K55" s="51">
        <f t="shared" si="24"/>
        <v>180</v>
      </c>
      <c r="L55" s="52">
        <f t="shared" si="24"/>
        <v>0</v>
      </c>
      <c r="M55" s="51">
        <f t="shared" si="24"/>
        <v>471</v>
      </c>
      <c r="N55" s="51">
        <f t="shared" si="24"/>
        <v>50</v>
      </c>
      <c r="O55" s="51">
        <f t="shared" si="24"/>
        <v>220</v>
      </c>
      <c r="P55" s="51">
        <f t="shared" si="24"/>
        <v>480</v>
      </c>
      <c r="Q55" s="51">
        <f t="shared" si="24"/>
        <v>9</v>
      </c>
      <c r="R55" s="51">
        <f t="shared" si="24"/>
        <v>28.8</v>
      </c>
      <c r="S55" s="51">
        <f t="shared" si="24"/>
        <v>0</v>
      </c>
      <c r="T55" s="51">
        <f t="shared" si="24"/>
        <v>28.8</v>
      </c>
      <c r="U55" s="51">
        <f t="shared" si="24"/>
        <v>144</v>
      </c>
      <c r="V55" s="51">
        <f t="shared" si="24"/>
        <v>60</v>
      </c>
      <c r="W55" s="51">
        <f t="shared" si="24"/>
        <v>608</v>
      </c>
      <c r="X55" s="55">
        <f t="shared" si="24"/>
        <v>380</v>
      </c>
      <c r="Y55" s="59">
        <f t="shared" si="17"/>
        <v>7726</v>
      </c>
      <c r="Z55" s="51">
        <f t="shared" si="18"/>
        <v>2479.6</v>
      </c>
      <c r="AA55" s="1">
        <f t="shared" si="19"/>
        <v>10205.6</v>
      </c>
      <c r="AB55" s="64">
        <v>15000</v>
      </c>
      <c r="AC55" s="10" t="s">
        <v>97</v>
      </c>
    </row>
    <row r="56" spans="1:31" x14ac:dyDescent="0.25">
      <c r="A56" s="30" t="s">
        <v>60</v>
      </c>
      <c r="B56" s="31" t="s">
        <v>23</v>
      </c>
      <c r="C56" s="2"/>
      <c r="F56" s="51">
        <f>F69+F70+F71</f>
        <v>50.400000000000006</v>
      </c>
      <c r="G56" s="51">
        <f t="shared" ref="G56:X56" si="25">G69+G70+G71</f>
        <v>0</v>
      </c>
      <c r="H56" s="51">
        <f t="shared" si="25"/>
        <v>0</v>
      </c>
      <c r="I56" s="51">
        <f t="shared" si="25"/>
        <v>0</v>
      </c>
      <c r="J56" s="51">
        <f t="shared" si="25"/>
        <v>576.92499999999995</v>
      </c>
      <c r="K56" s="51">
        <f t="shared" si="25"/>
        <v>585</v>
      </c>
      <c r="L56" s="52">
        <f t="shared" si="25"/>
        <v>0</v>
      </c>
      <c r="M56" s="51">
        <f t="shared" si="25"/>
        <v>0</v>
      </c>
      <c r="N56" s="51">
        <f t="shared" si="25"/>
        <v>995.1</v>
      </c>
      <c r="O56" s="51">
        <f t="shared" si="25"/>
        <v>0</v>
      </c>
      <c r="P56" s="51">
        <f t="shared" si="25"/>
        <v>0</v>
      </c>
      <c r="Q56" s="51">
        <f t="shared" si="25"/>
        <v>0</v>
      </c>
      <c r="R56" s="51">
        <f t="shared" si="25"/>
        <v>0</v>
      </c>
      <c r="S56" s="51">
        <f t="shared" si="25"/>
        <v>77.174999999999997</v>
      </c>
      <c r="T56" s="51">
        <f t="shared" si="25"/>
        <v>42.000000000000007</v>
      </c>
      <c r="U56" s="51">
        <f t="shared" si="25"/>
        <v>0</v>
      </c>
      <c r="V56" s="51">
        <f t="shared" si="25"/>
        <v>90</v>
      </c>
      <c r="W56" s="51">
        <f t="shared" si="25"/>
        <v>0</v>
      </c>
      <c r="X56" s="55">
        <f t="shared" si="25"/>
        <v>90</v>
      </c>
      <c r="Y56" s="59">
        <f t="shared" si="17"/>
        <v>1212.3249999999998</v>
      </c>
      <c r="Z56" s="51">
        <f t="shared" si="18"/>
        <v>1294.2750000000001</v>
      </c>
      <c r="AA56" s="51">
        <f t="shared" si="19"/>
        <v>2506.6</v>
      </c>
    </row>
    <row r="57" spans="1:31" x14ac:dyDescent="0.25">
      <c r="A57" s="30" t="s">
        <v>60</v>
      </c>
      <c r="B57" s="31" t="s">
        <v>65</v>
      </c>
      <c r="C57" s="46"/>
      <c r="F57" s="51">
        <f>F72+F73+F74</f>
        <v>0</v>
      </c>
      <c r="G57" s="51">
        <f t="shared" ref="G57:X57" si="26">G72+G73+G74</f>
        <v>0</v>
      </c>
      <c r="H57" s="51">
        <f t="shared" si="26"/>
        <v>0</v>
      </c>
      <c r="I57" s="51">
        <f t="shared" si="26"/>
        <v>0</v>
      </c>
      <c r="J57" s="51">
        <f t="shared" si="26"/>
        <v>380</v>
      </c>
      <c r="K57" s="51">
        <f t="shared" si="26"/>
        <v>0</v>
      </c>
      <c r="L57" s="52">
        <f t="shared" si="26"/>
        <v>18000</v>
      </c>
      <c r="M57" s="51">
        <f t="shared" si="26"/>
        <v>1130.5</v>
      </c>
      <c r="N57" s="51">
        <f t="shared" si="26"/>
        <v>0</v>
      </c>
      <c r="O57" s="51">
        <f t="shared" si="26"/>
        <v>0</v>
      </c>
      <c r="P57" s="51">
        <f t="shared" si="26"/>
        <v>0</v>
      </c>
      <c r="Q57" s="51">
        <f t="shared" si="26"/>
        <v>3355.52</v>
      </c>
      <c r="R57" s="51">
        <f t="shared" si="26"/>
        <v>1748</v>
      </c>
      <c r="S57" s="51">
        <f t="shared" si="26"/>
        <v>0</v>
      </c>
      <c r="T57" s="51">
        <f t="shared" si="26"/>
        <v>2128</v>
      </c>
      <c r="U57" s="51">
        <f t="shared" si="26"/>
        <v>836</v>
      </c>
      <c r="V57" s="51">
        <f t="shared" si="26"/>
        <v>500</v>
      </c>
      <c r="W57" s="51">
        <f t="shared" si="26"/>
        <v>608</v>
      </c>
      <c r="X57" s="55">
        <f t="shared" si="26"/>
        <v>1900</v>
      </c>
      <c r="Y57" s="59">
        <f t="shared" si="17"/>
        <v>380</v>
      </c>
      <c r="Z57" s="51">
        <f t="shared" si="18"/>
        <v>12206.02</v>
      </c>
      <c r="AA57" s="64">
        <f>31850</f>
        <v>31850</v>
      </c>
    </row>
    <row r="58" spans="1:31" ht="15.75" thickBot="1" x14ac:dyDescent="0.3">
      <c r="A58" s="48" t="s">
        <v>60</v>
      </c>
      <c r="B58" s="49" t="s">
        <v>9</v>
      </c>
      <c r="C58" s="50"/>
      <c r="D58" s="50"/>
      <c r="E58" s="50"/>
      <c r="F58" s="53">
        <f>F75</f>
        <v>0</v>
      </c>
      <c r="G58" s="53">
        <f t="shared" ref="G58:X58" si="27">G75</f>
        <v>0</v>
      </c>
      <c r="H58" s="53">
        <f t="shared" si="27"/>
        <v>0</v>
      </c>
      <c r="I58" s="53">
        <f t="shared" si="27"/>
        <v>0</v>
      </c>
      <c r="J58" s="53">
        <f t="shared" si="27"/>
        <v>0</v>
      </c>
      <c r="K58" s="53">
        <f t="shared" si="27"/>
        <v>0</v>
      </c>
      <c r="L58" s="62">
        <f t="shared" si="27"/>
        <v>0</v>
      </c>
      <c r="M58" s="53">
        <f t="shared" si="27"/>
        <v>0</v>
      </c>
      <c r="N58" s="53">
        <f t="shared" si="27"/>
        <v>0</v>
      </c>
      <c r="O58" s="53">
        <f t="shared" si="27"/>
        <v>0</v>
      </c>
      <c r="P58" s="53">
        <f t="shared" si="27"/>
        <v>0</v>
      </c>
      <c r="Q58" s="53">
        <f t="shared" si="27"/>
        <v>0</v>
      </c>
      <c r="R58" s="53">
        <f t="shared" si="27"/>
        <v>0</v>
      </c>
      <c r="S58" s="53">
        <f t="shared" si="27"/>
        <v>0</v>
      </c>
      <c r="T58" s="53">
        <f t="shared" si="27"/>
        <v>0</v>
      </c>
      <c r="U58" s="53">
        <f t="shared" si="27"/>
        <v>0</v>
      </c>
      <c r="V58" s="53">
        <f t="shared" si="27"/>
        <v>722</v>
      </c>
      <c r="W58" s="53">
        <f t="shared" si="27"/>
        <v>0</v>
      </c>
      <c r="X58" s="53">
        <f t="shared" si="27"/>
        <v>625</v>
      </c>
      <c r="Y58" s="60">
        <f t="shared" si="17"/>
        <v>0</v>
      </c>
      <c r="Z58" s="53">
        <f t="shared" si="18"/>
        <v>1347</v>
      </c>
      <c r="AA58" s="65">
        <v>625</v>
      </c>
    </row>
    <row r="59" spans="1:31" ht="15.75" thickTop="1" x14ac:dyDescent="0.25">
      <c r="A59" s="15" t="s">
        <v>51</v>
      </c>
      <c r="B59" s="16" t="s">
        <v>52</v>
      </c>
      <c r="C59" s="16" t="s">
        <v>53</v>
      </c>
      <c r="D59" s="2"/>
      <c r="E59" s="2"/>
      <c r="F59" s="47"/>
      <c r="G59" s="47"/>
      <c r="H59" s="47"/>
      <c r="I59" s="47"/>
      <c r="J59" s="47"/>
      <c r="K59" s="47"/>
      <c r="L59" s="6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57"/>
      <c r="Y59" s="61">
        <f t="shared" si="17"/>
        <v>0</v>
      </c>
      <c r="Z59" s="47">
        <f t="shared" si="18"/>
        <v>0</v>
      </c>
      <c r="AA59" s="47">
        <f t="shared" ref="AA59:AA68" si="28">L59+Y59+Z59</f>
        <v>0</v>
      </c>
    </row>
    <row r="60" spans="1:31" x14ac:dyDescent="0.25">
      <c r="A60" s="15" t="s">
        <v>51</v>
      </c>
      <c r="B60" s="16" t="s">
        <v>52</v>
      </c>
      <c r="C60" s="16" t="s">
        <v>54</v>
      </c>
      <c r="D60" s="2"/>
      <c r="E60" s="2"/>
      <c r="F60" s="1"/>
      <c r="G60" s="1"/>
      <c r="H60" s="1"/>
      <c r="I60" s="1"/>
      <c r="J60" s="1"/>
      <c r="K60" s="1"/>
      <c r="L60" s="5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54"/>
      <c r="Y60" s="58">
        <f t="shared" si="17"/>
        <v>0</v>
      </c>
      <c r="Z60" s="1">
        <f t="shared" si="18"/>
        <v>0</v>
      </c>
      <c r="AA60" s="1">
        <f t="shared" si="28"/>
        <v>0</v>
      </c>
      <c r="AD60">
        <f>1.7/7.5</f>
        <v>0.22666666666666666</v>
      </c>
    </row>
    <row r="61" spans="1:31" x14ac:dyDescent="0.25">
      <c r="A61" s="15" t="s">
        <v>51</v>
      </c>
      <c r="B61" s="16" t="s">
        <v>52</v>
      </c>
      <c r="C61" s="16" t="s">
        <v>55</v>
      </c>
      <c r="D61" s="2"/>
      <c r="E61" s="2"/>
      <c r="F61" s="1"/>
      <c r="G61" s="1"/>
      <c r="H61" s="1"/>
      <c r="I61" s="1"/>
      <c r="J61" s="1"/>
      <c r="K61" s="1"/>
      <c r="L61" s="5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54"/>
      <c r="Y61" s="58">
        <f t="shared" si="17"/>
        <v>0</v>
      </c>
      <c r="Z61" s="1">
        <f t="shared" si="18"/>
        <v>0</v>
      </c>
      <c r="AA61" s="1">
        <f t="shared" si="28"/>
        <v>0</v>
      </c>
    </row>
    <row r="62" spans="1:31" x14ac:dyDescent="0.25">
      <c r="A62" s="25" t="s">
        <v>51</v>
      </c>
      <c r="B62" s="26" t="s">
        <v>56</v>
      </c>
      <c r="C62" s="26" t="s">
        <v>57</v>
      </c>
      <c r="D62" s="2"/>
      <c r="E62" s="2"/>
      <c r="F62" s="1"/>
      <c r="G62" s="1"/>
      <c r="H62" s="1"/>
      <c r="I62" s="1"/>
      <c r="J62" s="1"/>
      <c r="K62" s="1"/>
      <c r="L62" s="5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54"/>
      <c r="Y62" s="58">
        <f t="shared" si="17"/>
        <v>0</v>
      </c>
      <c r="Z62" s="1">
        <f t="shared" si="18"/>
        <v>0</v>
      </c>
      <c r="AA62" s="1">
        <f t="shared" si="28"/>
        <v>0</v>
      </c>
    </row>
    <row r="63" spans="1:31" x14ac:dyDescent="0.25">
      <c r="A63" s="15" t="s">
        <v>51</v>
      </c>
      <c r="B63" s="16" t="s">
        <v>56</v>
      </c>
      <c r="C63" s="27" t="s">
        <v>58</v>
      </c>
      <c r="D63" s="2"/>
      <c r="E63" s="2"/>
      <c r="F63" s="1"/>
      <c r="G63" s="1"/>
      <c r="H63" s="1"/>
      <c r="I63" s="1"/>
      <c r="J63" s="1"/>
      <c r="K63" s="1"/>
      <c r="L63" s="5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54"/>
      <c r="Y63" s="58">
        <f t="shared" si="17"/>
        <v>0</v>
      </c>
      <c r="Z63" s="1">
        <f t="shared" si="18"/>
        <v>0</v>
      </c>
      <c r="AA63" s="1">
        <f t="shared" si="28"/>
        <v>0</v>
      </c>
      <c r="AC63">
        <f>16/103*5000</f>
        <v>776.69902912621353</v>
      </c>
    </row>
    <row r="64" spans="1:31" x14ac:dyDescent="0.25">
      <c r="A64" s="15" t="s">
        <v>51</v>
      </c>
      <c r="B64" s="16" t="s">
        <v>9</v>
      </c>
      <c r="C64" s="27" t="s">
        <v>59</v>
      </c>
      <c r="D64" s="2"/>
      <c r="E64" s="2"/>
      <c r="F64" s="1"/>
      <c r="G64" s="1"/>
      <c r="H64" s="1"/>
      <c r="I64" s="1"/>
      <c r="J64" s="1"/>
      <c r="K64" s="1"/>
      <c r="L64" s="5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54"/>
      <c r="Y64" s="58">
        <f t="shared" si="17"/>
        <v>0</v>
      </c>
      <c r="Z64" s="1">
        <f t="shared" si="18"/>
        <v>0</v>
      </c>
      <c r="AA64" s="1">
        <f t="shared" si="28"/>
        <v>0</v>
      </c>
      <c r="AC64">
        <f>80/190*2000</f>
        <v>842.10526315789468</v>
      </c>
      <c r="AE64" s="98" t="s">
        <v>114</v>
      </c>
    </row>
    <row r="65" spans="1:32" x14ac:dyDescent="0.25">
      <c r="A65" s="15" t="s">
        <v>51</v>
      </c>
      <c r="B65" s="16" t="s">
        <v>9</v>
      </c>
      <c r="C65" s="27" t="s">
        <v>9</v>
      </c>
      <c r="D65" s="2"/>
      <c r="E65" s="2"/>
      <c r="F65" s="1"/>
      <c r="G65" s="1"/>
      <c r="H65" s="1"/>
      <c r="I65" s="1"/>
      <c r="J65" s="1"/>
      <c r="K65" s="1"/>
      <c r="L65" s="5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54"/>
      <c r="Y65" s="58">
        <f t="shared" si="17"/>
        <v>0</v>
      </c>
      <c r="Z65" s="1">
        <f t="shared" si="18"/>
        <v>0</v>
      </c>
      <c r="AA65" s="1">
        <f t="shared" si="28"/>
        <v>0</v>
      </c>
      <c r="AE65" s="98">
        <v>13200</v>
      </c>
      <c r="AF65" s="98" t="s">
        <v>120</v>
      </c>
    </row>
    <row r="66" spans="1:32" x14ac:dyDescent="0.25">
      <c r="A66" s="28" t="s">
        <v>60</v>
      </c>
      <c r="B66" s="29" t="s">
        <v>13</v>
      </c>
      <c r="C66" s="29" t="s">
        <v>61</v>
      </c>
      <c r="D66" s="2"/>
      <c r="E66" s="2"/>
      <c r="F66" s="64">
        <f>2600*0.94</f>
        <v>2444</v>
      </c>
      <c r="G66" s="51"/>
      <c r="H66" s="64">
        <f>3000*0.75</f>
        <v>2250</v>
      </c>
      <c r="I66" s="64">
        <v>850</v>
      </c>
      <c r="J66" s="64">
        <v>496</v>
      </c>
      <c r="K66" s="64">
        <v>180</v>
      </c>
      <c r="L66" s="52"/>
      <c r="M66" s="64">
        <v>471</v>
      </c>
      <c r="N66" s="64">
        <v>50</v>
      </c>
      <c r="O66" s="64">
        <v>220</v>
      </c>
      <c r="P66" s="64">
        <v>480</v>
      </c>
      <c r="Q66" s="64">
        <f>'Av 2012'!Q66*0.9</f>
        <v>9</v>
      </c>
      <c r="R66" s="64">
        <f>'Av 2012'!R66*0.9</f>
        <v>28.8</v>
      </c>
      <c r="S66" s="51"/>
      <c r="T66" s="64">
        <f>'Av 2012'!T66*0.9</f>
        <v>28.8</v>
      </c>
      <c r="U66" s="64">
        <f>'Av 2012'!U66*0.9</f>
        <v>144</v>
      </c>
      <c r="V66" s="77">
        <f>V21*V111</f>
        <v>60</v>
      </c>
      <c r="W66" s="64">
        <f>640*0.95</f>
        <v>608</v>
      </c>
      <c r="X66" s="67">
        <f>400*0.95</f>
        <v>380</v>
      </c>
      <c r="Y66" s="59">
        <f t="shared" si="17"/>
        <v>6220</v>
      </c>
      <c r="Z66" s="51">
        <f t="shared" si="18"/>
        <v>2479.6</v>
      </c>
      <c r="AA66" s="51">
        <f t="shared" si="28"/>
        <v>8699.6</v>
      </c>
      <c r="AC66">
        <f>28/104*2000</f>
        <v>538.46153846153845</v>
      </c>
      <c r="AE66" s="98">
        <v>2000</v>
      </c>
      <c r="AF66" s="98" t="s">
        <v>119</v>
      </c>
    </row>
    <row r="67" spans="1:32" x14ac:dyDescent="0.25">
      <c r="A67" s="36" t="s">
        <v>60</v>
      </c>
      <c r="B67" s="37" t="s">
        <v>13</v>
      </c>
      <c r="C67" s="29" t="s">
        <v>62</v>
      </c>
      <c r="D67" s="2"/>
      <c r="E67" s="2"/>
      <c r="F67" s="64">
        <f>2600*0.06</f>
        <v>156</v>
      </c>
      <c r="G67" s="64">
        <v>600</v>
      </c>
      <c r="H67" s="64">
        <f>3000*0.25</f>
        <v>750</v>
      </c>
      <c r="I67" s="51"/>
      <c r="J67" s="51"/>
      <c r="K67" s="51"/>
      <c r="L67" s="52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5"/>
      <c r="Y67" s="59">
        <f t="shared" si="17"/>
        <v>1506</v>
      </c>
      <c r="Z67" s="51">
        <f t="shared" si="18"/>
        <v>0</v>
      </c>
      <c r="AA67" s="51">
        <f t="shared" si="28"/>
        <v>1506</v>
      </c>
      <c r="AC67">
        <f>40/56</f>
        <v>0.7142857142857143</v>
      </c>
      <c r="AE67" s="98">
        <v>400</v>
      </c>
      <c r="AF67" s="98" t="s">
        <v>118</v>
      </c>
    </row>
    <row r="68" spans="1:32" x14ac:dyDescent="0.25">
      <c r="A68" s="30" t="s">
        <v>60</v>
      </c>
      <c r="B68" s="31" t="s">
        <v>13</v>
      </c>
      <c r="C68" s="32" t="s">
        <v>63</v>
      </c>
      <c r="D68" s="2"/>
      <c r="E68" s="2"/>
      <c r="F68" s="51"/>
      <c r="G68" s="51"/>
      <c r="H68" s="51"/>
      <c r="I68" s="51"/>
      <c r="J68" s="51"/>
      <c r="K68" s="51"/>
      <c r="L68" s="52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5"/>
      <c r="Y68" s="59">
        <f t="shared" si="17"/>
        <v>0</v>
      </c>
      <c r="Z68" s="51">
        <f t="shared" si="18"/>
        <v>0</v>
      </c>
      <c r="AA68" s="51">
        <f t="shared" si="28"/>
        <v>0</v>
      </c>
      <c r="AE68" s="98">
        <v>1100</v>
      </c>
      <c r="AF68" s="98" t="s">
        <v>117</v>
      </c>
    </row>
    <row r="69" spans="1:32" x14ac:dyDescent="0.25">
      <c r="A69" s="30" t="s">
        <v>60</v>
      </c>
      <c r="B69" s="32" t="s">
        <v>23</v>
      </c>
      <c r="C69" s="31" t="s">
        <v>50</v>
      </c>
      <c r="D69" s="2"/>
      <c r="E69" s="2"/>
      <c r="F69" s="77">
        <f>F24*F114</f>
        <v>50.400000000000006</v>
      </c>
      <c r="G69" s="51"/>
      <c r="H69" s="51"/>
      <c r="I69" s="51"/>
      <c r="J69" s="77">
        <f>J24*J114</f>
        <v>17.324999999999999</v>
      </c>
      <c r="K69" s="64">
        <f>600*0.975</f>
        <v>585</v>
      </c>
      <c r="L69" s="52"/>
      <c r="M69" s="51"/>
      <c r="N69" s="64">
        <f>1070*0.93</f>
        <v>995.1</v>
      </c>
      <c r="O69" s="51"/>
      <c r="P69" s="51"/>
      <c r="Q69" s="51"/>
      <c r="R69" s="51"/>
      <c r="S69" s="51"/>
      <c r="T69" s="51"/>
      <c r="U69" s="51"/>
      <c r="V69" s="51"/>
      <c r="W69" s="51"/>
      <c r="X69" s="55"/>
      <c r="Y69" s="59">
        <f t="shared" si="17"/>
        <v>652.72500000000002</v>
      </c>
      <c r="Z69" s="51">
        <f t="shared" si="18"/>
        <v>995.1</v>
      </c>
      <c r="AA69" s="64">
        <v>1680</v>
      </c>
      <c r="AE69" s="98">
        <v>1800</v>
      </c>
      <c r="AF69" s="98" t="s">
        <v>116</v>
      </c>
    </row>
    <row r="70" spans="1:32" x14ac:dyDescent="0.25">
      <c r="A70" s="30" t="s">
        <v>60</v>
      </c>
      <c r="B70" s="32" t="s">
        <v>23</v>
      </c>
      <c r="C70" s="31" t="s">
        <v>49</v>
      </c>
      <c r="D70" s="2"/>
      <c r="E70" s="2"/>
      <c r="F70" s="51"/>
      <c r="G70" s="51"/>
      <c r="H70" s="51"/>
      <c r="I70" s="51"/>
      <c r="J70" s="68">
        <f>J51-J66-J72</f>
        <v>559.59999999999991</v>
      </c>
      <c r="K70" s="51"/>
      <c r="L70" s="52"/>
      <c r="M70" s="51"/>
      <c r="N70" s="51"/>
      <c r="O70" s="51"/>
      <c r="P70" s="51"/>
      <c r="Q70" s="51"/>
      <c r="R70" s="51"/>
      <c r="S70" s="77">
        <f>S25*S115</f>
        <v>77.174999999999997</v>
      </c>
      <c r="T70" s="77">
        <f>T25*T115</f>
        <v>42.000000000000007</v>
      </c>
      <c r="U70" s="51"/>
      <c r="V70" s="77">
        <f>V25*V115</f>
        <v>90</v>
      </c>
      <c r="W70" s="51"/>
      <c r="X70" s="77">
        <f>X25*X115</f>
        <v>90</v>
      </c>
      <c r="Y70" s="59">
        <f t="shared" si="17"/>
        <v>559.59999999999991</v>
      </c>
      <c r="Z70" s="51">
        <f t="shared" si="18"/>
        <v>299.17500000000001</v>
      </c>
      <c r="AA70" s="64">
        <v>1440</v>
      </c>
      <c r="AE70" s="98">
        <v>800</v>
      </c>
      <c r="AF70" s="98" t="s">
        <v>49</v>
      </c>
    </row>
    <row r="71" spans="1:32" x14ac:dyDescent="0.25">
      <c r="A71" s="30" t="s">
        <v>60</v>
      </c>
      <c r="B71" s="32" t="s">
        <v>23</v>
      </c>
      <c r="C71" s="31" t="s">
        <v>64</v>
      </c>
      <c r="D71" s="2"/>
      <c r="E71" s="2"/>
      <c r="F71" s="51"/>
      <c r="G71" s="51"/>
      <c r="H71" s="51"/>
      <c r="I71" s="51"/>
      <c r="J71" s="51"/>
      <c r="K71" s="51"/>
      <c r="L71" s="52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5"/>
      <c r="Y71" s="59">
        <f t="shared" si="17"/>
        <v>0</v>
      </c>
      <c r="Z71" s="51">
        <f t="shared" si="18"/>
        <v>0</v>
      </c>
      <c r="AA71" s="51">
        <f t="shared" ref="AA71:AA90" si="29">L71+Y71+Z71</f>
        <v>0</v>
      </c>
    </row>
    <row r="72" spans="1:32" x14ac:dyDescent="0.25">
      <c r="A72" s="30" t="s">
        <v>60</v>
      </c>
      <c r="B72" s="32" t="s">
        <v>65</v>
      </c>
      <c r="C72" s="31" t="s">
        <v>66</v>
      </c>
      <c r="D72" s="2"/>
      <c r="E72" s="2"/>
      <c r="F72" s="51"/>
      <c r="G72" s="51"/>
      <c r="H72" s="51"/>
      <c r="I72" s="51"/>
      <c r="J72" s="64">
        <f>400*0.95</f>
        <v>380</v>
      </c>
      <c r="K72" s="51"/>
      <c r="L72" s="52"/>
      <c r="M72" s="64">
        <f>1190*0.95</f>
        <v>1130.5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5"/>
      <c r="Y72" s="59">
        <f t="shared" si="17"/>
        <v>380</v>
      </c>
      <c r="Z72" s="51">
        <f t="shared" si="18"/>
        <v>1130.5</v>
      </c>
      <c r="AA72" s="51">
        <f t="shared" si="29"/>
        <v>1510.5</v>
      </c>
    </row>
    <row r="73" spans="1:32" x14ac:dyDescent="0.25">
      <c r="A73" s="30" t="s">
        <v>60</v>
      </c>
      <c r="B73" s="32" t="s">
        <v>65</v>
      </c>
      <c r="C73" s="31" t="s">
        <v>67</v>
      </c>
      <c r="D73" s="2"/>
      <c r="E73" s="2"/>
      <c r="F73" s="51"/>
      <c r="G73" s="51"/>
      <c r="H73" s="51"/>
      <c r="I73" s="51"/>
      <c r="J73" s="51"/>
      <c r="K73" s="51"/>
      <c r="L73" s="52"/>
      <c r="M73" s="51"/>
      <c r="N73" s="51"/>
      <c r="O73" s="51"/>
      <c r="P73" s="51"/>
      <c r="Q73" s="64">
        <f>'Av 2012'!Q73*0.98</f>
        <v>3355.52</v>
      </c>
      <c r="R73" s="64">
        <f>'Av 2012'!R73*0.95</f>
        <v>1748</v>
      </c>
      <c r="S73" s="51"/>
      <c r="T73" s="64">
        <f>'Av 2012'!T73*0.95</f>
        <v>2128</v>
      </c>
      <c r="U73" s="64">
        <f>'Av 2012'!U73*0.95</f>
        <v>836</v>
      </c>
      <c r="V73" s="64">
        <f>500</f>
        <v>500</v>
      </c>
      <c r="W73" s="64">
        <f>'Av 2012'!W73*0.95</f>
        <v>608</v>
      </c>
      <c r="X73" s="64">
        <f>'Av 2012'!X73*0.95</f>
        <v>1900</v>
      </c>
      <c r="Y73" s="59">
        <f t="shared" si="17"/>
        <v>0</v>
      </c>
      <c r="Z73" s="51">
        <f t="shared" si="18"/>
        <v>11075.52</v>
      </c>
      <c r="AA73" s="51">
        <f t="shared" si="29"/>
        <v>11075.52</v>
      </c>
    </row>
    <row r="74" spans="1:32" x14ac:dyDescent="0.25">
      <c r="A74" s="30" t="s">
        <v>60</v>
      </c>
      <c r="B74" s="32" t="s">
        <v>65</v>
      </c>
      <c r="C74" s="31" t="s">
        <v>68</v>
      </c>
      <c r="D74" s="2"/>
      <c r="E74" s="2"/>
      <c r="F74" s="51"/>
      <c r="G74" s="51"/>
      <c r="H74" s="51"/>
      <c r="I74" s="51"/>
      <c r="J74" s="51"/>
      <c r="K74" s="51"/>
      <c r="L74" s="64">
        <f>18750*0.96</f>
        <v>18000</v>
      </c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5"/>
      <c r="Y74" s="59">
        <f t="shared" si="17"/>
        <v>0</v>
      </c>
      <c r="Z74" s="51">
        <f t="shared" si="18"/>
        <v>0</v>
      </c>
      <c r="AA74" s="51">
        <f t="shared" si="29"/>
        <v>18000</v>
      </c>
    </row>
    <row r="75" spans="1:32" x14ac:dyDescent="0.25">
      <c r="A75" s="30" t="s">
        <v>60</v>
      </c>
      <c r="B75" s="32" t="s">
        <v>9</v>
      </c>
      <c r="C75" s="31" t="s">
        <v>69</v>
      </c>
      <c r="D75" s="2"/>
      <c r="E75" s="2"/>
      <c r="F75" s="51"/>
      <c r="G75" s="51"/>
      <c r="H75" s="51"/>
      <c r="I75" s="51"/>
      <c r="J75" s="51"/>
      <c r="K75" s="51"/>
      <c r="L75" s="52"/>
      <c r="M75" s="51"/>
      <c r="N75" s="51"/>
      <c r="O75" s="51"/>
      <c r="P75" s="51"/>
      <c r="Q75" s="51"/>
      <c r="R75" s="51"/>
      <c r="S75" s="51"/>
      <c r="T75" s="51"/>
      <c r="U75" s="51"/>
      <c r="V75" s="96">
        <f>760*0.95</f>
        <v>722</v>
      </c>
      <c r="W75" s="51"/>
      <c r="X75" s="55">
        <v>625</v>
      </c>
      <c r="Y75" s="59">
        <f t="shared" si="17"/>
        <v>0</v>
      </c>
      <c r="Z75" s="51">
        <f t="shared" si="18"/>
        <v>1347</v>
      </c>
      <c r="AA75" s="51">
        <f t="shared" si="29"/>
        <v>1347</v>
      </c>
    </row>
    <row r="76" spans="1:32" x14ac:dyDescent="0.25">
      <c r="A76" s="15" t="s">
        <v>51</v>
      </c>
      <c r="B76" s="16" t="s">
        <v>56</v>
      </c>
      <c r="C76" s="27" t="s">
        <v>57</v>
      </c>
      <c r="D76" s="16" t="s">
        <v>70</v>
      </c>
      <c r="E76" s="16"/>
      <c r="F76" s="1"/>
      <c r="G76" s="1"/>
      <c r="H76" s="1"/>
      <c r="I76" s="1"/>
      <c r="J76" s="1"/>
      <c r="K76" s="1"/>
      <c r="L76" s="5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54"/>
      <c r="Y76" s="58">
        <f t="shared" si="17"/>
        <v>0</v>
      </c>
      <c r="Z76" s="1">
        <f t="shared" si="18"/>
        <v>0</v>
      </c>
      <c r="AA76" s="1">
        <f t="shared" si="29"/>
        <v>0</v>
      </c>
    </row>
    <row r="77" spans="1:32" x14ac:dyDescent="0.25">
      <c r="A77" s="15" t="s">
        <v>51</v>
      </c>
      <c r="B77" s="16" t="s">
        <v>56</v>
      </c>
      <c r="C77" s="27" t="s">
        <v>57</v>
      </c>
      <c r="D77" s="16" t="s">
        <v>71</v>
      </c>
      <c r="E77" s="16"/>
      <c r="F77" s="1"/>
      <c r="G77" s="1"/>
      <c r="H77" s="1"/>
      <c r="I77" s="1"/>
      <c r="J77" s="1"/>
      <c r="K77" s="1"/>
      <c r="L77" s="5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54"/>
      <c r="Y77" s="58">
        <f t="shared" si="17"/>
        <v>0</v>
      </c>
      <c r="Z77" s="1">
        <f t="shared" si="18"/>
        <v>0</v>
      </c>
      <c r="AA77" s="1">
        <f t="shared" si="29"/>
        <v>0</v>
      </c>
    </row>
    <row r="78" spans="1:32" x14ac:dyDescent="0.25">
      <c r="A78" s="15" t="s">
        <v>51</v>
      </c>
      <c r="B78" s="16" t="s">
        <v>56</v>
      </c>
      <c r="C78" s="27" t="s">
        <v>27</v>
      </c>
      <c r="D78" s="16" t="s">
        <v>72</v>
      </c>
      <c r="E78" s="16"/>
      <c r="F78" s="1"/>
      <c r="G78" s="1"/>
      <c r="H78" s="1"/>
      <c r="I78" s="1"/>
      <c r="J78" s="1"/>
      <c r="K78" s="1"/>
      <c r="L78" s="5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54"/>
      <c r="Y78" s="58">
        <f t="shared" si="17"/>
        <v>0</v>
      </c>
      <c r="Z78" s="1">
        <f t="shared" si="18"/>
        <v>0</v>
      </c>
      <c r="AA78" s="1">
        <f t="shared" si="29"/>
        <v>0</v>
      </c>
    </row>
    <row r="79" spans="1:32" x14ac:dyDescent="0.25">
      <c r="A79" s="15" t="s">
        <v>51</v>
      </c>
      <c r="B79" s="16" t="s">
        <v>56</v>
      </c>
      <c r="C79" s="27" t="s">
        <v>57</v>
      </c>
      <c r="D79" s="16" t="s">
        <v>73</v>
      </c>
      <c r="E79" s="16"/>
      <c r="F79" s="1"/>
      <c r="G79" s="1"/>
      <c r="H79" s="1"/>
      <c r="I79" s="1"/>
      <c r="J79" s="1"/>
      <c r="K79" s="1"/>
      <c r="L79" s="5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54"/>
      <c r="Y79" s="58">
        <f t="shared" si="17"/>
        <v>0</v>
      </c>
      <c r="Z79" s="1">
        <f t="shared" si="18"/>
        <v>0</v>
      </c>
      <c r="AA79" s="1">
        <f t="shared" si="29"/>
        <v>0</v>
      </c>
    </row>
    <row r="80" spans="1:32" x14ac:dyDescent="0.25">
      <c r="A80" s="15" t="s">
        <v>51</v>
      </c>
      <c r="B80" s="16" t="s">
        <v>56</v>
      </c>
      <c r="C80" s="27" t="s">
        <v>57</v>
      </c>
      <c r="D80" s="16" t="s">
        <v>74</v>
      </c>
      <c r="E80" s="16"/>
      <c r="F80" s="1"/>
      <c r="G80" s="1"/>
      <c r="H80" s="1"/>
      <c r="I80" s="1"/>
      <c r="J80" s="1"/>
      <c r="K80" s="1"/>
      <c r="L80" s="5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54"/>
      <c r="Y80" s="58">
        <f t="shared" si="17"/>
        <v>0</v>
      </c>
      <c r="Z80" s="1">
        <f t="shared" si="18"/>
        <v>0</v>
      </c>
      <c r="AA80" s="1">
        <f t="shared" si="29"/>
        <v>0</v>
      </c>
    </row>
    <row r="81" spans="1:27" x14ac:dyDescent="0.25">
      <c r="A81" s="30" t="s">
        <v>60</v>
      </c>
      <c r="B81" s="31" t="s">
        <v>13</v>
      </c>
      <c r="C81" s="32" t="s">
        <v>61</v>
      </c>
      <c r="D81" s="31" t="s">
        <v>75</v>
      </c>
      <c r="E81" s="31"/>
      <c r="F81" s="51">
        <f>F66*0.8</f>
        <v>1955.2</v>
      </c>
      <c r="G81" s="51">
        <v>0</v>
      </c>
      <c r="H81" s="51">
        <f>H66</f>
        <v>2250</v>
      </c>
      <c r="I81" s="51">
        <f>I66*0.1</f>
        <v>85</v>
      </c>
      <c r="J81" s="51">
        <v>0</v>
      </c>
      <c r="K81" s="51">
        <v>0</v>
      </c>
      <c r="L81" s="52">
        <v>0</v>
      </c>
      <c r="M81" s="51">
        <f>M66*0.1</f>
        <v>47.1</v>
      </c>
      <c r="N81" s="51">
        <v>0</v>
      </c>
      <c r="O81" s="51">
        <v>0</v>
      </c>
      <c r="P81" s="51">
        <v>0</v>
      </c>
      <c r="Q81" s="51"/>
      <c r="R81" s="51"/>
      <c r="S81" s="51"/>
      <c r="T81" s="51"/>
      <c r="U81" s="51"/>
      <c r="V81" s="51"/>
      <c r="W81" s="51">
        <f>W66</f>
        <v>608</v>
      </c>
      <c r="X81" s="55"/>
      <c r="Y81" s="59">
        <f t="shared" si="17"/>
        <v>4290.2</v>
      </c>
      <c r="Z81" s="51">
        <f t="shared" si="18"/>
        <v>655.1</v>
      </c>
      <c r="AA81" s="51">
        <f t="shared" si="29"/>
        <v>4945.3</v>
      </c>
    </row>
    <row r="82" spans="1:27" x14ac:dyDescent="0.25">
      <c r="A82" s="30" t="s">
        <v>60</v>
      </c>
      <c r="B82" s="31" t="s">
        <v>13</v>
      </c>
      <c r="C82" s="32" t="s">
        <v>61</v>
      </c>
      <c r="D82" s="31" t="s">
        <v>76</v>
      </c>
      <c r="E82" s="31"/>
      <c r="F82" s="51">
        <f>F66*0.2</f>
        <v>488.8</v>
      </c>
      <c r="G82" s="51">
        <v>0</v>
      </c>
      <c r="H82" s="51">
        <v>0</v>
      </c>
      <c r="I82" s="51">
        <f>I66*0.7</f>
        <v>595</v>
      </c>
      <c r="J82" s="51">
        <f>J66</f>
        <v>496</v>
      </c>
      <c r="K82" s="51">
        <f>K66*0.2</f>
        <v>36</v>
      </c>
      <c r="L82" s="52">
        <v>0</v>
      </c>
      <c r="M82" s="51">
        <f>M66*0.3</f>
        <v>141.29999999999998</v>
      </c>
      <c r="N82" s="51">
        <f>N66</f>
        <v>50</v>
      </c>
      <c r="O82" s="51">
        <f>O66*0.9</f>
        <v>198</v>
      </c>
      <c r="P82" s="51">
        <f>P66*0.05</f>
        <v>24</v>
      </c>
      <c r="Q82" s="51"/>
      <c r="R82" s="51">
        <f>R66</f>
        <v>28.8</v>
      </c>
      <c r="S82" s="51"/>
      <c r="T82" s="51"/>
      <c r="U82" s="51"/>
      <c r="V82" s="51"/>
      <c r="W82" s="51"/>
      <c r="X82" s="55"/>
      <c r="Y82" s="59">
        <f t="shared" si="17"/>
        <v>1615.8</v>
      </c>
      <c r="Z82" s="51">
        <f t="shared" si="18"/>
        <v>442.09999999999997</v>
      </c>
      <c r="AA82" s="51">
        <f t="shared" si="29"/>
        <v>2057.9</v>
      </c>
    </row>
    <row r="83" spans="1:27" x14ac:dyDescent="0.25">
      <c r="A83" s="30" t="s">
        <v>60</v>
      </c>
      <c r="B83" s="31" t="s">
        <v>13</v>
      </c>
      <c r="C83" s="32" t="s">
        <v>61</v>
      </c>
      <c r="D83" s="31" t="s">
        <v>77</v>
      </c>
      <c r="E83" s="31"/>
      <c r="F83" s="51">
        <v>0</v>
      </c>
      <c r="G83" s="51">
        <v>0</v>
      </c>
      <c r="H83" s="51">
        <v>0</v>
      </c>
      <c r="I83" s="51">
        <v>0</v>
      </c>
      <c r="J83" s="51">
        <v>0</v>
      </c>
      <c r="K83" s="51">
        <f>K66*0.4</f>
        <v>72</v>
      </c>
      <c r="L83" s="52">
        <v>0</v>
      </c>
      <c r="M83" s="51">
        <f>M66*0.5</f>
        <v>235.5</v>
      </c>
      <c r="N83" s="51">
        <v>0</v>
      </c>
      <c r="O83" s="51">
        <v>0</v>
      </c>
      <c r="P83" s="51">
        <v>0</v>
      </c>
      <c r="Q83" s="51"/>
      <c r="R83" s="51"/>
      <c r="S83" s="51"/>
      <c r="T83" s="51">
        <f>T66</f>
        <v>28.8</v>
      </c>
      <c r="U83" s="51">
        <f>U66</f>
        <v>144</v>
      </c>
      <c r="V83" s="51"/>
      <c r="W83" s="51"/>
      <c r="X83" s="55"/>
      <c r="Y83" s="59">
        <f t="shared" si="17"/>
        <v>72</v>
      </c>
      <c r="Z83" s="51">
        <f t="shared" si="18"/>
        <v>408.3</v>
      </c>
      <c r="AA83" s="51">
        <f t="shared" si="29"/>
        <v>480.3</v>
      </c>
    </row>
    <row r="84" spans="1:27" x14ac:dyDescent="0.25">
      <c r="A84" s="30" t="s">
        <v>60</v>
      </c>
      <c r="B84" s="31" t="s">
        <v>13</v>
      </c>
      <c r="C84" s="32" t="s">
        <v>61</v>
      </c>
      <c r="D84" s="31" t="s">
        <v>78</v>
      </c>
      <c r="E84" s="31"/>
      <c r="F84" s="51">
        <v>0</v>
      </c>
      <c r="G84" s="51">
        <v>0</v>
      </c>
      <c r="H84" s="51">
        <v>0</v>
      </c>
      <c r="I84" s="51">
        <f>I66*0.2</f>
        <v>170</v>
      </c>
      <c r="J84" s="51">
        <v>0</v>
      </c>
      <c r="K84" s="51">
        <f>K66*0.4</f>
        <v>72</v>
      </c>
      <c r="L84" s="52">
        <v>0</v>
      </c>
      <c r="M84" s="51">
        <f>M66*0.1</f>
        <v>47.1</v>
      </c>
      <c r="N84" s="51">
        <v>0</v>
      </c>
      <c r="O84" s="51">
        <f>O66*0.1</f>
        <v>22</v>
      </c>
      <c r="P84" s="51">
        <f>P66*0.95</f>
        <v>456</v>
      </c>
      <c r="Q84" s="51">
        <f>Q66</f>
        <v>9</v>
      </c>
      <c r="R84" s="51"/>
      <c r="S84" s="51"/>
      <c r="T84" s="51"/>
      <c r="U84" s="51"/>
      <c r="V84" s="51"/>
      <c r="W84" s="51"/>
      <c r="X84" s="55">
        <f>X66</f>
        <v>380</v>
      </c>
      <c r="Y84" s="59">
        <f t="shared" si="17"/>
        <v>242</v>
      </c>
      <c r="Z84" s="51">
        <f t="shared" si="18"/>
        <v>914.1</v>
      </c>
      <c r="AA84" s="51">
        <f t="shared" si="29"/>
        <v>1156.0999999999999</v>
      </c>
    </row>
    <row r="85" spans="1:27" ht="15.75" thickBot="1" x14ac:dyDescent="0.3">
      <c r="A85" s="33" t="s">
        <v>60</v>
      </c>
      <c r="B85" s="34" t="s">
        <v>13</v>
      </c>
      <c r="C85" s="35" t="s">
        <v>61</v>
      </c>
      <c r="D85" s="34" t="s">
        <v>79</v>
      </c>
      <c r="E85" s="31"/>
      <c r="F85" s="51">
        <v>0</v>
      </c>
      <c r="G85" s="51">
        <v>0</v>
      </c>
      <c r="H85" s="51">
        <v>0</v>
      </c>
      <c r="I85" s="51">
        <v>0</v>
      </c>
      <c r="J85" s="51">
        <v>0</v>
      </c>
      <c r="K85" s="51">
        <v>0</v>
      </c>
      <c r="L85" s="52">
        <v>0</v>
      </c>
      <c r="M85" s="51">
        <v>0</v>
      </c>
      <c r="N85" s="51">
        <v>0</v>
      </c>
      <c r="O85" s="51">
        <v>0</v>
      </c>
      <c r="P85" s="51">
        <v>0</v>
      </c>
      <c r="Q85" s="51"/>
      <c r="R85" s="51"/>
      <c r="S85" s="51"/>
      <c r="T85" s="51"/>
      <c r="U85" s="51"/>
      <c r="V85" s="51"/>
      <c r="W85" s="51"/>
      <c r="X85" s="55"/>
      <c r="Y85" s="59">
        <f t="shared" si="17"/>
        <v>0</v>
      </c>
      <c r="Z85" s="51">
        <f t="shared" si="18"/>
        <v>0</v>
      </c>
      <c r="AA85" s="51">
        <f t="shared" si="29"/>
        <v>0</v>
      </c>
    </row>
    <row r="86" spans="1:27" x14ac:dyDescent="0.25">
      <c r="A86" s="30" t="s">
        <v>60</v>
      </c>
      <c r="B86" s="31" t="s">
        <v>13</v>
      </c>
      <c r="C86" s="32" t="s">
        <v>62</v>
      </c>
      <c r="D86" s="31" t="s">
        <v>75</v>
      </c>
      <c r="E86" s="31"/>
      <c r="F86" s="51"/>
      <c r="G86" s="51">
        <v>0</v>
      </c>
      <c r="H86" s="51">
        <v>0</v>
      </c>
      <c r="I86" s="51">
        <v>0</v>
      </c>
      <c r="J86" s="51">
        <v>0</v>
      </c>
      <c r="K86" s="51">
        <v>0</v>
      </c>
      <c r="L86" s="52">
        <v>0</v>
      </c>
      <c r="M86" s="51">
        <v>0</v>
      </c>
      <c r="N86" s="51">
        <v>0</v>
      </c>
      <c r="O86" s="51">
        <v>0</v>
      </c>
      <c r="P86" s="51">
        <v>0</v>
      </c>
      <c r="Q86" s="51"/>
      <c r="R86" s="51"/>
      <c r="S86" s="51"/>
      <c r="T86" s="51"/>
      <c r="U86" s="51"/>
      <c r="V86" s="51"/>
      <c r="W86" s="51"/>
      <c r="X86" s="55"/>
      <c r="Y86" s="59">
        <f t="shared" si="17"/>
        <v>0</v>
      </c>
      <c r="Z86" s="51">
        <f t="shared" si="18"/>
        <v>0</v>
      </c>
      <c r="AA86" s="51">
        <f t="shared" si="29"/>
        <v>0</v>
      </c>
    </row>
    <row r="87" spans="1:27" x14ac:dyDescent="0.25">
      <c r="A87" s="30" t="s">
        <v>60</v>
      </c>
      <c r="B87" s="31" t="s">
        <v>13</v>
      </c>
      <c r="C87" s="32" t="s">
        <v>62</v>
      </c>
      <c r="D87" s="31" t="s">
        <v>76</v>
      </c>
      <c r="E87" s="31"/>
      <c r="F87" s="51">
        <f>F67</f>
        <v>156</v>
      </c>
      <c r="G87" s="51">
        <f>G67</f>
        <v>600</v>
      </c>
      <c r="H87" s="51">
        <f>H67</f>
        <v>750</v>
      </c>
      <c r="I87" s="51">
        <v>0</v>
      </c>
      <c r="J87" s="51">
        <v>0</v>
      </c>
      <c r="K87" s="51">
        <v>0</v>
      </c>
      <c r="L87" s="52">
        <v>0</v>
      </c>
      <c r="M87" s="51">
        <v>0</v>
      </c>
      <c r="N87" s="51">
        <v>0</v>
      </c>
      <c r="O87" s="51">
        <v>0</v>
      </c>
      <c r="P87" s="51">
        <v>0</v>
      </c>
      <c r="Q87" s="51"/>
      <c r="R87" s="51"/>
      <c r="S87" s="51"/>
      <c r="T87" s="51"/>
      <c r="U87" s="51"/>
      <c r="V87" s="51"/>
      <c r="W87" s="51"/>
      <c r="X87" s="55"/>
      <c r="Y87" s="59">
        <f t="shared" si="17"/>
        <v>1506</v>
      </c>
      <c r="Z87" s="51">
        <f t="shared" si="18"/>
        <v>0</v>
      </c>
      <c r="AA87" s="51">
        <f t="shared" si="29"/>
        <v>1506</v>
      </c>
    </row>
    <row r="88" spans="1:27" x14ac:dyDescent="0.25">
      <c r="A88" s="30" t="s">
        <v>60</v>
      </c>
      <c r="B88" s="31" t="s">
        <v>13</v>
      </c>
      <c r="C88" s="32" t="s">
        <v>62</v>
      </c>
      <c r="D88" s="31" t="s">
        <v>77</v>
      </c>
      <c r="E88" s="31"/>
      <c r="F88" s="51">
        <v>0</v>
      </c>
      <c r="G88" s="51">
        <v>0</v>
      </c>
      <c r="H88" s="51">
        <v>0</v>
      </c>
      <c r="I88" s="51">
        <v>0</v>
      </c>
      <c r="J88" s="51">
        <v>0</v>
      </c>
      <c r="K88" s="51">
        <v>0</v>
      </c>
      <c r="L88" s="52">
        <v>0</v>
      </c>
      <c r="M88" s="51">
        <v>0</v>
      </c>
      <c r="N88" s="51">
        <v>0</v>
      </c>
      <c r="O88" s="51">
        <v>0</v>
      </c>
      <c r="P88" s="51">
        <v>0</v>
      </c>
      <c r="Q88" s="51"/>
      <c r="R88" s="51"/>
      <c r="S88" s="51"/>
      <c r="T88" s="51"/>
      <c r="U88" s="51"/>
      <c r="V88" s="51"/>
      <c r="W88" s="51"/>
      <c r="X88" s="55"/>
      <c r="Y88" s="59">
        <f t="shared" si="17"/>
        <v>0</v>
      </c>
      <c r="Z88" s="51">
        <f t="shared" si="18"/>
        <v>0</v>
      </c>
      <c r="AA88" s="51">
        <f t="shared" si="29"/>
        <v>0</v>
      </c>
    </row>
    <row r="89" spans="1:27" x14ac:dyDescent="0.25">
      <c r="A89" s="30" t="s">
        <v>60</v>
      </c>
      <c r="B89" s="31" t="s">
        <v>13</v>
      </c>
      <c r="C89" s="32" t="s">
        <v>62</v>
      </c>
      <c r="D89" s="31" t="s">
        <v>78</v>
      </c>
      <c r="E89" s="31"/>
      <c r="F89" s="51">
        <v>0</v>
      </c>
      <c r="G89" s="51">
        <v>0</v>
      </c>
      <c r="H89" s="51">
        <v>0</v>
      </c>
      <c r="I89" s="51">
        <v>0</v>
      </c>
      <c r="J89" s="51">
        <v>0</v>
      </c>
      <c r="K89" s="51">
        <v>0</v>
      </c>
      <c r="L89" s="52">
        <v>0</v>
      </c>
      <c r="M89" s="51">
        <v>0</v>
      </c>
      <c r="N89" s="51">
        <v>0</v>
      </c>
      <c r="O89" s="51">
        <v>0</v>
      </c>
      <c r="P89" s="51">
        <v>0</v>
      </c>
      <c r="Q89" s="51"/>
      <c r="R89" s="51"/>
      <c r="S89" s="51"/>
      <c r="T89" s="51"/>
      <c r="U89" s="51"/>
      <c r="V89" s="51"/>
      <c r="W89" s="51"/>
      <c r="X89" s="55"/>
      <c r="Y89" s="59">
        <f t="shared" si="17"/>
        <v>0</v>
      </c>
      <c r="Z89" s="51">
        <f t="shared" si="18"/>
        <v>0</v>
      </c>
      <c r="AA89" s="51">
        <f t="shared" si="29"/>
        <v>0</v>
      </c>
    </row>
    <row r="90" spans="1:27" ht="15.75" thickBot="1" x14ac:dyDescent="0.3">
      <c r="A90" s="33" t="s">
        <v>60</v>
      </c>
      <c r="B90" s="34" t="s">
        <v>13</v>
      </c>
      <c r="C90" s="32" t="s">
        <v>62</v>
      </c>
      <c r="D90" s="34" t="s">
        <v>79</v>
      </c>
      <c r="E90" s="31"/>
      <c r="F90" s="51"/>
      <c r="G90" s="51"/>
      <c r="H90" s="51"/>
      <c r="I90" s="51"/>
      <c r="J90" s="51"/>
      <c r="K90" s="51"/>
      <c r="L90" s="52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5"/>
      <c r="Y90" s="59">
        <f t="shared" si="17"/>
        <v>0</v>
      </c>
      <c r="Z90" s="51">
        <f t="shared" si="18"/>
        <v>0</v>
      </c>
      <c r="AA90" s="51">
        <f t="shared" si="29"/>
        <v>0</v>
      </c>
    </row>
    <row r="92" spans="1:27" x14ac:dyDescent="0.25">
      <c r="D92" s="41" t="s">
        <v>19</v>
      </c>
      <c r="E92" s="41"/>
      <c r="M92" s="24" t="s">
        <v>81</v>
      </c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</row>
    <row r="93" spans="1:27" x14ac:dyDescent="0.25">
      <c r="F93" s="23" t="s">
        <v>44</v>
      </c>
      <c r="G93" s="23"/>
      <c r="H93" s="23"/>
      <c r="I93" s="23"/>
      <c r="J93" s="23"/>
      <c r="K93" s="23"/>
      <c r="L93" s="7" t="s">
        <v>30</v>
      </c>
      <c r="M93" s="24" t="s">
        <v>46</v>
      </c>
      <c r="N93" s="24"/>
      <c r="O93" s="24"/>
      <c r="P93" s="24"/>
      <c r="Q93" s="24"/>
      <c r="R93" s="24" t="s">
        <v>47</v>
      </c>
      <c r="S93" s="24"/>
      <c r="T93" s="24"/>
      <c r="U93" s="24"/>
      <c r="V93" s="24"/>
      <c r="W93" s="24"/>
      <c r="X93" s="24"/>
      <c r="Y93" s="44" t="s">
        <v>85</v>
      </c>
      <c r="Z93" s="44" t="s">
        <v>48</v>
      </c>
      <c r="AA93" s="44" t="s">
        <v>3</v>
      </c>
    </row>
    <row r="94" spans="1:27" ht="63" x14ac:dyDescent="0.25">
      <c r="F94" s="38" t="s">
        <v>36</v>
      </c>
      <c r="G94" s="38" t="s">
        <v>37</v>
      </c>
      <c r="H94" s="38" t="s">
        <v>38</v>
      </c>
      <c r="I94" s="38" t="s">
        <v>80</v>
      </c>
      <c r="J94" s="38" t="s">
        <v>39</v>
      </c>
      <c r="K94" s="38" t="s">
        <v>45</v>
      </c>
      <c r="L94" s="39" t="s">
        <v>16</v>
      </c>
      <c r="M94" s="40" t="s">
        <v>34</v>
      </c>
      <c r="N94" s="40" t="s">
        <v>5</v>
      </c>
      <c r="O94" s="40" t="s">
        <v>7</v>
      </c>
      <c r="P94" s="40" t="s">
        <v>8</v>
      </c>
      <c r="Q94" s="40" t="s">
        <v>40</v>
      </c>
      <c r="R94" s="40" t="s">
        <v>41</v>
      </c>
      <c r="S94" s="40" t="s">
        <v>42</v>
      </c>
      <c r="T94" s="40" t="s">
        <v>31</v>
      </c>
      <c r="U94" s="40" t="s">
        <v>43</v>
      </c>
      <c r="V94" s="40" t="s">
        <v>82</v>
      </c>
      <c r="W94" s="40" t="s">
        <v>87</v>
      </c>
      <c r="X94" s="40" t="s">
        <v>83</v>
      </c>
      <c r="Y94" s="45" t="s">
        <v>3</v>
      </c>
      <c r="Z94" s="45" t="s">
        <v>3</v>
      </c>
      <c r="AA94" s="45" t="s">
        <v>3</v>
      </c>
    </row>
    <row r="95" spans="1:27" x14ac:dyDescent="0.25">
      <c r="A95" s="15" t="s">
        <v>51</v>
      </c>
      <c r="B95" s="2"/>
      <c r="C95" s="2"/>
      <c r="F95" s="1">
        <f t="shared" ref="F95:AA95" si="30">IF(F5&gt;0,F50/F5,0)</f>
        <v>0</v>
      </c>
      <c r="G95" s="1">
        <f t="shared" si="30"/>
        <v>0</v>
      </c>
      <c r="H95" s="1">
        <f t="shared" si="30"/>
        <v>0</v>
      </c>
      <c r="I95" s="1">
        <f t="shared" si="30"/>
        <v>0</v>
      </c>
      <c r="J95" s="1">
        <f t="shared" si="30"/>
        <v>0</v>
      </c>
      <c r="K95" s="1">
        <f t="shared" si="30"/>
        <v>0</v>
      </c>
      <c r="L95" s="52">
        <f t="shared" si="30"/>
        <v>0</v>
      </c>
      <c r="M95" s="1">
        <f t="shared" si="30"/>
        <v>0</v>
      </c>
      <c r="N95" s="1">
        <f t="shared" si="30"/>
        <v>0</v>
      </c>
      <c r="O95" s="1">
        <f t="shared" si="30"/>
        <v>0</v>
      </c>
      <c r="P95" s="1">
        <f t="shared" si="30"/>
        <v>0</v>
      </c>
      <c r="Q95" s="1">
        <f t="shared" si="30"/>
        <v>0</v>
      </c>
      <c r="R95" s="1">
        <f t="shared" si="30"/>
        <v>0</v>
      </c>
      <c r="S95" s="1">
        <f t="shared" si="30"/>
        <v>0</v>
      </c>
      <c r="T95" s="1">
        <f t="shared" si="30"/>
        <v>0</v>
      </c>
      <c r="U95" s="1">
        <f t="shared" si="30"/>
        <v>0</v>
      </c>
      <c r="V95" s="1">
        <f t="shared" si="30"/>
        <v>0</v>
      </c>
      <c r="W95" s="1">
        <f t="shared" si="30"/>
        <v>0</v>
      </c>
      <c r="X95" s="54">
        <f t="shared" si="30"/>
        <v>0</v>
      </c>
      <c r="Y95" s="58">
        <f t="shared" si="30"/>
        <v>0</v>
      </c>
      <c r="Z95" s="1">
        <f t="shared" si="30"/>
        <v>0</v>
      </c>
      <c r="AA95" s="1">
        <f t="shared" si="30"/>
        <v>0</v>
      </c>
    </row>
    <row r="96" spans="1:27" x14ac:dyDescent="0.25">
      <c r="A96" s="30" t="s">
        <v>60</v>
      </c>
      <c r="B96" s="2"/>
      <c r="C96" s="2"/>
      <c r="F96" s="1">
        <f t="shared" ref="F96:AA108" si="31">IF(F6&gt;0,F51/F6,0)</f>
        <v>0.23942186088527553</v>
      </c>
      <c r="G96" s="1">
        <f t="shared" si="31"/>
        <v>0.33333333333333331</v>
      </c>
      <c r="H96" s="1">
        <f t="shared" si="31"/>
        <v>0.45454545454545453</v>
      </c>
      <c r="I96" s="1">
        <f t="shared" si="31"/>
        <v>0.28911564625850339</v>
      </c>
      <c r="J96" s="1">
        <f t="shared" si="31"/>
        <v>0.2389894381623843</v>
      </c>
      <c r="K96" s="1">
        <f t="shared" si="31"/>
        <v>0.26180698151950721</v>
      </c>
      <c r="L96" s="52">
        <f t="shared" si="31"/>
        <v>9.1799999999999993E-2</v>
      </c>
      <c r="M96" s="1">
        <f t="shared" si="31"/>
        <v>0.15405188553089061</v>
      </c>
      <c r="N96" s="1">
        <f t="shared" si="31"/>
        <v>0.75295389048991346</v>
      </c>
      <c r="O96" s="1">
        <f t="shared" si="31"/>
        <v>0.49549549549549549</v>
      </c>
      <c r="P96" s="1">
        <f t="shared" si="31"/>
        <v>0.43243243243243246</v>
      </c>
      <c r="Q96" s="1">
        <f t="shared" si="31"/>
        <v>0.15325314289754649</v>
      </c>
      <c r="R96" s="1">
        <f t="shared" si="31"/>
        <v>0.12379254067365628</v>
      </c>
      <c r="S96" s="1">
        <f t="shared" si="31"/>
        <v>0.315</v>
      </c>
      <c r="T96" s="1">
        <f t="shared" si="31"/>
        <v>0.1563191297407831</v>
      </c>
      <c r="U96" s="1">
        <f t="shared" si="31"/>
        <v>0.13767785915244649</v>
      </c>
      <c r="V96" s="1">
        <f t="shared" si="31"/>
        <v>0.27467647174279997</v>
      </c>
      <c r="W96" s="1">
        <f t="shared" ref="W96:W110" si="32">IF(W6&gt;0,W51/W6,0)</f>
        <v>0.20332225913621263</v>
      </c>
      <c r="X96" s="54">
        <f t="shared" si="31"/>
        <v>0.16759022163751885</v>
      </c>
      <c r="Y96" s="58">
        <f t="shared" si="31"/>
        <v>0.29678712996113782</v>
      </c>
      <c r="Z96" s="1">
        <f t="shared" si="31"/>
        <v>0.17340843230246095</v>
      </c>
      <c r="AA96" s="1">
        <f t="shared" si="31"/>
        <v>0.13633527635319387</v>
      </c>
    </row>
    <row r="97" spans="1:27" x14ac:dyDescent="0.25">
      <c r="A97" s="15" t="s">
        <v>51</v>
      </c>
      <c r="B97" s="16" t="s">
        <v>52</v>
      </c>
      <c r="C97" s="2"/>
      <c r="F97" s="1">
        <f t="shared" si="31"/>
        <v>0</v>
      </c>
      <c r="G97" s="1">
        <f t="shared" si="31"/>
        <v>0</v>
      </c>
      <c r="H97" s="1">
        <f t="shared" si="31"/>
        <v>0</v>
      </c>
      <c r="I97" s="1">
        <f t="shared" si="31"/>
        <v>0</v>
      </c>
      <c r="J97" s="1">
        <f t="shared" si="31"/>
        <v>0</v>
      </c>
      <c r="K97" s="1">
        <f t="shared" si="31"/>
        <v>0</v>
      </c>
      <c r="L97" s="52">
        <f t="shared" si="31"/>
        <v>0</v>
      </c>
      <c r="M97" s="1">
        <f t="shared" si="31"/>
        <v>0</v>
      </c>
      <c r="N97" s="1">
        <f t="shared" si="31"/>
        <v>0</v>
      </c>
      <c r="O97" s="1">
        <f t="shared" si="31"/>
        <v>0</v>
      </c>
      <c r="P97" s="1">
        <f t="shared" si="31"/>
        <v>0</v>
      </c>
      <c r="Q97" s="1">
        <f t="shared" si="31"/>
        <v>0</v>
      </c>
      <c r="R97" s="1">
        <f t="shared" si="31"/>
        <v>0</v>
      </c>
      <c r="S97" s="1">
        <f t="shared" si="31"/>
        <v>0</v>
      </c>
      <c r="T97" s="1">
        <f t="shared" si="31"/>
        <v>0</v>
      </c>
      <c r="U97" s="1">
        <f t="shared" si="31"/>
        <v>0</v>
      </c>
      <c r="V97" s="1">
        <f t="shared" si="31"/>
        <v>0</v>
      </c>
      <c r="W97" s="1">
        <f t="shared" si="32"/>
        <v>0</v>
      </c>
      <c r="X97" s="54">
        <f t="shared" si="31"/>
        <v>0</v>
      </c>
      <c r="Y97" s="58">
        <f t="shared" si="31"/>
        <v>0</v>
      </c>
      <c r="Z97" s="1">
        <f t="shared" si="31"/>
        <v>0</v>
      </c>
      <c r="AA97" s="1">
        <f t="shared" si="31"/>
        <v>0</v>
      </c>
    </row>
    <row r="98" spans="1:27" x14ac:dyDescent="0.25">
      <c r="A98" s="15" t="s">
        <v>51</v>
      </c>
      <c r="B98" s="16" t="s">
        <v>56</v>
      </c>
      <c r="C98" s="2"/>
      <c r="F98" s="1">
        <f t="shared" si="31"/>
        <v>0</v>
      </c>
      <c r="G98" s="1">
        <f t="shared" si="31"/>
        <v>0</v>
      </c>
      <c r="H98" s="1">
        <f t="shared" si="31"/>
        <v>0</v>
      </c>
      <c r="I98" s="1">
        <f t="shared" si="31"/>
        <v>0</v>
      </c>
      <c r="J98" s="1">
        <f t="shared" si="31"/>
        <v>0</v>
      </c>
      <c r="K98" s="1">
        <f t="shared" si="31"/>
        <v>0</v>
      </c>
      <c r="L98" s="52">
        <f t="shared" si="31"/>
        <v>0</v>
      </c>
      <c r="M98" s="1">
        <f t="shared" si="31"/>
        <v>0</v>
      </c>
      <c r="N98" s="1">
        <f t="shared" si="31"/>
        <v>0</v>
      </c>
      <c r="O98" s="1">
        <f t="shared" si="31"/>
        <v>0</v>
      </c>
      <c r="P98" s="1">
        <f t="shared" si="31"/>
        <v>0</v>
      </c>
      <c r="Q98" s="1">
        <f t="shared" si="31"/>
        <v>0</v>
      </c>
      <c r="R98" s="1">
        <f t="shared" si="31"/>
        <v>0</v>
      </c>
      <c r="S98" s="1">
        <f t="shared" si="31"/>
        <v>0</v>
      </c>
      <c r="T98" s="1">
        <f t="shared" si="31"/>
        <v>0</v>
      </c>
      <c r="U98" s="1">
        <f t="shared" si="31"/>
        <v>0</v>
      </c>
      <c r="V98" s="1">
        <f t="shared" si="31"/>
        <v>0</v>
      </c>
      <c r="W98" s="1">
        <f t="shared" si="32"/>
        <v>0</v>
      </c>
      <c r="X98" s="54">
        <f t="shared" si="31"/>
        <v>0</v>
      </c>
      <c r="Y98" s="58">
        <f t="shared" si="31"/>
        <v>0</v>
      </c>
      <c r="Z98" s="1">
        <f t="shared" si="31"/>
        <v>0</v>
      </c>
      <c r="AA98" s="1">
        <f t="shared" si="31"/>
        <v>0</v>
      </c>
    </row>
    <row r="99" spans="1:27" x14ac:dyDescent="0.25">
      <c r="A99" s="15" t="s">
        <v>51</v>
      </c>
      <c r="B99" s="16" t="s">
        <v>9</v>
      </c>
      <c r="C99" s="2"/>
      <c r="F99" s="1">
        <f t="shared" si="31"/>
        <v>0</v>
      </c>
      <c r="G99" s="1">
        <f t="shared" si="31"/>
        <v>0</v>
      </c>
      <c r="H99" s="1">
        <f t="shared" si="31"/>
        <v>0</v>
      </c>
      <c r="I99" s="1">
        <f t="shared" si="31"/>
        <v>0</v>
      </c>
      <c r="J99" s="1">
        <f t="shared" si="31"/>
        <v>0</v>
      </c>
      <c r="K99" s="1">
        <f t="shared" si="31"/>
        <v>0</v>
      </c>
      <c r="L99" s="52">
        <f t="shared" si="31"/>
        <v>0</v>
      </c>
      <c r="M99" s="1">
        <f t="shared" si="31"/>
        <v>0</v>
      </c>
      <c r="N99" s="1">
        <f t="shared" si="31"/>
        <v>0</v>
      </c>
      <c r="O99" s="1">
        <f t="shared" si="31"/>
        <v>0</v>
      </c>
      <c r="P99" s="1">
        <f t="shared" si="31"/>
        <v>0</v>
      </c>
      <c r="Q99" s="1">
        <f t="shared" si="31"/>
        <v>0</v>
      </c>
      <c r="R99" s="1">
        <f t="shared" si="31"/>
        <v>0</v>
      </c>
      <c r="S99" s="1">
        <f t="shared" si="31"/>
        <v>0</v>
      </c>
      <c r="T99" s="1">
        <f t="shared" si="31"/>
        <v>0</v>
      </c>
      <c r="U99" s="1">
        <f t="shared" si="31"/>
        <v>0</v>
      </c>
      <c r="V99" s="1">
        <f t="shared" si="31"/>
        <v>0</v>
      </c>
      <c r="W99" s="1">
        <f t="shared" si="32"/>
        <v>0</v>
      </c>
      <c r="X99" s="54">
        <f t="shared" si="31"/>
        <v>0</v>
      </c>
      <c r="Y99" s="58">
        <f t="shared" si="31"/>
        <v>0</v>
      </c>
      <c r="Z99" s="1">
        <f t="shared" si="31"/>
        <v>0</v>
      </c>
      <c r="AA99" s="1">
        <f t="shared" si="31"/>
        <v>0</v>
      </c>
    </row>
    <row r="100" spans="1:27" x14ac:dyDescent="0.25">
      <c r="A100" s="30" t="s">
        <v>60</v>
      </c>
      <c r="B100" s="32" t="s">
        <v>13</v>
      </c>
      <c r="C100" s="2"/>
      <c r="F100" s="51">
        <f t="shared" si="31"/>
        <v>0.23809523809523808</v>
      </c>
      <c r="G100" s="51">
        <f t="shared" si="31"/>
        <v>0.33333333333333331</v>
      </c>
      <c r="H100" s="51">
        <f t="shared" si="31"/>
        <v>0.45454545454545453</v>
      </c>
      <c r="I100" s="51">
        <f t="shared" si="31"/>
        <v>0.28911564625850339</v>
      </c>
      <c r="J100" s="51">
        <f t="shared" si="31"/>
        <v>0.45090909090909093</v>
      </c>
      <c r="K100" s="51">
        <f t="shared" si="31"/>
        <v>0.31578947368421051</v>
      </c>
      <c r="L100" s="52">
        <f t="shared" si="31"/>
        <v>0</v>
      </c>
      <c r="M100" s="51">
        <f t="shared" si="31"/>
        <v>0.40956521739130436</v>
      </c>
      <c r="N100" s="51">
        <f t="shared" si="31"/>
        <v>0.64935064935064934</v>
      </c>
      <c r="O100" s="51">
        <f t="shared" si="31"/>
        <v>0.49549549549549549</v>
      </c>
      <c r="P100" s="51">
        <f t="shared" si="31"/>
        <v>0.43243243243243246</v>
      </c>
      <c r="Q100" s="51">
        <f t="shared" si="31"/>
        <v>0.4</v>
      </c>
      <c r="R100" s="51">
        <f t="shared" si="31"/>
        <v>0.4</v>
      </c>
      <c r="S100" s="51">
        <f t="shared" si="31"/>
        <v>0</v>
      </c>
      <c r="T100" s="51">
        <f t="shared" si="31"/>
        <v>0.5</v>
      </c>
      <c r="U100" s="51">
        <f t="shared" si="31"/>
        <v>0.5</v>
      </c>
      <c r="V100" s="51">
        <f t="shared" si="31"/>
        <v>1.2</v>
      </c>
      <c r="W100" s="51">
        <f t="shared" si="32"/>
        <v>0.6</v>
      </c>
      <c r="X100" s="55">
        <f t="shared" si="31"/>
        <v>0.5</v>
      </c>
      <c r="Y100" s="59">
        <f t="shared" si="31"/>
        <v>0.32285833681571252</v>
      </c>
      <c r="Z100" s="51">
        <f t="shared" si="31"/>
        <v>0.49155174350604292</v>
      </c>
      <c r="AA100" s="51">
        <f>IF(AA10&gt;0,AB55/AA10,0)</f>
        <v>0.45592705167173253</v>
      </c>
    </row>
    <row r="101" spans="1:27" x14ac:dyDescent="0.25">
      <c r="A101" s="30" t="s">
        <v>60</v>
      </c>
      <c r="B101" s="31" t="s">
        <v>23</v>
      </c>
      <c r="C101" s="2"/>
      <c r="F101" s="51">
        <f t="shared" si="31"/>
        <v>0.33600000000000002</v>
      </c>
      <c r="G101" s="51">
        <f t="shared" si="31"/>
        <v>0</v>
      </c>
      <c r="H101" s="51">
        <f t="shared" si="31"/>
        <v>0</v>
      </c>
      <c r="I101" s="51">
        <f t="shared" si="31"/>
        <v>0</v>
      </c>
      <c r="J101" s="51">
        <f t="shared" si="31"/>
        <v>0.32008979559132128</v>
      </c>
      <c r="K101" s="51">
        <f t="shared" si="31"/>
        <v>0.24872448979591838</v>
      </c>
      <c r="L101" s="52">
        <f t="shared" si="31"/>
        <v>0</v>
      </c>
      <c r="M101" s="51">
        <f t="shared" si="31"/>
        <v>0</v>
      </c>
      <c r="N101" s="51">
        <f t="shared" si="31"/>
        <v>0.75903890160183063</v>
      </c>
      <c r="O101" s="51">
        <f t="shared" si="31"/>
        <v>0</v>
      </c>
      <c r="P101" s="51">
        <f t="shared" si="31"/>
        <v>0</v>
      </c>
      <c r="Q101" s="51">
        <f t="shared" si="31"/>
        <v>0</v>
      </c>
      <c r="R101" s="51">
        <f t="shared" si="31"/>
        <v>0</v>
      </c>
      <c r="S101" s="51">
        <f t="shared" si="31"/>
        <v>0.315</v>
      </c>
      <c r="T101" s="51">
        <f t="shared" si="31"/>
        <v>0.4200000000000001</v>
      </c>
      <c r="U101" s="51">
        <f t="shared" si="31"/>
        <v>0</v>
      </c>
      <c r="V101" s="51">
        <f t="shared" si="31"/>
        <v>0.9</v>
      </c>
      <c r="W101" s="51">
        <f t="shared" si="32"/>
        <v>0</v>
      </c>
      <c r="X101" s="55">
        <f t="shared" si="31"/>
        <v>0.9</v>
      </c>
      <c r="Y101" s="59">
        <f t="shared" si="31"/>
        <v>0.28164883965427839</v>
      </c>
      <c r="Z101" s="51">
        <f t="shared" si="31"/>
        <v>0.69734644396551726</v>
      </c>
      <c r="AA101" s="51">
        <f t="shared" si="31"/>
        <v>0.40689016331973338</v>
      </c>
    </row>
    <row r="102" spans="1:27" x14ac:dyDescent="0.25">
      <c r="A102" s="30" t="s">
        <v>60</v>
      </c>
      <c r="B102" s="31" t="s">
        <v>65</v>
      </c>
      <c r="C102" s="46"/>
      <c r="F102" s="51">
        <f t="shared" si="31"/>
        <v>0</v>
      </c>
      <c r="G102" s="51">
        <f t="shared" si="31"/>
        <v>0</v>
      </c>
      <c r="H102" s="51">
        <f t="shared" si="31"/>
        <v>0</v>
      </c>
      <c r="I102" s="51">
        <f t="shared" si="31"/>
        <v>0</v>
      </c>
      <c r="J102" s="51">
        <f t="shared" si="31"/>
        <v>0.12239999999999999</v>
      </c>
      <c r="K102" s="51">
        <f t="shared" si="31"/>
        <v>0</v>
      </c>
      <c r="L102" s="52">
        <f t="shared" si="31"/>
        <v>9.1799999999999993E-2</v>
      </c>
      <c r="M102" s="51">
        <f t="shared" si="31"/>
        <v>0.12239999999999999</v>
      </c>
      <c r="N102" s="51">
        <f t="shared" si="31"/>
        <v>0</v>
      </c>
      <c r="O102" s="51">
        <f t="shared" si="31"/>
        <v>0</v>
      </c>
      <c r="P102" s="51">
        <f t="shared" si="31"/>
        <v>0</v>
      </c>
      <c r="Q102" s="51">
        <f t="shared" si="31"/>
        <v>0.153</v>
      </c>
      <c r="R102" s="51">
        <f t="shared" si="31"/>
        <v>0.12239999999999998</v>
      </c>
      <c r="S102" s="51">
        <f t="shared" si="31"/>
        <v>0</v>
      </c>
      <c r="T102" s="51">
        <f t="shared" si="31"/>
        <v>0.153</v>
      </c>
      <c r="U102" s="51">
        <f t="shared" si="31"/>
        <v>0.12239999999999999</v>
      </c>
      <c r="V102" s="51">
        <f t="shared" si="31"/>
        <v>0.12239999999999999</v>
      </c>
      <c r="W102" s="51">
        <f t="shared" si="32"/>
        <v>0.12239999999999999</v>
      </c>
      <c r="X102" s="55">
        <f t="shared" si="31"/>
        <v>0.12239999999999999</v>
      </c>
      <c r="Y102" s="59">
        <f t="shared" si="31"/>
        <v>0.12239999999999999</v>
      </c>
      <c r="Z102" s="51">
        <f t="shared" si="31"/>
        <v>0.13448324343280901</v>
      </c>
      <c r="AA102" s="51">
        <f>IF(AB12&gt;0,AA57/AB12,0)</f>
        <v>9.0999999999999998E-2</v>
      </c>
    </row>
    <row r="103" spans="1:27" ht="15.75" thickBot="1" x14ac:dyDescent="0.3">
      <c r="A103" s="48" t="s">
        <v>60</v>
      </c>
      <c r="B103" s="49" t="s">
        <v>9</v>
      </c>
      <c r="C103" s="50"/>
      <c r="D103" s="50"/>
      <c r="E103" s="50"/>
      <c r="F103" s="53">
        <f t="shared" si="31"/>
        <v>0</v>
      </c>
      <c r="G103" s="53">
        <f t="shared" si="31"/>
        <v>0</v>
      </c>
      <c r="H103" s="53">
        <f t="shared" si="31"/>
        <v>0</v>
      </c>
      <c r="I103" s="53">
        <f t="shared" si="31"/>
        <v>0</v>
      </c>
      <c r="J103" s="53">
        <f t="shared" si="31"/>
        <v>0</v>
      </c>
      <c r="K103" s="53">
        <f t="shared" si="31"/>
        <v>0</v>
      </c>
      <c r="L103" s="62">
        <f t="shared" si="31"/>
        <v>0</v>
      </c>
      <c r="M103" s="53">
        <f t="shared" si="31"/>
        <v>0</v>
      </c>
      <c r="N103" s="53">
        <f t="shared" si="31"/>
        <v>0</v>
      </c>
      <c r="O103" s="53">
        <f t="shared" si="31"/>
        <v>0</v>
      </c>
      <c r="P103" s="53">
        <f t="shared" si="31"/>
        <v>0</v>
      </c>
      <c r="Q103" s="53">
        <f t="shared" si="31"/>
        <v>0</v>
      </c>
      <c r="R103" s="53">
        <f t="shared" si="31"/>
        <v>0</v>
      </c>
      <c r="S103" s="53">
        <f t="shared" si="31"/>
        <v>0</v>
      </c>
      <c r="T103" s="53">
        <f t="shared" si="31"/>
        <v>0</v>
      </c>
      <c r="U103" s="53">
        <f t="shared" si="31"/>
        <v>0</v>
      </c>
      <c r="V103" s="53">
        <f t="shared" si="31"/>
        <v>0.95</v>
      </c>
      <c r="W103" s="53">
        <f t="shared" si="32"/>
        <v>0</v>
      </c>
      <c r="X103" s="56">
        <f t="shared" si="31"/>
        <v>0.42</v>
      </c>
      <c r="Y103" s="60">
        <f t="shared" si="31"/>
        <v>0</v>
      </c>
      <c r="Z103" s="53">
        <f t="shared" si="31"/>
        <v>0.59917390383393354</v>
      </c>
      <c r="AA103" s="53">
        <f t="shared" si="31"/>
        <v>0.41666666666666669</v>
      </c>
    </row>
    <row r="104" spans="1:27" ht="15.75" thickTop="1" x14ac:dyDescent="0.25">
      <c r="A104" s="15" t="s">
        <v>51</v>
      </c>
      <c r="B104" s="16" t="s">
        <v>52</v>
      </c>
      <c r="C104" s="16" t="s">
        <v>53</v>
      </c>
      <c r="D104" s="2"/>
      <c r="E104" s="2"/>
      <c r="F104" s="47">
        <f t="shared" si="31"/>
        <v>0</v>
      </c>
      <c r="G104" s="47">
        <f t="shared" si="31"/>
        <v>0</v>
      </c>
      <c r="H104" s="47">
        <f t="shared" si="31"/>
        <v>0</v>
      </c>
      <c r="I104" s="47">
        <f t="shared" si="31"/>
        <v>0</v>
      </c>
      <c r="J104" s="47">
        <f t="shared" si="31"/>
        <v>0</v>
      </c>
      <c r="K104" s="47">
        <f t="shared" si="31"/>
        <v>0</v>
      </c>
      <c r="L104" s="63">
        <f t="shared" si="31"/>
        <v>0</v>
      </c>
      <c r="M104" s="47">
        <f t="shared" si="31"/>
        <v>0</v>
      </c>
      <c r="N104" s="47">
        <f t="shared" si="31"/>
        <v>0</v>
      </c>
      <c r="O104" s="47">
        <f t="shared" si="31"/>
        <v>0</v>
      </c>
      <c r="P104" s="47">
        <f t="shared" si="31"/>
        <v>0</v>
      </c>
      <c r="Q104" s="47">
        <f t="shared" si="31"/>
        <v>0</v>
      </c>
      <c r="R104" s="47">
        <f t="shared" si="31"/>
        <v>0</v>
      </c>
      <c r="S104" s="47">
        <f t="shared" si="31"/>
        <v>0</v>
      </c>
      <c r="T104" s="47">
        <f t="shared" si="31"/>
        <v>0</v>
      </c>
      <c r="U104" s="47">
        <f t="shared" si="31"/>
        <v>0</v>
      </c>
      <c r="V104" s="47">
        <f t="shared" si="31"/>
        <v>0</v>
      </c>
      <c r="W104" s="47">
        <f t="shared" si="32"/>
        <v>0</v>
      </c>
      <c r="X104" s="57">
        <f t="shared" si="31"/>
        <v>0</v>
      </c>
      <c r="Y104" s="61">
        <f t="shared" si="31"/>
        <v>0</v>
      </c>
      <c r="Z104" s="47">
        <f t="shared" si="31"/>
        <v>0</v>
      </c>
      <c r="AA104" s="47">
        <f t="shared" si="31"/>
        <v>0</v>
      </c>
    </row>
    <row r="105" spans="1:27" x14ac:dyDescent="0.25">
      <c r="A105" s="15" t="s">
        <v>51</v>
      </c>
      <c r="B105" s="16" t="s">
        <v>52</v>
      </c>
      <c r="C105" s="16" t="s">
        <v>54</v>
      </c>
      <c r="D105" s="2"/>
      <c r="E105" s="2"/>
      <c r="F105" s="1">
        <f t="shared" si="31"/>
        <v>0</v>
      </c>
      <c r="G105" s="1">
        <f t="shared" si="31"/>
        <v>0</v>
      </c>
      <c r="H105" s="1">
        <f t="shared" si="31"/>
        <v>0</v>
      </c>
      <c r="I105" s="1">
        <f t="shared" si="31"/>
        <v>0</v>
      </c>
      <c r="J105" s="1">
        <f t="shared" si="31"/>
        <v>0</v>
      </c>
      <c r="K105" s="1">
        <f t="shared" si="31"/>
        <v>0</v>
      </c>
      <c r="L105" s="52">
        <f t="shared" si="31"/>
        <v>0</v>
      </c>
      <c r="M105" s="1">
        <f t="shared" si="31"/>
        <v>0</v>
      </c>
      <c r="N105" s="1">
        <f t="shared" si="31"/>
        <v>0</v>
      </c>
      <c r="O105" s="1">
        <f t="shared" si="31"/>
        <v>0</v>
      </c>
      <c r="P105" s="1">
        <f t="shared" si="31"/>
        <v>0</v>
      </c>
      <c r="Q105" s="1">
        <f t="shared" si="31"/>
        <v>0</v>
      </c>
      <c r="R105" s="1">
        <f t="shared" si="31"/>
        <v>0</v>
      </c>
      <c r="S105" s="1">
        <f t="shared" si="31"/>
        <v>0</v>
      </c>
      <c r="T105" s="1">
        <f t="shared" si="31"/>
        <v>0</v>
      </c>
      <c r="U105" s="1">
        <f t="shared" si="31"/>
        <v>0</v>
      </c>
      <c r="V105" s="1">
        <f t="shared" si="31"/>
        <v>0</v>
      </c>
      <c r="W105" s="1">
        <f t="shared" si="32"/>
        <v>0</v>
      </c>
      <c r="X105" s="54">
        <f t="shared" si="31"/>
        <v>0</v>
      </c>
      <c r="Y105" s="58">
        <f t="shared" si="31"/>
        <v>0</v>
      </c>
      <c r="Z105" s="1">
        <f t="shared" si="31"/>
        <v>0</v>
      </c>
      <c r="AA105" s="1">
        <f t="shared" si="31"/>
        <v>0</v>
      </c>
    </row>
    <row r="106" spans="1:27" x14ac:dyDescent="0.25">
      <c r="A106" s="15" t="s">
        <v>51</v>
      </c>
      <c r="B106" s="16" t="s">
        <v>52</v>
      </c>
      <c r="C106" s="16" t="s">
        <v>55</v>
      </c>
      <c r="D106" s="2"/>
      <c r="E106" s="2"/>
      <c r="F106" s="1">
        <f t="shared" si="31"/>
        <v>0</v>
      </c>
      <c r="G106" s="1">
        <f t="shared" si="31"/>
        <v>0</v>
      </c>
      <c r="H106" s="1">
        <f t="shared" si="31"/>
        <v>0</v>
      </c>
      <c r="I106" s="1">
        <f t="shared" si="31"/>
        <v>0</v>
      </c>
      <c r="J106" s="1">
        <f t="shared" si="31"/>
        <v>0</v>
      </c>
      <c r="K106" s="1">
        <f t="shared" si="31"/>
        <v>0</v>
      </c>
      <c r="L106" s="52">
        <f t="shared" si="31"/>
        <v>0</v>
      </c>
      <c r="M106" s="1">
        <f t="shared" si="31"/>
        <v>0</v>
      </c>
      <c r="N106" s="1">
        <f t="shared" si="31"/>
        <v>0</v>
      </c>
      <c r="O106" s="1">
        <f t="shared" si="31"/>
        <v>0</v>
      </c>
      <c r="P106" s="1">
        <f t="shared" si="31"/>
        <v>0</v>
      </c>
      <c r="Q106" s="1">
        <f t="shared" si="31"/>
        <v>0</v>
      </c>
      <c r="R106" s="1">
        <f t="shared" si="31"/>
        <v>0</v>
      </c>
      <c r="S106" s="1">
        <f t="shared" si="31"/>
        <v>0</v>
      </c>
      <c r="T106" s="1">
        <f t="shared" si="31"/>
        <v>0</v>
      </c>
      <c r="U106" s="1">
        <f t="shared" si="31"/>
        <v>0</v>
      </c>
      <c r="V106" s="1">
        <f t="shared" si="31"/>
        <v>0</v>
      </c>
      <c r="W106" s="1">
        <f t="shared" si="32"/>
        <v>0</v>
      </c>
      <c r="X106" s="54">
        <f t="shared" si="31"/>
        <v>0</v>
      </c>
      <c r="Y106" s="58">
        <f t="shared" si="31"/>
        <v>0</v>
      </c>
      <c r="Z106" s="1">
        <f t="shared" si="31"/>
        <v>0</v>
      </c>
      <c r="AA106" s="1">
        <f t="shared" si="31"/>
        <v>0</v>
      </c>
    </row>
    <row r="107" spans="1:27" x14ac:dyDescent="0.25">
      <c r="A107" s="25" t="s">
        <v>51</v>
      </c>
      <c r="B107" s="26" t="s">
        <v>56</v>
      </c>
      <c r="C107" s="26" t="s">
        <v>57</v>
      </c>
      <c r="D107" s="2"/>
      <c r="E107" s="2"/>
      <c r="F107" s="1">
        <f t="shared" si="31"/>
        <v>0</v>
      </c>
      <c r="G107" s="1">
        <f t="shared" si="31"/>
        <v>0</v>
      </c>
      <c r="H107" s="1">
        <f t="shared" si="31"/>
        <v>0</v>
      </c>
      <c r="I107" s="1">
        <f t="shared" si="31"/>
        <v>0</v>
      </c>
      <c r="J107" s="1">
        <f t="shared" si="31"/>
        <v>0</v>
      </c>
      <c r="K107" s="1">
        <f t="shared" si="31"/>
        <v>0</v>
      </c>
      <c r="L107" s="52">
        <f t="shared" si="31"/>
        <v>0</v>
      </c>
      <c r="M107" s="1">
        <f t="shared" si="31"/>
        <v>0</v>
      </c>
      <c r="N107" s="1">
        <f t="shared" si="31"/>
        <v>0</v>
      </c>
      <c r="O107" s="1">
        <f t="shared" si="31"/>
        <v>0</v>
      </c>
      <c r="P107" s="1">
        <f t="shared" si="31"/>
        <v>0</v>
      </c>
      <c r="Q107" s="1">
        <f t="shared" si="31"/>
        <v>0</v>
      </c>
      <c r="R107" s="1">
        <f t="shared" si="31"/>
        <v>0</v>
      </c>
      <c r="S107" s="1">
        <f t="shared" si="31"/>
        <v>0</v>
      </c>
      <c r="T107" s="1">
        <f t="shared" si="31"/>
        <v>0</v>
      </c>
      <c r="U107" s="1">
        <f t="shared" si="31"/>
        <v>0</v>
      </c>
      <c r="V107" s="1">
        <f t="shared" si="31"/>
        <v>0</v>
      </c>
      <c r="W107" s="1">
        <f t="shared" si="32"/>
        <v>0</v>
      </c>
      <c r="X107" s="54">
        <f t="shared" si="31"/>
        <v>0</v>
      </c>
      <c r="Y107" s="58">
        <f t="shared" si="31"/>
        <v>0</v>
      </c>
      <c r="Z107" s="1">
        <f t="shared" si="31"/>
        <v>0</v>
      </c>
      <c r="AA107" s="1">
        <f t="shared" si="31"/>
        <v>0</v>
      </c>
    </row>
    <row r="108" spans="1:27" x14ac:dyDescent="0.25">
      <c r="A108" s="15" t="s">
        <v>51</v>
      </c>
      <c r="B108" s="16" t="s">
        <v>56</v>
      </c>
      <c r="C108" s="27" t="s">
        <v>58</v>
      </c>
      <c r="D108" s="2"/>
      <c r="E108" s="2"/>
      <c r="F108" s="1">
        <f t="shared" si="31"/>
        <v>0</v>
      </c>
      <c r="G108" s="1">
        <f t="shared" si="31"/>
        <v>0</v>
      </c>
      <c r="H108" s="1">
        <f t="shared" si="31"/>
        <v>0</v>
      </c>
      <c r="I108" s="1">
        <f t="shared" si="31"/>
        <v>0</v>
      </c>
      <c r="J108" s="1">
        <f t="shared" si="31"/>
        <v>0</v>
      </c>
      <c r="K108" s="1">
        <f t="shared" ref="K108:AA108" si="33">IF(K18&gt;0,K63/K18,0)</f>
        <v>0</v>
      </c>
      <c r="L108" s="52">
        <f t="shared" si="33"/>
        <v>0</v>
      </c>
      <c r="M108" s="1">
        <f t="shared" si="33"/>
        <v>0</v>
      </c>
      <c r="N108" s="1">
        <f t="shared" si="33"/>
        <v>0</v>
      </c>
      <c r="O108" s="1">
        <f t="shared" si="33"/>
        <v>0</v>
      </c>
      <c r="P108" s="1">
        <f t="shared" si="33"/>
        <v>0</v>
      </c>
      <c r="Q108" s="1">
        <f t="shared" si="33"/>
        <v>0</v>
      </c>
      <c r="R108" s="1">
        <f t="shared" si="33"/>
        <v>0</v>
      </c>
      <c r="S108" s="1">
        <f t="shared" si="33"/>
        <v>0</v>
      </c>
      <c r="T108" s="1">
        <f t="shared" si="33"/>
        <v>0</v>
      </c>
      <c r="U108" s="1">
        <f t="shared" si="33"/>
        <v>0</v>
      </c>
      <c r="V108" s="1">
        <f t="shared" si="33"/>
        <v>0</v>
      </c>
      <c r="W108" s="1">
        <f t="shared" si="32"/>
        <v>0</v>
      </c>
      <c r="X108" s="54">
        <f t="shared" si="33"/>
        <v>0</v>
      </c>
      <c r="Y108" s="58">
        <f t="shared" si="33"/>
        <v>0</v>
      </c>
      <c r="Z108" s="1">
        <f t="shared" si="33"/>
        <v>0</v>
      </c>
      <c r="AA108" s="1">
        <f t="shared" si="33"/>
        <v>0</v>
      </c>
    </row>
    <row r="109" spans="1:27" x14ac:dyDescent="0.25">
      <c r="A109" s="15" t="s">
        <v>51</v>
      </c>
      <c r="B109" s="16" t="s">
        <v>9</v>
      </c>
      <c r="C109" s="27" t="s">
        <v>59</v>
      </c>
      <c r="D109" s="2"/>
      <c r="E109" s="2"/>
      <c r="F109" s="1">
        <f t="shared" ref="F109:AA117" si="34">IF(F19&gt;0,F64/F19,0)</f>
        <v>0</v>
      </c>
      <c r="G109" s="1">
        <f t="shared" si="34"/>
        <v>0</v>
      </c>
      <c r="H109" s="1">
        <f t="shared" si="34"/>
        <v>0</v>
      </c>
      <c r="I109" s="1">
        <f t="shared" si="34"/>
        <v>0</v>
      </c>
      <c r="J109" s="1">
        <f t="shared" si="34"/>
        <v>0</v>
      </c>
      <c r="K109" s="1">
        <f t="shared" si="34"/>
        <v>0</v>
      </c>
      <c r="L109" s="52">
        <f t="shared" si="34"/>
        <v>0</v>
      </c>
      <c r="M109" s="1">
        <f t="shared" si="34"/>
        <v>0</v>
      </c>
      <c r="N109" s="1">
        <f t="shared" si="34"/>
        <v>0</v>
      </c>
      <c r="O109" s="1">
        <f t="shared" si="34"/>
        <v>0</v>
      </c>
      <c r="P109" s="1">
        <f t="shared" si="34"/>
        <v>0</v>
      </c>
      <c r="Q109" s="1">
        <f t="shared" si="34"/>
        <v>0</v>
      </c>
      <c r="R109" s="1">
        <f t="shared" si="34"/>
        <v>0</v>
      </c>
      <c r="S109" s="1">
        <f t="shared" si="34"/>
        <v>0</v>
      </c>
      <c r="T109" s="1">
        <f t="shared" si="34"/>
        <v>0</v>
      </c>
      <c r="U109" s="1">
        <f t="shared" si="34"/>
        <v>0</v>
      </c>
      <c r="V109" s="1">
        <f t="shared" si="34"/>
        <v>0</v>
      </c>
      <c r="W109" s="1">
        <f t="shared" si="32"/>
        <v>0</v>
      </c>
      <c r="X109" s="54">
        <f t="shared" si="34"/>
        <v>0</v>
      </c>
      <c r="Y109" s="58">
        <f t="shared" si="34"/>
        <v>0</v>
      </c>
      <c r="Z109" s="1">
        <f t="shared" si="34"/>
        <v>0</v>
      </c>
      <c r="AA109" s="1">
        <f t="shared" si="34"/>
        <v>0</v>
      </c>
    </row>
    <row r="110" spans="1:27" x14ac:dyDescent="0.25">
      <c r="A110" s="15" t="s">
        <v>51</v>
      </c>
      <c r="B110" s="16" t="s">
        <v>9</v>
      </c>
      <c r="C110" s="27" t="s">
        <v>9</v>
      </c>
      <c r="D110" s="2"/>
      <c r="E110" s="2"/>
      <c r="F110" s="1">
        <f t="shared" si="34"/>
        <v>0</v>
      </c>
      <c r="G110" s="1">
        <f t="shared" si="34"/>
        <v>0</v>
      </c>
      <c r="H110" s="1">
        <f t="shared" si="34"/>
        <v>0</v>
      </c>
      <c r="I110" s="1">
        <f t="shared" si="34"/>
        <v>0</v>
      </c>
      <c r="J110" s="1">
        <f t="shared" si="34"/>
        <v>0</v>
      </c>
      <c r="K110" s="1">
        <f t="shared" si="34"/>
        <v>0</v>
      </c>
      <c r="L110" s="52">
        <f t="shared" si="34"/>
        <v>0</v>
      </c>
      <c r="M110" s="1">
        <f t="shared" si="34"/>
        <v>0</v>
      </c>
      <c r="N110" s="1">
        <f t="shared" si="34"/>
        <v>0</v>
      </c>
      <c r="O110" s="1">
        <f t="shared" si="34"/>
        <v>0</v>
      </c>
      <c r="P110" s="1">
        <f t="shared" si="34"/>
        <v>0</v>
      </c>
      <c r="Q110" s="1">
        <f t="shared" si="34"/>
        <v>0</v>
      </c>
      <c r="R110" s="1">
        <f t="shared" si="34"/>
        <v>0</v>
      </c>
      <c r="S110" s="1">
        <f t="shared" si="34"/>
        <v>0</v>
      </c>
      <c r="T110" s="1">
        <f t="shared" si="34"/>
        <v>0</v>
      </c>
      <c r="U110" s="1">
        <f t="shared" si="34"/>
        <v>0</v>
      </c>
      <c r="V110" s="1">
        <f t="shared" si="34"/>
        <v>0</v>
      </c>
      <c r="W110" s="1">
        <f t="shared" si="32"/>
        <v>0</v>
      </c>
      <c r="X110" s="54">
        <f t="shared" si="34"/>
        <v>0</v>
      </c>
      <c r="Y110" s="58">
        <f t="shared" si="34"/>
        <v>0</v>
      </c>
      <c r="Z110" s="1">
        <f t="shared" si="34"/>
        <v>0</v>
      </c>
      <c r="AA110" s="1">
        <f t="shared" si="34"/>
        <v>0</v>
      </c>
    </row>
    <row r="111" spans="1:27" x14ac:dyDescent="0.25">
      <c r="A111" s="28" t="s">
        <v>60</v>
      </c>
      <c r="B111" s="29" t="s">
        <v>13</v>
      </c>
      <c r="C111" s="29" t="s">
        <v>61</v>
      </c>
      <c r="D111" s="2"/>
      <c r="F111" s="51">
        <f t="shared" si="34"/>
        <v>0.23809523809523811</v>
      </c>
      <c r="G111" s="51">
        <f t="shared" si="34"/>
        <v>0</v>
      </c>
      <c r="H111" s="51">
        <f t="shared" si="34"/>
        <v>0.45454545454545453</v>
      </c>
      <c r="I111" s="51">
        <f t="shared" si="34"/>
        <v>0.28911564625850339</v>
      </c>
      <c r="J111" s="51">
        <f t="shared" si="34"/>
        <v>0.45090909090909093</v>
      </c>
      <c r="K111" s="51">
        <f t="shared" si="34"/>
        <v>0.31578947368421051</v>
      </c>
      <c r="L111" s="52">
        <f t="shared" si="34"/>
        <v>0</v>
      </c>
      <c r="M111" s="51">
        <f t="shared" si="34"/>
        <v>0.40956521739130436</v>
      </c>
      <c r="N111" s="51">
        <f t="shared" si="34"/>
        <v>0.64935064935064934</v>
      </c>
      <c r="O111" s="51">
        <f t="shared" si="34"/>
        <v>0.49549549549549549</v>
      </c>
      <c r="P111" s="51">
        <f t="shared" si="34"/>
        <v>0.43243243243243246</v>
      </c>
      <c r="Q111" s="69">
        <v>0.4</v>
      </c>
      <c r="R111" s="69">
        <v>0.4</v>
      </c>
      <c r="S111" s="51">
        <f t="shared" si="34"/>
        <v>0</v>
      </c>
      <c r="T111" s="69">
        <v>0.5</v>
      </c>
      <c r="U111" s="69">
        <v>0.5</v>
      </c>
      <c r="V111" s="77">
        <v>1.2</v>
      </c>
      <c r="W111" s="69">
        <v>0.6</v>
      </c>
      <c r="X111" s="76">
        <v>0.5</v>
      </c>
      <c r="Y111" s="59">
        <f t="shared" si="34"/>
        <v>0.31374843630200561</v>
      </c>
      <c r="Z111" s="51">
        <f t="shared" si="34"/>
        <v>0.49155174350604292</v>
      </c>
      <c r="AA111" s="51">
        <f t="shared" si="34"/>
        <v>0.34981375916962998</v>
      </c>
    </row>
    <row r="112" spans="1:27" x14ac:dyDescent="0.25">
      <c r="A112" s="36" t="s">
        <v>60</v>
      </c>
      <c r="B112" s="37" t="s">
        <v>13</v>
      </c>
      <c r="C112" s="29" t="s">
        <v>62</v>
      </c>
      <c r="D112" s="2"/>
      <c r="E112" s="2"/>
      <c r="F112" s="51">
        <f t="shared" si="34"/>
        <v>0.23809523809523811</v>
      </c>
      <c r="G112" s="51">
        <f t="shared" si="34"/>
        <v>0.33333333333333331</v>
      </c>
      <c r="H112" s="51">
        <f t="shared" si="34"/>
        <v>0.45454545454545453</v>
      </c>
      <c r="I112" s="51">
        <f t="shared" si="34"/>
        <v>0</v>
      </c>
      <c r="J112" s="51">
        <f t="shared" si="34"/>
        <v>0</v>
      </c>
      <c r="K112" s="51">
        <f t="shared" si="34"/>
        <v>0</v>
      </c>
      <c r="L112" s="52">
        <f t="shared" si="34"/>
        <v>0</v>
      </c>
      <c r="M112" s="51">
        <f t="shared" si="34"/>
        <v>0</v>
      </c>
      <c r="N112" s="51">
        <f t="shared" si="34"/>
        <v>0</v>
      </c>
      <c r="O112" s="51">
        <f t="shared" si="34"/>
        <v>0</v>
      </c>
      <c r="P112" s="51">
        <f t="shared" si="34"/>
        <v>0</v>
      </c>
      <c r="Q112" s="51">
        <f t="shared" si="34"/>
        <v>0</v>
      </c>
      <c r="R112" s="51">
        <f t="shared" si="34"/>
        <v>0</v>
      </c>
      <c r="S112" s="51">
        <f t="shared" si="34"/>
        <v>0</v>
      </c>
      <c r="T112" s="51">
        <f t="shared" si="34"/>
        <v>0</v>
      </c>
      <c r="U112" s="51">
        <f t="shared" si="34"/>
        <v>0</v>
      </c>
      <c r="V112" s="51">
        <f t="shared" si="34"/>
        <v>0</v>
      </c>
      <c r="W112" s="51">
        <f t="shared" si="34"/>
        <v>0</v>
      </c>
      <c r="X112" s="55">
        <f t="shared" si="34"/>
        <v>0</v>
      </c>
      <c r="Y112" s="59">
        <f t="shared" si="34"/>
        <v>0.36685179771996496</v>
      </c>
      <c r="Z112" s="51">
        <f t="shared" si="34"/>
        <v>0</v>
      </c>
      <c r="AA112" s="51">
        <f t="shared" si="34"/>
        <v>0.36685179771996496</v>
      </c>
    </row>
    <row r="113" spans="1:27" x14ac:dyDescent="0.25">
      <c r="A113" s="30" t="s">
        <v>60</v>
      </c>
      <c r="B113" s="31" t="s">
        <v>13</v>
      </c>
      <c r="C113" s="32" t="s">
        <v>63</v>
      </c>
      <c r="D113" s="2"/>
      <c r="E113" s="2"/>
      <c r="F113" s="51">
        <f t="shared" si="34"/>
        <v>0</v>
      </c>
      <c r="G113" s="51">
        <f t="shared" si="34"/>
        <v>0</v>
      </c>
      <c r="H113" s="51">
        <f t="shared" si="34"/>
        <v>0</v>
      </c>
      <c r="I113" s="51">
        <f t="shared" si="34"/>
        <v>0</v>
      </c>
      <c r="J113" s="51">
        <f t="shared" si="34"/>
        <v>0</v>
      </c>
      <c r="K113" s="51">
        <f t="shared" si="34"/>
        <v>0</v>
      </c>
      <c r="L113" s="52">
        <f t="shared" si="34"/>
        <v>0</v>
      </c>
      <c r="M113" s="51">
        <f t="shared" si="34"/>
        <v>0</v>
      </c>
      <c r="N113" s="51">
        <f t="shared" si="34"/>
        <v>0</v>
      </c>
      <c r="O113" s="51">
        <f t="shared" si="34"/>
        <v>0</v>
      </c>
      <c r="P113" s="51">
        <f t="shared" si="34"/>
        <v>0</v>
      </c>
      <c r="Q113" s="51">
        <f t="shared" si="34"/>
        <v>0</v>
      </c>
      <c r="R113" s="51">
        <f t="shared" si="34"/>
        <v>0</v>
      </c>
      <c r="S113" s="51">
        <f t="shared" si="34"/>
        <v>0</v>
      </c>
      <c r="T113" s="51">
        <f t="shared" si="34"/>
        <v>0</v>
      </c>
      <c r="U113" s="51">
        <f t="shared" si="34"/>
        <v>0</v>
      </c>
      <c r="V113" s="51">
        <f t="shared" si="34"/>
        <v>0</v>
      </c>
      <c r="W113" s="51">
        <f t="shared" si="34"/>
        <v>0</v>
      </c>
      <c r="X113" s="55">
        <f t="shared" si="34"/>
        <v>0</v>
      </c>
      <c r="Y113" s="59">
        <f t="shared" si="34"/>
        <v>0</v>
      </c>
      <c r="Z113" s="51">
        <f t="shared" si="34"/>
        <v>0</v>
      </c>
      <c r="AA113" s="51">
        <f t="shared" si="34"/>
        <v>0</v>
      </c>
    </row>
    <row r="114" spans="1:27" x14ac:dyDescent="0.25">
      <c r="A114" s="30" t="s">
        <v>60</v>
      </c>
      <c r="B114" s="32" t="s">
        <v>23</v>
      </c>
      <c r="C114" s="31" t="s">
        <v>50</v>
      </c>
      <c r="D114" s="2"/>
      <c r="E114" s="2"/>
      <c r="F114" s="77">
        <f>0.32*1.05</f>
        <v>0.33600000000000002</v>
      </c>
      <c r="G114" s="51">
        <f t="shared" si="34"/>
        <v>0</v>
      </c>
      <c r="H114" s="51">
        <f t="shared" si="34"/>
        <v>0</v>
      </c>
      <c r="I114" s="51">
        <f t="shared" si="34"/>
        <v>0</v>
      </c>
      <c r="J114" s="77">
        <f>0.3*1.05</f>
        <v>0.315</v>
      </c>
      <c r="K114" s="51">
        <f t="shared" si="34"/>
        <v>0.24872448979591838</v>
      </c>
      <c r="L114" s="52">
        <f t="shared" si="34"/>
        <v>0</v>
      </c>
      <c r="M114" s="51">
        <f t="shared" si="34"/>
        <v>0</v>
      </c>
      <c r="N114" s="51">
        <f t="shared" si="34"/>
        <v>0.75903890160183063</v>
      </c>
      <c r="O114" s="51">
        <f t="shared" si="34"/>
        <v>0</v>
      </c>
      <c r="P114" s="51">
        <f t="shared" si="34"/>
        <v>0</v>
      </c>
      <c r="Q114" s="51">
        <f t="shared" si="34"/>
        <v>0</v>
      </c>
      <c r="R114" s="51">
        <f t="shared" si="34"/>
        <v>0</v>
      </c>
      <c r="S114" s="51">
        <f t="shared" si="34"/>
        <v>0</v>
      </c>
      <c r="T114" s="51">
        <f t="shared" si="34"/>
        <v>0</v>
      </c>
      <c r="U114" s="51">
        <f t="shared" si="34"/>
        <v>0</v>
      </c>
      <c r="V114" s="51">
        <f t="shared" si="34"/>
        <v>0</v>
      </c>
      <c r="W114" s="51">
        <f t="shared" si="34"/>
        <v>0</v>
      </c>
      <c r="X114" s="55">
        <f t="shared" si="34"/>
        <v>0</v>
      </c>
      <c r="Y114" s="59">
        <f t="shared" si="34"/>
        <v>0.25526984747751275</v>
      </c>
      <c r="Z114" s="51">
        <f t="shared" si="34"/>
        <v>0.75903890160183063</v>
      </c>
      <c r="AA114" s="51">
        <f t="shared" si="34"/>
        <v>0.44210526315789472</v>
      </c>
    </row>
    <row r="115" spans="1:27" x14ac:dyDescent="0.25">
      <c r="A115" s="30" t="s">
        <v>60</v>
      </c>
      <c r="B115" s="32" t="s">
        <v>23</v>
      </c>
      <c r="C115" s="31" t="s">
        <v>49</v>
      </c>
      <c r="D115" s="2"/>
      <c r="E115" s="2"/>
      <c r="F115" s="51">
        <f t="shared" ref="F115:AA127" si="35">IF(F25&gt;0,F70/F25,0)</f>
        <v>0</v>
      </c>
      <c r="G115" s="51">
        <f t="shared" si="35"/>
        <v>0</v>
      </c>
      <c r="H115" s="51">
        <f t="shared" si="35"/>
        <v>0</v>
      </c>
      <c r="I115" s="51">
        <f t="shared" si="35"/>
        <v>0</v>
      </c>
      <c r="J115" s="77">
        <f>0.305*1.05</f>
        <v>0.32024999999999998</v>
      </c>
      <c r="K115" s="51">
        <f t="shared" si="35"/>
        <v>0</v>
      </c>
      <c r="L115" s="52">
        <f t="shared" si="35"/>
        <v>0</v>
      </c>
      <c r="M115" s="51">
        <f t="shared" si="35"/>
        <v>0</v>
      </c>
      <c r="N115" s="51">
        <f t="shared" si="35"/>
        <v>0</v>
      </c>
      <c r="O115" s="51">
        <f t="shared" si="35"/>
        <v>0</v>
      </c>
      <c r="P115" s="51">
        <f t="shared" si="35"/>
        <v>0</v>
      </c>
      <c r="Q115" s="51">
        <f t="shared" si="35"/>
        <v>0</v>
      </c>
      <c r="R115" s="51">
        <f t="shared" si="35"/>
        <v>0</v>
      </c>
      <c r="S115" s="77">
        <f>0.3*1.05</f>
        <v>0.315</v>
      </c>
      <c r="T115" s="77">
        <f>0.4*1.05</f>
        <v>0.42000000000000004</v>
      </c>
      <c r="U115" s="51">
        <f t="shared" si="35"/>
        <v>0</v>
      </c>
      <c r="V115" s="77">
        <v>0.9</v>
      </c>
      <c r="W115" s="51">
        <f t="shared" si="34"/>
        <v>0</v>
      </c>
      <c r="X115" s="77">
        <v>0.9</v>
      </c>
      <c r="Y115" s="59">
        <f t="shared" si="35"/>
        <v>0.32024999999999998</v>
      </c>
      <c r="Z115" s="51">
        <f t="shared" si="35"/>
        <v>0.54894495412844035</v>
      </c>
      <c r="AA115" s="51">
        <f t="shared" si="35"/>
        <v>0.57599999999999996</v>
      </c>
    </row>
    <row r="116" spans="1:27" x14ac:dyDescent="0.25">
      <c r="A116" s="30" t="s">
        <v>60</v>
      </c>
      <c r="B116" s="32" t="s">
        <v>23</v>
      </c>
      <c r="C116" s="31" t="s">
        <v>64</v>
      </c>
      <c r="D116" s="2"/>
      <c r="E116" s="2"/>
      <c r="F116" s="51">
        <f t="shared" si="35"/>
        <v>0</v>
      </c>
      <c r="G116" s="51">
        <f t="shared" si="35"/>
        <v>0</v>
      </c>
      <c r="H116" s="51">
        <f t="shared" si="35"/>
        <v>0</v>
      </c>
      <c r="I116" s="51">
        <f t="shared" si="35"/>
        <v>0</v>
      </c>
      <c r="J116" s="51">
        <f t="shared" si="35"/>
        <v>0</v>
      </c>
      <c r="K116" s="51">
        <f t="shared" si="35"/>
        <v>0</v>
      </c>
      <c r="L116" s="52">
        <f t="shared" si="35"/>
        <v>0</v>
      </c>
      <c r="M116" s="51">
        <f t="shared" si="35"/>
        <v>0</v>
      </c>
      <c r="N116" s="51">
        <f t="shared" si="35"/>
        <v>0</v>
      </c>
      <c r="O116" s="51">
        <f t="shared" si="35"/>
        <v>0</v>
      </c>
      <c r="P116" s="51">
        <f t="shared" si="35"/>
        <v>0</v>
      </c>
      <c r="Q116" s="51">
        <f t="shared" si="35"/>
        <v>0</v>
      </c>
      <c r="R116" s="51">
        <f t="shared" si="35"/>
        <v>0</v>
      </c>
      <c r="S116" s="51">
        <f t="shared" si="35"/>
        <v>0</v>
      </c>
      <c r="T116" s="51">
        <f t="shared" si="35"/>
        <v>0</v>
      </c>
      <c r="U116" s="51">
        <f t="shared" si="35"/>
        <v>0</v>
      </c>
      <c r="V116" s="51">
        <f t="shared" si="35"/>
        <v>0</v>
      </c>
      <c r="W116" s="51">
        <f t="shared" si="34"/>
        <v>0</v>
      </c>
      <c r="X116" s="55">
        <f t="shared" si="35"/>
        <v>0</v>
      </c>
      <c r="Y116" s="59">
        <f t="shared" si="35"/>
        <v>0</v>
      </c>
      <c r="Z116" s="51">
        <f t="shared" si="35"/>
        <v>0</v>
      </c>
      <c r="AA116" s="51">
        <f t="shared" si="35"/>
        <v>0</v>
      </c>
    </row>
    <row r="117" spans="1:27" x14ac:dyDescent="0.25">
      <c r="A117" s="30" t="s">
        <v>60</v>
      </c>
      <c r="B117" s="32" t="s">
        <v>65</v>
      </c>
      <c r="C117" s="31" t="s">
        <v>66</v>
      </c>
      <c r="D117" s="2"/>
      <c r="E117" s="2"/>
      <c r="F117" s="51">
        <f t="shared" si="35"/>
        <v>0</v>
      </c>
      <c r="G117" s="51">
        <f t="shared" si="35"/>
        <v>0</v>
      </c>
      <c r="H117" s="51">
        <f t="shared" si="35"/>
        <v>0</v>
      </c>
      <c r="I117" s="51">
        <f t="shared" si="35"/>
        <v>0</v>
      </c>
      <c r="J117" s="77">
        <f>0.12*1.02</f>
        <v>0.12239999999999999</v>
      </c>
      <c r="K117" s="51">
        <f t="shared" si="35"/>
        <v>0</v>
      </c>
      <c r="L117" s="52">
        <f t="shared" si="35"/>
        <v>0</v>
      </c>
      <c r="M117" s="77">
        <f>0.12*1.02</f>
        <v>0.12239999999999999</v>
      </c>
      <c r="N117" s="51">
        <f t="shared" si="35"/>
        <v>0</v>
      </c>
      <c r="O117" s="51">
        <f t="shared" si="35"/>
        <v>0</v>
      </c>
      <c r="P117" s="51">
        <f t="shared" si="35"/>
        <v>0</v>
      </c>
      <c r="Q117" s="51">
        <f t="shared" si="35"/>
        <v>0</v>
      </c>
      <c r="R117" s="51">
        <f t="shared" si="35"/>
        <v>0</v>
      </c>
      <c r="S117" s="51">
        <f t="shared" si="35"/>
        <v>0</v>
      </c>
      <c r="T117" s="51">
        <f t="shared" si="35"/>
        <v>0</v>
      </c>
      <c r="U117" s="51">
        <f t="shared" si="35"/>
        <v>0</v>
      </c>
      <c r="V117" s="51">
        <f t="shared" si="35"/>
        <v>0</v>
      </c>
      <c r="W117" s="51">
        <f t="shared" si="34"/>
        <v>0</v>
      </c>
      <c r="X117" s="55">
        <f t="shared" si="35"/>
        <v>0</v>
      </c>
      <c r="Y117" s="59">
        <f t="shared" si="35"/>
        <v>0.12239999999999999</v>
      </c>
      <c r="Z117" s="51">
        <f t="shared" si="35"/>
        <v>0.12239999999999999</v>
      </c>
      <c r="AA117" s="51">
        <f t="shared" si="35"/>
        <v>0.12239999999999999</v>
      </c>
    </row>
    <row r="118" spans="1:27" x14ac:dyDescent="0.25">
      <c r="A118" s="30" t="s">
        <v>60</v>
      </c>
      <c r="B118" s="32" t="s">
        <v>65</v>
      </c>
      <c r="C118" s="31" t="s">
        <v>67</v>
      </c>
      <c r="D118" s="2"/>
      <c r="E118" s="2"/>
      <c r="F118" s="51">
        <f t="shared" si="35"/>
        <v>0</v>
      </c>
      <c r="G118" s="51">
        <f t="shared" si="35"/>
        <v>0</v>
      </c>
      <c r="H118" s="51">
        <f t="shared" si="35"/>
        <v>0</v>
      </c>
      <c r="I118" s="51">
        <f t="shared" si="35"/>
        <v>0</v>
      </c>
      <c r="J118" s="51">
        <f t="shared" si="35"/>
        <v>0</v>
      </c>
      <c r="K118" s="51">
        <f t="shared" si="35"/>
        <v>0</v>
      </c>
      <c r="L118" s="52">
        <f t="shared" si="35"/>
        <v>0</v>
      </c>
      <c r="M118" s="51">
        <f t="shared" si="35"/>
        <v>0</v>
      </c>
      <c r="N118" s="51">
        <f t="shared" si="35"/>
        <v>0</v>
      </c>
      <c r="O118" s="51">
        <f t="shared" si="35"/>
        <v>0</v>
      </c>
      <c r="P118" s="51">
        <f t="shared" si="35"/>
        <v>0</v>
      </c>
      <c r="Q118" s="77">
        <f>0.15*1.02</f>
        <v>0.153</v>
      </c>
      <c r="R118" s="77">
        <f>0.12*1.02</f>
        <v>0.12239999999999999</v>
      </c>
      <c r="S118" s="51">
        <f t="shared" si="35"/>
        <v>0</v>
      </c>
      <c r="T118" s="77">
        <f>0.15*1.02</f>
        <v>0.153</v>
      </c>
      <c r="U118" s="77">
        <f>0.12*1.02</f>
        <v>0.12239999999999999</v>
      </c>
      <c r="V118" s="77">
        <f>0.12*1.02</f>
        <v>0.12239999999999999</v>
      </c>
      <c r="W118" s="77">
        <f>0.12*1.02</f>
        <v>0.12239999999999999</v>
      </c>
      <c r="X118" s="77">
        <f>0.12*1.02</f>
        <v>0.12239999999999999</v>
      </c>
      <c r="Y118" s="59">
        <f t="shared" si="35"/>
        <v>0</v>
      </c>
      <c r="Z118" s="51">
        <f t="shared" si="35"/>
        <v>0.13585215400304004</v>
      </c>
      <c r="AA118" s="51">
        <f t="shared" si="35"/>
        <v>0.13585215400304004</v>
      </c>
    </row>
    <row r="119" spans="1:27" x14ac:dyDescent="0.25">
      <c r="A119" s="30" t="s">
        <v>60</v>
      </c>
      <c r="B119" s="32" t="s">
        <v>65</v>
      </c>
      <c r="C119" s="31" t="s">
        <v>68</v>
      </c>
      <c r="D119" s="2"/>
      <c r="E119" s="2"/>
      <c r="F119" s="51">
        <f t="shared" si="35"/>
        <v>0</v>
      </c>
      <c r="G119" s="51">
        <f t="shared" si="35"/>
        <v>0</v>
      </c>
      <c r="H119" s="51">
        <f t="shared" si="35"/>
        <v>0</v>
      </c>
      <c r="I119" s="51">
        <f t="shared" si="35"/>
        <v>0</v>
      </c>
      <c r="J119" s="51">
        <f t="shared" si="35"/>
        <v>0</v>
      </c>
      <c r="K119" s="51">
        <f t="shared" si="35"/>
        <v>0</v>
      </c>
      <c r="L119" s="77">
        <f>0.09*1.02</f>
        <v>9.1799999999999993E-2</v>
      </c>
      <c r="M119" s="51">
        <f t="shared" si="35"/>
        <v>0</v>
      </c>
      <c r="N119" s="51">
        <f t="shared" si="35"/>
        <v>0</v>
      </c>
      <c r="O119" s="51">
        <f t="shared" si="35"/>
        <v>0</v>
      </c>
      <c r="P119" s="51">
        <f t="shared" si="35"/>
        <v>0</v>
      </c>
      <c r="Q119" s="51">
        <f t="shared" si="35"/>
        <v>0</v>
      </c>
      <c r="R119" s="51">
        <f t="shared" si="35"/>
        <v>0</v>
      </c>
      <c r="S119" s="51">
        <f t="shared" si="35"/>
        <v>0</v>
      </c>
      <c r="T119" s="51">
        <f t="shared" si="35"/>
        <v>0</v>
      </c>
      <c r="U119" s="51">
        <f t="shared" si="35"/>
        <v>0</v>
      </c>
      <c r="V119" s="51">
        <f t="shared" si="35"/>
        <v>0</v>
      </c>
      <c r="W119" s="51">
        <f t="shared" si="35"/>
        <v>0</v>
      </c>
      <c r="X119" s="55">
        <f t="shared" si="35"/>
        <v>0</v>
      </c>
      <c r="Y119" s="59">
        <f t="shared" si="35"/>
        <v>0</v>
      </c>
      <c r="Z119" s="51">
        <f t="shared" si="35"/>
        <v>0</v>
      </c>
      <c r="AA119" s="51">
        <f t="shared" si="35"/>
        <v>9.1799999999999993E-2</v>
      </c>
    </row>
    <row r="120" spans="1:27" x14ac:dyDescent="0.25">
      <c r="A120" s="30" t="s">
        <v>60</v>
      </c>
      <c r="B120" s="32" t="s">
        <v>9</v>
      </c>
      <c r="C120" s="31" t="s">
        <v>69</v>
      </c>
      <c r="D120" s="2"/>
      <c r="E120" s="2"/>
      <c r="F120" s="51">
        <f t="shared" si="35"/>
        <v>0</v>
      </c>
      <c r="G120" s="51">
        <f t="shared" si="35"/>
        <v>0</v>
      </c>
      <c r="H120" s="51">
        <f t="shared" si="35"/>
        <v>0</v>
      </c>
      <c r="I120" s="51">
        <f t="shared" si="35"/>
        <v>0</v>
      </c>
      <c r="J120" s="51">
        <f t="shared" si="35"/>
        <v>0</v>
      </c>
      <c r="K120" s="51">
        <f t="shared" si="35"/>
        <v>0</v>
      </c>
      <c r="L120" s="52">
        <f t="shared" si="35"/>
        <v>0</v>
      </c>
      <c r="M120" s="51">
        <f t="shared" si="35"/>
        <v>0</v>
      </c>
      <c r="N120" s="51">
        <f t="shared" si="35"/>
        <v>0</v>
      </c>
      <c r="O120" s="51">
        <f t="shared" si="35"/>
        <v>0</v>
      </c>
      <c r="P120" s="51">
        <f t="shared" si="35"/>
        <v>0</v>
      </c>
      <c r="Q120" s="51">
        <f t="shared" si="35"/>
        <v>0</v>
      </c>
      <c r="R120" s="51">
        <f t="shared" si="35"/>
        <v>0</v>
      </c>
      <c r="S120" s="51">
        <f t="shared" si="35"/>
        <v>0</v>
      </c>
      <c r="T120" s="51">
        <f t="shared" si="35"/>
        <v>0</v>
      </c>
      <c r="U120" s="51">
        <f t="shared" si="35"/>
        <v>0</v>
      </c>
      <c r="V120" s="51">
        <f t="shared" si="35"/>
        <v>0.95</v>
      </c>
      <c r="W120" s="51">
        <f t="shared" si="35"/>
        <v>0</v>
      </c>
      <c r="X120" s="79">
        <v>0.42</v>
      </c>
      <c r="Y120" s="59">
        <f t="shared" si="35"/>
        <v>0</v>
      </c>
      <c r="Z120" s="51">
        <f t="shared" si="35"/>
        <v>0.59917390383393354</v>
      </c>
      <c r="AA120" s="51">
        <f t="shared" si="35"/>
        <v>0.59917390383393354</v>
      </c>
    </row>
    <row r="121" spans="1:27" x14ac:dyDescent="0.25">
      <c r="A121" s="15" t="s">
        <v>51</v>
      </c>
      <c r="B121" s="16" t="s">
        <v>56</v>
      </c>
      <c r="C121" s="27" t="s">
        <v>57</v>
      </c>
      <c r="D121" s="16" t="s">
        <v>70</v>
      </c>
      <c r="E121" s="16"/>
      <c r="F121" s="1">
        <f t="shared" si="35"/>
        <v>0</v>
      </c>
      <c r="G121" s="1">
        <f t="shared" si="35"/>
        <v>0</v>
      </c>
      <c r="H121" s="1">
        <f t="shared" si="35"/>
        <v>0</v>
      </c>
      <c r="I121" s="1">
        <f t="shared" si="35"/>
        <v>0</v>
      </c>
      <c r="J121" s="1">
        <f t="shared" si="35"/>
        <v>0</v>
      </c>
      <c r="K121" s="1">
        <f t="shared" si="35"/>
        <v>0</v>
      </c>
      <c r="L121" s="52">
        <f t="shared" si="35"/>
        <v>0</v>
      </c>
      <c r="M121" s="1">
        <f t="shared" si="35"/>
        <v>0</v>
      </c>
      <c r="N121" s="1">
        <f t="shared" si="35"/>
        <v>0</v>
      </c>
      <c r="O121" s="1">
        <f t="shared" si="35"/>
        <v>0</v>
      </c>
      <c r="P121" s="1">
        <f t="shared" si="35"/>
        <v>0</v>
      </c>
      <c r="Q121" s="1">
        <f t="shared" si="35"/>
        <v>0</v>
      </c>
      <c r="R121" s="1">
        <f t="shared" si="35"/>
        <v>0</v>
      </c>
      <c r="S121" s="1">
        <f t="shared" si="35"/>
        <v>0</v>
      </c>
      <c r="T121" s="1">
        <f t="shared" si="35"/>
        <v>0</v>
      </c>
      <c r="U121" s="1">
        <f t="shared" si="35"/>
        <v>0</v>
      </c>
      <c r="V121" s="1">
        <f t="shared" si="35"/>
        <v>0</v>
      </c>
      <c r="W121" s="1">
        <f t="shared" si="35"/>
        <v>0</v>
      </c>
      <c r="X121" s="54">
        <f t="shared" si="35"/>
        <v>0</v>
      </c>
      <c r="Y121" s="58">
        <f t="shared" si="35"/>
        <v>0</v>
      </c>
      <c r="Z121" s="1">
        <f t="shared" si="35"/>
        <v>0</v>
      </c>
      <c r="AA121" s="1">
        <f t="shared" si="35"/>
        <v>0</v>
      </c>
    </row>
    <row r="122" spans="1:27" x14ac:dyDescent="0.25">
      <c r="A122" s="15" t="s">
        <v>51</v>
      </c>
      <c r="B122" s="16" t="s">
        <v>56</v>
      </c>
      <c r="C122" s="27" t="s">
        <v>57</v>
      </c>
      <c r="D122" s="16" t="s">
        <v>71</v>
      </c>
      <c r="E122" s="16"/>
      <c r="F122" s="1">
        <f t="shared" si="35"/>
        <v>0</v>
      </c>
      <c r="G122" s="1">
        <f t="shared" si="35"/>
        <v>0</v>
      </c>
      <c r="H122" s="1">
        <f t="shared" si="35"/>
        <v>0</v>
      </c>
      <c r="I122" s="1">
        <f t="shared" si="35"/>
        <v>0</v>
      </c>
      <c r="J122" s="1">
        <f t="shared" si="35"/>
        <v>0</v>
      </c>
      <c r="K122" s="1">
        <f t="shared" si="35"/>
        <v>0</v>
      </c>
      <c r="L122" s="52">
        <f t="shared" si="35"/>
        <v>0</v>
      </c>
      <c r="M122" s="1">
        <f t="shared" si="35"/>
        <v>0</v>
      </c>
      <c r="N122" s="1">
        <f t="shared" si="35"/>
        <v>0</v>
      </c>
      <c r="O122" s="1">
        <f t="shared" si="35"/>
        <v>0</v>
      </c>
      <c r="P122" s="1">
        <f t="shared" si="35"/>
        <v>0</v>
      </c>
      <c r="Q122" s="1">
        <f t="shared" si="35"/>
        <v>0</v>
      </c>
      <c r="R122" s="1">
        <f t="shared" si="35"/>
        <v>0</v>
      </c>
      <c r="S122" s="1">
        <f t="shared" si="35"/>
        <v>0</v>
      </c>
      <c r="T122" s="1">
        <f t="shared" si="35"/>
        <v>0</v>
      </c>
      <c r="U122" s="1">
        <f t="shared" si="35"/>
        <v>0</v>
      </c>
      <c r="V122" s="1">
        <f t="shared" si="35"/>
        <v>0</v>
      </c>
      <c r="W122" s="1">
        <f t="shared" si="35"/>
        <v>0</v>
      </c>
      <c r="X122" s="54">
        <f t="shared" si="35"/>
        <v>0</v>
      </c>
      <c r="Y122" s="58">
        <f t="shared" si="35"/>
        <v>0</v>
      </c>
      <c r="Z122" s="1">
        <f t="shared" si="35"/>
        <v>0</v>
      </c>
      <c r="AA122" s="1">
        <f t="shared" si="35"/>
        <v>0</v>
      </c>
    </row>
    <row r="123" spans="1:27" x14ac:dyDescent="0.25">
      <c r="A123" s="15" t="s">
        <v>51</v>
      </c>
      <c r="B123" s="16" t="s">
        <v>56</v>
      </c>
      <c r="C123" s="27" t="s">
        <v>27</v>
      </c>
      <c r="D123" s="16" t="s">
        <v>72</v>
      </c>
      <c r="E123" s="16"/>
      <c r="F123" s="1">
        <f t="shared" si="35"/>
        <v>0</v>
      </c>
      <c r="G123" s="1">
        <f t="shared" si="35"/>
        <v>0</v>
      </c>
      <c r="H123" s="1">
        <f t="shared" si="35"/>
        <v>0</v>
      </c>
      <c r="I123" s="1">
        <f t="shared" si="35"/>
        <v>0</v>
      </c>
      <c r="J123" s="1">
        <f t="shared" si="35"/>
        <v>0</v>
      </c>
      <c r="K123" s="1">
        <f t="shared" si="35"/>
        <v>0</v>
      </c>
      <c r="L123" s="52">
        <f t="shared" si="35"/>
        <v>0</v>
      </c>
      <c r="M123" s="1">
        <f t="shared" si="35"/>
        <v>0</v>
      </c>
      <c r="N123" s="1">
        <f t="shared" si="35"/>
        <v>0</v>
      </c>
      <c r="O123" s="1">
        <f t="shared" si="35"/>
        <v>0</v>
      </c>
      <c r="P123" s="1">
        <f t="shared" si="35"/>
        <v>0</v>
      </c>
      <c r="Q123" s="1">
        <f t="shared" si="35"/>
        <v>0</v>
      </c>
      <c r="R123" s="1">
        <f t="shared" si="35"/>
        <v>0</v>
      </c>
      <c r="S123" s="1">
        <f t="shared" si="35"/>
        <v>0</v>
      </c>
      <c r="T123" s="1">
        <f t="shared" si="35"/>
        <v>0</v>
      </c>
      <c r="U123" s="1">
        <f t="shared" si="35"/>
        <v>0</v>
      </c>
      <c r="V123" s="1">
        <f t="shared" si="35"/>
        <v>0</v>
      </c>
      <c r="W123" s="1">
        <f t="shared" si="35"/>
        <v>0</v>
      </c>
      <c r="X123" s="54">
        <f t="shared" si="35"/>
        <v>0</v>
      </c>
      <c r="Y123" s="58">
        <f t="shared" si="35"/>
        <v>0</v>
      </c>
      <c r="Z123" s="1">
        <f t="shared" si="35"/>
        <v>0</v>
      </c>
      <c r="AA123" s="1">
        <f t="shared" si="35"/>
        <v>0</v>
      </c>
    </row>
    <row r="124" spans="1:27" x14ac:dyDescent="0.25">
      <c r="A124" s="15" t="s">
        <v>51</v>
      </c>
      <c r="B124" s="16" t="s">
        <v>56</v>
      </c>
      <c r="C124" s="27" t="s">
        <v>57</v>
      </c>
      <c r="D124" s="16" t="s">
        <v>73</v>
      </c>
      <c r="E124" s="16"/>
      <c r="F124" s="1">
        <f t="shared" si="35"/>
        <v>0</v>
      </c>
      <c r="G124" s="1">
        <f t="shared" si="35"/>
        <v>0</v>
      </c>
      <c r="H124" s="1">
        <f t="shared" si="35"/>
        <v>0</v>
      </c>
      <c r="I124" s="1">
        <f t="shared" si="35"/>
        <v>0</v>
      </c>
      <c r="J124" s="1">
        <f t="shared" si="35"/>
        <v>0</v>
      </c>
      <c r="K124" s="1">
        <f t="shared" si="35"/>
        <v>0</v>
      </c>
      <c r="L124" s="52">
        <f t="shared" si="35"/>
        <v>0</v>
      </c>
      <c r="M124" s="1">
        <f t="shared" si="35"/>
        <v>0</v>
      </c>
      <c r="N124" s="1">
        <f t="shared" si="35"/>
        <v>0</v>
      </c>
      <c r="O124" s="1">
        <f t="shared" si="35"/>
        <v>0</v>
      </c>
      <c r="P124" s="1">
        <f t="shared" si="35"/>
        <v>0</v>
      </c>
      <c r="Q124" s="1">
        <f t="shared" si="35"/>
        <v>0</v>
      </c>
      <c r="R124" s="1">
        <f t="shared" si="35"/>
        <v>0</v>
      </c>
      <c r="S124" s="1">
        <f t="shared" si="35"/>
        <v>0</v>
      </c>
      <c r="T124" s="1">
        <f t="shared" si="35"/>
        <v>0</v>
      </c>
      <c r="U124" s="1">
        <f t="shared" si="35"/>
        <v>0</v>
      </c>
      <c r="V124" s="1">
        <f t="shared" si="35"/>
        <v>0</v>
      </c>
      <c r="W124" s="1">
        <f t="shared" si="35"/>
        <v>0</v>
      </c>
      <c r="X124" s="54">
        <f t="shared" si="35"/>
        <v>0</v>
      </c>
      <c r="Y124" s="58">
        <f t="shared" si="35"/>
        <v>0</v>
      </c>
      <c r="Z124" s="1">
        <f t="shared" si="35"/>
        <v>0</v>
      </c>
      <c r="AA124" s="1">
        <f t="shared" si="35"/>
        <v>0</v>
      </c>
    </row>
    <row r="125" spans="1:27" x14ac:dyDescent="0.25">
      <c r="A125" s="15" t="s">
        <v>51</v>
      </c>
      <c r="B125" s="16" t="s">
        <v>56</v>
      </c>
      <c r="C125" s="27" t="s">
        <v>57</v>
      </c>
      <c r="D125" s="16" t="s">
        <v>74</v>
      </c>
      <c r="E125" s="16"/>
      <c r="F125" s="1">
        <f t="shared" si="35"/>
        <v>0</v>
      </c>
      <c r="G125" s="1">
        <f t="shared" si="35"/>
        <v>0</v>
      </c>
      <c r="H125" s="1">
        <f t="shared" si="35"/>
        <v>0</v>
      </c>
      <c r="I125" s="1">
        <f t="shared" si="35"/>
        <v>0</v>
      </c>
      <c r="J125" s="1">
        <f t="shared" si="35"/>
        <v>0</v>
      </c>
      <c r="K125" s="1">
        <f t="shared" si="35"/>
        <v>0</v>
      </c>
      <c r="L125" s="52">
        <f t="shared" si="35"/>
        <v>0</v>
      </c>
      <c r="M125" s="1">
        <f t="shared" si="35"/>
        <v>0</v>
      </c>
      <c r="N125" s="1">
        <f t="shared" si="35"/>
        <v>0</v>
      </c>
      <c r="O125" s="1">
        <f t="shared" si="35"/>
        <v>0</v>
      </c>
      <c r="P125" s="1">
        <f t="shared" si="35"/>
        <v>0</v>
      </c>
      <c r="Q125" s="1">
        <f t="shared" si="35"/>
        <v>0</v>
      </c>
      <c r="R125" s="1">
        <f t="shared" si="35"/>
        <v>0</v>
      </c>
      <c r="S125" s="1">
        <f t="shared" si="35"/>
        <v>0</v>
      </c>
      <c r="T125" s="1">
        <f t="shared" si="35"/>
        <v>0</v>
      </c>
      <c r="U125" s="1">
        <f t="shared" si="35"/>
        <v>0</v>
      </c>
      <c r="V125" s="1">
        <f t="shared" si="35"/>
        <v>0</v>
      </c>
      <c r="W125" s="1">
        <f t="shared" si="35"/>
        <v>0</v>
      </c>
      <c r="X125" s="54">
        <f t="shared" si="35"/>
        <v>0</v>
      </c>
      <c r="Y125" s="58">
        <f t="shared" si="35"/>
        <v>0</v>
      </c>
      <c r="Z125" s="1">
        <f t="shared" si="35"/>
        <v>0</v>
      </c>
      <c r="AA125" s="1">
        <f t="shared" si="35"/>
        <v>0</v>
      </c>
    </row>
    <row r="126" spans="1:27" x14ac:dyDescent="0.25">
      <c r="A126" s="30" t="s">
        <v>60</v>
      </c>
      <c r="B126" s="31" t="s">
        <v>13</v>
      </c>
      <c r="C126" s="32" t="s">
        <v>61</v>
      </c>
      <c r="D126" s="31" t="s">
        <v>75</v>
      </c>
      <c r="E126" s="31"/>
      <c r="F126" s="51">
        <f t="shared" si="35"/>
        <v>0.23809523809523811</v>
      </c>
      <c r="G126" s="51">
        <f t="shared" si="35"/>
        <v>0</v>
      </c>
      <c r="H126" s="51">
        <f t="shared" si="35"/>
        <v>0.45454545454545453</v>
      </c>
      <c r="I126" s="51">
        <f t="shared" si="35"/>
        <v>0.28911564625850339</v>
      </c>
      <c r="J126" s="51">
        <f t="shared" si="35"/>
        <v>0</v>
      </c>
      <c r="K126" s="51">
        <f t="shared" si="35"/>
        <v>0</v>
      </c>
      <c r="L126" s="52">
        <f t="shared" si="35"/>
        <v>0</v>
      </c>
      <c r="M126" s="51">
        <f t="shared" si="35"/>
        <v>0.40956521739130436</v>
      </c>
      <c r="N126" s="51">
        <f t="shared" si="35"/>
        <v>0</v>
      </c>
      <c r="O126" s="51">
        <f t="shared" si="35"/>
        <v>0</v>
      </c>
      <c r="P126" s="51">
        <f t="shared" si="35"/>
        <v>0</v>
      </c>
      <c r="Q126" s="51">
        <f t="shared" si="35"/>
        <v>0</v>
      </c>
      <c r="R126" s="51">
        <f t="shared" si="35"/>
        <v>0</v>
      </c>
      <c r="S126" s="51">
        <f t="shared" si="35"/>
        <v>0</v>
      </c>
      <c r="T126" s="51">
        <f t="shared" si="35"/>
        <v>0</v>
      </c>
      <c r="U126" s="51">
        <f t="shared" si="35"/>
        <v>0</v>
      </c>
      <c r="V126" s="51">
        <f t="shared" si="35"/>
        <v>0</v>
      </c>
      <c r="W126" s="51">
        <f t="shared" si="35"/>
        <v>0.6</v>
      </c>
      <c r="X126" s="55">
        <f t="shared" si="35"/>
        <v>0</v>
      </c>
      <c r="Y126" s="59">
        <f t="shared" si="35"/>
        <v>0.31816166011832986</v>
      </c>
      <c r="Z126" s="51">
        <f t="shared" si="35"/>
        <v>0.58059084194977839</v>
      </c>
      <c r="AA126" s="51">
        <f t="shared" si="35"/>
        <v>0.33842541246160296</v>
      </c>
    </row>
    <row r="127" spans="1:27" x14ac:dyDescent="0.25">
      <c r="A127" s="30" t="s">
        <v>60</v>
      </c>
      <c r="B127" s="31" t="s">
        <v>13</v>
      </c>
      <c r="C127" s="32" t="s">
        <v>61</v>
      </c>
      <c r="D127" s="31" t="s">
        <v>76</v>
      </c>
      <c r="E127" s="31"/>
      <c r="F127" s="51">
        <f t="shared" si="35"/>
        <v>0.23809523809523811</v>
      </c>
      <c r="G127" s="51">
        <f t="shared" si="35"/>
        <v>0</v>
      </c>
      <c r="H127" s="51">
        <f t="shared" si="35"/>
        <v>0</v>
      </c>
      <c r="I127" s="51">
        <f t="shared" si="35"/>
        <v>0.28911564625850339</v>
      </c>
      <c r="J127" s="51">
        <f t="shared" si="35"/>
        <v>0.45090909090909093</v>
      </c>
      <c r="K127" s="51">
        <f t="shared" si="35"/>
        <v>0.42105263157894735</v>
      </c>
      <c r="L127" s="52">
        <f t="shared" si="35"/>
        <v>0</v>
      </c>
      <c r="M127" s="51">
        <f t="shared" si="35"/>
        <v>0.4095652173913043</v>
      </c>
      <c r="N127" s="51">
        <f t="shared" si="35"/>
        <v>0.64935064935064934</v>
      </c>
      <c r="O127" s="51">
        <f t="shared" si="35"/>
        <v>0.49549549549549549</v>
      </c>
      <c r="P127" s="51">
        <f t="shared" ref="P127:AA127" si="36">IF(P37&gt;0,P82/P37,0)</f>
        <v>0.43243243243243246</v>
      </c>
      <c r="Q127" s="51">
        <f t="shared" si="36"/>
        <v>0</v>
      </c>
      <c r="R127" s="51">
        <f t="shared" si="36"/>
        <v>0.4</v>
      </c>
      <c r="S127" s="51">
        <f t="shared" si="36"/>
        <v>0</v>
      </c>
      <c r="T127" s="51">
        <f t="shared" si="36"/>
        <v>0</v>
      </c>
      <c r="U127" s="51">
        <f t="shared" si="36"/>
        <v>0</v>
      </c>
      <c r="V127" s="51">
        <f t="shared" si="36"/>
        <v>0</v>
      </c>
      <c r="W127" s="51">
        <f t="shared" si="36"/>
        <v>0</v>
      </c>
      <c r="X127" s="55">
        <f t="shared" si="36"/>
        <v>0</v>
      </c>
      <c r="Y127" s="59">
        <f t="shared" si="36"/>
        <v>0.30507168939253765</v>
      </c>
      <c r="Z127" s="51">
        <f t="shared" si="36"/>
        <v>0.46580971446633646</v>
      </c>
      <c r="AA127" s="51">
        <f t="shared" si="36"/>
        <v>0.32949807543278742</v>
      </c>
    </row>
    <row r="128" spans="1:27" x14ac:dyDescent="0.25">
      <c r="A128" s="30" t="s">
        <v>60</v>
      </c>
      <c r="B128" s="31" t="s">
        <v>13</v>
      </c>
      <c r="C128" s="32" t="s">
        <v>61</v>
      </c>
      <c r="D128" s="31" t="s">
        <v>77</v>
      </c>
      <c r="E128" s="31"/>
      <c r="F128" s="51">
        <f t="shared" ref="F128:AA135" si="37">IF(F38&gt;0,F83/F38,0)</f>
        <v>0</v>
      </c>
      <c r="G128" s="51">
        <f t="shared" si="37"/>
        <v>0</v>
      </c>
      <c r="H128" s="51">
        <f t="shared" si="37"/>
        <v>0</v>
      </c>
      <c r="I128" s="51">
        <f t="shared" si="37"/>
        <v>0</v>
      </c>
      <c r="J128" s="51">
        <f t="shared" si="37"/>
        <v>0</v>
      </c>
      <c r="K128" s="51">
        <f t="shared" si="37"/>
        <v>0.31578947368421051</v>
      </c>
      <c r="L128" s="52">
        <f t="shared" si="37"/>
        <v>0</v>
      </c>
      <c r="M128" s="51">
        <f t="shared" si="37"/>
        <v>0.40956521739130436</v>
      </c>
      <c r="N128" s="51">
        <f t="shared" si="37"/>
        <v>0</v>
      </c>
      <c r="O128" s="51">
        <f t="shared" si="37"/>
        <v>0</v>
      </c>
      <c r="P128" s="51">
        <f t="shared" si="37"/>
        <v>0</v>
      </c>
      <c r="Q128" s="51">
        <f t="shared" si="37"/>
        <v>0</v>
      </c>
      <c r="R128" s="51">
        <f t="shared" si="37"/>
        <v>0</v>
      </c>
      <c r="S128" s="51">
        <f t="shared" si="37"/>
        <v>0</v>
      </c>
      <c r="T128" s="51">
        <f t="shared" si="37"/>
        <v>1</v>
      </c>
      <c r="U128" s="51">
        <f t="shared" si="37"/>
        <v>0.5</v>
      </c>
      <c r="V128" s="51">
        <f t="shared" si="37"/>
        <v>0</v>
      </c>
      <c r="W128" s="51">
        <f t="shared" ref="W128:W135" si="38">IF(W38&gt;0,W83/W38,0)</f>
        <v>0</v>
      </c>
      <c r="X128" s="55">
        <f t="shared" si="37"/>
        <v>0</v>
      </c>
      <c r="Y128" s="59">
        <f t="shared" si="37"/>
        <v>0.31578947368421051</v>
      </c>
      <c r="Z128" s="51">
        <f t="shared" si="37"/>
        <v>0.45783808028705991</v>
      </c>
      <c r="AA128" s="51">
        <f t="shared" si="37"/>
        <v>0.42891587783532775</v>
      </c>
    </row>
    <row r="129" spans="1:55" x14ac:dyDescent="0.25">
      <c r="A129" s="30" t="s">
        <v>60</v>
      </c>
      <c r="B129" s="31" t="s">
        <v>13</v>
      </c>
      <c r="C129" s="32" t="s">
        <v>61</v>
      </c>
      <c r="D129" s="31" t="s">
        <v>78</v>
      </c>
      <c r="E129" s="31"/>
      <c r="F129" s="51">
        <f t="shared" si="37"/>
        <v>0</v>
      </c>
      <c r="G129" s="51">
        <f t="shared" si="37"/>
        <v>0</v>
      </c>
      <c r="H129" s="51">
        <f t="shared" si="37"/>
        <v>0</v>
      </c>
      <c r="I129" s="51">
        <f t="shared" si="37"/>
        <v>0.28911564625850339</v>
      </c>
      <c r="J129" s="51">
        <f t="shared" si="37"/>
        <v>0</v>
      </c>
      <c r="K129" s="51">
        <f t="shared" si="37"/>
        <v>0.31578947368421051</v>
      </c>
      <c r="L129" s="52">
        <f t="shared" si="37"/>
        <v>0</v>
      </c>
      <c r="M129" s="51">
        <f t="shared" si="37"/>
        <v>0.40956521739130436</v>
      </c>
      <c r="N129" s="51">
        <f t="shared" si="37"/>
        <v>0</v>
      </c>
      <c r="O129" s="51">
        <f t="shared" si="37"/>
        <v>0.49549549549549543</v>
      </c>
      <c r="P129" s="51">
        <f t="shared" si="37"/>
        <v>0.43243243243243246</v>
      </c>
      <c r="Q129" s="51">
        <f t="shared" si="37"/>
        <v>0.4</v>
      </c>
      <c r="R129" s="51">
        <f t="shared" si="37"/>
        <v>0</v>
      </c>
      <c r="S129" s="51">
        <f t="shared" si="37"/>
        <v>0</v>
      </c>
      <c r="T129" s="51">
        <f t="shared" si="37"/>
        <v>0</v>
      </c>
      <c r="U129" s="51">
        <f t="shared" si="37"/>
        <v>0</v>
      </c>
      <c r="V129" s="51">
        <f t="shared" si="37"/>
        <v>0</v>
      </c>
      <c r="W129" s="51">
        <f t="shared" si="38"/>
        <v>0</v>
      </c>
      <c r="X129" s="55">
        <f t="shared" si="37"/>
        <v>0.5</v>
      </c>
      <c r="Y129" s="59">
        <f t="shared" si="37"/>
        <v>0.29656862745098039</v>
      </c>
      <c r="Z129" s="51">
        <f t="shared" si="37"/>
        <v>0.45787417351232218</v>
      </c>
      <c r="AA129" s="51">
        <f t="shared" si="37"/>
        <v>0.41107239368510878</v>
      </c>
    </row>
    <row r="130" spans="1:55" ht="15.75" thickBot="1" x14ac:dyDescent="0.3">
      <c r="A130" s="33" t="s">
        <v>60</v>
      </c>
      <c r="B130" s="34" t="s">
        <v>13</v>
      </c>
      <c r="C130" s="35" t="s">
        <v>61</v>
      </c>
      <c r="D130" s="34" t="s">
        <v>79</v>
      </c>
      <c r="E130" s="31"/>
      <c r="F130" s="51">
        <f t="shared" si="37"/>
        <v>0</v>
      </c>
      <c r="G130" s="51">
        <f t="shared" si="37"/>
        <v>0</v>
      </c>
      <c r="H130" s="51">
        <f t="shared" si="37"/>
        <v>0</v>
      </c>
      <c r="I130" s="51">
        <f t="shared" si="37"/>
        <v>0</v>
      </c>
      <c r="J130" s="51">
        <f t="shared" si="37"/>
        <v>0</v>
      </c>
      <c r="K130" s="51">
        <f t="shared" si="37"/>
        <v>0</v>
      </c>
      <c r="L130" s="52">
        <f t="shared" si="37"/>
        <v>0</v>
      </c>
      <c r="M130" s="51">
        <f t="shared" si="37"/>
        <v>0</v>
      </c>
      <c r="N130" s="51">
        <f t="shared" si="37"/>
        <v>0</v>
      </c>
      <c r="O130" s="51">
        <f t="shared" si="37"/>
        <v>0</v>
      </c>
      <c r="P130" s="51">
        <f t="shared" si="37"/>
        <v>0</v>
      </c>
      <c r="Q130" s="51">
        <f t="shared" si="37"/>
        <v>0</v>
      </c>
      <c r="R130" s="51">
        <f t="shared" si="37"/>
        <v>0</v>
      </c>
      <c r="S130" s="51">
        <f t="shared" si="37"/>
        <v>0</v>
      </c>
      <c r="T130" s="51">
        <f t="shared" si="37"/>
        <v>0</v>
      </c>
      <c r="U130" s="51">
        <f t="shared" si="37"/>
        <v>0</v>
      </c>
      <c r="V130" s="51">
        <f t="shared" si="37"/>
        <v>0</v>
      </c>
      <c r="W130" s="51">
        <f t="shared" si="38"/>
        <v>0</v>
      </c>
      <c r="X130" s="55">
        <f t="shared" si="37"/>
        <v>0</v>
      </c>
      <c r="Y130" s="59">
        <f t="shared" si="37"/>
        <v>0</v>
      </c>
      <c r="Z130" s="51">
        <f t="shared" si="37"/>
        <v>0</v>
      </c>
      <c r="AA130" s="51">
        <f t="shared" si="37"/>
        <v>0</v>
      </c>
    </row>
    <row r="131" spans="1:55" x14ac:dyDescent="0.25">
      <c r="A131" s="30" t="s">
        <v>60</v>
      </c>
      <c r="B131" s="31" t="s">
        <v>13</v>
      </c>
      <c r="C131" s="32" t="s">
        <v>62</v>
      </c>
      <c r="D131" s="31" t="s">
        <v>75</v>
      </c>
      <c r="E131" s="31"/>
      <c r="F131" s="51">
        <f t="shared" si="37"/>
        <v>0</v>
      </c>
      <c r="G131" s="51">
        <f t="shared" si="37"/>
        <v>0</v>
      </c>
      <c r="H131" s="51">
        <f t="shared" si="37"/>
        <v>0</v>
      </c>
      <c r="I131" s="51">
        <f t="shared" si="37"/>
        <v>0</v>
      </c>
      <c r="J131" s="51">
        <f t="shared" si="37"/>
        <v>0</v>
      </c>
      <c r="K131" s="51">
        <f t="shared" si="37"/>
        <v>0</v>
      </c>
      <c r="L131" s="52">
        <f t="shared" si="37"/>
        <v>0</v>
      </c>
      <c r="M131" s="51">
        <f t="shared" si="37"/>
        <v>0</v>
      </c>
      <c r="N131" s="51">
        <f t="shared" si="37"/>
        <v>0</v>
      </c>
      <c r="O131" s="51">
        <f t="shared" si="37"/>
        <v>0</v>
      </c>
      <c r="P131" s="51">
        <f t="shared" si="37"/>
        <v>0</v>
      </c>
      <c r="Q131" s="51">
        <f t="shared" si="37"/>
        <v>0</v>
      </c>
      <c r="R131" s="51">
        <f t="shared" si="37"/>
        <v>0</v>
      </c>
      <c r="S131" s="51">
        <f t="shared" si="37"/>
        <v>0</v>
      </c>
      <c r="T131" s="51">
        <f t="shared" si="37"/>
        <v>0</v>
      </c>
      <c r="U131" s="51">
        <f t="shared" si="37"/>
        <v>0</v>
      </c>
      <c r="V131" s="51">
        <f t="shared" si="37"/>
        <v>0</v>
      </c>
      <c r="W131" s="51">
        <f t="shared" si="38"/>
        <v>0</v>
      </c>
      <c r="X131" s="55">
        <f t="shared" si="37"/>
        <v>0</v>
      </c>
      <c r="Y131" s="59">
        <f t="shared" si="37"/>
        <v>0</v>
      </c>
      <c r="Z131" s="51">
        <f t="shared" si="37"/>
        <v>0</v>
      </c>
      <c r="AA131" s="51">
        <f t="shared" si="37"/>
        <v>0</v>
      </c>
    </row>
    <row r="132" spans="1:55" x14ac:dyDescent="0.25">
      <c r="A132" s="30" t="s">
        <v>60</v>
      </c>
      <c r="B132" s="31" t="s">
        <v>13</v>
      </c>
      <c r="C132" s="32" t="s">
        <v>62</v>
      </c>
      <c r="D132" s="31" t="s">
        <v>76</v>
      </c>
      <c r="E132" s="31"/>
      <c r="F132" s="51">
        <f t="shared" si="37"/>
        <v>0.23809523809523811</v>
      </c>
      <c r="G132" s="51">
        <f t="shared" si="37"/>
        <v>0.33333333333333331</v>
      </c>
      <c r="H132" s="51">
        <f t="shared" si="37"/>
        <v>0.45454545454545453</v>
      </c>
      <c r="I132" s="51">
        <f t="shared" si="37"/>
        <v>0</v>
      </c>
      <c r="J132" s="51">
        <f t="shared" si="37"/>
        <v>0</v>
      </c>
      <c r="K132" s="51">
        <f t="shared" si="37"/>
        <v>0</v>
      </c>
      <c r="L132" s="52">
        <f t="shared" si="37"/>
        <v>0</v>
      </c>
      <c r="M132" s="51">
        <f t="shared" si="37"/>
        <v>0</v>
      </c>
      <c r="N132" s="51">
        <f t="shared" si="37"/>
        <v>0</v>
      </c>
      <c r="O132" s="51">
        <f t="shared" si="37"/>
        <v>0</v>
      </c>
      <c r="P132" s="51">
        <f t="shared" si="37"/>
        <v>0</v>
      </c>
      <c r="Q132" s="51">
        <f t="shared" si="37"/>
        <v>0</v>
      </c>
      <c r="R132" s="51">
        <f t="shared" si="37"/>
        <v>0</v>
      </c>
      <c r="S132" s="51">
        <f t="shared" si="37"/>
        <v>0</v>
      </c>
      <c r="T132" s="51">
        <f t="shared" si="37"/>
        <v>0</v>
      </c>
      <c r="U132" s="51">
        <f t="shared" si="37"/>
        <v>0</v>
      </c>
      <c r="V132" s="51">
        <f t="shared" si="37"/>
        <v>0</v>
      </c>
      <c r="W132" s="51">
        <f t="shared" si="38"/>
        <v>0</v>
      </c>
      <c r="X132" s="55">
        <f t="shared" si="37"/>
        <v>0</v>
      </c>
      <c r="Y132" s="59">
        <f t="shared" si="37"/>
        <v>0.36685179771996496</v>
      </c>
      <c r="Z132" s="51">
        <f t="shared" si="37"/>
        <v>0</v>
      </c>
      <c r="AA132" s="51">
        <f t="shared" si="37"/>
        <v>0.36685179771996496</v>
      </c>
    </row>
    <row r="133" spans="1:55" x14ac:dyDescent="0.25">
      <c r="A133" s="30" t="s">
        <v>60</v>
      </c>
      <c r="B133" s="31" t="s">
        <v>13</v>
      </c>
      <c r="C133" s="32" t="s">
        <v>62</v>
      </c>
      <c r="D133" s="31" t="s">
        <v>77</v>
      </c>
      <c r="E133" s="31"/>
      <c r="F133" s="51">
        <f t="shared" si="37"/>
        <v>0</v>
      </c>
      <c r="G133" s="51">
        <f t="shared" si="37"/>
        <v>0</v>
      </c>
      <c r="H133" s="51">
        <f t="shared" si="37"/>
        <v>0</v>
      </c>
      <c r="I133" s="51">
        <f t="shared" si="37"/>
        <v>0</v>
      </c>
      <c r="J133" s="51">
        <f t="shared" si="37"/>
        <v>0</v>
      </c>
      <c r="K133" s="51">
        <f t="shared" si="37"/>
        <v>0</v>
      </c>
      <c r="L133" s="52">
        <f t="shared" si="37"/>
        <v>0</v>
      </c>
      <c r="M133" s="51">
        <f t="shared" si="37"/>
        <v>0</v>
      </c>
      <c r="N133" s="51">
        <f t="shared" si="37"/>
        <v>0</v>
      </c>
      <c r="O133" s="51">
        <f t="shared" si="37"/>
        <v>0</v>
      </c>
      <c r="P133" s="51">
        <f t="shared" si="37"/>
        <v>0</v>
      </c>
      <c r="Q133" s="51">
        <f t="shared" si="37"/>
        <v>0</v>
      </c>
      <c r="R133" s="51">
        <f t="shared" si="37"/>
        <v>0</v>
      </c>
      <c r="S133" s="51">
        <f t="shared" si="37"/>
        <v>0</v>
      </c>
      <c r="T133" s="51">
        <f t="shared" si="37"/>
        <v>0</v>
      </c>
      <c r="U133" s="51">
        <f t="shared" si="37"/>
        <v>0</v>
      </c>
      <c r="V133" s="51">
        <f t="shared" si="37"/>
        <v>0</v>
      </c>
      <c r="W133" s="51">
        <f t="shared" si="38"/>
        <v>0</v>
      </c>
      <c r="X133" s="55">
        <f t="shared" si="37"/>
        <v>0</v>
      </c>
      <c r="Y133" s="59">
        <f t="shared" si="37"/>
        <v>0</v>
      </c>
      <c r="Z133" s="51">
        <f t="shared" si="37"/>
        <v>0</v>
      </c>
      <c r="AA133" s="51">
        <f t="shared" si="37"/>
        <v>0</v>
      </c>
    </row>
    <row r="134" spans="1:55" x14ac:dyDescent="0.25">
      <c r="A134" s="30" t="s">
        <v>60</v>
      </c>
      <c r="B134" s="31" t="s">
        <v>13</v>
      </c>
      <c r="C134" s="32" t="s">
        <v>62</v>
      </c>
      <c r="D134" s="31" t="s">
        <v>78</v>
      </c>
      <c r="E134" s="31"/>
      <c r="F134" s="51">
        <f t="shared" si="37"/>
        <v>0</v>
      </c>
      <c r="G134" s="51">
        <f t="shared" si="37"/>
        <v>0</v>
      </c>
      <c r="H134" s="51">
        <f t="shared" si="37"/>
        <v>0</v>
      </c>
      <c r="I134" s="51">
        <f t="shared" si="37"/>
        <v>0</v>
      </c>
      <c r="J134" s="51">
        <f t="shared" si="37"/>
        <v>0</v>
      </c>
      <c r="K134" s="51">
        <f t="shared" si="37"/>
        <v>0</v>
      </c>
      <c r="L134" s="52">
        <f t="shared" si="37"/>
        <v>0</v>
      </c>
      <c r="M134" s="51">
        <f t="shared" si="37"/>
        <v>0</v>
      </c>
      <c r="N134" s="51">
        <f t="shared" si="37"/>
        <v>0</v>
      </c>
      <c r="O134" s="51">
        <f t="shared" si="37"/>
        <v>0</v>
      </c>
      <c r="P134" s="51">
        <f t="shared" si="37"/>
        <v>0</v>
      </c>
      <c r="Q134" s="51">
        <f t="shared" si="37"/>
        <v>0</v>
      </c>
      <c r="R134" s="51">
        <f t="shared" si="37"/>
        <v>0</v>
      </c>
      <c r="S134" s="51">
        <f t="shared" si="37"/>
        <v>0</v>
      </c>
      <c r="T134" s="51">
        <f t="shared" si="37"/>
        <v>0</v>
      </c>
      <c r="U134" s="51">
        <f t="shared" si="37"/>
        <v>0</v>
      </c>
      <c r="V134" s="51">
        <f t="shared" si="37"/>
        <v>0</v>
      </c>
      <c r="W134" s="51">
        <f t="shared" si="38"/>
        <v>0</v>
      </c>
      <c r="X134" s="55">
        <f t="shared" si="37"/>
        <v>0</v>
      </c>
      <c r="Y134" s="59">
        <f t="shared" si="37"/>
        <v>0</v>
      </c>
      <c r="Z134" s="51">
        <f t="shared" si="37"/>
        <v>0</v>
      </c>
      <c r="AA134" s="51">
        <f t="shared" si="37"/>
        <v>0</v>
      </c>
    </row>
    <row r="135" spans="1:55" ht="15.75" thickBot="1" x14ac:dyDescent="0.3">
      <c r="A135" s="33" t="s">
        <v>60</v>
      </c>
      <c r="B135" s="34" t="s">
        <v>13</v>
      </c>
      <c r="C135" s="32" t="s">
        <v>62</v>
      </c>
      <c r="D135" s="34" t="s">
        <v>79</v>
      </c>
      <c r="E135" s="31"/>
      <c r="F135" s="51">
        <f t="shared" si="37"/>
        <v>0</v>
      </c>
      <c r="G135" s="51">
        <f t="shared" si="37"/>
        <v>0</v>
      </c>
      <c r="H135" s="51">
        <f t="shared" si="37"/>
        <v>0</v>
      </c>
      <c r="I135" s="51">
        <f t="shared" si="37"/>
        <v>0</v>
      </c>
      <c r="J135" s="51">
        <f t="shared" si="37"/>
        <v>0</v>
      </c>
      <c r="K135" s="51">
        <f t="shared" si="37"/>
        <v>0</v>
      </c>
      <c r="L135" s="52">
        <f t="shared" si="37"/>
        <v>0</v>
      </c>
      <c r="M135" s="51">
        <f t="shared" si="37"/>
        <v>0</v>
      </c>
      <c r="N135" s="51">
        <f t="shared" si="37"/>
        <v>0</v>
      </c>
      <c r="O135" s="51">
        <f t="shared" si="37"/>
        <v>0</v>
      </c>
      <c r="P135" s="51">
        <f t="shared" si="37"/>
        <v>0</v>
      </c>
      <c r="Q135" s="51">
        <f t="shared" si="37"/>
        <v>0</v>
      </c>
      <c r="R135" s="51">
        <f t="shared" si="37"/>
        <v>0</v>
      </c>
      <c r="S135" s="51">
        <f t="shared" si="37"/>
        <v>0</v>
      </c>
      <c r="T135" s="51">
        <f t="shared" si="37"/>
        <v>0</v>
      </c>
      <c r="U135" s="51">
        <f t="shared" si="37"/>
        <v>0</v>
      </c>
      <c r="V135" s="51">
        <f t="shared" si="37"/>
        <v>0</v>
      </c>
      <c r="W135" s="51">
        <f t="shared" si="38"/>
        <v>0</v>
      </c>
      <c r="X135" s="55">
        <f t="shared" si="37"/>
        <v>0</v>
      </c>
      <c r="Y135" s="59">
        <f t="shared" si="37"/>
        <v>0</v>
      </c>
      <c r="Z135" s="51">
        <f t="shared" si="37"/>
        <v>0</v>
      </c>
      <c r="AA135" s="51">
        <f t="shared" si="37"/>
        <v>0</v>
      </c>
    </row>
    <row r="136" spans="1:5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55" x14ac:dyDescent="0.25">
      <c r="D137" s="41" t="s">
        <v>17</v>
      </c>
      <c r="E137" s="41"/>
      <c r="M137" s="24" t="s">
        <v>81</v>
      </c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AF137" s="41" t="s">
        <v>22</v>
      </c>
      <c r="AG137" s="41"/>
      <c r="AO137" s="24" t="s">
        <v>81</v>
      </c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</row>
    <row r="138" spans="1:55" x14ac:dyDescent="0.25">
      <c r="F138" s="23" t="s">
        <v>44</v>
      </c>
      <c r="G138" s="23"/>
      <c r="H138" s="23"/>
      <c r="I138" s="23"/>
      <c r="J138" s="23"/>
      <c r="K138" s="23"/>
      <c r="L138" s="7" t="s">
        <v>30</v>
      </c>
      <c r="M138" s="24" t="s">
        <v>46</v>
      </c>
      <c r="N138" s="24"/>
      <c r="O138" s="24"/>
      <c r="P138" s="24"/>
      <c r="Q138" s="24"/>
      <c r="R138" s="24" t="s">
        <v>47</v>
      </c>
      <c r="S138" s="24"/>
      <c r="T138" s="24"/>
      <c r="U138" s="24"/>
      <c r="V138" s="24"/>
      <c r="W138" s="24"/>
      <c r="X138" s="24"/>
      <c r="Y138" s="44" t="s">
        <v>85</v>
      </c>
      <c r="Z138" s="44" t="s">
        <v>48</v>
      </c>
      <c r="AA138" s="44" t="s">
        <v>3</v>
      </c>
      <c r="AH138" s="23" t="s">
        <v>44</v>
      </c>
      <c r="AI138" s="23"/>
      <c r="AJ138" s="23"/>
      <c r="AK138" s="23"/>
      <c r="AL138" s="23"/>
      <c r="AM138" s="23"/>
      <c r="AN138" s="7" t="s">
        <v>30</v>
      </c>
      <c r="AO138" s="24" t="s">
        <v>46</v>
      </c>
      <c r="AP138" s="24"/>
      <c r="AQ138" s="24"/>
      <c r="AR138" s="24"/>
      <c r="AS138" s="24"/>
      <c r="AT138" s="24" t="s">
        <v>47</v>
      </c>
      <c r="AU138" s="24"/>
      <c r="AV138" s="24"/>
      <c r="AW138" s="24"/>
      <c r="AX138" s="24"/>
      <c r="AY138" s="24"/>
      <c r="AZ138" s="24"/>
      <c r="BA138" s="44" t="s">
        <v>85</v>
      </c>
      <c r="BB138" s="44" t="s">
        <v>48</v>
      </c>
      <c r="BC138" s="44" t="s">
        <v>3</v>
      </c>
    </row>
    <row r="139" spans="1:55" ht="63" x14ac:dyDescent="0.25">
      <c r="F139" s="38" t="s">
        <v>36</v>
      </c>
      <c r="G139" s="38" t="s">
        <v>37</v>
      </c>
      <c r="H139" s="38" t="s">
        <v>38</v>
      </c>
      <c r="I139" s="38" t="s">
        <v>80</v>
      </c>
      <c r="J139" s="38" t="s">
        <v>39</v>
      </c>
      <c r="K139" s="38" t="s">
        <v>45</v>
      </c>
      <c r="L139" s="39" t="s">
        <v>16</v>
      </c>
      <c r="M139" s="40" t="s">
        <v>34</v>
      </c>
      <c r="N139" s="40" t="s">
        <v>5</v>
      </c>
      <c r="O139" s="40" t="s">
        <v>7</v>
      </c>
      <c r="P139" s="40" t="s">
        <v>8</v>
      </c>
      <c r="Q139" s="40" t="s">
        <v>40</v>
      </c>
      <c r="R139" s="40" t="s">
        <v>41</v>
      </c>
      <c r="S139" s="40" t="s">
        <v>42</v>
      </c>
      <c r="T139" s="40" t="s">
        <v>31</v>
      </c>
      <c r="U139" s="40" t="s">
        <v>43</v>
      </c>
      <c r="V139" s="40" t="s">
        <v>82</v>
      </c>
      <c r="W139" s="40" t="s">
        <v>87</v>
      </c>
      <c r="X139" s="40" t="s">
        <v>83</v>
      </c>
      <c r="Y139" s="45" t="s">
        <v>3</v>
      </c>
      <c r="Z139" s="45" t="s">
        <v>86</v>
      </c>
      <c r="AA139" s="45" t="s">
        <v>3</v>
      </c>
      <c r="AH139" s="38" t="s">
        <v>36</v>
      </c>
      <c r="AI139" s="38" t="s">
        <v>37</v>
      </c>
      <c r="AJ139" s="38" t="s">
        <v>38</v>
      </c>
      <c r="AK139" s="38" t="s">
        <v>80</v>
      </c>
      <c r="AL139" s="38" t="s">
        <v>39</v>
      </c>
      <c r="AM139" s="38" t="s">
        <v>45</v>
      </c>
      <c r="AN139" s="39" t="s">
        <v>16</v>
      </c>
      <c r="AO139" s="40" t="s">
        <v>34</v>
      </c>
      <c r="AP139" s="40" t="s">
        <v>5</v>
      </c>
      <c r="AQ139" s="40" t="s">
        <v>7</v>
      </c>
      <c r="AR139" s="40" t="s">
        <v>8</v>
      </c>
      <c r="AS139" s="40" t="s">
        <v>40</v>
      </c>
      <c r="AT139" s="40" t="s">
        <v>41</v>
      </c>
      <c r="AU139" s="40" t="s">
        <v>42</v>
      </c>
      <c r="AV139" s="40" t="s">
        <v>31</v>
      </c>
      <c r="AW139" s="40" t="s">
        <v>43</v>
      </c>
      <c r="AX139" s="40" t="s">
        <v>82</v>
      </c>
      <c r="AY139" s="40" t="s">
        <v>87</v>
      </c>
      <c r="AZ139" s="40" t="s">
        <v>83</v>
      </c>
      <c r="BA139" s="45" t="s">
        <v>3</v>
      </c>
      <c r="BB139" s="45" t="s">
        <v>86</v>
      </c>
      <c r="BC139" s="45" t="s">
        <v>3</v>
      </c>
    </row>
    <row r="140" spans="1:55" x14ac:dyDescent="0.25">
      <c r="A140" s="15" t="s">
        <v>51</v>
      </c>
      <c r="B140" s="2"/>
      <c r="C140" s="2"/>
      <c r="F140" s="1">
        <f t="shared" ref="F140:F156" si="39">IF(F185&gt;0,F5/F185,0)</f>
        <v>0</v>
      </c>
      <c r="G140" s="1">
        <f t="shared" ref="G140:AA152" si="40">IF(G185&gt;0,G5/G185,0)</f>
        <v>0</v>
      </c>
      <c r="H140" s="1">
        <f t="shared" si="40"/>
        <v>0</v>
      </c>
      <c r="I140" s="1">
        <f t="shared" si="40"/>
        <v>0</v>
      </c>
      <c r="J140" s="1">
        <f t="shared" si="40"/>
        <v>0</v>
      </c>
      <c r="K140" s="1">
        <f t="shared" si="40"/>
        <v>0</v>
      </c>
      <c r="L140" s="52">
        <f t="shared" si="40"/>
        <v>0</v>
      </c>
      <c r="M140" s="1">
        <f t="shared" si="40"/>
        <v>0</v>
      </c>
      <c r="N140" s="1">
        <f t="shared" si="40"/>
        <v>0</v>
      </c>
      <c r="O140" s="1">
        <f t="shared" si="40"/>
        <v>0</v>
      </c>
      <c r="P140" s="1">
        <f t="shared" si="40"/>
        <v>0</v>
      </c>
      <c r="Q140" s="1">
        <f t="shared" si="40"/>
        <v>0</v>
      </c>
      <c r="R140" s="1">
        <f t="shared" si="40"/>
        <v>0</v>
      </c>
      <c r="S140" s="1">
        <f t="shared" si="40"/>
        <v>0</v>
      </c>
      <c r="T140" s="1">
        <f t="shared" si="40"/>
        <v>0</v>
      </c>
      <c r="U140" s="1">
        <f t="shared" si="40"/>
        <v>0</v>
      </c>
      <c r="V140" s="1">
        <f t="shared" si="40"/>
        <v>0</v>
      </c>
      <c r="W140" s="1">
        <f t="shared" si="40"/>
        <v>0</v>
      </c>
      <c r="X140" s="54">
        <f t="shared" si="40"/>
        <v>0</v>
      </c>
      <c r="Y140" s="58">
        <f t="shared" si="40"/>
        <v>0</v>
      </c>
      <c r="Z140" s="1">
        <f t="shared" si="40"/>
        <v>0</v>
      </c>
      <c r="AA140" s="1">
        <f t="shared" si="40"/>
        <v>0</v>
      </c>
      <c r="AC140" s="15" t="s">
        <v>51</v>
      </c>
      <c r="AD140" s="2"/>
      <c r="AE140" s="2"/>
      <c r="AH140" s="1" t="str">
        <f t="shared" ref="AH140:AW155" si="41">IF(F185&gt;0,F50/F185,"")</f>
        <v/>
      </c>
      <c r="AI140" s="1" t="str">
        <f t="shared" si="41"/>
        <v/>
      </c>
      <c r="AJ140" s="1" t="str">
        <f t="shared" si="41"/>
        <v/>
      </c>
      <c r="AK140" s="1" t="str">
        <f t="shared" si="41"/>
        <v/>
      </c>
      <c r="AL140" s="1" t="str">
        <f t="shared" si="41"/>
        <v/>
      </c>
      <c r="AM140" s="1" t="str">
        <f t="shared" si="41"/>
        <v/>
      </c>
      <c r="AN140" s="52" t="str">
        <f t="shared" si="41"/>
        <v/>
      </c>
      <c r="AO140" s="1" t="str">
        <f t="shared" si="41"/>
        <v/>
      </c>
      <c r="AP140" s="1" t="str">
        <f t="shared" si="41"/>
        <v/>
      </c>
      <c r="AQ140" s="1" t="str">
        <f t="shared" si="41"/>
        <v/>
      </c>
      <c r="AR140" s="1" t="str">
        <f t="shared" si="41"/>
        <v/>
      </c>
      <c r="AS140" s="1" t="str">
        <f t="shared" si="41"/>
        <v/>
      </c>
      <c r="AT140" s="1" t="str">
        <f t="shared" si="41"/>
        <v/>
      </c>
      <c r="AU140" s="1" t="str">
        <f t="shared" si="41"/>
        <v/>
      </c>
      <c r="AV140" s="1" t="str">
        <f t="shared" si="41"/>
        <v/>
      </c>
      <c r="AW140" s="1" t="str">
        <f t="shared" si="41"/>
        <v/>
      </c>
      <c r="AX140" s="1" t="str">
        <f t="shared" ref="AX140:BC155" si="42">IF(V185&gt;0,V50/V185,"")</f>
        <v/>
      </c>
      <c r="AY140" s="1" t="str">
        <f t="shared" si="42"/>
        <v/>
      </c>
      <c r="AZ140" s="1" t="str">
        <f t="shared" si="42"/>
        <v/>
      </c>
      <c r="BA140" s="1" t="str">
        <f t="shared" si="42"/>
        <v/>
      </c>
      <c r="BB140" s="1" t="str">
        <f t="shared" si="42"/>
        <v/>
      </c>
      <c r="BC140" s="1" t="str">
        <f t="shared" si="42"/>
        <v/>
      </c>
    </row>
    <row r="141" spans="1:55" x14ac:dyDescent="0.25">
      <c r="A141" s="30" t="s">
        <v>60</v>
      </c>
      <c r="B141" s="2"/>
      <c r="C141" s="2"/>
      <c r="F141" s="1">
        <f t="shared" si="39"/>
        <v>51.548311990686855</v>
      </c>
      <c r="G141" s="1">
        <f t="shared" ref="G141:T141" si="43">IF(G186&gt;0,G6/G186,0)</f>
        <v>27.692307692307693</v>
      </c>
      <c r="H141" s="1">
        <f t="shared" si="43"/>
        <v>4.125</v>
      </c>
      <c r="I141" s="1">
        <f t="shared" si="43"/>
        <v>29</v>
      </c>
      <c r="J141" s="1">
        <f t="shared" si="43"/>
        <v>50.248237550459415</v>
      </c>
      <c r="K141" s="1">
        <f t="shared" si="43"/>
        <v>2.6838213699576752</v>
      </c>
      <c r="L141" s="52">
        <f t="shared" si="43"/>
        <v>750</v>
      </c>
      <c r="M141" s="1">
        <f t="shared" si="43"/>
        <v>307.86656814103242</v>
      </c>
      <c r="N141" s="1">
        <f t="shared" si="43"/>
        <v>991.04993108945098</v>
      </c>
      <c r="O141" s="1">
        <f t="shared" si="43"/>
        <v>10000</v>
      </c>
      <c r="P141" s="1">
        <f t="shared" si="43"/>
        <v>27500</v>
      </c>
      <c r="Q141" s="1">
        <f t="shared" si="43"/>
        <v>940</v>
      </c>
      <c r="R141" s="1">
        <f t="shared" si="43"/>
        <v>426</v>
      </c>
      <c r="S141" s="1">
        <f t="shared" si="43"/>
        <v>99.999999999999986</v>
      </c>
      <c r="T141" s="1">
        <f t="shared" si="43"/>
        <v>425.8508621447574</v>
      </c>
      <c r="U141" s="1">
        <f t="shared" si="40"/>
        <v>426</v>
      </c>
      <c r="V141" s="1">
        <f t="shared" si="40"/>
        <v>501.86546295245114</v>
      </c>
      <c r="W141" s="1">
        <f t="shared" si="40"/>
        <v>426</v>
      </c>
      <c r="X141" s="54">
        <f t="shared" si="40"/>
        <v>425.88260605057758</v>
      </c>
      <c r="Y141" s="58">
        <f t="shared" si="40"/>
        <v>9.825908607190037</v>
      </c>
      <c r="Z141" s="1">
        <f t="shared" si="40"/>
        <v>474.8330758740189</v>
      </c>
      <c r="AA141" s="1">
        <f t="shared" si="40"/>
        <v>89.402899529651762</v>
      </c>
      <c r="AC141" s="30" t="s">
        <v>60</v>
      </c>
      <c r="AD141" s="2"/>
      <c r="AE141" s="2"/>
      <c r="AH141" s="1">
        <f t="shared" si="41"/>
        <v>12.341792782305008</v>
      </c>
      <c r="AI141" s="1">
        <f t="shared" si="41"/>
        <v>9.2307692307692299</v>
      </c>
      <c r="AJ141" s="1">
        <f t="shared" si="41"/>
        <v>1.875</v>
      </c>
      <c r="AK141" s="1">
        <f t="shared" si="41"/>
        <v>8.3843537414965983</v>
      </c>
      <c r="AL141" s="1">
        <f t="shared" si="41"/>
        <v>12.008798060834318</v>
      </c>
      <c r="AM141" s="1">
        <f t="shared" si="41"/>
        <v>0.70264317180616753</v>
      </c>
      <c r="AN141" s="52">
        <f t="shared" si="41"/>
        <v>68.849999999999994</v>
      </c>
      <c r="AO141" s="1">
        <f t="shared" si="41"/>
        <v>47.42742531405046</v>
      </c>
      <c r="AP141" s="1">
        <f t="shared" si="41"/>
        <v>746.21490128356277</v>
      </c>
      <c r="AQ141" s="1">
        <f t="shared" si="41"/>
        <v>4954.9549549549547</v>
      </c>
      <c r="AR141" s="1">
        <f t="shared" si="41"/>
        <v>11891.891891891892</v>
      </c>
      <c r="AS141" s="1">
        <f t="shared" si="41"/>
        <v>144.05795432369368</v>
      </c>
      <c r="AT141" s="1">
        <f t="shared" si="41"/>
        <v>52.735622326977577</v>
      </c>
      <c r="AU141" s="1">
        <f t="shared" si="41"/>
        <v>31.499999999999996</v>
      </c>
      <c r="AV141" s="1">
        <f t="shared" si="41"/>
        <v>66.568636169830683</v>
      </c>
      <c r="AW141" s="1">
        <f t="shared" si="41"/>
        <v>58.6507679989422</v>
      </c>
      <c r="AX141" s="1">
        <f t="shared" si="42"/>
        <v>137.85063465334616</v>
      </c>
      <c r="AY141" s="1">
        <f t="shared" si="42"/>
        <v>86.615282392026572</v>
      </c>
      <c r="AZ141" s="1">
        <f t="shared" si="42"/>
        <v>71.373760339580429</v>
      </c>
      <c r="BA141" s="1">
        <f t="shared" si="42"/>
        <v>2.9162032147883727</v>
      </c>
      <c r="BB141" s="1">
        <f t="shared" si="42"/>
        <v>82.34005929266911</v>
      </c>
      <c r="BC141" s="1">
        <f t="shared" si="42"/>
        <v>12.1887690141519</v>
      </c>
    </row>
    <row r="142" spans="1:55" x14ac:dyDescent="0.25">
      <c r="A142" s="15" t="s">
        <v>51</v>
      </c>
      <c r="B142" s="16" t="s">
        <v>52</v>
      </c>
      <c r="C142" s="2"/>
      <c r="F142" s="1">
        <f t="shared" si="39"/>
        <v>0</v>
      </c>
      <c r="G142" s="1">
        <f t="shared" si="40"/>
        <v>0</v>
      </c>
      <c r="H142" s="1">
        <f t="shared" si="40"/>
        <v>0</v>
      </c>
      <c r="I142" s="1">
        <f t="shared" si="40"/>
        <v>0</v>
      </c>
      <c r="J142" s="1">
        <f t="shared" si="40"/>
        <v>0</v>
      </c>
      <c r="K142" s="1">
        <f t="shared" si="40"/>
        <v>0</v>
      </c>
      <c r="L142" s="52">
        <f t="shared" si="40"/>
        <v>0</v>
      </c>
      <c r="M142" s="1">
        <f t="shared" si="40"/>
        <v>0</v>
      </c>
      <c r="N142" s="1">
        <f t="shared" si="40"/>
        <v>0</v>
      </c>
      <c r="O142" s="1">
        <f t="shared" si="40"/>
        <v>0</v>
      </c>
      <c r="P142" s="1">
        <f t="shared" si="40"/>
        <v>0</v>
      </c>
      <c r="Q142" s="1">
        <f t="shared" si="40"/>
        <v>0</v>
      </c>
      <c r="R142" s="1">
        <f t="shared" si="40"/>
        <v>0</v>
      </c>
      <c r="S142" s="1">
        <f t="shared" si="40"/>
        <v>0</v>
      </c>
      <c r="T142" s="1">
        <f t="shared" si="40"/>
        <v>0</v>
      </c>
      <c r="U142" s="1">
        <f t="shared" si="40"/>
        <v>0</v>
      </c>
      <c r="V142" s="1">
        <f t="shared" si="40"/>
        <v>0</v>
      </c>
      <c r="W142" s="1">
        <f t="shared" si="40"/>
        <v>0</v>
      </c>
      <c r="X142" s="54">
        <f t="shared" si="40"/>
        <v>0</v>
      </c>
      <c r="Y142" s="58">
        <f t="shared" si="40"/>
        <v>0</v>
      </c>
      <c r="Z142" s="1">
        <f t="shared" si="40"/>
        <v>0</v>
      </c>
      <c r="AA142" s="1">
        <f t="shared" si="40"/>
        <v>0</v>
      </c>
      <c r="AC142" s="15" t="s">
        <v>51</v>
      </c>
      <c r="AD142" s="16" t="s">
        <v>52</v>
      </c>
      <c r="AE142" s="2"/>
      <c r="AH142" s="1" t="str">
        <f t="shared" si="41"/>
        <v/>
      </c>
      <c r="AI142" s="1" t="str">
        <f t="shared" si="41"/>
        <v/>
      </c>
      <c r="AJ142" s="1" t="str">
        <f t="shared" si="41"/>
        <v/>
      </c>
      <c r="AK142" s="1" t="str">
        <f t="shared" si="41"/>
        <v/>
      </c>
      <c r="AL142" s="1" t="str">
        <f t="shared" si="41"/>
        <v/>
      </c>
      <c r="AM142" s="1" t="str">
        <f t="shared" si="41"/>
        <v/>
      </c>
      <c r="AN142" s="52" t="str">
        <f t="shared" si="41"/>
        <v/>
      </c>
      <c r="AO142" s="1" t="str">
        <f t="shared" si="41"/>
        <v/>
      </c>
      <c r="AP142" s="1" t="str">
        <f t="shared" si="41"/>
        <v/>
      </c>
      <c r="AQ142" s="1" t="str">
        <f t="shared" si="41"/>
        <v/>
      </c>
      <c r="AR142" s="1" t="str">
        <f t="shared" si="41"/>
        <v/>
      </c>
      <c r="AS142" s="1" t="str">
        <f t="shared" si="41"/>
        <v/>
      </c>
      <c r="AT142" s="1" t="str">
        <f t="shared" si="41"/>
        <v/>
      </c>
      <c r="AU142" s="1" t="str">
        <f t="shared" si="41"/>
        <v/>
      </c>
      <c r="AV142" s="1" t="str">
        <f t="shared" si="41"/>
        <v/>
      </c>
      <c r="AW142" s="1" t="str">
        <f t="shared" si="41"/>
        <v/>
      </c>
      <c r="AX142" s="1" t="str">
        <f t="shared" si="42"/>
        <v/>
      </c>
      <c r="AY142" s="1" t="str">
        <f t="shared" si="42"/>
        <v/>
      </c>
      <c r="AZ142" s="1" t="str">
        <f t="shared" si="42"/>
        <v/>
      </c>
      <c r="BA142" s="1" t="str">
        <f t="shared" si="42"/>
        <v/>
      </c>
      <c r="BB142" s="1" t="str">
        <f t="shared" si="42"/>
        <v/>
      </c>
      <c r="BC142" s="1" t="str">
        <f t="shared" si="42"/>
        <v/>
      </c>
    </row>
    <row r="143" spans="1:55" x14ac:dyDescent="0.25">
      <c r="A143" s="15" t="s">
        <v>51</v>
      </c>
      <c r="B143" s="16" t="s">
        <v>56</v>
      </c>
      <c r="C143" s="2"/>
      <c r="F143" s="1">
        <f t="shared" si="39"/>
        <v>0</v>
      </c>
      <c r="G143" s="1">
        <f t="shared" si="40"/>
        <v>0</v>
      </c>
      <c r="H143" s="1">
        <f t="shared" si="40"/>
        <v>0</v>
      </c>
      <c r="I143" s="1">
        <f t="shared" si="40"/>
        <v>0</v>
      </c>
      <c r="J143" s="1">
        <f t="shared" si="40"/>
        <v>0</v>
      </c>
      <c r="K143" s="1">
        <f t="shared" si="40"/>
        <v>0</v>
      </c>
      <c r="L143" s="52">
        <f t="shared" si="40"/>
        <v>0</v>
      </c>
      <c r="M143" s="1">
        <f t="shared" si="40"/>
        <v>0</v>
      </c>
      <c r="N143" s="1">
        <f t="shared" si="40"/>
        <v>0</v>
      </c>
      <c r="O143" s="1">
        <f t="shared" si="40"/>
        <v>0</v>
      </c>
      <c r="P143" s="1">
        <f t="shared" si="40"/>
        <v>0</v>
      </c>
      <c r="Q143" s="1">
        <f t="shared" si="40"/>
        <v>0</v>
      </c>
      <c r="R143" s="1">
        <f t="shared" si="40"/>
        <v>0</v>
      </c>
      <c r="S143" s="1">
        <f t="shared" si="40"/>
        <v>0</v>
      </c>
      <c r="T143" s="1">
        <f t="shared" si="40"/>
        <v>0</v>
      </c>
      <c r="U143" s="1">
        <f t="shared" si="40"/>
        <v>0</v>
      </c>
      <c r="V143" s="1">
        <f t="shared" si="40"/>
        <v>0</v>
      </c>
      <c r="W143" s="1">
        <f t="shared" si="40"/>
        <v>0</v>
      </c>
      <c r="X143" s="54">
        <f t="shared" si="40"/>
        <v>0</v>
      </c>
      <c r="Y143" s="58">
        <f t="shared" si="40"/>
        <v>0</v>
      </c>
      <c r="Z143" s="1">
        <f t="shared" si="40"/>
        <v>0</v>
      </c>
      <c r="AA143" s="1">
        <f t="shared" si="40"/>
        <v>0</v>
      </c>
      <c r="AC143" s="15" t="s">
        <v>51</v>
      </c>
      <c r="AD143" s="16" t="s">
        <v>56</v>
      </c>
      <c r="AE143" s="2"/>
      <c r="AH143" s="1" t="str">
        <f t="shared" si="41"/>
        <v/>
      </c>
      <c r="AI143" s="1" t="str">
        <f t="shared" si="41"/>
        <v/>
      </c>
      <c r="AJ143" s="1" t="str">
        <f t="shared" si="41"/>
        <v/>
      </c>
      <c r="AK143" s="1" t="str">
        <f t="shared" si="41"/>
        <v/>
      </c>
      <c r="AL143" s="1" t="str">
        <f t="shared" si="41"/>
        <v/>
      </c>
      <c r="AM143" s="1" t="str">
        <f t="shared" si="41"/>
        <v/>
      </c>
      <c r="AN143" s="52" t="str">
        <f t="shared" si="41"/>
        <v/>
      </c>
      <c r="AO143" s="1" t="str">
        <f t="shared" si="41"/>
        <v/>
      </c>
      <c r="AP143" s="1" t="str">
        <f t="shared" si="41"/>
        <v/>
      </c>
      <c r="AQ143" s="1" t="str">
        <f t="shared" si="41"/>
        <v/>
      </c>
      <c r="AR143" s="1" t="str">
        <f t="shared" si="41"/>
        <v/>
      </c>
      <c r="AS143" s="1" t="str">
        <f t="shared" si="41"/>
        <v/>
      </c>
      <c r="AT143" s="1" t="str">
        <f t="shared" si="41"/>
        <v/>
      </c>
      <c r="AU143" s="1" t="str">
        <f t="shared" si="41"/>
        <v/>
      </c>
      <c r="AV143" s="1" t="str">
        <f t="shared" si="41"/>
        <v/>
      </c>
      <c r="AW143" s="1" t="str">
        <f t="shared" si="41"/>
        <v/>
      </c>
      <c r="AX143" s="1" t="str">
        <f t="shared" si="42"/>
        <v/>
      </c>
      <c r="AY143" s="1" t="str">
        <f t="shared" si="42"/>
        <v/>
      </c>
      <c r="AZ143" s="1" t="str">
        <f t="shared" si="42"/>
        <v/>
      </c>
      <c r="BA143" s="1" t="str">
        <f t="shared" si="42"/>
        <v/>
      </c>
      <c r="BB143" s="1" t="str">
        <f t="shared" si="42"/>
        <v/>
      </c>
      <c r="BC143" s="1" t="str">
        <f t="shared" si="42"/>
        <v/>
      </c>
    </row>
    <row r="144" spans="1:55" x14ac:dyDescent="0.25">
      <c r="A144" s="15" t="s">
        <v>51</v>
      </c>
      <c r="B144" s="16" t="s">
        <v>9</v>
      </c>
      <c r="C144" s="2"/>
      <c r="F144" s="1">
        <f t="shared" si="39"/>
        <v>0</v>
      </c>
      <c r="G144" s="1">
        <f t="shared" si="40"/>
        <v>0</v>
      </c>
      <c r="H144" s="1">
        <f t="shared" si="40"/>
        <v>0</v>
      </c>
      <c r="I144" s="1">
        <f t="shared" si="40"/>
        <v>0</v>
      </c>
      <c r="J144" s="1">
        <f t="shared" si="40"/>
        <v>0</v>
      </c>
      <c r="K144" s="1">
        <f t="shared" si="40"/>
        <v>0</v>
      </c>
      <c r="L144" s="52">
        <f t="shared" si="40"/>
        <v>0</v>
      </c>
      <c r="M144" s="1">
        <f t="shared" si="40"/>
        <v>0</v>
      </c>
      <c r="N144" s="1">
        <f t="shared" si="40"/>
        <v>0</v>
      </c>
      <c r="O144" s="1">
        <f t="shared" si="40"/>
        <v>0</v>
      </c>
      <c r="P144" s="1">
        <f t="shared" si="40"/>
        <v>0</v>
      </c>
      <c r="Q144" s="1">
        <f t="shared" si="40"/>
        <v>0</v>
      </c>
      <c r="R144" s="1">
        <f t="shared" si="40"/>
        <v>0</v>
      </c>
      <c r="S144" s="1">
        <f t="shared" si="40"/>
        <v>0</v>
      </c>
      <c r="T144" s="1">
        <f t="shared" si="40"/>
        <v>0</v>
      </c>
      <c r="U144" s="1">
        <f t="shared" si="40"/>
        <v>0</v>
      </c>
      <c r="V144" s="1">
        <f t="shared" si="40"/>
        <v>0</v>
      </c>
      <c r="W144" s="1">
        <f t="shared" si="40"/>
        <v>0</v>
      </c>
      <c r="X144" s="54">
        <f t="shared" si="40"/>
        <v>0</v>
      </c>
      <c r="Y144" s="58">
        <f t="shared" si="40"/>
        <v>0</v>
      </c>
      <c r="Z144" s="1">
        <f t="shared" si="40"/>
        <v>0</v>
      </c>
      <c r="AA144" s="1">
        <f t="shared" si="40"/>
        <v>0</v>
      </c>
      <c r="AC144" s="15" t="s">
        <v>51</v>
      </c>
      <c r="AD144" s="16" t="s">
        <v>9</v>
      </c>
      <c r="AE144" s="2"/>
      <c r="AH144" s="1" t="str">
        <f t="shared" si="41"/>
        <v/>
      </c>
      <c r="AI144" s="1" t="str">
        <f t="shared" si="41"/>
        <v/>
      </c>
      <c r="AJ144" s="1" t="str">
        <f t="shared" si="41"/>
        <v/>
      </c>
      <c r="AK144" s="1" t="str">
        <f t="shared" si="41"/>
        <v/>
      </c>
      <c r="AL144" s="1" t="str">
        <f t="shared" si="41"/>
        <v/>
      </c>
      <c r="AM144" s="1" t="str">
        <f t="shared" si="41"/>
        <v/>
      </c>
      <c r="AN144" s="52" t="str">
        <f t="shared" si="41"/>
        <v/>
      </c>
      <c r="AO144" s="1" t="str">
        <f t="shared" si="41"/>
        <v/>
      </c>
      <c r="AP144" s="1" t="str">
        <f t="shared" si="41"/>
        <v/>
      </c>
      <c r="AQ144" s="1" t="str">
        <f t="shared" si="41"/>
        <v/>
      </c>
      <c r="AR144" s="1" t="str">
        <f t="shared" si="41"/>
        <v/>
      </c>
      <c r="AS144" s="1" t="str">
        <f t="shared" si="41"/>
        <v/>
      </c>
      <c r="AT144" s="1" t="str">
        <f t="shared" si="41"/>
        <v/>
      </c>
      <c r="AU144" s="1" t="str">
        <f t="shared" si="41"/>
        <v/>
      </c>
      <c r="AV144" s="1" t="str">
        <f t="shared" si="41"/>
        <v/>
      </c>
      <c r="AW144" s="1" t="str">
        <f t="shared" si="41"/>
        <v/>
      </c>
      <c r="AX144" s="1" t="str">
        <f t="shared" si="42"/>
        <v/>
      </c>
      <c r="AY144" s="1" t="str">
        <f t="shared" si="42"/>
        <v/>
      </c>
      <c r="AZ144" s="1" t="str">
        <f t="shared" si="42"/>
        <v/>
      </c>
      <c r="BA144" s="1" t="str">
        <f t="shared" si="42"/>
        <v/>
      </c>
      <c r="BB144" s="1" t="str">
        <f t="shared" si="42"/>
        <v/>
      </c>
      <c r="BC144" s="1" t="str">
        <f t="shared" si="42"/>
        <v/>
      </c>
    </row>
    <row r="145" spans="1:55" x14ac:dyDescent="0.25">
      <c r="A145" s="30" t="s">
        <v>60</v>
      </c>
      <c r="B145" s="32" t="s">
        <v>13</v>
      </c>
      <c r="C145" s="2"/>
      <c r="F145" s="51">
        <f t="shared" si="39"/>
        <v>51.753554502369674</v>
      </c>
      <c r="G145" s="51">
        <f t="shared" si="40"/>
        <v>27.692307692307693</v>
      </c>
      <c r="H145" s="51">
        <f t="shared" si="40"/>
        <v>4.125</v>
      </c>
      <c r="I145" s="51">
        <f t="shared" si="40"/>
        <v>29</v>
      </c>
      <c r="J145" s="51">
        <f t="shared" si="40"/>
        <v>57.291666666666671</v>
      </c>
      <c r="K145" s="51">
        <f t="shared" si="40"/>
        <v>29</v>
      </c>
      <c r="L145" s="52">
        <f t="shared" si="40"/>
        <v>0</v>
      </c>
      <c r="M145" s="51">
        <f t="shared" si="40"/>
        <v>390</v>
      </c>
      <c r="N145" s="51">
        <f t="shared" si="40"/>
        <v>860</v>
      </c>
      <c r="O145" s="51">
        <f t="shared" si="40"/>
        <v>10000</v>
      </c>
      <c r="P145" s="51">
        <f t="shared" si="40"/>
        <v>27500</v>
      </c>
      <c r="Q145" s="51">
        <f t="shared" si="40"/>
        <v>940</v>
      </c>
      <c r="R145" s="51">
        <f t="shared" si="40"/>
        <v>426</v>
      </c>
      <c r="S145" s="51">
        <f t="shared" si="40"/>
        <v>0</v>
      </c>
      <c r="T145" s="51">
        <f t="shared" si="40"/>
        <v>425.99999999999994</v>
      </c>
      <c r="U145" s="51">
        <f t="shared" si="40"/>
        <v>426</v>
      </c>
      <c r="V145" s="51">
        <f t="shared" si="40"/>
        <v>426</v>
      </c>
      <c r="W145" s="51">
        <f t="shared" si="40"/>
        <v>426</v>
      </c>
      <c r="X145" s="55">
        <f t="shared" si="40"/>
        <v>426</v>
      </c>
      <c r="Y145" s="59">
        <f t="shared" si="40"/>
        <v>11.868659228195954</v>
      </c>
      <c r="Z145" s="51">
        <f t="shared" si="40"/>
        <v>600.00209560073108</v>
      </c>
      <c r="AA145" s="51">
        <f t="shared" si="40"/>
        <v>16.249787647821858</v>
      </c>
      <c r="AC145" s="30" t="s">
        <v>60</v>
      </c>
      <c r="AD145" s="32" t="s">
        <v>13</v>
      </c>
      <c r="AE145" s="2"/>
      <c r="AH145" s="1">
        <f t="shared" si="41"/>
        <v>12.32227488151659</v>
      </c>
      <c r="AI145" s="1">
        <f t="shared" si="41"/>
        <v>9.2307692307692299</v>
      </c>
      <c r="AJ145" s="1">
        <f t="shared" si="41"/>
        <v>1.875</v>
      </c>
      <c r="AK145" s="1">
        <f t="shared" si="41"/>
        <v>8.3843537414965983</v>
      </c>
      <c r="AL145" s="1">
        <f t="shared" si="41"/>
        <v>25.833333333333336</v>
      </c>
      <c r="AM145" s="1">
        <f t="shared" si="41"/>
        <v>9.1578947368421062</v>
      </c>
      <c r="AN145" s="52" t="str">
        <f t="shared" si="41"/>
        <v/>
      </c>
      <c r="AO145" s="1">
        <f t="shared" si="41"/>
        <v>159.73043478260868</v>
      </c>
      <c r="AP145" s="1">
        <f t="shared" si="41"/>
        <v>558.44155844155853</v>
      </c>
      <c r="AQ145" s="1">
        <f t="shared" si="41"/>
        <v>4954.9549549549547</v>
      </c>
      <c r="AR145" s="1">
        <f t="shared" si="41"/>
        <v>11891.891891891892</v>
      </c>
      <c r="AS145" s="1">
        <f t="shared" si="41"/>
        <v>376</v>
      </c>
      <c r="AT145" s="1">
        <f t="shared" si="41"/>
        <v>170.4</v>
      </c>
      <c r="AU145" s="1" t="str">
        <f t="shared" si="41"/>
        <v/>
      </c>
      <c r="AV145" s="1">
        <f t="shared" si="41"/>
        <v>212.99999999999997</v>
      </c>
      <c r="AW145" s="1">
        <f t="shared" si="41"/>
        <v>213</v>
      </c>
      <c r="AX145" s="1">
        <f t="shared" si="42"/>
        <v>511.2</v>
      </c>
      <c r="AY145" s="1">
        <f t="shared" si="42"/>
        <v>255.6</v>
      </c>
      <c r="AZ145" s="1">
        <f t="shared" si="42"/>
        <v>213</v>
      </c>
      <c r="BA145" s="1">
        <f t="shared" si="42"/>
        <v>3.8318955786478037</v>
      </c>
      <c r="BB145" s="1">
        <f t="shared" si="42"/>
        <v>294.93207619981882</v>
      </c>
      <c r="BC145" s="1">
        <f t="shared" si="42"/>
        <v>5.0406940066447037</v>
      </c>
    </row>
    <row r="146" spans="1:55" x14ac:dyDescent="0.25">
      <c r="A146" s="30" t="s">
        <v>60</v>
      </c>
      <c r="B146" s="31" t="s">
        <v>23</v>
      </c>
      <c r="C146" s="2"/>
      <c r="F146" s="51">
        <f t="shared" si="39"/>
        <v>40</v>
      </c>
      <c r="G146" s="51">
        <f t="shared" si="40"/>
        <v>0</v>
      </c>
      <c r="H146" s="51">
        <f t="shared" si="40"/>
        <v>0</v>
      </c>
      <c r="I146" s="51">
        <f t="shared" si="40"/>
        <v>0</v>
      </c>
      <c r="J146" s="51">
        <f t="shared" si="40"/>
        <v>40.136084182712644</v>
      </c>
      <c r="K146" s="51">
        <f t="shared" si="40"/>
        <v>2.2000000000000002</v>
      </c>
      <c r="L146" s="52">
        <f t="shared" si="40"/>
        <v>0</v>
      </c>
      <c r="M146" s="51">
        <f t="shared" si="40"/>
        <v>0</v>
      </c>
      <c r="N146" s="51">
        <f t="shared" si="40"/>
        <v>1000</v>
      </c>
      <c r="O146" s="51">
        <f t="shared" si="40"/>
        <v>0</v>
      </c>
      <c r="P146" s="51">
        <f t="shared" si="40"/>
        <v>0</v>
      </c>
      <c r="Q146" s="51">
        <f t="shared" si="40"/>
        <v>0</v>
      </c>
      <c r="R146" s="51">
        <f t="shared" si="40"/>
        <v>0</v>
      </c>
      <c r="S146" s="51">
        <f t="shared" si="40"/>
        <v>99.999999999999986</v>
      </c>
      <c r="T146" s="51">
        <f t="shared" si="40"/>
        <v>406</v>
      </c>
      <c r="U146" s="51">
        <f t="shared" si="40"/>
        <v>0</v>
      </c>
      <c r="V146" s="51">
        <f t="shared" si="40"/>
        <v>406</v>
      </c>
      <c r="W146" s="51">
        <f t="shared" si="40"/>
        <v>0</v>
      </c>
      <c r="X146" s="55">
        <f t="shared" si="40"/>
        <v>406</v>
      </c>
      <c r="Y146" s="59">
        <f t="shared" si="40"/>
        <v>3.8509447638554777</v>
      </c>
      <c r="Z146" s="51">
        <f t="shared" si="40"/>
        <v>412.45212007229475</v>
      </c>
      <c r="AA146" s="51">
        <f t="shared" si="40"/>
        <v>5.4893273793091586</v>
      </c>
      <c r="AC146" s="30" t="s">
        <v>60</v>
      </c>
      <c r="AD146" s="31" t="s">
        <v>23</v>
      </c>
      <c r="AE146" s="2"/>
      <c r="AH146" s="1">
        <f t="shared" si="41"/>
        <v>13.440000000000001</v>
      </c>
      <c r="AI146" s="1" t="str">
        <f t="shared" si="41"/>
        <v/>
      </c>
      <c r="AJ146" s="1" t="str">
        <f t="shared" si="41"/>
        <v/>
      </c>
      <c r="AK146" s="1" t="str">
        <f t="shared" si="41"/>
        <v/>
      </c>
      <c r="AL146" s="1">
        <f t="shared" si="41"/>
        <v>12.847150981880553</v>
      </c>
      <c r="AM146" s="1">
        <f t="shared" si="41"/>
        <v>0.54719387755102045</v>
      </c>
      <c r="AN146" s="52" t="str">
        <f t="shared" si="41"/>
        <v/>
      </c>
      <c r="AO146" s="1" t="str">
        <f t="shared" si="41"/>
        <v/>
      </c>
      <c r="AP146" s="1">
        <f t="shared" si="41"/>
        <v>759.03890160183073</v>
      </c>
      <c r="AQ146" s="1" t="str">
        <f t="shared" si="41"/>
        <v/>
      </c>
      <c r="AR146" s="1" t="str">
        <f t="shared" si="41"/>
        <v/>
      </c>
      <c r="AS146" s="1" t="str">
        <f t="shared" si="41"/>
        <v/>
      </c>
      <c r="AT146" s="1" t="str">
        <f t="shared" si="41"/>
        <v/>
      </c>
      <c r="AU146" s="1">
        <f t="shared" si="41"/>
        <v>31.499999999999996</v>
      </c>
      <c r="AV146" s="1">
        <f t="shared" si="41"/>
        <v>170.52000000000004</v>
      </c>
      <c r="AW146" s="1" t="str">
        <f t="shared" si="41"/>
        <v/>
      </c>
      <c r="AX146" s="1">
        <f t="shared" si="42"/>
        <v>365.4</v>
      </c>
      <c r="AY146" s="1" t="str">
        <f t="shared" si="42"/>
        <v/>
      </c>
      <c r="AZ146" s="1">
        <f t="shared" si="42"/>
        <v>365.4</v>
      </c>
      <c r="BA146" s="1">
        <f t="shared" si="42"/>
        <v>1.0846141243126144</v>
      </c>
      <c r="BB146" s="1">
        <f t="shared" si="42"/>
        <v>287.62201923845328</v>
      </c>
      <c r="BC146" s="1">
        <f t="shared" si="42"/>
        <v>2.2335533138825876</v>
      </c>
    </row>
    <row r="147" spans="1:55" x14ac:dyDescent="0.25">
      <c r="A147" s="30" t="s">
        <v>60</v>
      </c>
      <c r="B147" s="31" t="s">
        <v>65</v>
      </c>
      <c r="C147" s="46"/>
      <c r="F147" s="51">
        <f t="shared" si="39"/>
        <v>0</v>
      </c>
      <c r="G147" s="51">
        <f t="shared" si="40"/>
        <v>0</v>
      </c>
      <c r="H147" s="51">
        <f t="shared" si="40"/>
        <v>0</v>
      </c>
      <c r="I147" s="51">
        <f t="shared" si="40"/>
        <v>0</v>
      </c>
      <c r="J147" s="51">
        <f t="shared" si="40"/>
        <v>56</v>
      </c>
      <c r="K147" s="51">
        <f t="shared" si="40"/>
        <v>0</v>
      </c>
      <c r="L147" s="52">
        <f t="shared" si="40"/>
        <v>750</v>
      </c>
      <c r="M147" s="51">
        <f t="shared" si="40"/>
        <v>300</v>
      </c>
      <c r="N147" s="51">
        <f t="shared" si="40"/>
        <v>0</v>
      </c>
      <c r="O147" s="51">
        <f t="shared" si="40"/>
        <v>0</v>
      </c>
      <c r="P147" s="51">
        <f t="shared" si="40"/>
        <v>0</v>
      </c>
      <c r="Q147" s="51">
        <f t="shared" si="40"/>
        <v>940</v>
      </c>
      <c r="R147" s="51">
        <f t="shared" si="40"/>
        <v>426</v>
      </c>
      <c r="S147" s="51">
        <f t="shared" si="40"/>
        <v>0</v>
      </c>
      <c r="T147" s="51">
        <f t="shared" si="40"/>
        <v>426</v>
      </c>
      <c r="U147" s="51">
        <f t="shared" si="40"/>
        <v>425.99999999999994</v>
      </c>
      <c r="V147" s="51">
        <f t="shared" si="40"/>
        <v>426</v>
      </c>
      <c r="W147" s="51">
        <f t="shared" si="40"/>
        <v>426.00000000000006</v>
      </c>
      <c r="X147" s="55">
        <f t="shared" si="40"/>
        <v>426</v>
      </c>
      <c r="Y147" s="59">
        <f t="shared" si="40"/>
        <v>56</v>
      </c>
      <c r="Z147" s="51">
        <f t="shared" si="40"/>
        <v>467.81780201254111</v>
      </c>
      <c r="AA147" s="51">
        <f>IF(AA192&gt;0,AB12/AA192,0)</f>
        <v>685.080316216558</v>
      </c>
      <c r="AC147" s="30" t="s">
        <v>60</v>
      </c>
      <c r="AD147" s="31" t="s">
        <v>65</v>
      </c>
      <c r="AE147" s="46"/>
      <c r="AH147" s="1" t="str">
        <f t="shared" si="41"/>
        <v/>
      </c>
      <c r="AI147" s="1" t="str">
        <f t="shared" si="41"/>
        <v/>
      </c>
      <c r="AJ147" s="1" t="str">
        <f t="shared" si="41"/>
        <v/>
      </c>
      <c r="AK147" s="1" t="str">
        <f t="shared" si="41"/>
        <v/>
      </c>
      <c r="AL147" s="1">
        <f t="shared" si="41"/>
        <v>6.8544</v>
      </c>
      <c r="AM147" s="1" t="str">
        <f t="shared" si="41"/>
        <v/>
      </c>
      <c r="AN147" s="52">
        <f t="shared" si="41"/>
        <v>68.849999999999994</v>
      </c>
      <c r="AO147" s="1">
        <f t="shared" si="41"/>
        <v>36.72</v>
      </c>
      <c r="AP147" s="1" t="str">
        <f t="shared" si="41"/>
        <v/>
      </c>
      <c r="AQ147" s="1" t="str">
        <f t="shared" si="41"/>
        <v/>
      </c>
      <c r="AR147" s="1" t="str">
        <f t="shared" si="41"/>
        <v/>
      </c>
      <c r="AS147" s="1">
        <f t="shared" si="41"/>
        <v>143.82</v>
      </c>
      <c r="AT147" s="1">
        <f t="shared" si="41"/>
        <v>52.142399999999995</v>
      </c>
      <c r="AU147" s="1" t="str">
        <f t="shared" si="41"/>
        <v/>
      </c>
      <c r="AV147" s="1">
        <f t="shared" si="41"/>
        <v>65.177999999999997</v>
      </c>
      <c r="AW147" s="1">
        <f t="shared" si="41"/>
        <v>52.142399999999988</v>
      </c>
      <c r="AX147" s="1">
        <f t="shared" si="42"/>
        <v>52.142399999999995</v>
      </c>
      <c r="AY147" s="1">
        <f t="shared" si="42"/>
        <v>52.142400000000002</v>
      </c>
      <c r="AZ147" s="1">
        <f t="shared" si="42"/>
        <v>52.142399999999995</v>
      </c>
      <c r="BA147" s="1">
        <f t="shared" si="42"/>
        <v>6.8544</v>
      </c>
      <c r="BB147" s="1">
        <f t="shared" si="42"/>
        <v>62.913655350254217</v>
      </c>
      <c r="BC147" s="1">
        <f t="shared" si="42"/>
        <v>62.342308775706776</v>
      </c>
    </row>
    <row r="148" spans="1:55" ht="15.75" thickBot="1" x14ac:dyDescent="0.3">
      <c r="A148" s="48" t="s">
        <v>60</v>
      </c>
      <c r="B148" s="49" t="s">
        <v>9</v>
      </c>
      <c r="C148" s="50"/>
      <c r="D148" s="50"/>
      <c r="E148" s="50"/>
      <c r="F148" s="53">
        <f t="shared" si="39"/>
        <v>0</v>
      </c>
      <c r="G148" s="53">
        <f t="shared" si="40"/>
        <v>0</v>
      </c>
      <c r="H148" s="53">
        <f t="shared" si="40"/>
        <v>0</v>
      </c>
      <c r="I148" s="53">
        <f t="shared" si="40"/>
        <v>0</v>
      </c>
      <c r="J148" s="53">
        <f t="shared" si="40"/>
        <v>0</v>
      </c>
      <c r="K148" s="53">
        <f t="shared" si="40"/>
        <v>0</v>
      </c>
      <c r="L148" s="62">
        <f t="shared" si="40"/>
        <v>0</v>
      </c>
      <c r="M148" s="53">
        <f t="shared" si="40"/>
        <v>0</v>
      </c>
      <c r="N148" s="53">
        <f t="shared" si="40"/>
        <v>0</v>
      </c>
      <c r="O148" s="53">
        <f t="shared" si="40"/>
        <v>0</v>
      </c>
      <c r="P148" s="53">
        <f t="shared" si="40"/>
        <v>0</v>
      </c>
      <c r="Q148" s="53">
        <f t="shared" si="40"/>
        <v>0</v>
      </c>
      <c r="R148" s="53">
        <f t="shared" si="40"/>
        <v>0</v>
      </c>
      <c r="S148" s="53">
        <f t="shared" si="40"/>
        <v>0</v>
      </c>
      <c r="T148" s="53">
        <f t="shared" si="40"/>
        <v>0</v>
      </c>
      <c r="U148" s="53">
        <f t="shared" si="40"/>
        <v>0</v>
      </c>
      <c r="V148" s="53">
        <f t="shared" si="40"/>
        <v>0</v>
      </c>
      <c r="W148" s="53">
        <f t="shared" si="40"/>
        <v>0</v>
      </c>
      <c r="X148" s="56">
        <f t="shared" si="40"/>
        <v>426</v>
      </c>
      <c r="Y148" s="60">
        <f t="shared" si="40"/>
        <v>0</v>
      </c>
      <c r="Z148" s="53">
        <f t="shared" si="40"/>
        <v>643.56672000000003</v>
      </c>
      <c r="AA148" s="53">
        <f t="shared" si="40"/>
        <v>429.40800000000002</v>
      </c>
      <c r="AC148" s="48" t="s">
        <v>60</v>
      </c>
      <c r="AD148" s="49" t="s">
        <v>9</v>
      </c>
      <c r="AE148" s="50"/>
      <c r="AF148" s="50"/>
      <c r="AG148" s="50"/>
      <c r="AH148" s="1" t="str">
        <f t="shared" si="41"/>
        <v/>
      </c>
      <c r="AI148" s="1" t="str">
        <f t="shared" si="41"/>
        <v/>
      </c>
      <c r="AJ148" s="1" t="str">
        <f t="shared" si="41"/>
        <v/>
      </c>
      <c r="AK148" s="1" t="str">
        <f t="shared" si="41"/>
        <v/>
      </c>
      <c r="AL148" s="1" t="str">
        <f t="shared" si="41"/>
        <v/>
      </c>
      <c r="AM148" s="1" t="str">
        <f t="shared" si="41"/>
        <v/>
      </c>
      <c r="AN148" s="52" t="str">
        <f t="shared" si="41"/>
        <v/>
      </c>
      <c r="AO148" s="1" t="str">
        <f t="shared" si="41"/>
        <v/>
      </c>
      <c r="AP148" s="1" t="str">
        <f t="shared" si="41"/>
        <v/>
      </c>
      <c r="AQ148" s="1" t="str">
        <f t="shared" si="41"/>
        <v/>
      </c>
      <c r="AR148" s="1" t="str">
        <f t="shared" si="41"/>
        <v/>
      </c>
      <c r="AS148" s="1" t="str">
        <f t="shared" si="41"/>
        <v/>
      </c>
      <c r="AT148" s="1" t="str">
        <f t="shared" si="41"/>
        <v/>
      </c>
      <c r="AU148" s="1" t="str">
        <f t="shared" si="41"/>
        <v/>
      </c>
      <c r="AV148" s="1" t="str">
        <f t="shared" si="41"/>
        <v/>
      </c>
      <c r="AW148" s="1" t="str">
        <f t="shared" si="41"/>
        <v/>
      </c>
      <c r="AX148" s="1" t="str">
        <f t="shared" si="42"/>
        <v/>
      </c>
      <c r="AY148" s="1" t="str">
        <f t="shared" si="42"/>
        <v/>
      </c>
      <c r="AZ148" s="1">
        <f t="shared" si="42"/>
        <v>178.92000000000002</v>
      </c>
      <c r="BA148" s="1" t="str">
        <f t="shared" si="42"/>
        <v/>
      </c>
      <c r="BB148" s="1">
        <f t="shared" si="42"/>
        <v>385.608384</v>
      </c>
      <c r="BC148" s="1">
        <f t="shared" si="42"/>
        <v>178.92000000000002</v>
      </c>
    </row>
    <row r="149" spans="1:55" ht="15.75" thickTop="1" x14ac:dyDescent="0.25">
      <c r="A149" s="15" t="s">
        <v>51</v>
      </c>
      <c r="B149" s="16" t="s">
        <v>52</v>
      </c>
      <c r="C149" s="16" t="s">
        <v>53</v>
      </c>
      <c r="D149" s="2"/>
      <c r="E149" s="2"/>
      <c r="F149" s="47">
        <f t="shared" si="39"/>
        <v>0</v>
      </c>
      <c r="G149" s="47">
        <f t="shared" si="40"/>
        <v>0</v>
      </c>
      <c r="H149" s="47">
        <f t="shared" si="40"/>
        <v>0</v>
      </c>
      <c r="I149" s="47">
        <f t="shared" si="40"/>
        <v>0</v>
      </c>
      <c r="J149" s="47">
        <f t="shared" si="40"/>
        <v>0</v>
      </c>
      <c r="K149" s="47">
        <f t="shared" si="40"/>
        <v>0</v>
      </c>
      <c r="L149" s="63">
        <f t="shared" si="40"/>
        <v>0</v>
      </c>
      <c r="M149" s="47">
        <f t="shared" si="40"/>
        <v>0</v>
      </c>
      <c r="N149" s="47">
        <f t="shared" si="40"/>
        <v>0</v>
      </c>
      <c r="O149" s="47">
        <f t="shared" si="40"/>
        <v>0</v>
      </c>
      <c r="P149" s="47">
        <f t="shared" si="40"/>
        <v>0</v>
      </c>
      <c r="Q149" s="47">
        <f t="shared" si="40"/>
        <v>0</v>
      </c>
      <c r="R149" s="47">
        <f t="shared" si="40"/>
        <v>0</v>
      </c>
      <c r="S149" s="47">
        <f t="shared" si="40"/>
        <v>0</v>
      </c>
      <c r="T149" s="47">
        <f t="shared" si="40"/>
        <v>0</v>
      </c>
      <c r="U149" s="47">
        <f t="shared" si="40"/>
        <v>0</v>
      </c>
      <c r="V149" s="47">
        <f t="shared" si="40"/>
        <v>0</v>
      </c>
      <c r="W149" s="47">
        <f t="shared" si="40"/>
        <v>0</v>
      </c>
      <c r="X149" s="57">
        <f t="shared" si="40"/>
        <v>0</v>
      </c>
      <c r="Y149" s="61">
        <f t="shared" si="40"/>
        <v>0</v>
      </c>
      <c r="Z149" s="47">
        <f t="shared" si="40"/>
        <v>0</v>
      </c>
      <c r="AA149" s="47">
        <f t="shared" si="40"/>
        <v>0</v>
      </c>
      <c r="AC149" s="15" t="s">
        <v>51</v>
      </c>
      <c r="AD149" s="16" t="s">
        <v>52</v>
      </c>
      <c r="AE149" s="16" t="s">
        <v>53</v>
      </c>
      <c r="AF149" s="2"/>
      <c r="AG149" s="2"/>
      <c r="AH149" s="90" t="str">
        <f t="shared" si="41"/>
        <v/>
      </c>
      <c r="AI149" s="90" t="str">
        <f t="shared" si="41"/>
        <v/>
      </c>
      <c r="AJ149" s="90" t="str">
        <f t="shared" si="41"/>
        <v/>
      </c>
      <c r="AK149" s="90" t="str">
        <f t="shared" si="41"/>
        <v/>
      </c>
      <c r="AL149" s="90" t="str">
        <f t="shared" si="41"/>
        <v/>
      </c>
      <c r="AM149" s="90" t="str">
        <f t="shared" si="41"/>
        <v/>
      </c>
      <c r="AN149" s="90" t="str">
        <f t="shared" si="41"/>
        <v/>
      </c>
      <c r="AO149" s="90" t="str">
        <f t="shared" si="41"/>
        <v/>
      </c>
      <c r="AP149" s="90" t="str">
        <f t="shared" si="41"/>
        <v/>
      </c>
      <c r="AQ149" s="90" t="str">
        <f t="shared" si="41"/>
        <v/>
      </c>
      <c r="AR149" s="90" t="str">
        <f t="shared" si="41"/>
        <v/>
      </c>
      <c r="AS149" s="90" t="str">
        <f t="shared" si="41"/>
        <v/>
      </c>
      <c r="AT149" s="90" t="str">
        <f t="shared" si="41"/>
        <v/>
      </c>
      <c r="AU149" s="90" t="str">
        <f t="shared" si="41"/>
        <v/>
      </c>
      <c r="AV149" s="90" t="str">
        <f t="shared" si="41"/>
        <v/>
      </c>
      <c r="AW149" s="90" t="str">
        <f t="shared" si="41"/>
        <v/>
      </c>
      <c r="AX149" s="90" t="str">
        <f t="shared" si="42"/>
        <v/>
      </c>
      <c r="AY149" s="90" t="str">
        <f t="shared" si="42"/>
        <v/>
      </c>
      <c r="AZ149" s="90" t="str">
        <f t="shared" si="42"/>
        <v/>
      </c>
      <c r="BA149" s="90" t="str">
        <f t="shared" si="42"/>
        <v/>
      </c>
      <c r="BB149" s="90" t="str">
        <f t="shared" si="42"/>
        <v/>
      </c>
      <c r="BC149" s="90" t="str">
        <f t="shared" si="42"/>
        <v/>
      </c>
    </row>
    <row r="150" spans="1:55" x14ac:dyDescent="0.25">
      <c r="A150" s="15" t="s">
        <v>51</v>
      </c>
      <c r="B150" s="16" t="s">
        <v>52</v>
      </c>
      <c r="C150" s="16" t="s">
        <v>54</v>
      </c>
      <c r="D150" s="2"/>
      <c r="E150" s="2"/>
      <c r="F150" s="1">
        <f t="shared" si="39"/>
        <v>0</v>
      </c>
      <c r="G150" s="1">
        <f t="shared" si="40"/>
        <v>0</v>
      </c>
      <c r="H150" s="1">
        <f t="shared" si="40"/>
        <v>0</v>
      </c>
      <c r="I150" s="1">
        <f t="shared" si="40"/>
        <v>0</v>
      </c>
      <c r="J150" s="1">
        <f t="shared" si="40"/>
        <v>0</v>
      </c>
      <c r="K150" s="1">
        <f t="shared" si="40"/>
        <v>0</v>
      </c>
      <c r="L150" s="52">
        <f t="shared" si="40"/>
        <v>0</v>
      </c>
      <c r="M150" s="1">
        <f t="shared" si="40"/>
        <v>0</v>
      </c>
      <c r="N150" s="1">
        <f t="shared" si="40"/>
        <v>0</v>
      </c>
      <c r="O150" s="1">
        <f t="shared" si="40"/>
        <v>0</v>
      </c>
      <c r="P150" s="1">
        <f t="shared" si="40"/>
        <v>0</v>
      </c>
      <c r="Q150" s="1">
        <f t="shared" si="40"/>
        <v>0</v>
      </c>
      <c r="R150" s="1">
        <f t="shared" si="40"/>
        <v>0</v>
      </c>
      <c r="S150" s="1">
        <f t="shared" si="40"/>
        <v>0</v>
      </c>
      <c r="T150" s="1">
        <f t="shared" si="40"/>
        <v>0</v>
      </c>
      <c r="U150" s="1">
        <f t="shared" si="40"/>
        <v>0</v>
      </c>
      <c r="V150" s="1">
        <f t="shared" si="40"/>
        <v>0</v>
      </c>
      <c r="W150" s="1">
        <f t="shared" si="40"/>
        <v>0</v>
      </c>
      <c r="X150" s="54">
        <f t="shared" si="40"/>
        <v>0</v>
      </c>
      <c r="Y150" s="58">
        <f t="shared" si="40"/>
        <v>0</v>
      </c>
      <c r="Z150" s="1">
        <f t="shared" si="40"/>
        <v>0</v>
      </c>
      <c r="AA150" s="1">
        <f t="shared" si="40"/>
        <v>0</v>
      </c>
      <c r="AC150" s="15" t="s">
        <v>51</v>
      </c>
      <c r="AD150" s="16" t="s">
        <v>52</v>
      </c>
      <c r="AE150" s="16" t="s">
        <v>54</v>
      </c>
      <c r="AF150" s="2"/>
      <c r="AG150" s="2"/>
      <c r="AH150" s="90" t="str">
        <f t="shared" si="41"/>
        <v/>
      </c>
      <c r="AI150" s="90" t="str">
        <f t="shared" si="41"/>
        <v/>
      </c>
      <c r="AJ150" s="90" t="str">
        <f t="shared" si="41"/>
        <v/>
      </c>
      <c r="AK150" s="90" t="str">
        <f t="shared" si="41"/>
        <v/>
      </c>
      <c r="AL150" s="90" t="str">
        <f t="shared" si="41"/>
        <v/>
      </c>
      <c r="AM150" s="90" t="str">
        <f t="shared" si="41"/>
        <v/>
      </c>
      <c r="AN150" s="90" t="str">
        <f t="shared" si="41"/>
        <v/>
      </c>
      <c r="AO150" s="90" t="str">
        <f t="shared" si="41"/>
        <v/>
      </c>
      <c r="AP150" s="90" t="str">
        <f t="shared" si="41"/>
        <v/>
      </c>
      <c r="AQ150" s="90" t="str">
        <f t="shared" si="41"/>
        <v/>
      </c>
      <c r="AR150" s="90" t="str">
        <f t="shared" si="41"/>
        <v/>
      </c>
      <c r="AS150" s="90" t="str">
        <f t="shared" si="41"/>
        <v/>
      </c>
      <c r="AT150" s="90" t="str">
        <f t="shared" si="41"/>
        <v/>
      </c>
      <c r="AU150" s="90" t="str">
        <f t="shared" si="41"/>
        <v/>
      </c>
      <c r="AV150" s="90" t="str">
        <f t="shared" si="41"/>
        <v/>
      </c>
      <c r="AW150" s="90" t="str">
        <f t="shared" si="41"/>
        <v/>
      </c>
      <c r="AX150" s="90" t="str">
        <f t="shared" si="42"/>
        <v/>
      </c>
      <c r="AY150" s="90" t="str">
        <f t="shared" si="42"/>
        <v/>
      </c>
      <c r="AZ150" s="90" t="str">
        <f t="shared" si="42"/>
        <v/>
      </c>
      <c r="BA150" s="90" t="str">
        <f t="shared" si="42"/>
        <v/>
      </c>
      <c r="BB150" s="90" t="str">
        <f t="shared" si="42"/>
        <v/>
      </c>
      <c r="BC150" s="90" t="str">
        <f t="shared" si="42"/>
        <v/>
      </c>
    </row>
    <row r="151" spans="1:55" x14ac:dyDescent="0.25">
      <c r="A151" s="15" t="s">
        <v>51</v>
      </c>
      <c r="B151" s="16" t="s">
        <v>52</v>
      </c>
      <c r="C151" s="16" t="s">
        <v>55</v>
      </c>
      <c r="D151" s="2"/>
      <c r="E151" s="2"/>
      <c r="F151" s="1">
        <f t="shared" si="39"/>
        <v>0</v>
      </c>
      <c r="G151" s="1">
        <f t="shared" si="40"/>
        <v>0</v>
      </c>
      <c r="H151" s="1">
        <f t="shared" si="40"/>
        <v>0</v>
      </c>
      <c r="I151" s="1">
        <f t="shared" si="40"/>
        <v>0</v>
      </c>
      <c r="J151" s="1">
        <f t="shared" si="40"/>
        <v>0</v>
      </c>
      <c r="K151" s="1">
        <f t="shared" si="40"/>
        <v>0</v>
      </c>
      <c r="L151" s="52">
        <f t="shared" si="40"/>
        <v>0</v>
      </c>
      <c r="M151" s="1">
        <f t="shared" si="40"/>
        <v>0</v>
      </c>
      <c r="N151" s="1">
        <f t="shared" si="40"/>
        <v>0</v>
      </c>
      <c r="O151" s="1">
        <f t="shared" si="40"/>
        <v>0</v>
      </c>
      <c r="P151" s="1">
        <f t="shared" si="40"/>
        <v>0</v>
      </c>
      <c r="Q151" s="1">
        <f t="shared" si="40"/>
        <v>0</v>
      </c>
      <c r="R151" s="1">
        <f t="shared" si="40"/>
        <v>0</v>
      </c>
      <c r="S151" s="1">
        <f t="shared" si="40"/>
        <v>0</v>
      </c>
      <c r="T151" s="1">
        <f t="shared" si="40"/>
        <v>0</v>
      </c>
      <c r="U151" s="1">
        <f t="shared" si="40"/>
        <v>0</v>
      </c>
      <c r="V151" s="1">
        <f t="shared" si="40"/>
        <v>0</v>
      </c>
      <c r="W151" s="1">
        <f t="shared" si="40"/>
        <v>0</v>
      </c>
      <c r="X151" s="54">
        <f t="shared" si="40"/>
        <v>0</v>
      </c>
      <c r="Y151" s="58">
        <f t="shared" si="40"/>
        <v>0</v>
      </c>
      <c r="Z151" s="1">
        <f t="shared" si="40"/>
        <v>0</v>
      </c>
      <c r="AA151" s="1">
        <f t="shared" si="40"/>
        <v>0</v>
      </c>
      <c r="AC151" s="15" t="s">
        <v>51</v>
      </c>
      <c r="AD151" s="16" t="s">
        <v>52</v>
      </c>
      <c r="AE151" s="16" t="s">
        <v>55</v>
      </c>
      <c r="AF151" s="2"/>
      <c r="AG151" s="2"/>
      <c r="AH151" s="90" t="str">
        <f t="shared" si="41"/>
        <v/>
      </c>
      <c r="AI151" s="90" t="str">
        <f t="shared" si="41"/>
        <v/>
      </c>
      <c r="AJ151" s="90" t="str">
        <f t="shared" si="41"/>
        <v/>
      </c>
      <c r="AK151" s="90" t="str">
        <f t="shared" si="41"/>
        <v/>
      </c>
      <c r="AL151" s="90" t="str">
        <f t="shared" si="41"/>
        <v/>
      </c>
      <c r="AM151" s="90" t="str">
        <f t="shared" si="41"/>
        <v/>
      </c>
      <c r="AN151" s="90" t="str">
        <f t="shared" si="41"/>
        <v/>
      </c>
      <c r="AO151" s="90" t="str">
        <f t="shared" si="41"/>
        <v/>
      </c>
      <c r="AP151" s="90" t="str">
        <f t="shared" si="41"/>
        <v/>
      </c>
      <c r="AQ151" s="90" t="str">
        <f t="shared" si="41"/>
        <v/>
      </c>
      <c r="AR151" s="90" t="str">
        <f t="shared" si="41"/>
        <v/>
      </c>
      <c r="AS151" s="90" t="str">
        <f t="shared" si="41"/>
        <v/>
      </c>
      <c r="AT151" s="90" t="str">
        <f t="shared" si="41"/>
        <v/>
      </c>
      <c r="AU151" s="90" t="str">
        <f t="shared" si="41"/>
        <v/>
      </c>
      <c r="AV151" s="90" t="str">
        <f t="shared" si="41"/>
        <v/>
      </c>
      <c r="AW151" s="90" t="str">
        <f t="shared" si="41"/>
        <v/>
      </c>
      <c r="AX151" s="90" t="str">
        <f t="shared" si="42"/>
        <v/>
      </c>
      <c r="AY151" s="90" t="str">
        <f t="shared" si="42"/>
        <v/>
      </c>
      <c r="AZ151" s="90" t="str">
        <f t="shared" si="42"/>
        <v/>
      </c>
      <c r="BA151" s="90" t="str">
        <f t="shared" si="42"/>
        <v/>
      </c>
      <c r="BB151" s="90" t="str">
        <f t="shared" si="42"/>
        <v/>
      </c>
      <c r="BC151" s="90" t="str">
        <f t="shared" si="42"/>
        <v/>
      </c>
    </row>
    <row r="152" spans="1:55" x14ac:dyDescent="0.25">
      <c r="A152" s="25" t="s">
        <v>51</v>
      </c>
      <c r="B152" s="26" t="s">
        <v>56</v>
      </c>
      <c r="C152" s="26" t="s">
        <v>57</v>
      </c>
      <c r="D152" s="2"/>
      <c r="E152" s="2"/>
      <c r="F152" s="1">
        <f t="shared" si="39"/>
        <v>0</v>
      </c>
      <c r="G152" s="1">
        <f t="shared" si="40"/>
        <v>0</v>
      </c>
      <c r="H152" s="1">
        <f t="shared" si="40"/>
        <v>0</v>
      </c>
      <c r="I152" s="1">
        <f t="shared" si="40"/>
        <v>0</v>
      </c>
      <c r="J152" s="1">
        <f t="shared" si="40"/>
        <v>0</v>
      </c>
      <c r="K152" s="1">
        <f t="shared" si="40"/>
        <v>0</v>
      </c>
      <c r="L152" s="52">
        <f t="shared" si="40"/>
        <v>0</v>
      </c>
      <c r="M152" s="1">
        <f t="shared" si="40"/>
        <v>0</v>
      </c>
      <c r="N152" s="1">
        <f t="shared" si="40"/>
        <v>0</v>
      </c>
      <c r="O152" s="1">
        <f t="shared" si="40"/>
        <v>0</v>
      </c>
      <c r="P152" s="1">
        <f t="shared" si="40"/>
        <v>0</v>
      </c>
      <c r="Q152" s="1">
        <f t="shared" si="40"/>
        <v>0</v>
      </c>
      <c r="R152" s="1">
        <f t="shared" si="40"/>
        <v>0</v>
      </c>
      <c r="S152" s="1">
        <f t="shared" si="40"/>
        <v>0</v>
      </c>
      <c r="T152" s="1">
        <f t="shared" si="40"/>
        <v>0</v>
      </c>
      <c r="U152" s="1">
        <f t="shared" si="40"/>
        <v>0</v>
      </c>
      <c r="V152" s="1">
        <f t="shared" si="40"/>
        <v>0</v>
      </c>
      <c r="W152" s="1">
        <f t="shared" si="40"/>
        <v>0</v>
      </c>
      <c r="X152" s="54">
        <f t="shared" si="40"/>
        <v>0</v>
      </c>
      <c r="Y152" s="58">
        <f t="shared" ref="G152:AA166" si="44">IF(Y197&gt;0,Y17/Y197,0)</f>
        <v>0</v>
      </c>
      <c r="Z152" s="1">
        <f t="shared" si="44"/>
        <v>0</v>
      </c>
      <c r="AA152" s="1">
        <f t="shared" si="44"/>
        <v>0</v>
      </c>
      <c r="AC152" s="25" t="s">
        <v>51</v>
      </c>
      <c r="AD152" s="26" t="s">
        <v>56</v>
      </c>
      <c r="AE152" s="26" t="s">
        <v>57</v>
      </c>
      <c r="AF152" s="2"/>
      <c r="AG152" s="2"/>
      <c r="AH152" s="90" t="str">
        <f t="shared" si="41"/>
        <v/>
      </c>
      <c r="AI152" s="90" t="str">
        <f t="shared" si="41"/>
        <v/>
      </c>
      <c r="AJ152" s="90" t="str">
        <f t="shared" si="41"/>
        <v/>
      </c>
      <c r="AK152" s="90" t="str">
        <f t="shared" si="41"/>
        <v/>
      </c>
      <c r="AL152" s="90" t="str">
        <f t="shared" si="41"/>
        <v/>
      </c>
      <c r="AM152" s="90" t="str">
        <f t="shared" si="41"/>
        <v/>
      </c>
      <c r="AN152" s="90" t="str">
        <f t="shared" si="41"/>
        <v/>
      </c>
      <c r="AO152" s="90" t="str">
        <f t="shared" si="41"/>
        <v/>
      </c>
      <c r="AP152" s="90" t="str">
        <f t="shared" si="41"/>
        <v/>
      </c>
      <c r="AQ152" s="90" t="str">
        <f t="shared" si="41"/>
        <v/>
      </c>
      <c r="AR152" s="90" t="str">
        <f t="shared" si="41"/>
        <v/>
      </c>
      <c r="AS152" s="90" t="str">
        <f t="shared" si="41"/>
        <v/>
      </c>
      <c r="AT152" s="90" t="str">
        <f t="shared" si="41"/>
        <v/>
      </c>
      <c r="AU152" s="90" t="str">
        <f t="shared" si="41"/>
        <v/>
      </c>
      <c r="AV152" s="90" t="str">
        <f t="shared" si="41"/>
        <v/>
      </c>
      <c r="AW152" s="90" t="str">
        <f t="shared" si="41"/>
        <v/>
      </c>
      <c r="AX152" s="90" t="str">
        <f t="shared" si="42"/>
        <v/>
      </c>
      <c r="AY152" s="90" t="str">
        <f t="shared" si="42"/>
        <v/>
      </c>
      <c r="AZ152" s="90" t="str">
        <f t="shared" si="42"/>
        <v/>
      </c>
      <c r="BA152" s="90" t="str">
        <f t="shared" si="42"/>
        <v/>
      </c>
      <c r="BB152" s="90" t="str">
        <f t="shared" si="42"/>
        <v/>
      </c>
      <c r="BC152" s="90" t="str">
        <f t="shared" si="42"/>
        <v/>
      </c>
    </row>
    <row r="153" spans="1:55" x14ac:dyDescent="0.25">
      <c r="A153" s="15" t="s">
        <v>51</v>
      </c>
      <c r="B153" s="16" t="s">
        <v>56</v>
      </c>
      <c r="C153" s="27" t="s">
        <v>58</v>
      </c>
      <c r="D153" s="2"/>
      <c r="E153" s="2"/>
      <c r="F153" s="1">
        <f t="shared" si="39"/>
        <v>0</v>
      </c>
      <c r="G153" s="1">
        <f t="shared" si="44"/>
        <v>0</v>
      </c>
      <c r="H153" s="1">
        <f t="shared" si="44"/>
        <v>0</v>
      </c>
      <c r="I153" s="1">
        <f t="shared" si="44"/>
        <v>0</v>
      </c>
      <c r="J153" s="1">
        <f t="shared" si="44"/>
        <v>0</v>
      </c>
      <c r="K153" s="1">
        <f t="shared" si="44"/>
        <v>0</v>
      </c>
      <c r="L153" s="52">
        <f t="shared" si="44"/>
        <v>0</v>
      </c>
      <c r="M153" s="1">
        <f t="shared" si="44"/>
        <v>0</v>
      </c>
      <c r="N153" s="1">
        <f t="shared" si="44"/>
        <v>0</v>
      </c>
      <c r="O153" s="1">
        <f t="shared" si="44"/>
        <v>0</v>
      </c>
      <c r="P153" s="1">
        <f t="shared" si="44"/>
        <v>0</v>
      </c>
      <c r="Q153" s="1">
        <f t="shared" si="44"/>
        <v>0</v>
      </c>
      <c r="R153" s="1">
        <f t="shared" si="44"/>
        <v>0</v>
      </c>
      <c r="S153" s="1">
        <f t="shared" si="44"/>
        <v>0</v>
      </c>
      <c r="T153" s="1">
        <f t="shared" si="44"/>
        <v>0</v>
      </c>
      <c r="U153" s="1">
        <f t="shared" si="44"/>
        <v>0</v>
      </c>
      <c r="V153" s="1">
        <f t="shared" si="44"/>
        <v>0</v>
      </c>
      <c r="W153" s="1">
        <f t="shared" si="44"/>
        <v>0</v>
      </c>
      <c r="X153" s="54">
        <f t="shared" si="44"/>
        <v>0</v>
      </c>
      <c r="Y153" s="58">
        <f t="shared" si="44"/>
        <v>0</v>
      </c>
      <c r="Z153" s="1">
        <f t="shared" si="44"/>
        <v>0</v>
      </c>
      <c r="AA153" s="1">
        <f t="shared" si="44"/>
        <v>0</v>
      </c>
      <c r="AC153" s="15" t="s">
        <v>51</v>
      </c>
      <c r="AD153" s="16" t="s">
        <v>56</v>
      </c>
      <c r="AE153" s="27" t="s">
        <v>58</v>
      </c>
      <c r="AF153" s="2"/>
      <c r="AG153" s="2"/>
      <c r="AH153" s="90" t="str">
        <f t="shared" si="41"/>
        <v/>
      </c>
      <c r="AI153" s="90" t="str">
        <f t="shared" si="41"/>
        <v/>
      </c>
      <c r="AJ153" s="90" t="str">
        <f t="shared" si="41"/>
        <v/>
      </c>
      <c r="AK153" s="90" t="str">
        <f t="shared" si="41"/>
        <v/>
      </c>
      <c r="AL153" s="90" t="str">
        <f t="shared" si="41"/>
        <v/>
      </c>
      <c r="AM153" s="90" t="str">
        <f t="shared" si="41"/>
        <v/>
      </c>
      <c r="AN153" s="90" t="str">
        <f t="shared" si="41"/>
        <v/>
      </c>
      <c r="AO153" s="90" t="str">
        <f t="shared" si="41"/>
        <v/>
      </c>
      <c r="AP153" s="90" t="str">
        <f t="shared" si="41"/>
        <v/>
      </c>
      <c r="AQ153" s="90" t="str">
        <f t="shared" si="41"/>
        <v/>
      </c>
      <c r="AR153" s="90" t="str">
        <f t="shared" si="41"/>
        <v/>
      </c>
      <c r="AS153" s="90" t="str">
        <f t="shared" si="41"/>
        <v/>
      </c>
      <c r="AT153" s="90" t="str">
        <f t="shared" si="41"/>
        <v/>
      </c>
      <c r="AU153" s="90" t="str">
        <f t="shared" si="41"/>
        <v/>
      </c>
      <c r="AV153" s="90" t="str">
        <f t="shared" si="41"/>
        <v/>
      </c>
      <c r="AW153" s="90" t="str">
        <f t="shared" si="41"/>
        <v/>
      </c>
      <c r="AX153" s="90" t="str">
        <f t="shared" si="42"/>
        <v/>
      </c>
      <c r="AY153" s="90" t="str">
        <f t="shared" si="42"/>
        <v/>
      </c>
      <c r="AZ153" s="90" t="str">
        <f t="shared" si="42"/>
        <v/>
      </c>
      <c r="BA153" s="90" t="str">
        <f t="shared" si="42"/>
        <v/>
      </c>
      <c r="BB153" s="90" t="str">
        <f t="shared" si="42"/>
        <v/>
      </c>
      <c r="BC153" s="90" t="str">
        <f t="shared" si="42"/>
        <v/>
      </c>
    </row>
    <row r="154" spans="1:55" x14ac:dyDescent="0.25">
      <c r="A154" s="15" t="s">
        <v>51</v>
      </c>
      <c r="B154" s="16" t="s">
        <v>9</v>
      </c>
      <c r="C154" s="27" t="s">
        <v>59</v>
      </c>
      <c r="D154" s="2"/>
      <c r="E154" s="2"/>
      <c r="F154" s="1">
        <f t="shared" si="39"/>
        <v>0</v>
      </c>
      <c r="G154" s="1">
        <f t="shared" si="44"/>
        <v>0</v>
      </c>
      <c r="H154" s="1">
        <f t="shared" si="44"/>
        <v>0</v>
      </c>
      <c r="I154" s="1">
        <f t="shared" si="44"/>
        <v>0</v>
      </c>
      <c r="J154" s="1">
        <f t="shared" si="44"/>
        <v>0</v>
      </c>
      <c r="K154" s="1">
        <f t="shared" si="44"/>
        <v>0</v>
      </c>
      <c r="L154" s="52">
        <f t="shared" si="44"/>
        <v>0</v>
      </c>
      <c r="M154" s="1">
        <f t="shared" si="44"/>
        <v>0</v>
      </c>
      <c r="N154" s="1">
        <f t="shared" si="44"/>
        <v>0</v>
      </c>
      <c r="O154" s="1">
        <f t="shared" si="44"/>
        <v>0</v>
      </c>
      <c r="P154" s="1">
        <f t="shared" si="44"/>
        <v>0</v>
      </c>
      <c r="Q154" s="1">
        <f t="shared" si="44"/>
        <v>0</v>
      </c>
      <c r="R154" s="1">
        <f t="shared" si="44"/>
        <v>0</v>
      </c>
      <c r="S154" s="1">
        <f t="shared" si="44"/>
        <v>0</v>
      </c>
      <c r="T154" s="1">
        <f t="shared" si="44"/>
        <v>0</v>
      </c>
      <c r="U154" s="1">
        <f t="shared" si="44"/>
        <v>0</v>
      </c>
      <c r="V154" s="1">
        <f t="shared" si="44"/>
        <v>0</v>
      </c>
      <c r="W154" s="1">
        <f t="shared" si="44"/>
        <v>0</v>
      </c>
      <c r="X154" s="54">
        <f t="shared" si="44"/>
        <v>0</v>
      </c>
      <c r="Y154" s="58">
        <f t="shared" si="44"/>
        <v>0</v>
      </c>
      <c r="Z154" s="1">
        <f t="shared" si="44"/>
        <v>0</v>
      </c>
      <c r="AA154" s="1">
        <f t="shared" si="44"/>
        <v>0</v>
      </c>
      <c r="AC154" s="15" t="s">
        <v>51</v>
      </c>
      <c r="AD154" s="16" t="s">
        <v>9</v>
      </c>
      <c r="AE154" s="27" t="s">
        <v>59</v>
      </c>
      <c r="AF154" s="2"/>
      <c r="AG154" s="2"/>
      <c r="AH154" s="90" t="str">
        <f t="shared" si="41"/>
        <v/>
      </c>
      <c r="AI154" s="90" t="str">
        <f t="shared" si="41"/>
        <v/>
      </c>
      <c r="AJ154" s="90" t="str">
        <f t="shared" si="41"/>
        <v/>
      </c>
      <c r="AK154" s="90" t="str">
        <f t="shared" si="41"/>
        <v/>
      </c>
      <c r="AL154" s="90" t="str">
        <f t="shared" si="41"/>
        <v/>
      </c>
      <c r="AM154" s="90" t="str">
        <f t="shared" si="41"/>
        <v/>
      </c>
      <c r="AN154" s="90" t="str">
        <f t="shared" si="41"/>
        <v/>
      </c>
      <c r="AO154" s="90" t="str">
        <f t="shared" si="41"/>
        <v/>
      </c>
      <c r="AP154" s="90" t="str">
        <f t="shared" si="41"/>
        <v/>
      </c>
      <c r="AQ154" s="90" t="str">
        <f t="shared" si="41"/>
        <v/>
      </c>
      <c r="AR154" s="90" t="str">
        <f t="shared" si="41"/>
        <v/>
      </c>
      <c r="AS154" s="90" t="str">
        <f t="shared" si="41"/>
        <v/>
      </c>
      <c r="AT154" s="90" t="str">
        <f t="shared" si="41"/>
        <v/>
      </c>
      <c r="AU154" s="90" t="str">
        <f t="shared" si="41"/>
        <v/>
      </c>
      <c r="AV154" s="90" t="str">
        <f t="shared" si="41"/>
        <v/>
      </c>
      <c r="AW154" s="90" t="str">
        <f t="shared" si="41"/>
        <v/>
      </c>
      <c r="AX154" s="90" t="str">
        <f t="shared" si="42"/>
        <v/>
      </c>
      <c r="AY154" s="90" t="str">
        <f t="shared" si="42"/>
        <v/>
      </c>
      <c r="AZ154" s="90" t="str">
        <f t="shared" si="42"/>
        <v/>
      </c>
      <c r="BA154" s="90" t="str">
        <f t="shared" si="42"/>
        <v/>
      </c>
      <c r="BB154" s="90" t="str">
        <f t="shared" si="42"/>
        <v/>
      </c>
      <c r="BC154" s="90" t="str">
        <f t="shared" si="42"/>
        <v/>
      </c>
    </row>
    <row r="155" spans="1:55" x14ac:dyDescent="0.25">
      <c r="A155" s="15" t="s">
        <v>51</v>
      </c>
      <c r="B155" s="16" t="s">
        <v>9</v>
      </c>
      <c r="C155" s="27" t="s">
        <v>9</v>
      </c>
      <c r="D155" s="2"/>
      <c r="E155" s="2"/>
      <c r="F155" s="1">
        <f t="shared" si="39"/>
        <v>0</v>
      </c>
      <c r="G155" s="1">
        <f t="shared" si="44"/>
        <v>0</v>
      </c>
      <c r="H155" s="1">
        <f t="shared" si="44"/>
        <v>0</v>
      </c>
      <c r="I155" s="1">
        <f t="shared" si="44"/>
        <v>0</v>
      </c>
      <c r="J155" s="1">
        <f t="shared" si="44"/>
        <v>0</v>
      </c>
      <c r="K155" s="1">
        <f t="shared" si="44"/>
        <v>0</v>
      </c>
      <c r="L155" s="52">
        <f t="shared" si="44"/>
        <v>0</v>
      </c>
      <c r="M155" s="1">
        <f t="shared" si="44"/>
        <v>0</v>
      </c>
      <c r="N155" s="1">
        <f t="shared" si="44"/>
        <v>0</v>
      </c>
      <c r="O155" s="1">
        <f t="shared" si="44"/>
        <v>0</v>
      </c>
      <c r="P155" s="1">
        <f t="shared" si="44"/>
        <v>0</v>
      </c>
      <c r="Q155" s="1">
        <f t="shared" si="44"/>
        <v>0</v>
      </c>
      <c r="R155" s="1">
        <f t="shared" si="44"/>
        <v>0</v>
      </c>
      <c r="S155" s="1">
        <f t="shared" si="44"/>
        <v>0</v>
      </c>
      <c r="T155" s="1">
        <f t="shared" si="44"/>
        <v>0</v>
      </c>
      <c r="U155" s="1">
        <f t="shared" si="44"/>
        <v>0</v>
      </c>
      <c r="V155" s="1">
        <f t="shared" si="44"/>
        <v>0</v>
      </c>
      <c r="W155" s="1">
        <f t="shared" si="44"/>
        <v>0</v>
      </c>
      <c r="X155" s="54">
        <f t="shared" si="44"/>
        <v>0</v>
      </c>
      <c r="Y155" s="58">
        <f t="shared" si="44"/>
        <v>0</v>
      </c>
      <c r="Z155" s="1">
        <f t="shared" si="44"/>
        <v>0</v>
      </c>
      <c r="AA155" s="1">
        <f t="shared" si="44"/>
        <v>0</v>
      </c>
      <c r="AC155" s="15" t="s">
        <v>51</v>
      </c>
      <c r="AD155" s="16" t="s">
        <v>9</v>
      </c>
      <c r="AE155" s="27" t="s">
        <v>9</v>
      </c>
      <c r="AF155" s="2"/>
      <c r="AG155" s="2"/>
      <c r="AH155" s="90" t="str">
        <f t="shared" si="41"/>
        <v/>
      </c>
      <c r="AI155" s="90" t="str">
        <f t="shared" si="41"/>
        <v/>
      </c>
      <c r="AJ155" s="90" t="str">
        <f t="shared" si="41"/>
        <v/>
      </c>
      <c r="AK155" s="90" t="str">
        <f t="shared" si="41"/>
        <v/>
      </c>
      <c r="AL155" s="90" t="str">
        <f t="shared" si="41"/>
        <v/>
      </c>
      <c r="AM155" s="90" t="str">
        <f t="shared" si="41"/>
        <v/>
      </c>
      <c r="AN155" s="90" t="str">
        <f t="shared" si="41"/>
        <v/>
      </c>
      <c r="AO155" s="90" t="str">
        <f t="shared" si="41"/>
        <v/>
      </c>
      <c r="AP155" s="90" t="str">
        <f t="shared" si="41"/>
        <v/>
      </c>
      <c r="AQ155" s="90" t="str">
        <f t="shared" si="41"/>
        <v/>
      </c>
      <c r="AR155" s="90" t="str">
        <f t="shared" si="41"/>
        <v/>
      </c>
      <c r="AS155" s="90" t="str">
        <f t="shared" si="41"/>
        <v/>
      </c>
      <c r="AT155" s="90" t="str">
        <f t="shared" si="41"/>
        <v/>
      </c>
      <c r="AU155" s="90" t="str">
        <f t="shared" si="41"/>
        <v/>
      </c>
      <c r="AV155" s="90" t="str">
        <f t="shared" si="41"/>
        <v/>
      </c>
      <c r="AW155" s="90" t="str">
        <f t="shared" ref="AW155:BC180" si="45">IF(U200&gt;0,U65/U200,"")</f>
        <v/>
      </c>
      <c r="AX155" s="90" t="str">
        <f t="shared" si="42"/>
        <v/>
      </c>
      <c r="AY155" s="90" t="str">
        <f t="shared" si="42"/>
        <v/>
      </c>
      <c r="AZ155" s="90" t="str">
        <f t="shared" si="42"/>
        <v/>
      </c>
      <c r="BA155" s="90" t="str">
        <f t="shared" si="42"/>
        <v/>
      </c>
      <c r="BB155" s="90" t="str">
        <f t="shared" si="42"/>
        <v/>
      </c>
      <c r="BC155" s="90" t="str">
        <f t="shared" si="42"/>
        <v/>
      </c>
    </row>
    <row r="156" spans="1:55" x14ac:dyDescent="0.25">
      <c r="A156" s="28" t="s">
        <v>60</v>
      </c>
      <c r="B156" s="29" t="s">
        <v>13</v>
      </c>
      <c r="C156" s="29" t="s">
        <v>61</v>
      </c>
      <c r="D156" s="2"/>
      <c r="E156" s="2"/>
      <c r="F156" s="51">
        <f t="shared" si="39"/>
        <v>51.753554502369674</v>
      </c>
      <c r="G156" s="51">
        <f t="shared" si="44"/>
        <v>0</v>
      </c>
      <c r="H156" s="51">
        <f t="shared" si="44"/>
        <v>3.8671875</v>
      </c>
      <c r="I156" s="91">
        <v>29</v>
      </c>
      <c r="J156" s="51">
        <f>IF(J201&gt;0,J21/J201,0)</f>
        <v>57.291666666666671</v>
      </c>
      <c r="K156" s="91">
        <v>29</v>
      </c>
      <c r="L156" s="52">
        <f t="shared" si="44"/>
        <v>0</v>
      </c>
      <c r="M156" s="64">
        <v>390</v>
      </c>
      <c r="N156" s="64">
        <v>860</v>
      </c>
      <c r="O156" s="64">
        <v>10000</v>
      </c>
      <c r="P156" s="64">
        <v>27500</v>
      </c>
      <c r="Q156" s="77">
        <v>940</v>
      </c>
      <c r="R156" s="77">
        <v>426</v>
      </c>
      <c r="S156" s="51">
        <f t="shared" si="44"/>
        <v>0</v>
      </c>
      <c r="T156" s="77">
        <v>426</v>
      </c>
      <c r="U156" s="77">
        <v>426</v>
      </c>
      <c r="V156" s="77">
        <v>426</v>
      </c>
      <c r="W156" s="77">
        <v>426</v>
      </c>
      <c r="X156" s="79">
        <v>426</v>
      </c>
      <c r="Y156" s="59">
        <f t="shared" si="44"/>
        <v>12.248308750185881</v>
      </c>
      <c r="Z156" s="51">
        <f t="shared" si="44"/>
        <v>600.00209560073108</v>
      </c>
      <c r="AA156" s="51">
        <f t="shared" si="44"/>
        <v>15.285501464743144</v>
      </c>
      <c r="AC156" s="28" t="s">
        <v>60</v>
      </c>
      <c r="AD156" s="29" t="s">
        <v>13</v>
      </c>
      <c r="AE156" s="29" t="s">
        <v>61</v>
      </c>
      <c r="AF156" s="2"/>
      <c r="AG156" s="2"/>
      <c r="AH156" s="1">
        <f t="shared" ref="AH156:AV172" si="46">IF(F201&gt;0,F66/F201,"")</f>
        <v>12.32227488151659</v>
      </c>
      <c r="AI156" s="1" t="str">
        <f t="shared" si="46"/>
        <v/>
      </c>
      <c r="AJ156" s="1">
        <f t="shared" si="46"/>
        <v>1.7578125</v>
      </c>
      <c r="AK156" s="1">
        <f t="shared" si="46"/>
        <v>8.3843537414965983</v>
      </c>
      <c r="AL156" s="1">
        <f t="shared" si="46"/>
        <v>25.833333333333336</v>
      </c>
      <c r="AM156" s="1">
        <f t="shared" si="46"/>
        <v>9.1578947368421062</v>
      </c>
      <c r="AN156" s="52" t="str">
        <f t="shared" si="46"/>
        <v/>
      </c>
      <c r="AO156" s="1">
        <f t="shared" si="46"/>
        <v>159.73043478260868</v>
      </c>
      <c r="AP156" s="1">
        <f t="shared" si="46"/>
        <v>558.44155844155853</v>
      </c>
      <c r="AQ156" s="1">
        <f t="shared" si="46"/>
        <v>4954.9549549549547</v>
      </c>
      <c r="AR156" s="1">
        <f t="shared" si="46"/>
        <v>11891.891891891892</v>
      </c>
      <c r="AS156" s="1">
        <f t="shared" si="46"/>
        <v>376</v>
      </c>
      <c r="AT156" s="1">
        <f t="shared" si="46"/>
        <v>170.4</v>
      </c>
      <c r="AU156" s="1" t="str">
        <f t="shared" si="46"/>
        <v/>
      </c>
      <c r="AV156" s="1">
        <f t="shared" si="46"/>
        <v>212.99999999999997</v>
      </c>
      <c r="AW156" s="1">
        <f t="shared" si="45"/>
        <v>213</v>
      </c>
      <c r="AX156" s="1">
        <f t="shared" si="45"/>
        <v>511.2</v>
      </c>
      <c r="AY156" s="1">
        <f t="shared" si="45"/>
        <v>255.6</v>
      </c>
      <c r="AZ156" s="1">
        <f t="shared" si="45"/>
        <v>213</v>
      </c>
      <c r="BA156" s="1">
        <f t="shared" si="45"/>
        <v>3.8428877177149925</v>
      </c>
      <c r="BB156" s="1">
        <f t="shared" si="45"/>
        <v>294.93207619981882</v>
      </c>
      <c r="BC156" s="1">
        <f t="shared" si="45"/>
        <v>5.3470787281746839</v>
      </c>
    </row>
    <row r="157" spans="1:55" x14ac:dyDescent="0.25">
      <c r="A157" s="36" t="s">
        <v>60</v>
      </c>
      <c r="B157" s="37" t="s">
        <v>13</v>
      </c>
      <c r="C157" s="29" t="s">
        <v>62</v>
      </c>
      <c r="D157" s="2"/>
      <c r="E157" s="2"/>
      <c r="F157" s="51">
        <f t="shared" ref="F157:F170" si="47">IF(F202&gt;0,F22/F202,0)</f>
        <v>51.75355450236966</v>
      </c>
      <c r="G157" s="51">
        <f t="shared" si="44"/>
        <v>27.692307692307693</v>
      </c>
      <c r="H157" s="51">
        <f t="shared" si="44"/>
        <v>5.15625</v>
      </c>
      <c r="I157" s="77">
        <v>20</v>
      </c>
      <c r="J157" s="51">
        <f t="shared" si="44"/>
        <v>0</v>
      </c>
      <c r="K157" s="51">
        <f t="shared" si="44"/>
        <v>0</v>
      </c>
      <c r="L157" s="52">
        <f t="shared" si="44"/>
        <v>0</v>
      </c>
      <c r="M157" s="51">
        <f t="shared" si="44"/>
        <v>0</v>
      </c>
      <c r="N157" s="51">
        <f t="shared" si="44"/>
        <v>0</v>
      </c>
      <c r="O157" s="51">
        <f t="shared" si="44"/>
        <v>0</v>
      </c>
      <c r="P157" s="51">
        <f t="shared" si="44"/>
        <v>0</v>
      </c>
      <c r="Q157" s="51">
        <f t="shared" si="44"/>
        <v>0</v>
      </c>
      <c r="R157" s="51">
        <f t="shared" si="44"/>
        <v>0</v>
      </c>
      <c r="S157" s="51">
        <f t="shared" si="44"/>
        <v>0</v>
      </c>
      <c r="T157" s="51">
        <f t="shared" si="44"/>
        <v>0</v>
      </c>
      <c r="U157" s="51">
        <f t="shared" si="44"/>
        <v>0</v>
      </c>
      <c r="V157" s="51">
        <f t="shared" si="44"/>
        <v>0</v>
      </c>
      <c r="W157" s="51">
        <f t="shared" si="44"/>
        <v>0</v>
      </c>
      <c r="X157" s="55">
        <f t="shared" si="44"/>
        <v>0</v>
      </c>
      <c r="Y157" s="59">
        <f t="shared" si="44"/>
        <v>10.323391842277323</v>
      </c>
      <c r="Z157" s="51">
        <f t="shared" si="44"/>
        <v>0</v>
      </c>
      <c r="AA157" s="51">
        <f t="shared" si="44"/>
        <v>10.323391842277323</v>
      </c>
      <c r="AB157" s="14">
        <f>0.74*55</f>
        <v>40.700000000000003</v>
      </c>
      <c r="AC157" s="36" t="s">
        <v>60</v>
      </c>
      <c r="AD157" s="37" t="s">
        <v>13</v>
      </c>
      <c r="AE157" s="29" t="s">
        <v>62</v>
      </c>
      <c r="AF157" s="2"/>
      <c r="AG157" s="2"/>
      <c r="AH157" s="1">
        <f t="shared" si="46"/>
        <v>12.322274881516588</v>
      </c>
      <c r="AI157" s="1">
        <f t="shared" si="46"/>
        <v>9.2307692307692299</v>
      </c>
      <c r="AJ157" s="1">
        <f t="shared" si="46"/>
        <v>2.34375</v>
      </c>
      <c r="AK157" s="1" t="str">
        <f t="shared" si="46"/>
        <v/>
      </c>
      <c r="AL157" s="1" t="str">
        <f t="shared" si="46"/>
        <v/>
      </c>
      <c r="AM157" s="1" t="str">
        <f t="shared" si="46"/>
        <v/>
      </c>
      <c r="AN157" s="52" t="str">
        <f t="shared" si="46"/>
        <v/>
      </c>
      <c r="AO157" s="1" t="str">
        <f t="shared" si="46"/>
        <v/>
      </c>
      <c r="AP157" s="1" t="str">
        <f t="shared" si="46"/>
        <v/>
      </c>
      <c r="AQ157" s="1" t="str">
        <f t="shared" si="46"/>
        <v/>
      </c>
      <c r="AR157" s="1" t="str">
        <f t="shared" si="46"/>
        <v/>
      </c>
      <c r="AS157" s="1" t="str">
        <f t="shared" si="46"/>
        <v/>
      </c>
      <c r="AT157" s="1" t="str">
        <f t="shared" si="46"/>
        <v/>
      </c>
      <c r="AU157" s="1" t="str">
        <f t="shared" si="46"/>
        <v/>
      </c>
      <c r="AV157" s="1" t="str">
        <f t="shared" si="46"/>
        <v/>
      </c>
      <c r="AW157" s="1" t="str">
        <f t="shared" si="45"/>
        <v/>
      </c>
      <c r="AX157" s="1" t="str">
        <f t="shared" si="45"/>
        <v/>
      </c>
      <c r="AY157" s="1" t="str">
        <f t="shared" si="45"/>
        <v/>
      </c>
      <c r="AZ157" s="1" t="str">
        <f t="shared" si="45"/>
        <v/>
      </c>
      <c r="BA157" s="1">
        <f t="shared" si="45"/>
        <v>3.7871548559070565</v>
      </c>
      <c r="BB157" s="1" t="str">
        <f t="shared" si="45"/>
        <v/>
      </c>
      <c r="BC157" s="1">
        <f t="shared" si="45"/>
        <v>3.7871548559070565</v>
      </c>
    </row>
    <row r="158" spans="1:55" x14ac:dyDescent="0.25">
      <c r="A158" s="30" t="s">
        <v>60</v>
      </c>
      <c r="B158" s="31" t="s">
        <v>13</v>
      </c>
      <c r="C158" s="32" t="s">
        <v>63</v>
      </c>
      <c r="D158" s="2"/>
      <c r="E158" s="2"/>
      <c r="F158" s="51">
        <f t="shared" si="47"/>
        <v>0</v>
      </c>
      <c r="G158" s="51">
        <f t="shared" si="44"/>
        <v>0</v>
      </c>
      <c r="H158" s="51">
        <f t="shared" si="44"/>
        <v>0</v>
      </c>
      <c r="I158" s="51">
        <f t="shared" si="44"/>
        <v>0</v>
      </c>
      <c r="J158" s="51">
        <f t="shared" si="44"/>
        <v>0</v>
      </c>
      <c r="K158" s="51">
        <f t="shared" si="44"/>
        <v>0</v>
      </c>
      <c r="L158" s="52">
        <f t="shared" si="44"/>
        <v>0</v>
      </c>
      <c r="M158" s="51">
        <f t="shared" si="44"/>
        <v>0</v>
      </c>
      <c r="N158" s="51">
        <f t="shared" si="44"/>
        <v>0</v>
      </c>
      <c r="O158" s="51">
        <f t="shared" si="44"/>
        <v>0</v>
      </c>
      <c r="P158" s="51">
        <f t="shared" si="44"/>
        <v>0</v>
      </c>
      <c r="Q158" s="51">
        <f t="shared" si="44"/>
        <v>0</v>
      </c>
      <c r="R158" s="51">
        <f t="shared" si="44"/>
        <v>0</v>
      </c>
      <c r="S158" s="51">
        <f t="shared" si="44"/>
        <v>0</v>
      </c>
      <c r="T158" s="51">
        <f t="shared" si="44"/>
        <v>0</v>
      </c>
      <c r="U158" s="51">
        <f t="shared" si="44"/>
        <v>0</v>
      </c>
      <c r="V158" s="51">
        <f t="shared" si="44"/>
        <v>0</v>
      </c>
      <c r="W158" s="51">
        <f t="shared" si="44"/>
        <v>0</v>
      </c>
      <c r="X158" s="55">
        <f t="shared" si="44"/>
        <v>0</v>
      </c>
      <c r="Y158" s="59">
        <f t="shared" si="44"/>
        <v>0</v>
      </c>
      <c r="Z158" s="51">
        <f t="shared" si="44"/>
        <v>0</v>
      </c>
      <c r="AA158" s="51">
        <f t="shared" si="44"/>
        <v>0</v>
      </c>
      <c r="AB158" s="14">
        <f>0.75*70</f>
        <v>52.5</v>
      </c>
      <c r="AC158" s="30" t="s">
        <v>60</v>
      </c>
      <c r="AD158" s="31" t="s">
        <v>13</v>
      </c>
      <c r="AE158" s="32" t="s">
        <v>63</v>
      </c>
      <c r="AF158" s="2"/>
      <c r="AG158" s="2"/>
      <c r="AH158" s="1" t="str">
        <f t="shared" si="46"/>
        <v/>
      </c>
      <c r="AI158" s="1" t="str">
        <f t="shared" si="46"/>
        <v/>
      </c>
      <c r="AJ158" s="1" t="str">
        <f t="shared" si="46"/>
        <v/>
      </c>
      <c r="AK158" s="1" t="str">
        <f t="shared" si="46"/>
        <v/>
      </c>
      <c r="AL158" s="1" t="str">
        <f t="shared" si="46"/>
        <v/>
      </c>
      <c r="AM158" s="1" t="str">
        <f t="shared" si="46"/>
        <v/>
      </c>
      <c r="AN158" s="52" t="str">
        <f t="shared" si="46"/>
        <v/>
      </c>
      <c r="AO158" s="1" t="str">
        <f t="shared" si="46"/>
        <v/>
      </c>
      <c r="AP158" s="1" t="str">
        <f t="shared" si="46"/>
        <v/>
      </c>
      <c r="AQ158" s="1" t="str">
        <f t="shared" si="46"/>
        <v/>
      </c>
      <c r="AR158" s="1" t="str">
        <f t="shared" si="46"/>
        <v/>
      </c>
      <c r="AS158" s="1" t="str">
        <f t="shared" si="46"/>
        <v/>
      </c>
      <c r="AT158" s="1" t="str">
        <f t="shared" si="46"/>
        <v/>
      </c>
      <c r="AU158" s="1" t="str">
        <f t="shared" si="46"/>
        <v/>
      </c>
      <c r="AV158" s="1" t="str">
        <f t="shared" si="46"/>
        <v/>
      </c>
      <c r="AW158" s="1" t="str">
        <f t="shared" si="45"/>
        <v/>
      </c>
      <c r="AX158" s="1" t="str">
        <f t="shared" si="45"/>
        <v/>
      </c>
      <c r="AY158" s="1" t="str">
        <f t="shared" si="45"/>
        <v/>
      </c>
      <c r="AZ158" s="1" t="str">
        <f t="shared" si="45"/>
        <v/>
      </c>
      <c r="BA158" s="1" t="str">
        <f t="shared" si="45"/>
        <v/>
      </c>
      <c r="BB158" s="1" t="str">
        <f t="shared" si="45"/>
        <v/>
      </c>
      <c r="BC158" s="1" t="str">
        <f t="shared" si="45"/>
        <v/>
      </c>
    </row>
    <row r="159" spans="1:55" x14ac:dyDescent="0.25">
      <c r="A159" s="30" t="s">
        <v>60</v>
      </c>
      <c r="B159" s="32" t="s">
        <v>23</v>
      </c>
      <c r="C159" s="31" t="s">
        <v>50</v>
      </c>
      <c r="D159" s="2"/>
      <c r="E159" s="2"/>
      <c r="F159" s="77">
        <v>40</v>
      </c>
      <c r="G159" s="51">
        <f t="shared" si="44"/>
        <v>0</v>
      </c>
      <c r="H159" s="51">
        <f t="shared" si="44"/>
        <v>0</v>
      </c>
      <c r="I159" s="51">
        <f t="shared" si="44"/>
        <v>0</v>
      </c>
      <c r="J159" s="77">
        <v>45</v>
      </c>
      <c r="K159" s="77">
        <v>2.2000000000000002</v>
      </c>
      <c r="L159" s="52">
        <f t="shared" si="44"/>
        <v>0</v>
      </c>
      <c r="M159" s="51">
        <f t="shared" si="44"/>
        <v>0</v>
      </c>
      <c r="N159" s="77">
        <v>1000</v>
      </c>
      <c r="O159" s="51">
        <f t="shared" si="44"/>
        <v>0</v>
      </c>
      <c r="P159" s="51">
        <f t="shared" si="44"/>
        <v>0</v>
      </c>
      <c r="Q159" s="51">
        <f t="shared" si="44"/>
        <v>0</v>
      </c>
      <c r="R159" s="51">
        <f t="shared" si="44"/>
        <v>0</v>
      </c>
      <c r="S159" s="51">
        <f t="shared" si="44"/>
        <v>0</v>
      </c>
      <c r="T159" s="51">
        <f t="shared" si="44"/>
        <v>0</v>
      </c>
      <c r="U159" s="51">
        <f t="shared" si="44"/>
        <v>0</v>
      </c>
      <c r="V159" s="77">
        <v>426</v>
      </c>
      <c r="W159" s="51">
        <f t="shared" si="44"/>
        <v>0</v>
      </c>
      <c r="X159" s="55">
        <f t="shared" si="44"/>
        <v>0</v>
      </c>
      <c r="Y159" s="59">
        <f t="shared" si="44"/>
        <v>2.380679426984758</v>
      </c>
      <c r="Z159" s="51">
        <f t="shared" si="44"/>
        <v>1000</v>
      </c>
      <c r="AA159" s="51">
        <f t="shared" si="44"/>
        <v>3.5336539064407746</v>
      </c>
      <c r="AC159" s="30" t="s">
        <v>60</v>
      </c>
      <c r="AD159" s="32" t="s">
        <v>23</v>
      </c>
      <c r="AE159" s="31" t="s">
        <v>50</v>
      </c>
      <c r="AF159" s="2"/>
      <c r="AG159" s="2"/>
      <c r="AH159" s="1">
        <f t="shared" si="46"/>
        <v>13.440000000000001</v>
      </c>
      <c r="AI159" s="1" t="str">
        <f t="shared" si="46"/>
        <v/>
      </c>
      <c r="AJ159" s="1" t="str">
        <f t="shared" si="46"/>
        <v/>
      </c>
      <c r="AK159" s="1" t="str">
        <f t="shared" si="46"/>
        <v/>
      </c>
      <c r="AL159" s="1">
        <f t="shared" si="46"/>
        <v>14.174999999999999</v>
      </c>
      <c r="AM159" s="1">
        <f t="shared" si="46"/>
        <v>0.54719387755102045</v>
      </c>
      <c r="AN159" s="52" t="str">
        <f t="shared" si="46"/>
        <v/>
      </c>
      <c r="AO159" s="1" t="str">
        <f t="shared" si="46"/>
        <v/>
      </c>
      <c r="AP159" s="1">
        <f t="shared" si="46"/>
        <v>759.03890160183073</v>
      </c>
      <c r="AQ159" s="1" t="str">
        <f t="shared" si="46"/>
        <v/>
      </c>
      <c r="AR159" s="1" t="str">
        <f t="shared" si="46"/>
        <v/>
      </c>
      <c r="AS159" s="1" t="str">
        <f t="shared" si="46"/>
        <v/>
      </c>
      <c r="AT159" s="1" t="str">
        <f t="shared" si="46"/>
        <v/>
      </c>
      <c r="AU159" s="1" t="str">
        <f t="shared" si="46"/>
        <v/>
      </c>
      <c r="AV159" s="1" t="str">
        <f t="shared" si="46"/>
        <v/>
      </c>
      <c r="AW159" s="1" t="str">
        <f t="shared" si="45"/>
        <v/>
      </c>
      <c r="AX159" s="1" t="str">
        <f t="shared" si="45"/>
        <v/>
      </c>
      <c r="AY159" s="1" t="str">
        <f t="shared" si="45"/>
        <v/>
      </c>
      <c r="AZ159" s="1" t="str">
        <f t="shared" si="45"/>
        <v/>
      </c>
      <c r="BA159" s="1">
        <f t="shared" si="45"/>
        <v>0.60771567421925154</v>
      </c>
      <c r="BB159" s="1">
        <f t="shared" si="45"/>
        <v>759.03890160183073</v>
      </c>
      <c r="BC159" s="1">
        <f t="shared" si="45"/>
        <v>1.5622469902159213</v>
      </c>
    </row>
    <row r="160" spans="1:55" x14ac:dyDescent="0.25">
      <c r="A160" s="30" t="s">
        <v>60</v>
      </c>
      <c r="B160" s="32" t="s">
        <v>23</v>
      </c>
      <c r="C160" s="31" t="s">
        <v>49</v>
      </c>
      <c r="D160" s="2"/>
      <c r="E160" s="2"/>
      <c r="F160" s="51">
        <f t="shared" si="47"/>
        <v>0</v>
      </c>
      <c r="G160" s="51">
        <f t="shared" si="44"/>
        <v>0</v>
      </c>
      <c r="H160" s="51">
        <f t="shared" si="44"/>
        <v>0</v>
      </c>
      <c r="I160" s="51">
        <f t="shared" si="44"/>
        <v>0</v>
      </c>
      <c r="J160" s="77">
        <v>40</v>
      </c>
      <c r="K160" s="51">
        <f t="shared" si="44"/>
        <v>0</v>
      </c>
      <c r="L160" s="52">
        <f t="shared" si="44"/>
        <v>0</v>
      </c>
      <c r="M160" s="51">
        <f t="shared" si="44"/>
        <v>0</v>
      </c>
      <c r="N160" s="51">
        <f t="shared" si="44"/>
        <v>0</v>
      </c>
      <c r="O160" s="51">
        <f t="shared" si="44"/>
        <v>0</v>
      </c>
      <c r="P160" s="51">
        <f t="shared" si="44"/>
        <v>0</v>
      </c>
      <c r="Q160" s="51">
        <f t="shared" si="44"/>
        <v>0</v>
      </c>
      <c r="R160" s="51">
        <f t="shared" si="44"/>
        <v>0</v>
      </c>
      <c r="S160" s="77">
        <v>100</v>
      </c>
      <c r="T160" s="77">
        <v>406</v>
      </c>
      <c r="U160" s="51">
        <f t="shared" si="44"/>
        <v>0</v>
      </c>
      <c r="V160" s="77">
        <v>406</v>
      </c>
      <c r="W160" s="51">
        <f t="shared" si="44"/>
        <v>0</v>
      </c>
      <c r="X160" s="77">
        <v>406</v>
      </c>
      <c r="Y160" s="59">
        <f t="shared" si="44"/>
        <v>40</v>
      </c>
      <c r="Z160" s="51">
        <f t="shared" si="44"/>
        <v>170.90445663087974</v>
      </c>
      <c r="AA160" s="51">
        <f t="shared" si="44"/>
        <v>53.334997219470544</v>
      </c>
      <c r="AC160" s="30" t="s">
        <v>60</v>
      </c>
      <c r="AD160" s="32" t="s">
        <v>23</v>
      </c>
      <c r="AE160" s="31" t="s">
        <v>49</v>
      </c>
      <c r="AF160" s="2"/>
      <c r="AG160" s="2"/>
      <c r="AH160" s="1" t="str">
        <f t="shared" si="46"/>
        <v/>
      </c>
      <c r="AI160" s="1" t="str">
        <f t="shared" si="46"/>
        <v/>
      </c>
      <c r="AJ160" s="1" t="str">
        <f t="shared" si="46"/>
        <v/>
      </c>
      <c r="AK160" s="1" t="str">
        <f t="shared" si="46"/>
        <v/>
      </c>
      <c r="AL160" s="1">
        <f t="shared" si="46"/>
        <v>12.81</v>
      </c>
      <c r="AM160" s="1" t="str">
        <f t="shared" si="46"/>
        <v/>
      </c>
      <c r="AN160" s="52" t="str">
        <f t="shared" si="46"/>
        <v/>
      </c>
      <c r="AO160" s="1" t="str">
        <f t="shared" si="46"/>
        <v/>
      </c>
      <c r="AP160" s="1" t="str">
        <f t="shared" si="46"/>
        <v/>
      </c>
      <c r="AQ160" s="1" t="str">
        <f t="shared" si="46"/>
        <v/>
      </c>
      <c r="AR160" s="1" t="str">
        <f t="shared" si="46"/>
        <v/>
      </c>
      <c r="AS160" s="1" t="str">
        <f t="shared" si="46"/>
        <v/>
      </c>
      <c r="AT160" s="1" t="str">
        <f t="shared" si="46"/>
        <v/>
      </c>
      <c r="AU160" s="1">
        <f t="shared" si="46"/>
        <v>31.499999999999996</v>
      </c>
      <c r="AV160" s="1">
        <f t="shared" si="46"/>
        <v>170.52000000000004</v>
      </c>
      <c r="AW160" s="1" t="str">
        <f t="shared" si="45"/>
        <v/>
      </c>
      <c r="AX160" s="1">
        <f t="shared" si="45"/>
        <v>365.4</v>
      </c>
      <c r="AY160" s="1" t="str">
        <f t="shared" si="45"/>
        <v/>
      </c>
      <c r="AZ160" s="1">
        <f t="shared" si="45"/>
        <v>365.4</v>
      </c>
      <c r="BA160" s="1">
        <f t="shared" si="45"/>
        <v>12.81</v>
      </c>
      <c r="BB160" s="1">
        <f t="shared" si="45"/>
        <v>93.817139105584317</v>
      </c>
      <c r="BC160" s="1">
        <f t="shared" si="45"/>
        <v>30.720958398415036</v>
      </c>
    </row>
    <row r="161" spans="1:55" x14ac:dyDescent="0.25">
      <c r="A161" s="30" t="s">
        <v>60</v>
      </c>
      <c r="B161" s="32" t="s">
        <v>23</v>
      </c>
      <c r="C161" s="31" t="s">
        <v>64</v>
      </c>
      <c r="D161" s="2"/>
      <c r="E161" s="2"/>
      <c r="F161" s="51">
        <f t="shared" si="47"/>
        <v>0</v>
      </c>
      <c r="G161" s="51">
        <f t="shared" si="44"/>
        <v>0</v>
      </c>
      <c r="H161" s="51">
        <f t="shared" si="44"/>
        <v>0</v>
      </c>
      <c r="I161" s="51">
        <f t="shared" si="44"/>
        <v>0</v>
      </c>
      <c r="J161" s="51">
        <f t="shared" si="44"/>
        <v>0</v>
      </c>
      <c r="K161" s="51">
        <f t="shared" si="44"/>
        <v>0</v>
      </c>
      <c r="L161" s="52">
        <f t="shared" si="44"/>
        <v>0</v>
      </c>
      <c r="M161" s="51">
        <f t="shared" si="44"/>
        <v>0</v>
      </c>
      <c r="N161" s="51">
        <f t="shared" si="44"/>
        <v>0</v>
      </c>
      <c r="O161" s="51">
        <f t="shared" si="44"/>
        <v>0</v>
      </c>
      <c r="P161" s="51">
        <f t="shared" si="44"/>
        <v>0</v>
      </c>
      <c r="Q161" s="51">
        <f t="shared" si="44"/>
        <v>0</v>
      </c>
      <c r="R161" s="51">
        <f t="shared" si="44"/>
        <v>0</v>
      </c>
      <c r="S161" s="51">
        <f t="shared" si="44"/>
        <v>0</v>
      </c>
      <c r="T161" s="51">
        <f t="shared" si="44"/>
        <v>0</v>
      </c>
      <c r="U161" s="51">
        <f t="shared" si="44"/>
        <v>0</v>
      </c>
      <c r="V161" s="51">
        <f t="shared" si="44"/>
        <v>0</v>
      </c>
      <c r="W161" s="51">
        <f t="shared" si="44"/>
        <v>0</v>
      </c>
      <c r="X161" s="55">
        <f t="shared" si="44"/>
        <v>0</v>
      </c>
      <c r="Y161" s="59">
        <f t="shared" si="44"/>
        <v>0</v>
      </c>
      <c r="Z161" s="51">
        <f t="shared" si="44"/>
        <v>0</v>
      </c>
      <c r="AA161" s="51">
        <f t="shared" si="44"/>
        <v>0</v>
      </c>
      <c r="AC161" s="30" t="s">
        <v>60</v>
      </c>
      <c r="AD161" s="32" t="s">
        <v>23</v>
      </c>
      <c r="AE161" s="31" t="s">
        <v>64</v>
      </c>
      <c r="AF161" s="2"/>
      <c r="AG161" s="2"/>
      <c r="AH161" s="1" t="str">
        <f t="shared" si="46"/>
        <v/>
      </c>
      <c r="AI161" s="1" t="str">
        <f t="shared" si="46"/>
        <v/>
      </c>
      <c r="AJ161" s="1" t="str">
        <f t="shared" si="46"/>
        <v/>
      </c>
      <c r="AK161" s="1" t="str">
        <f t="shared" si="46"/>
        <v/>
      </c>
      <c r="AL161" s="1" t="str">
        <f t="shared" si="46"/>
        <v/>
      </c>
      <c r="AM161" s="1" t="str">
        <f t="shared" si="46"/>
        <v/>
      </c>
      <c r="AN161" s="52" t="str">
        <f t="shared" si="46"/>
        <v/>
      </c>
      <c r="AO161" s="1" t="str">
        <f t="shared" si="46"/>
        <v/>
      </c>
      <c r="AP161" s="1" t="str">
        <f t="shared" si="46"/>
        <v/>
      </c>
      <c r="AQ161" s="1" t="str">
        <f t="shared" si="46"/>
        <v/>
      </c>
      <c r="AR161" s="1" t="str">
        <f t="shared" si="46"/>
        <v/>
      </c>
      <c r="AS161" s="1" t="str">
        <f t="shared" si="46"/>
        <v/>
      </c>
      <c r="AT161" s="1" t="str">
        <f t="shared" si="46"/>
        <v/>
      </c>
      <c r="AU161" s="1" t="str">
        <f t="shared" si="46"/>
        <v/>
      </c>
      <c r="AV161" s="1" t="str">
        <f t="shared" si="46"/>
        <v/>
      </c>
      <c r="AW161" s="1" t="str">
        <f t="shared" si="45"/>
        <v/>
      </c>
      <c r="AX161" s="1" t="str">
        <f t="shared" si="45"/>
        <v/>
      </c>
      <c r="AY161" s="1" t="str">
        <f t="shared" si="45"/>
        <v/>
      </c>
      <c r="AZ161" s="1" t="str">
        <f t="shared" si="45"/>
        <v/>
      </c>
      <c r="BA161" s="1" t="str">
        <f t="shared" si="45"/>
        <v/>
      </c>
      <c r="BB161" s="1" t="str">
        <f t="shared" si="45"/>
        <v/>
      </c>
      <c r="BC161" s="1" t="str">
        <f t="shared" si="45"/>
        <v/>
      </c>
    </row>
    <row r="162" spans="1:55" x14ac:dyDescent="0.25">
      <c r="A162" s="30" t="s">
        <v>60</v>
      </c>
      <c r="B162" s="32" t="s">
        <v>65</v>
      </c>
      <c r="C162" s="31" t="s">
        <v>66</v>
      </c>
      <c r="D162" s="2"/>
      <c r="E162" s="2"/>
      <c r="F162" s="51">
        <f t="shared" si="47"/>
        <v>0</v>
      </c>
      <c r="G162" s="51">
        <f t="shared" si="44"/>
        <v>0</v>
      </c>
      <c r="H162" s="51">
        <f t="shared" si="44"/>
        <v>0</v>
      </c>
      <c r="I162" s="51">
        <f t="shared" si="44"/>
        <v>0</v>
      </c>
      <c r="J162" s="77">
        <v>56</v>
      </c>
      <c r="K162" s="51">
        <f t="shared" si="44"/>
        <v>0</v>
      </c>
      <c r="L162" s="52">
        <f t="shared" si="44"/>
        <v>0</v>
      </c>
      <c r="M162" s="77">
        <f>300</f>
        <v>300</v>
      </c>
      <c r="N162" s="51">
        <f t="shared" si="44"/>
        <v>0</v>
      </c>
      <c r="O162" s="51">
        <f t="shared" si="44"/>
        <v>0</v>
      </c>
      <c r="P162" s="51">
        <f t="shared" si="44"/>
        <v>0</v>
      </c>
      <c r="Q162" s="51">
        <f t="shared" si="44"/>
        <v>0</v>
      </c>
      <c r="R162" s="51">
        <f t="shared" si="44"/>
        <v>0</v>
      </c>
      <c r="S162" s="51">
        <f t="shared" si="44"/>
        <v>0</v>
      </c>
      <c r="T162" s="51">
        <f t="shared" si="44"/>
        <v>0</v>
      </c>
      <c r="U162" s="51">
        <f t="shared" si="44"/>
        <v>0</v>
      </c>
      <c r="V162" s="51">
        <f t="shared" si="44"/>
        <v>0</v>
      </c>
      <c r="W162" s="51">
        <f t="shared" si="44"/>
        <v>0</v>
      </c>
      <c r="X162" s="55">
        <f t="shared" si="44"/>
        <v>0</v>
      </c>
      <c r="Y162" s="59">
        <f t="shared" si="44"/>
        <v>56</v>
      </c>
      <c r="Z162" s="51">
        <f t="shared" si="44"/>
        <v>300</v>
      </c>
      <c r="AA162" s="51">
        <f t="shared" si="44"/>
        <v>143.12044577796829</v>
      </c>
      <c r="AC162" s="30" t="s">
        <v>60</v>
      </c>
      <c r="AD162" s="32" t="s">
        <v>65</v>
      </c>
      <c r="AE162" s="31" t="s">
        <v>66</v>
      </c>
      <c r="AF162" s="2"/>
      <c r="AG162" s="2"/>
      <c r="AH162" s="1" t="str">
        <f t="shared" si="46"/>
        <v/>
      </c>
      <c r="AI162" s="1" t="str">
        <f t="shared" si="46"/>
        <v/>
      </c>
      <c r="AJ162" s="1" t="str">
        <f t="shared" si="46"/>
        <v/>
      </c>
      <c r="AK162" s="1" t="str">
        <f t="shared" si="46"/>
        <v/>
      </c>
      <c r="AL162" s="1">
        <f t="shared" si="46"/>
        <v>6.8544</v>
      </c>
      <c r="AM162" s="1" t="str">
        <f t="shared" si="46"/>
        <v/>
      </c>
      <c r="AN162" s="52" t="str">
        <f t="shared" si="46"/>
        <v/>
      </c>
      <c r="AO162" s="1">
        <f t="shared" si="46"/>
        <v>36.72</v>
      </c>
      <c r="AP162" s="1" t="str">
        <f t="shared" si="46"/>
        <v/>
      </c>
      <c r="AQ162" s="1" t="str">
        <f t="shared" si="46"/>
        <v/>
      </c>
      <c r="AR162" s="1" t="str">
        <f t="shared" si="46"/>
        <v/>
      </c>
      <c r="AS162" s="1" t="str">
        <f t="shared" si="46"/>
        <v/>
      </c>
      <c r="AT162" s="1" t="str">
        <f t="shared" si="46"/>
        <v/>
      </c>
      <c r="AU162" s="1" t="str">
        <f t="shared" si="46"/>
        <v/>
      </c>
      <c r="AV162" s="1" t="str">
        <f t="shared" si="46"/>
        <v/>
      </c>
      <c r="AW162" s="1" t="str">
        <f t="shared" si="45"/>
        <v/>
      </c>
      <c r="AX162" s="1" t="str">
        <f t="shared" si="45"/>
        <v/>
      </c>
      <c r="AY162" s="1" t="str">
        <f t="shared" si="45"/>
        <v/>
      </c>
      <c r="AZ162" s="1" t="str">
        <f t="shared" si="45"/>
        <v/>
      </c>
      <c r="BA162" s="1">
        <f t="shared" si="45"/>
        <v>6.8544</v>
      </c>
      <c r="BB162" s="1">
        <f t="shared" si="45"/>
        <v>36.72</v>
      </c>
      <c r="BC162" s="1">
        <f t="shared" si="45"/>
        <v>17.517942563223315</v>
      </c>
    </row>
    <row r="163" spans="1:55" x14ac:dyDescent="0.25">
      <c r="A163" s="30" t="s">
        <v>60</v>
      </c>
      <c r="B163" s="32" t="s">
        <v>65</v>
      </c>
      <c r="C163" s="31" t="s">
        <v>67</v>
      </c>
      <c r="D163" s="2"/>
      <c r="E163" s="2"/>
      <c r="F163" s="51">
        <f t="shared" si="47"/>
        <v>0</v>
      </c>
      <c r="G163" s="51">
        <f t="shared" si="44"/>
        <v>0</v>
      </c>
      <c r="H163" s="51">
        <f t="shared" si="44"/>
        <v>0</v>
      </c>
      <c r="I163" s="51">
        <f t="shared" si="44"/>
        <v>0</v>
      </c>
      <c r="J163" s="51">
        <f t="shared" si="44"/>
        <v>0</v>
      </c>
      <c r="K163" s="51">
        <f t="shared" si="44"/>
        <v>0</v>
      </c>
      <c r="L163" s="52">
        <f t="shared" si="44"/>
        <v>0</v>
      </c>
      <c r="M163" s="51">
        <f t="shared" si="44"/>
        <v>0</v>
      </c>
      <c r="N163" s="51">
        <f t="shared" si="44"/>
        <v>0</v>
      </c>
      <c r="O163" s="51">
        <f t="shared" si="44"/>
        <v>0</v>
      </c>
      <c r="P163" s="51">
        <f t="shared" si="44"/>
        <v>0</v>
      </c>
      <c r="Q163" s="77">
        <v>940</v>
      </c>
      <c r="R163" s="77">
        <v>426</v>
      </c>
      <c r="S163" s="51">
        <f t="shared" si="44"/>
        <v>0</v>
      </c>
      <c r="T163" s="77">
        <v>426</v>
      </c>
      <c r="U163" s="77">
        <v>426</v>
      </c>
      <c r="V163" s="77">
        <v>426</v>
      </c>
      <c r="W163" s="77">
        <v>426</v>
      </c>
      <c r="X163" s="79">
        <v>426</v>
      </c>
      <c r="Y163" s="59">
        <f t="shared" si="44"/>
        <v>0</v>
      </c>
      <c r="Z163" s="51">
        <f t="shared" si="44"/>
        <v>499.47107853049039</v>
      </c>
      <c r="AA163" s="51">
        <f t="shared" si="44"/>
        <v>499.47107853049039</v>
      </c>
      <c r="AC163" s="30" t="s">
        <v>60</v>
      </c>
      <c r="AD163" s="32" t="s">
        <v>65</v>
      </c>
      <c r="AE163" s="31" t="s">
        <v>67</v>
      </c>
      <c r="AF163" s="2"/>
      <c r="AG163" s="2"/>
      <c r="AH163" s="1" t="str">
        <f t="shared" si="46"/>
        <v/>
      </c>
      <c r="AI163" s="1" t="str">
        <f t="shared" si="46"/>
        <v/>
      </c>
      <c r="AJ163" s="1" t="str">
        <f t="shared" si="46"/>
        <v/>
      </c>
      <c r="AK163" s="1" t="str">
        <f t="shared" si="46"/>
        <v/>
      </c>
      <c r="AL163" s="1" t="str">
        <f t="shared" si="46"/>
        <v/>
      </c>
      <c r="AM163" s="1" t="str">
        <f t="shared" si="46"/>
        <v/>
      </c>
      <c r="AN163" s="52" t="str">
        <f t="shared" si="46"/>
        <v/>
      </c>
      <c r="AO163" s="1" t="str">
        <f t="shared" si="46"/>
        <v/>
      </c>
      <c r="AP163" s="1" t="str">
        <f t="shared" si="46"/>
        <v/>
      </c>
      <c r="AQ163" s="1" t="str">
        <f t="shared" si="46"/>
        <v/>
      </c>
      <c r="AR163" s="1" t="str">
        <f t="shared" si="46"/>
        <v/>
      </c>
      <c r="AS163" s="1">
        <f t="shared" si="46"/>
        <v>143.82</v>
      </c>
      <c r="AT163" s="1">
        <f t="shared" si="46"/>
        <v>52.142399999999995</v>
      </c>
      <c r="AU163" s="1" t="str">
        <f t="shared" si="46"/>
        <v/>
      </c>
      <c r="AV163" s="1">
        <f t="shared" si="46"/>
        <v>65.177999999999997</v>
      </c>
      <c r="AW163" s="1">
        <f t="shared" si="45"/>
        <v>52.142399999999988</v>
      </c>
      <c r="AX163" s="1">
        <f t="shared" si="45"/>
        <v>52.142399999999995</v>
      </c>
      <c r="AY163" s="1">
        <f t="shared" si="45"/>
        <v>52.142400000000002</v>
      </c>
      <c r="AZ163" s="1">
        <f t="shared" si="45"/>
        <v>52.142399999999995</v>
      </c>
      <c r="BA163" s="1" t="str">
        <f t="shared" si="45"/>
        <v/>
      </c>
      <c r="BB163" s="1">
        <f t="shared" si="45"/>
        <v>67.854221880588696</v>
      </c>
      <c r="BC163" s="1">
        <f t="shared" si="45"/>
        <v>67.854221880588696</v>
      </c>
    </row>
    <row r="164" spans="1:55" x14ac:dyDescent="0.25">
      <c r="A164" s="30" t="s">
        <v>60</v>
      </c>
      <c r="B164" s="32" t="s">
        <v>65</v>
      </c>
      <c r="C164" s="31" t="s">
        <v>68</v>
      </c>
      <c r="D164" s="2"/>
      <c r="E164" s="2"/>
      <c r="F164" s="51">
        <f t="shared" si="47"/>
        <v>0</v>
      </c>
      <c r="G164" s="51">
        <f t="shared" si="44"/>
        <v>0</v>
      </c>
      <c r="H164" s="51">
        <f t="shared" si="44"/>
        <v>0</v>
      </c>
      <c r="I164" s="51">
        <f t="shared" si="44"/>
        <v>0</v>
      </c>
      <c r="J164" s="51">
        <f t="shared" si="44"/>
        <v>0</v>
      </c>
      <c r="K164" s="51">
        <f t="shared" si="44"/>
        <v>0</v>
      </c>
      <c r="L164" s="77">
        <v>750</v>
      </c>
      <c r="M164" s="51">
        <f t="shared" si="44"/>
        <v>0</v>
      </c>
      <c r="N164" s="51">
        <f t="shared" si="44"/>
        <v>0</v>
      </c>
      <c r="O164" s="51">
        <f t="shared" si="44"/>
        <v>0</v>
      </c>
      <c r="P164" s="51">
        <f t="shared" si="44"/>
        <v>0</v>
      </c>
      <c r="Q164" s="51">
        <f t="shared" si="44"/>
        <v>0</v>
      </c>
      <c r="R164" s="51">
        <f t="shared" si="44"/>
        <v>0</v>
      </c>
      <c r="S164" s="51">
        <f t="shared" si="44"/>
        <v>0</v>
      </c>
      <c r="T164" s="51">
        <f t="shared" si="44"/>
        <v>0</v>
      </c>
      <c r="U164" s="51">
        <f t="shared" si="44"/>
        <v>0</v>
      </c>
      <c r="V164" s="51">
        <f t="shared" si="44"/>
        <v>0</v>
      </c>
      <c r="W164" s="51">
        <f t="shared" si="44"/>
        <v>0</v>
      </c>
      <c r="X164" s="55">
        <f t="shared" si="44"/>
        <v>0</v>
      </c>
      <c r="Y164" s="59">
        <f t="shared" si="44"/>
        <v>0</v>
      </c>
      <c r="Z164" s="51">
        <f t="shared" si="44"/>
        <v>0</v>
      </c>
      <c r="AA164" s="51">
        <f t="shared" si="44"/>
        <v>750</v>
      </c>
      <c r="AC164" s="30" t="s">
        <v>60</v>
      </c>
      <c r="AD164" s="32" t="s">
        <v>65</v>
      </c>
      <c r="AE164" s="31" t="s">
        <v>68</v>
      </c>
      <c r="AF164" s="2"/>
      <c r="AG164" s="2"/>
      <c r="AH164" s="1" t="str">
        <f t="shared" si="46"/>
        <v/>
      </c>
      <c r="AI164" s="1" t="str">
        <f t="shared" si="46"/>
        <v/>
      </c>
      <c r="AJ164" s="1" t="str">
        <f t="shared" si="46"/>
        <v/>
      </c>
      <c r="AK164" s="1" t="str">
        <f t="shared" si="46"/>
        <v/>
      </c>
      <c r="AL164" s="1" t="str">
        <f t="shared" si="46"/>
        <v/>
      </c>
      <c r="AM164" s="1" t="str">
        <f t="shared" si="46"/>
        <v/>
      </c>
      <c r="AN164" s="52">
        <f t="shared" si="46"/>
        <v>68.849999999999994</v>
      </c>
      <c r="AO164" s="1" t="str">
        <f t="shared" si="46"/>
        <v/>
      </c>
      <c r="AP164" s="1" t="str">
        <f t="shared" si="46"/>
        <v/>
      </c>
      <c r="AQ164" s="1" t="str">
        <f t="shared" si="46"/>
        <v/>
      </c>
      <c r="AR164" s="1" t="str">
        <f t="shared" si="46"/>
        <v/>
      </c>
      <c r="AS164" s="1" t="str">
        <f t="shared" si="46"/>
        <v/>
      </c>
      <c r="AT164" s="1" t="str">
        <f t="shared" si="46"/>
        <v/>
      </c>
      <c r="AU164" s="1" t="str">
        <f t="shared" si="46"/>
        <v/>
      </c>
      <c r="AV164" s="1" t="str">
        <f t="shared" si="46"/>
        <v/>
      </c>
      <c r="AW164" s="1" t="str">
        <f t="shared" si="45"/>
        <v/>
      </c>
      <c r="AX164" s="1" t="str">
        <f t="shared" si="45"/>
        <v/>
      </c>
      <c r="AY164" s="1" t="str">
        <f t="shared" si="45"/>
        <v/>
      </c>
      <c r="AZ164" s="1" t="str">
        <f t="shared" si="45"/>
        <v/>
      </c>
      <c r="BA164" s="1" t="str">
        <f t="shared" si="45"/>
        <v/>
      </c>
      <c r="BB164" s="1" t="str">
        <f t="shared" si="45"/>
        <v/>
      </c>
      <c r="BC164" s="1">
        <f t="shared" si="45"/>
        <v>68.849999999999994</v>
      </c>
    </row>
    <row r="165" spans="1:55" x14ac:dyDescent="0.25">
      <c r="A165" s="30" t="s">
        <v>60</v>
      </c>
      <c r="B165" s="32" t="s">
        <v>9</v>
      </c>
      <c r="C165" s="31" t="s">
        <v>69</v>
      </c>
      <c r="D165" s="2"/>
      <c r="E165" s="2"/>
      <c r="F165" s="51">
        <f t="shared" si="47"/>
        <v>0</v>
      </c>
      <c r="G165" s="51">
        <f t="shared" si="44"/>
        <v>0</v>
      </c>
      <c r="H165" s="51">
        <f t="shared" si="44"/>
        <v>0</v>
      </c>
      <c r="I165" s="51">
        <f t="shared" si="44"/>
        <v>0</v>
      </c>
      <c r="J165" s="51">
        <f t="shared" si="44"/>
        <v>0</v>
      </c>
      <c r="K165" s="51">
        <f t="shared" si="44"/>
        <v>0</v>
      </c>
      <c r="L165" s="52">
        <f t="shared" si="44"/>
        <v>0</v>
      </c>
      <c r="M165" s="51">
        <f t="shared" si="44"/>
        <v>0</v>
      </c>
      <c r="N165" s="51">
        <f t="shared" si="44"/>
        <v>0</v>
      </c>
      <c r="O165" s="51">
        <f t="shared" si="44"/>
        <v>0</v>
      </c>
      <c r="P165" s="51">
        <f t="shared" si="44"/>
        <v>0</v>
      </c>
      <c r="Q165" s="51">
        <f t="shared" si="44"/>
        <v>0</v>
      </c>
      <c r="R165" s="51">
        <f t="shared" si="44"/>
        <v>0</v>
      </c>
      <c r="S165" s="51">
        <f t="shared" si="44"/>
        <v>0</v>
      </c>
      <c r="T165" s="51">
        <f t="shared" si="44"/>
        <v>0</v>
      </c>
      <c r="U165" s="51">
        <f t="shared" si="44"/>
        <v>0</v>
      </c>
      <c r="V165" s="51">
        <f t="shared" si="44"/>
        <v>0</v>
      </c>
      <c r="W165" s="51">
        <f t="shared" si="44"/>
        <v>0</v>
      </c>
      <c r="X165" s="79">
        <v>426</v>
      </c>
      <c r="Y165" s="59">
        <f t="shared" si="44"/>
        <v>0</v>
      </c>
      <c r="Z165" s="51">
        <f t="shared" si="44"/>
        <v>643.56672000000003</v>
      </c>
      <c r="AA165" s="51">
        <f t="shared" si="44"/>
        <v>643.56672000000003</v>
      </c>
      <c r="AC165" s="30" t="s">
        <v>60</v>
      </c>
      <c r="AD165" s="32" t="s">
        <v>9</v>
      </c>
      <c r="AE165" s="31" t="s">
        <v>69</v>
      </c>
      <c r="AF165" s="2"/>
      <c r="AG165" s="2"/>
      <c r="AH165" s="1" t="str">
        <f t="shared" si="46"/>
        <v/>
      </c>
      <c r="AI165" s="1" t="str">
        <f t="shared" si="46"/>
        <v/>
      </c>
      <c r="AJ165" s="1" t="str">
        <f t="shared" si="46"/>
        <v/>
      </c>
      <c r="AK165" s="1" t="str">
        <f t="shared" si="46"/>
        <v/>
      </c>
      <c r="AL165" s="1" t="str">
        <f t="shared" si="46"/>
        <v/>
      </c>
      <c r="AM165" s="1" t="str">
        <f t="shared" si="46"/>
        <v/>
      </c>
      <c r="AN165" s="52" t="str">
        <f t="shared" si="46"/>
        <v/>
      </c>
      <c r="AO165" s="1" t="str">
        <f t="shared" si="46"/>
        <v/>
      </c>
      <c r="AP165" s="1" t="str">
        <f t="shared" si="46"/>
        <v/>
      </c>
      <c r="AQ165" s="1" t="str">
        <f t="shared" si="46"/>
        <v/>
      </c>
      <c r="AR165" s="1" t="str">
        <f t="shared" si="46"/>
        <v/>
      </c>
      <c r="AS165" s="1" t="str">
        <f t="shared" si="46"/>
        <v/>
      </c>
      <c r="AT165" s="1" t="str">
        <f t="shared" si="46"/>
        <v/>
      </c>
      <c r="AU165" s="1" t="str">
        <f t="shared" si="46"/>
        <v/>
      </c>
      <c r="AV165" s="1" t="str">
        <f t="shared" si="46"/>
        <v/>
      </c>
      <c r="AW165" s="1" t="str">
        <f t="shared" si="45"/>
        <v/>
      </c>
      <c r="AX165" s="1" t="str">
        <f t="shared" si="45"/>
        <v/>
      </c>
      <c r="AY165" s="1" t="str">
        <f t="shared" si="45"/>
        <v/>
      </c>
      <c r="AZ165" s="1">
        <f t="shared" si="45"/>
        <v>178.92000000000002</v>
      </c>
      <c r="BA165" s="1" t="str">
        <f t="shared" si="45"/>
        <v/>
      </c>
      <c r="BB165" s="1">
        <f t="shared" si="45"/>
        <v>385.608384</v>
      </c>
      <c r="BC165" s="1">
        <f t="shared" si="45"/>
        <v>385.608384</v>
      </c>
    </row>
    <row r="166" spans="1:55" x14ac:dyDescent="0.25">
      <c r="A166" s="15" t="s">
        <v>51</v>
      </c>
      <c r="B166" s="16" t="s">
        <v>56</v>
      </c>
      <c r="C166" s="27" t="s">
        <v>57</v>
      </c>
      <c r="D166" s="16" t="s">
        <v>70</v>
      </c>
      <c r="E166" s="16"/>
      <c r="F166" s="1">
        <f t="shared" si="47"/>
        <v>0</v>
      </c>
      <c r="G166" s="1">
        <f t="shared" si="44"/>
        <v>0</v>
      </c>
      <c r="H166" s="1">
        <f t="shared" si="44"/>
        <v>0</v>
      </c>
      <c r="I166" s="1">
        <f t="shared" si="44"/>
        <v>0</v>
      </c>
      <c r="J166" s="1">
        <f t="shared" si="44"/>
        <v>0</v>
      </c>
      <c r="K166" s="1">
        <f t="shared" si="44"/>
        <v>0</v>
      </c>
      <c r="L166" s="52">
        <f t="shared" si="44"/>
        <v>0</v>
      </c>
      <c r="M166" s="1">
        <f t="shared" si="44"/>
        <v>0</v>
      </c>
      <c r="N166" s="1">
        <f t="shared" si="44"/>
        <v>0</v>
      </c>
      <c r="O166" s="1">
        <f t="shared" si="44"/>
        <v>0</v>
      </c>
      <c r="P166" s="1">
        <f t="shared" si="44"/>
        <v>0</v>
      </c>
      <c r="Q166" s="1">
        <f t="shared" si="44"/>
        <v>0</v>
      </c>
      <c r="R166" s="1">
        <f t="shared" si="44"/>
        <v>0</v>
      </c>
      <c r="S166" s="1">
        <f t="shared" si="44"/>
        <v>0</v>
      </c>
      <c r="T166" s="1">
        <f t="shared" si="44"/>
        <v>0</v>
      </c>
      <c r="U166" s="1">
        <f t="shared" ref="G166:AA180" si="48">IF(U211&gt;0,U31/U211,0)</f>
        <v>0</v>
      </c>
      <c r="V166" s="1">
        <f t="shared" si="48"/>
        <v>0</v>
      </c>
      <c r="W166" s="1">
        <f t="shared" si="48"/>
        <v>0</v>
      </c>
      <c r="X166" s="54">
        <f t="shared" si="48"/>
        <v>0</v>
      </c>
      <c r="Y166" s="58">
        <f t="shared" si="48"/>
        <v>0</v>
      </c>
      <c r="Z166" s="1">
        <f t="shared" si="48"/>
        <v>0</v>
      </c>
      <c r="AA166" s="1">
        <f t="shared" si="48"/>
        <v>0</v>
      </c>
      <c r="AC166" s="15" t="s">
        <v>51</v>
      </c>
      <c r="AD166" s="16" t="s">
        <v>56</v>
      </c>
      <c r="AE166" s="27" t="s">
        <v>57</v>
      </c>
      <c r="AF166" s="16" t="s">
        <v>70</v>
      </c>
      <c r="AG166" s="16"/>
      <c r="AH166" s="90" t="str">
        <f t="shared" si="46"/>
        <v/>
      </c>
      <c r="AI166" s="90" t="str">
        <f t="shared" si="46"/>
        <v/>
      </c>
      <c r="AJ166" s="90" t="str">
        <f t="shared" si="46"/>
        <v/>
      </c>
      <c r="AK166" s="90" t="str">
        <f t="shared" si="46"/>
        <v/>
      </c>
      <c r="AL166" s="90" t="str">
        <f t="shared" si="46"/>
        <v/>
      </c>
      <c r="AM166" s="90" t="str">
        <f t="shared" si="46"/>
        <v/>
      </c>
      <c r="AN166" s="90" t="str">
        <f t="shared" si="46"/>
        <v/>
      </c>
      <c r="AO166" s="90" t="str">
        <f t="shared" si="46"/>
        <v/>
      </c>
      <c r="AP166" s="90" t="str">
        <f t="shared" si="46"/>
        <v/>
      </c>
      <c r="AQ166" s="90" t="str">
        <f t="shared" si="46"/>
        <v/>
      </c>
      <c r="AR166" s="90" t="str">
        <f t="shared" si="46"/>
        <v/>
      </c>
      <c r="AS166" s="90" t="str">
        <f t="shared" si="46"/>
        <v/>
      </c>
      <c r="AT166" s="90" t="str">
        <f t="shared" si="46"/>
        <v/>
      </c>
      <c r="AU166" s="90" t="str">
        <f t="shared" si="46"/>
        <v/>
      </c>
      <c r="AV166" s="90" t="str">
        <f t="shared" si="46"/>
        <v/>
      </c>
      <c r="AW166" s="90" t="str">
        <f t="shared" si="45"/>
        <v/>
      </c>
      <c r="AX166" s="90" t="str">
        <f t="shared" si="45"/>
        <v/>
      </c>
      <c r="AY166" s="90" t="str">
        <f t="shared" si="45"/>
        <v/>
      </c>
      <c r="AZ166" s="90" t="str">
        <f t="shared" si="45"/>
        <v/>
      </c>
      <c r="BA166" s="90" t="str">
        <f t="shared" si="45"/>
        <v/>
      </c>
      <c r="BB166" s="90" t="str">
        <f t="shared" si="45"/>
        <v/>
      </c>
      <c r="BC166" s="90" t="str">
        <f t="shared" si="45"/>
        <v/>
      </c>
    </row>
    <row r="167" spans="1:55" x14ac:dyDescent="0.25">
      <c r="A167" s="15" t="s">
        <v>51</v>
      </c>
      <c r="B167" s="16" t="s">
        <v>56</v>
      </c>
      <c r="C167" s="27" t="s">
        <v>57</v>
      </c>
      <c r="D167" s="16" t="s">
        <v>71</v>
      </c>
      <c r="E167" s="16"/>
      <c r="F167" s="1">
        <f t="shared" si="47"/>
        <v>0</v>
      </c>
      <c r="G167" s="1">
        <f t="shared" si="48"/>
        <v>0</v>
      </c>
      <c r="H167" s="1">
        <f t="shared" si="48"/>
        <v>0</v>
      </c>
      <c r="I167" s="1">
        <f t="shared" si="48"/>
        <v>0</v>
      </c>
      <c r="J167" s="1">
        <f t="shared" si="48"/>
        <v>0</v>
      </c>
      <c r="K167" s="1">
        <f t="shared" si="48"/>
        <v>0</v>
      </c>
      <c r="L167" s="52">
        <f t="shared" si="48"/>
        <v>0</v>
      </c>
      <c r="M167" s="1">
        <f t="shared" si="48"/>
        <v>0</v>
      </c>
      <c r="N167" s="1">
        <f t="shared" si="48"/>
        <v>0</v>
      </c>
      <c r="O167" s="1">
        <f t="shared" si="48"/>
        <v>0</v>
      </c>
      <c r="P167" s="1">
        <f t="shared" si="48"/>
        <v>0</v>
      </c>
      <c r="Q167" s="1">
        <f t="shared" si="48"/>
        <v>0</v>
      </c>
      <c r="R167" s="1">
        <f t="shared" si="48"/>
        <v>0</v>
      </c>
      <c r="S167" s="1">
        <f t="shared" si="48"/>
        <v>0</v>
      </c>
      <c r="T167" s="1">
        <f t="shared" si="48"/>
        <v>0</v>
      </c>
      <c r="U167" s="1">
        <f t="shared" si="48"/>
        <v>0</v>
      </c>
      <c r="V167" s="1">
        <f t="shared" si="48"/>
        <v>0</v>
      </c>
      <c r="W167" s="1">
        <f t="shared" si="48"/>
        <v>0</v>
      </c>
      <c r="X167" s="54">
        <f t="shared" si="48"/>
        <v>0</v>
      </c>
      <c r="Y167" s="58">
        <f t="shared" si="48"/>
        <v>0</v>
      </c>
      <c r="Z167" s="1">
        <f t="shared" si="48"/>
        <v>0</v>
      </c>
      <c r="AA167" s="1">
        <f t="shared" si="48"/>
        <v>0</v>
      </c>
      <c r="AC167" s="15" t="s">
        <v>51</v>
      </c>
      <c r="AD167" s="16" t="s">
        <v>56</v>
      </c>
      <c r="AE167" s="27" t="s">
        <v>57</v>
      </c>
      <c r="AF167" s="16" t="s">
        <v>71</v>
      </c>
      <c r="AG167" s="16"/>
      <c r="AH167" s="90" t="str">
        <f t="shared" si="46"/>
        <v/>
      </c>
      <c r="AI167" s="90" t="str">
        <f t="shared" si="46"/>
        <v/>
      </c>
      <c r="AJ167" s="90" t="str">
        <f t="shared" si="46"/>
        <v/>
      </c>
      <c r="AK167" s="90" t="str">
        <f t="shared" si="46"/>
        <v/>
      </c>
      <c r="AL167" s="90" t="str">
        <f t="shared" si="46"/>
        <v/>
      </c>
      <c r="AM167" s="90" t="str">
        <f t="shared" si="46"/>
        <v/>
      </c>
      <c r="AN167" s="90" t="str">
        <f t="shared" si="46"/>
        <v/>
      </c>
      <c r="AO167" s="90" t="str">
        <f t="shared" si="46"/>
        <v/>
      </c>
      <c r="AP167" s="90" t="str">
        <f t="shared" si="46"/>
        <v/>
      </c>
      <c r="AQ167" s="90" t="str">
        <f t="shared" si="46"/>
        <v/>
      </c>
      <c r="AR167" s="90" t="str">
        <f t="shared" si="46"/>
        <v/>
      </c>
      <c r="AS167" s="90" t="str">
        <f t="shared" si="46"/>
        <v/>
      </c>
      <c r="AT167" s="90" t="str">
        <f t="shared" si="46"/>
        <v/>
      </c>
      <c r="AU167" s="90" t="str">
        <f t="shared" si="46"/>
        <v/>
      </c>
      <c r="AV167" s="90" t="str">
        <f t="shared" si="46"/>
        <v/>
      </c>
      <c r="AW167" s="90" t="str">
        <f t="shared" si="45"/>
        <v/>
      </c>
      <c r="AX167" s="90" t="str">
        <f t="shared" si="45"/>
        <v/>
      </c>
      <c r="AY167" s="90" t="str">
        <f t="shared" si="45"/>
        <v/>
      </c>
      <c r="AZ167" s="90" t="str">
        <f t="shared" si="45"/>
        <v/>
      </c>
      <c r="BA167" s="90" t="str">
        <f t="shared" si="45"/>
        <v/>
      </c>
      <c r="BB167" s="90" t="str">
        <f t="shared" si="45"/>
        <v/>
      </c>
      <c r="BC167" s="90" t="str">
        <f t="shared" si="45"/>
        <v/>
      </c>
    </row>
    <row r="168" spans="1:55" x14ac:dyDescent="0.25">
      <c r="A168" s="15" t="s">
        <v>51</v>
      </c>
      <c r="B168" s="16" t="s">
        <v>56</v>
      </c>
      <c r="C168" s="27" t="s">
        <v>27</v>
      </c>
      <c r="D168" s="16" t="s">
        <v>72</v>
      </c>
      <c r="E168" s="16"/>
      <c r="F168" s="1">
        <f t="shared" si="47"/>
        <v>0</v>
      </c>
      <c r="G168" s="1">
        <f t="shared" si="48"/>
        <v>0</v>
      </c>
      <c r="H168" s="1">
        <f t="shared" si="48"/>
        <v>0</v>
      </c>
      <c r="I168" s="1">
        <f t="shared" si="48"/>
        <v>0</v>
      </c>
      <c r="J168" s="1">
        <f t="shared" si="48"/>
        <v>0</v>
      </c>
      <c r="K168" s="1">
        <f t="shared" si="48"/>
        <v>0</v>
      </c>
      <c r="L168" s="52">
        <f t="shared" si="48"/>
        <v>0</v>
      </c>
      <c r="M168" s="1">
        <f t="shared" si="48"/>
        <v>0</v>
      </c>
      <c r="N168" s="1">
        <f t="shared" si="48"/>
        <v>0</v>
      </c>
      <c r="O168" s="1">
        <f t="shared" si="48"/>
        <v>0</v>
      </c>
      <c r="P168" s="1">
        <f t="shared" si="48"/>
        <v>0</v>
      </c>
      <c r="Q168" s="1">
        <f t="shared" si="48"/>
        <v>0</v>
      </c>
      <c r="R168" s="1">
        <f t="shared" si="48"/>
        <v>0</v>
      </c>
      <c r="S168" s="1">
        <f t="shared" si="48"/>
        <v>0</v>
      </c>
      <c r="T168" s="1">
        <f t="shared" si="48"/>
        <v>0</v>
      </c>
      <c r="U168" s="1">
        <f t="shared" si="48"/>
        <v>0</v>
      </c>
      <c r="V168" s="1">
        <f t="shared" si="48"/>
        <v>0</v>
      </c>
      <c r="W168" s="1">
        <f t="shared" si="48"/>
        <v>0</v>
      </c>
      <c r="X168" s="54">
        <f t="shared" si="48"/>
        <v>0</v>
      </c>
      <c r="Y168" s="58">
        <f t="shared" si="48"/>
        <v>0</v>
      </c>
      <c r="Z168" s="1">
        <f t="shared" si="48"/>
        <v>0</v>
      </c>
      <c r="AA168" s="1">
        <f t="shared" si="48"/>
        <v>0</v>
      </c>
      <c r="AC168" s="15" t="s">
        <v>51</v>
      </c>
      <c r="AD168" s="16" t="s">
        <v>56</v>
      </c>
      <c r="AE168" s="27" t="s">
        <v>27</v>
      </c>
      <c r="AF168" s="16" t="s">
        <v>72</v>
      </c>
      <c r="AG168" s="16"/>
      <c r="AH168" s="90" t="str">
        <f t="shared" si="46"/>
        <v/>
      </c>
      <c r="AI168" s="90" t="str">
        <f t="shared" si="46"/>
        <v/>
      </c>
      <c r="AJ168" s="90" t="str">
        <f t="shared" si="46"/>
        <v/>
      </c>
      <c r="AK168" s="90" t="str">
        <f t="shared" si="46"/>
        <v/>
      </c>
      <c r="AL168" s="90" t="str">
        <f t="shared" si="46"/>
        <v/>
      </c>
      <c r="AM168" s="90" t="str">
        <f t="shared" si="46"/>
        <v/>
      </c>
      <c r="AN168" s="90" t="str">
        <f t="shared" si="46"/>
        <v/>
      </c>
      <c r="AO168" s="90" t="str">
        <f t="shared" si="46"/>
        <v/>
      </c>
      <c r="AP168" s="90" t="str">
        <f t="shared" si="46"/>
        <v/>
      </c>
      <c r="AQ168" s="90" t="str">
        <f t="shared" si="46"/>
        <v/>
      </c>
      <c r="AR168" s="90" t="str">
        <f t="shared" si="46"/>
        <v/>
      </c>
      <c r="AS168" s="90" t="str">
        <f t="shared" si="46"/>
        <v/>
      </c>
      <c r="AT168" s="90" t="str">
        <f t="shared" si="46"/>
        <v/>
      </c>
      <c r="AU168" s="90" t="str">
        <f t="shared" si="46"/>
        <v/>
      </c>
      <c r="AV168" s="90" t="str">
        <f t="shared" si="46"/>
        <v/>
      </c>
      <c r="AW168" s="90" t="str">
        <f t="shared" si="45"/>
        <v/>
      </c>
      <c r="AX168" s="90" t="str">
        <f t="shared" si="45"/>
        <v/>
      </c>
      <c r="AY168" s="90" t="str">
        <f t="shared" si="45"/>
        <v/>
      </c>
      <c r="AZ168" s="90" t="str">
        <f t="shared" si="45"/>
        <v/>
      </c>
      <c r="BA168" s="90" t="str">
        <f t="shared" si="45"/>
        <v/>
      </c>
      <c r="BB168" s="90" t="str">
        <f t="shared" si="45"/>
        <v/>
      </c>
      <c r="BC168" s="90" t="str">
        <f t="shared" si="45"/>
        <v/>
      </c>
    </row>
    <row r="169" spans="1:55" x14ac:dyDescent="0.25">
      <c r="A169" s="15" t="s">
        <v>51</v>
      </c>
      <c r="B169" s="16" t="s">
        <v>56</v>
      </c>
      <c r="C169" s="27" t="s">
        <v>57</v>
      </c>
      <c r="D169" s="16" t="s">
        <v>73</v>
      </c>
      <c r="E169" s="16"/>
      <c r="F169" s="1">
        <f t="shared" si="47"/>
        <v>0</v>
      </c>
      <c r="G169" s="1">
        <f t="shared" si="48"/>
        <v>0</v>
      </c>
      <c r="H169" s="1">
        <f t="shared" si="48"/>
        <v>0</v>
      </c>
      <c r="I169" s="1">
        <f t="shared" si="48"/>
        <v>0</v>
      </c>
      <c r="J169" s="1">
        <f t="shared" si="48"/>
        <v>0</v>
      </c>
      <c r="K169" s="1">
        <f t="shared" si="48"/>
        <v>0</v>
      </c>
      <c r="L169" s="52">
        <f t="shared" si="48"/>
        <v>0</v>
      </c>
      <c r="M169" s="1">
        <f t="shared" si="48"/>
        <v>0</v>
      </c>
      <c r="N169" s="1">
        <f t="shared" si="48"/>
        <v>0</v>
      </c>
      <c r="O169" s="1">
        <f t="shared" si="48"/>
        <v>0</v>
      </c>
      <c r="P169" s="1">
        <f t="shared" si="48"/>
        <v>0</v>
      </c>
      <c r="Q169" s="1">
        <f t="shared" si="48"/>
        <v>0</v>
      </c>
      <c r="R169" s="1">
        <f t="shared" si="48"/>
        <v>0</v>
      </c>
      <c r="S169" s="1">
        <f t="shared" si="48"/>
        <v>0</v>
      </c>
      <c r="T169" s="1">
        <f t="shared" si="48"/>
        <v>0</v>
      </c>
      <c r="U169" s="1">
        <f t="shared" si="48"/>
        <v>0</v>
      </c>
      <c r="V169" s="1">
        <f t="shared" si="48"/>
        <v>0</v>
      </c>
      <c r="W169" s="1">
        <f t="shared" si="48"/>
        <v>0</v>
      </c>
      <c r="X169" s="54">
        <f t="shared" si="48"/>
        <v>0</v>
      </c>
      <c r="Y169" s="58">
        <f t="shared" si="48"/>
        <v>0</v>
      </c>
      <c r="Z169" s="1">
        <f t="shared" si="48"/>
        <v>0</v>
      </c>
      <c r="AA169" s="1">
        <f t="shared" si="48"/>
        <v>0</v>
      </c>
      <c r="AC169" s="15" t="s">
        <v>51</v>
      </c>
      <c r="AD169" s="16" t="s">
        <v>56</v>
      </c>
      <c r="AE169" s="27" t="s">
        <v>57</v>
      </c>
      <c r="AF169" s="16" t="s">
        <v>73</v>
      </c>
      <c r="AG169" s="16"/>
      <c r="AH169" s="90" t="str">
        <f t="shared" si="46"/>
        <v/>
      </c>
      <c r="AI169" s="90" t="str">
        <f t="shared" si="46"/>
        <v/>
      </c>
      <c r="AJ169" s="90" t="str">
        <f t="shared" si="46"/>
        <v/>
      </c>
      <c r="AK169" s="90" t="str">
        <f t="shared" si="46"/>
        <v/>
      </c>
      <c r="AL169" s="90" t="str">
        <f t="shared" si="46"/>
        <v/>
      </c>
      <c r="AM169" s="90" t="str">
        <f t="shared" si="46"/>
        <v/>
      </c>
      <c r="AN169" s="90" t="str">
        <f t="shared" si="46"/>
        <v/>
      </c>
      <c r="AO169" s="90" t="str">
        <f t="shared" si="46"/>
        <v/>
      </c>
      <c r="AP169" s="90" t="str">
        <f t="shared" si="46"/>
        <v/>
      </c>
      <c r="AQ169" s="90" t="str">
        <f t="shared" si="46"/>
        <v/>
      </c>
      <c r="AR169" s="90" t="str">
        <f t="shared" si="46"/>
        <v/>
      </c>
      <c r="AS169" s="90" t="str">
        <f t="shared" si="46"/>
        <v/>
      </c>
      <c r="AT169" s="90" t="str">
        <f t="shared" si="46"/>
        <v/>
      </c>
      <c r="AU169" s="90" t="str">
        <f t="shared" si="46"/>
        <v/>
      </c>
      <c r="AV169" s="90" t="str">
        <f t="shared" si="46"/>
        <v/>
      </c>
      <c r="AW169" s="90" t="str">
        <f t="shared" si="45"/>
        <v/>
      </c>
      <c r="AX169" s="90" t="str">
        <f t="shared" si="45"/>
        <v/>
      </c>
      <c r="AY169" s="90" t="str">
        <f t="shared" si="45"/>
        <v/>
      </c>
      <c r="AZ169" s="90" t="str">
        <f t="shared" si="45"/>
        <v/>
      </c>
      <c r="BA169" s="90" t="str">
        <f t="shared" si="45"/>
        <v/>
      </c>
      <c r="BB169" s="90" t="str">
        <f t="shared" si="45"/>
        <v/>
      </c>
      <c r="BC169" s="90" t="str">
        <f t="shared" si="45"/>
        <v/>
      </c>
    </row>
    <row r="170" spans="1:55" x14ac:dyDescent="0.25">
      <c r="A170" s="15" t="s">
        <v>51</v>
      </c>
      <c r="B170" s="16" t="s">
        <v>56</v>
      </c>
      <c r="C170" s="27" t="s">
        <v>57</v>
      </c>
      <c r="D170" s="16" t="s">
        <v>74</v>
      </c>
      <c r="E170" s="16"/>
      <c r="F170" s="1">
        <f t="shared" si="47"/>
        <v>0</v>
      </c>
      <c r="G170" s="1">
        <f t="shared" si="48"/>
        <v>0</v>
      </c>
      <c r="H170" s="1">
        <f t="shared" si="48"/>
        <v>0</v>
      </c>
      <c r="I170" s="1">
        <f t="shared" si="48"/>
        <v>0</v>
      </c>
      <c r="J170" s="1">
        <f t="shared" si="48"/>
        <v>0</v>
      </c>
      <c r="K170" s="1">
        <f t="shared" si="48"/>
        <v>0</v>
      </c>
      <c r="L170" s="52">
        <f t="shared" si="48"/>
        <v>0</v>
      </c>
      <c r="M170" s="1">
        <f t="shared" si="48"/>
        <v>0</v>
      </c>
      <c r="N170" s="1">
        <f t="shared" si="48"/>
        <v>0</v>
      </c>
      <c r="O170" s="1">
        <f t="shared" si="48"/>
        <v>0</v>
      </c>
      <c r="P170" s="1">
        <f t="shared" si="48"/>
        <v>0</v>
      </c>
      <c r="Q170" s="1">
        <f t="shared" si="48"/>
        <v>0</v>
      </c>
      <c r="R170" s="1">
        <f t="shared" si="48"/>
        <v>0</v>
      </c>
      <c r="S170" s="1">
        <f t="shared" si="48"/>
        <v>0</v>
      </c>
      <c r="T170" s="1">
        <f t="shared" si="48"/>
        <v>0</v>
      </c>
      <c r="U170" s="1">
        <f t="shared" si="48"/>
        <v>0</v>
      </c>
      <c r="V170" s="1">
        <f t="shared" si="48"/>
        <v>0</v>
      </c>
      <c r="W170" s="1">
        <f t="shared" si="48"/>
        <v>0</v>
      </c>
      <c r="X170" s="54">
        <f t="shared" si="48"/>
        <v>0</v>
      </c>
      <c r="Y170" s="58">
        <f t="shared" si="48"/>
        <v>0</v>
      </c>
      <c r="Z170" s="1">
        <f t="shared" si="48"/>
        <v>0</v>
      </c>
      <c r="AA170" s="1">
        <f t="shared" si="48"/>
        <v>0</v>
      </c>
      <c r="AC170" s="15" t="s">
        <v>51</v>
      </c>
      <c r="AD170" s="16" t="s">
        <v>56</v>
      </c>
      <c r="AE170" s="27" t="s">
        <v>57</v>
      </c>
      <c r="AF170" s="16" t="s">
        <v>74</v>
      </c>
      <c r="AG170" s="16"/>
      <c r="AH170" s="90" t="str">
        <f t="shared" si="46"/>
        <v/>
      </c>
      <c r="AI170" s="90" t="str">
        <f t="shared" si="46"/>
        <v/>
      </c>
      <c r="AJ170" s="90" t="str">
        <f t="shared" si="46"/>
        <v/>
      </c>
      <c r="AK170" s="90" t="str">
        <f t="shared" si="46"/>
        <v/>
      </c>
      <c r="AL170" s="90" t="str">
        <f t="shared" si="46"/>
        <v/>
      </c>
      <c r="AM170" s="90" t="str">
        <f t="shared" si="46"/>
        <v/>
      </c>
      <c r="AN170" s="90" t="str">
        <f t="shared" si="46"/>
        <v/>
      </c>
      <c r="AO170" s="90" t="str">
        <f t="shared" si="46"/>
        <v/>
      </c>
      <c r="AP170" s="90" t="str">
        <f t="shared" si="46"/>
        <v/>
      </c>
      <c r="AQ170" s="90" t="str">
        <f t="shared" si="46"/>
        <v/>
      </c>
      <c r="AR170" s="90" t="str">
        <f t="shared" si="46"/>
        <v/>
      </c>
      <c r="AS170" s="90" t="str">
        <f t="shared" si="46"/>
        <v/>
      </c>
      <c r="AT170" s="90" t="str">
        <f t="shared" si="46"/>
        <v/>
      </c>
      <c r="AU170" s="90" t="str">
        <f t="shared" si="46"/>
        <v/>
      </c>
      <c r="AV170" s="90" t="str">
        <f t="shared" si="46"/>
        <v/>
      </c>
      <c r="AW170" s="90" t="str">
        <f t="shared" si="45"/>
        <v/>
      </c>
      <c r="AX170" s="90" t="str">
        <f t="shared" si="45"/>
        <v/>
      </c>
      <c r="AY170" s="90" t="str">
        <f t="shared" si="45"/>
        <v/>
      </c>
      <c r="AZ170" s="90" t="str">
        <f t="shared" si="45"/>
        <v/>
      </c>
      <c r="BA170" s="90" t="str">
        <f t="shared" si="45"/>
        <v/>
      </c>
      <c r="BB170" s="90" t="str">
        <f t="shared" si="45"/>
        <v/>
      </c>
      <c r="BC170" s="90" t="str">
        <f t="shared" si="45"/>
        <v/>
      </c>
    </row>
    <row r="171" spans="1:55" x14ac:dyDescent="0.25">
      <c r="A171" s="30" t="s">
        <v>60</v>
      </c>
      <c r="B171" s="31" t="s">
        <v>13</v>
      </c>
      <c r="C171" s="32" t="s">
        <v>61</v>
      </c>
      <c r="D171" s="31" t="s">
        <v>75</v>
      </c>
      <c r="E171" s="31"/>
      <c r="F171" s="51">
        <f t="shared" ref="F171:K171" si="49">F156</f>
        <v>51.753554502369674</v>
      </c>
      <c r="G171" s="51">
        <f t="shared" si="49"/>
        <v>0</v>
      </c>
      <c r="H171" s="51">
        <f t="shared" si="49"/>
        <v>3.8671875</v>
      </c>
      <c r="I171" s="51">
        <f t="shared" si="49"/>
        <v>29</v>
      </c>
      <c r="J171" s="51">
        <f t="shared" si="49"/>
        <v>57.291666666666671</v>
      </c>
      <c r="K171" s="51">
        <f t="shared" si="49"/>
        <v>29</v>
      </c>
      <c r="L171" s="52">
        <f t="shared" si="48"/>
        <v>0</v>
      </c>
      <c r="M171" s="51">
        <f t="shared" si="48"/>
        <v>390</v>
      </c>
      <c r="N171" s="51">
        <f t="shared" si="48"/>
        <v>0</v>
      </c>
      <c r="O171" s="51">
        <f t="shared" si="48"/>
        <v>0</v>
      </c>
      <c r="P171" s="51">
        <f t="shared" si="48"/>
        <v>0</v>
      </c>
      <c r="Q171" s="51">
        <f t="shared" si="48"/>
        <v>0</v>
      </c>
      <c r="R171" s="51">
        <f t="shared" si="48"/>
        <v>0</v>
      </c>
      <c r="S171" s="51">
        <f t="shared" si="48"/>
        <v>0</v>
      </c>
      <c r="T171" s="51">
        <f t="shared" si="48"/>
        <v>0</v>
      </c>
      <c r="U171" s="51">
        <f t="shared" si="48"/>
        <v>0</v>
      </c>
      <c r="V171" s="51">
        <f t="shared" si="48"/>
        <v>0</v>
      </c>
      <c r="W171" s="51">
        <f t="shared" si="48"/>
        <v>426</v>
      </c>
      <c r="X171" s="55">
        <f t="shared" si="48"/>
        <v>0</v>
      </c>
      <c r="Y171" s="59">
        <f t="shared" si="48"/>
        <v>9.3071835795409541</v>
      </c>
      <c r="Z171" s="51">
        <f t="shared" si="48"/>
        <v>422.02953690988096</v>
      </c>
      <c r="AA171" s="51">
        <f t="shared" si="48"/>
        <v>10.067405613822846</v>
      </c>
      <c r="AC171" s="30" t="s">
        <v>60</v>
      </c>
      <c r="AD171" s="31" t="s">
        <v>13</v>
      </c>
      <c r="AE171" s="32" t="s">
        <v>61</v>
      </c>
      <c r="AF171" s="31" t="s">
        <v>75</v>
      </c>
      <c r="AG171" s="31"/>
      <c r="AH171" s="1">
        <f t="shared" si="46"/>
        <v>12.322274881516588</v>
      </c>
      <c r="AI171" s="1" t="str">
        <f t="shared" si="46"/>
        <v/>
      </c>
      <c r="AJ171" s="1">
        <f t="shared" si="46"/>
        <v>1.7578125</v>
      </c>
      <c r="AK171" s="1">
        <f t="shared" si="46"/>
        <v>8.3843537414965983</v>
      </c>
      <c r="AL171" s="1" t="str">
        <f t="shared" si="46"/>
        <v/>
      </c>
      <c r="AM171" s="1" t="str">
        <f t="shared" si="46"/>
        <v/>
      </c>
      <c r="AN171" s="52" t="str">
        <f t="shared" si="46"/>
        <v/>
      </c>
      <c r="AO171" s="1">
        <f t="shared" si="46"/>
        <v>159.73043478260868</v>
      </c>
      <c r="AP171" s="1" t="str">
        <f t="shared" si="46"/>
        <v/>
      </c>
      <c r="AQ171" s="1" t="str">
        <f t="shared" si="46"/>
        <v/>
      </c>
      <c r="AR171" s="1" t="str">
        <f t="shared" si="46"/>
        <v/>
      </c>
      <c r="AS171" s="1" t="str">
        <f t="shared" si="46"/>
        <v/>
      </c>
      <c r="AT171" s="1" t="str">
        <f t="shared" si="46"/>
        <v/>
      </c>
      <c r="AU171" s="1" t="str">
        <f t="shared" si="46"/>
        <v/>
      </c>
      <c r="AV171" s="1" t="str">
        <f t="shared" si="46"/>
        <v/>
      </c>
      <c r="AW171" s="1" t="str">
        <f t="shared" si="45"/>
        <v/>
      </c>
      <c r="AX171" s="1" t="str">
        <f t="shared" si="45"/>
        <v/>
      </c>
      <c r="AY171" s="1">
        <f t="shared" si="45"/>
        <v>255.6</v>
      </c>
      <c r="AZ171" s="1" t="str">
        <f t="shared" si="45"/>
        <v/>
      </c>
      <c r="BA171" s="1">
        <f t="shared" si="45"/>
        <v>2.9611889786928094</v>
      </c>
      <c r="BB171" s="1">
        <f t="shared" si="45"/>
        <v>245.02648416218287</v>
      </c>
      <c r="BC171" s="1">
        <f t="shared" si="45"/>
        <v>3.407065897276254</v>
      </c>
    </row>
    <row r="172" spans="1:55" x14ac:dyDescent="0.25">
      <c r="A172" s="30" t="s">
        <v>60</v>
      </c>
      <c r="B172" s="31" t="s">
        <v>13</v>
      </c>
      <c r="C172" s="32" t="s">
        <v>61</v>
      </c>
      <c r="D172" s="31" t="s">
        <v>76</v>
      </c>
      <c r="E172" s="31"/>
      <c r="F172" s="51">
        <f t="shared" ref="F172:K172" si="50">F156</f>
        <v>51.753554502369674</v>
      </c>
      <c r="G172" s="51">
        <f t="shared" si="50"/>
        <v>0</v>
      </c>
      <c r="H172" s="51">
        <f t="shared" si="50"/>
        <v>3.8671875</v>
      </c>
      <c r="I172" s="51">
        <f t="shared" si="50"/>
        <v>29</v>
      </c>
      <c r="J172" s="51">
        <f t="shared" si="50"/>
        <v>57.291666666666671</v>
      </c>
      <c r="K172" s="51">
        <f t="shared" si="50"/>
        <v>29</v>
      </c>
      <c r="L172" s="52">
        <f t="shared" si="48"/>
        <v>0</v>
      </c>
      <c r="M172" s="51">
        <f t="shared" si="48"/>
        <v>389.99999999999994</v>
      </c>
      <c r="N172" s="51">
        <f t="shared" si="48"/>
        <v>860</v>
      </c>
      <c r="O172" s="51">
        <f>IF(O217&gt;0,O37/O217,0)</f>
        <v>10000</v>
      </c>
      <c r="P172" s="51">
        <f t="shared" si="48"/>
        <v>27500</v>
      </c>
      <c r="Q172" s="51">
        <f t="shared" si="48"/>
        <v>0</v>
      </c>
      <c r="R172" s="51">
        <f>R156</f>
        <v>426</v>
      </c>
      <c r="S172" s="51">
        <f t="shared" si="48"/>
        <v>0</v>
      </c>
      <c r="T172" s="51">
        <f t="shared" si="48"/>
        <v>0</v>
      </c>
      <c r="U172" s="51">
        <f t="shared" si="48"/>
        <v>0</v>
      </c>
      <c r="V172" s="51">
        <f t="shared" si="48"/>
        <v>0</v>
      </c>
      <c r="W172" s="51">
        <f t="shared" si="48"/>
        <v>0</v>
      </c>
      <c r="X172" s="55">
        <f t="shared" si="48"/>
        <v>0</v>
      </c>
      <c r="Y172" s="59">
        <f t="shared" si="48"/>
        <v>39.595393037483255</v>
      </c>
      <c r="Z172" s="51">
        <f t="shared" si="48"/>
        <v>800.83194404211497</v>
      </c>
      <c r="AA172" s="51">
        <f t="shared" si="48"/>
        <v>46.280653204168004</v>
      </c>
      <c r="AC172" s="30" t="s">
        <v>60</v>
      </c>
      <c r="AD172" s="31" t="s">
        <v>13</v>
      </c>
      <c r="AE172" s="32" t="s">
        <v>61</v>
      </c>
      <c r="AF172" s="31" t="s">
        <v>76</v>
      </c>
      <c r="AG172" s="31"/>
      <c r="AH172" s="1">
        <f t="shared" si="46"/>
        <v>12.322274881516588</v>
      </c>
      <c r="AI172" s="1" t="str">
        <f t="shared" si="46"/>
        <v/>
      </c>
      <c r="AJ172" s="1" t="str">
        <f t="shared" si="46"/>
        <v/>
      </c>
      <c r="AK172" s="1">
        <f t="shared" si="46"/>
        <v>8.3843537414966001</v>
      </c>
      <c r="AL172" s="1">
        <f t="shared" si="46"/>
        <v>25.833333333333336</v>
      </c>
      <c r="AM172" s="1">
        <f t="shared" si="46"/>
        <v>9.1578947368421044</v>
      </c>
      <c r="AN172" s="52" t="str">
        <f t="shared" si="46"/>
        <v/>
      </c>
      <c r="AO172" s="1">
        <f t="shared" si="46"/>
        <v>159.73043478260865</v>
      </c>
      <c r="AP172" s="1">
        <f t="shared" si="46"/>
        <v>558.44155844155853</v>
      </c>
      <c r="AQ172" s="1">
        <f t="shared" si="46"/>
        <v>4954.9549549549547</v>
      </c>
      <c r="AR172" s="1">
        <f t="shared" si="46"/>
        <v>11891.891891891892</v>
      </c>
      <c r="AS172" s="1" t="str">
        <f t="shared" si="46"/>
        <v/>
      </c>
      <c r="AT172" s="1">
        <f t="shared" si="46"/>
        <v>170.4</v>
      </c>
      <c r="AU172" s="1" t="str">
        <f t="shared" si="46"/>
        <v/>
      </c>
      <c r="AV172" s="1" t="str">
        <f t="shared" si="46"/>
        <v/>
      </c>
      <c r="AW172" s="1" t="str">
        <f t="shared" si="45"/>
        <v/>
      </c>
      <c r="AX172" s="1" t="str">
        <f t="shared" si="45"/>
        <v/>
      </c>
      <c r="AY172" s="1" t="str">
        <f t="shared" si="45"/>
        <v/>
      </c>
      <c r="AZ172" s="1" t="str">
        <f t="shared" si="45"/>
        <v/>
      </c>
      <c r="BA172" s="1">
        <f t="shared" si="45"/>
        <v>12.07943344610654</v>
      </c>
      <c r="BB172" s="1">
        <f t="shared" si="45"/>
        <v>373.0352991897787</v>
      </c>
      <c r="BC172" s="1">
        <f t="shared" si="45"/>
        <v>15.249386160545626</v>
      </c>
    </row>
    <row r="173" spans="1:55" x14ac:dyDescent="0.25">
      <c r="A173" s="30" t="s">
        <v>60</v>
      </c>
      <c r="B173" s="31" t="s">
        <v>13</v>
      </c>
      <c r="C173" s="32" t="s">
        <v>61</v>
      </c>
      <c r="D173" s="31" t="s">
        <v>77</v>
      </c>
      <c r="E173" s="31"/>
      <c r="F173" s="51">
        <f t="shared" ref="F173:K173" si="51">F156</f>
        <v>51.753554502369674</v>
      </c>
      <c r="G173" s="51">
        <f t="shared" si="51"/>
        <v>0</v>
      </c>
      <c r="H173" s="51">
        <f t="shared" si="51"/>
        <v>3.8671875</v>
      </c>
      <c r="I173" s="51">
        <f t="shared" si="51"/>
        <v>29</v>
      </c>
      <c r="J173" s="51">
        <f t="shared" si="51"/>
        <v>57.291666666666671</v>
      </c>
      <c r="K173" s="51">
        <f t="shared" si="51"/>
        <v>29</v>
      </c>
      <c r="L173" s="52">
        <f t="shared" si="48"/>
        <v>0</v>
      </c>
      <c r="M173" s="51">
        <f t="shared" si="48"/>
        <v>390</v>
      </c>
      <c r="N173" s="51">
        <f t="shared" si="48"/>
        <v>0</v>
      </c>
      <c r="O173" s="51">
        <f t="shared" si="48"/>
        <v>0</v>
      </c>
      <c r="P173" s="51">
        <f t="shared" si="48"/>
        <v>0</v>
      </c>
      <c r="Q173" s="51">
        <f t="shared" si="48"/>
        <v>0</v>
      </c>
      <c r="R173" s="51">
        <f t="shared" si="48"/>
        <v>0</v>
      </c>
      <c r="S173" s="51">
        <f t="shared" si="48"/>
        <v>0</v>
      </c>
      <c r="T173" s="51">
        <f t="shared" si="48"/>
        <v>212.99999999999997</v>
      </c>
      <c r="U173" s="51">
        <f t="shared" si="48"/>
        <v>426</v>
      </c>
      <c r="V173" s="51">
        <f t="shared" si="48"/>
        <v>0</v>
      </c>
      <c r="W173" s="51">
        <f t="shared" si="48"/>
        <v>0</v>
      </c>
      <c r="X173" s="55">
        <f t="shared" si="48"/>
        <v>0</v>
      </c>
      <c r="Y173" s="59">
        <f t="shared" si="48"/>
        <v>28.999999999999996</v>
      </c>
      <c r="Z173" s="51">
        <f t="shared" si="48"/>
        <v>390.17747159854002</v>
      </c>
      <c r="AA173" s="51">
        <f t="shared" si="48"/>
        <v>110.35017704048781</v>
      </c>
      <c r="AC173" s="30" t="s">
        <v>60</v>
      </c>
      <c r="AD173" s="31" t="s">
        <v>13</v>
      </c>
      <c r="AE173" s="32" t="s">
        <v>61</v>
      </c>
      <c r="AF173" s="31" t="s">
        <v>77</v>
      </c>
      <c r="AG173" s="31"/>
      <c r="AH173" s="1" t="str">
        <f t="shared" ref="AH173:AV180" si="52">IF(F218&gt;0,F83/F218,"")</f>
        <v/>
      </c>
      <c r="AI173" s="1" t="str">
        <f t="shared" si="52"/>
        <v/>
      </c>
      <c r="AJ173" s="1" t="str">
        <f t="shared" si="52"/>
        <v/>
      </c>
      <c r="AK173" s="1" t="str">
        <f t="shared" si="52"/>
        <v/>
      </c>
      <c r="AL173" s="1" t="str">
        <f t="shared" si="52"/>
        <v/>
      </c>
      <c r="AM173" s="1">
        <f t="shared" si="52"/>
        <v>9.1578947368421044</v>
      </c>
      <c r="AN173" s="52" t="str">
        <f t="shared" si="52"/>
        <v/>
      </c>
      <c r="AO173" s="1">
        <f t="shared" si="52"/>
        <v>159.73043478260868</v>
      </c>
      <c r="AP173" s="1" t="str">
        <f t="shared" si="52"/>
        <v/>
      </c>
      <c r="AQ173" s="1" t="str">
        <f t="shared" si="52"/>
        <v/>
      </c>
      <c r="AR173" s="1" t="str">
        <f t="shared" si="52"/>
        <v/>
      </c>
      <c r="AS173" s="1" t="str">
        <f t="shared" si="52"/>
        <v/>
      </c>
      <c r="AT173" s="1" t="str">
        <f t="shared" si="52"/>
        <v/>
      </c>
      <c r="AU173" s="1" t="str">
        <f t="shared" si="52"/>
        <v/>
      </c>
      <c r="AV173" s="1">
        <f t="shared" si="52"/>
        <v>212.99999999999997</v>
      </c>
      <c r="AW173" s="1">
        <f t="shared" si="45"/>
        <v>213</v>
      </c>
      <c r="AX173" s="1" t="str">
        <f t="shared" si="45"/>
        <v/>
      </c>
      <c r="AY173" s="1" t="str">
        <f t="shared" si="45"/>
        <v/>
      </c>
      <c r="AZ173" s="1" t="str">
        <f t="shared" si="45"/>
        <v/>
      </c>
      <c r="BA173" s="1">
        <f t="shared" si="45"/>
        <v>9.1578947368421044</v>
      </c>
      <c r="BB173" s="1">
        <f t="shared" si="45"/>
        <v>178.63810456793442</v>
      </c>
      <c r="BC173" s="1">
        <f t="shared" si="45"/>
        <v>47.33094305460466</v>
      </c>
    </row>
    <row r="174" spans="1:55" x14ac:dyDescent="0.25">
      <c r="A174" s="30" t="s">
        <v>60</v>
      </c>
      <c r="B174" s="31" t="s">
        <v>13</v>
      </c>
      <c r="C174" s="32" t="s">
        <v>61</v>
      </c>
      <c r="D174" s="31" t="s">
        <v>78</v>
      </c>
      <c r="E174" s="31"/>
      <c r="F174" s="51">
        <f t="shared" ref="F174:K174" si="53">F156</f>
        <v>51.753554502369674</v>
      </c>
      <c r="G174" s="51">
        <f t="shared" si="53"/>
        <v>0</v>
      </c>
      <c r="H174" s="51">
        <f t="shared" si="53"/>
        <v>3.8671875</v>
      </c>
      <c r="I174" s="51">
        <f t="shared" si="53"/>
        <v>29</v>
      </c>
      <c r="J174" s="51">
        <f t="shared" si="53"/>
        <v>57.291666666666671</v>
      </c>
      <c r="K174" s="51">
        <f t="shared" si="53"/>
        <v>29</v>
      </c>
      <c r="L174" s="52">
        <f t="shared" si="48"/>
        <v>0</v>
      </c>
      <c r="M174" s="51">
        <f t="shared" si="48"/>
        <v>390</v>
      </c>
      <c r="N174" s="51">
        <f t="shared" si="48"/>
        <v>0</v>
      </c>
      <c r="O174" s="51">
        <f t="shared" si="48"/>
        <v>10000</v>
      </c>
      <c r="P174" s="51">
        <f t="shared" si="48"/>
        <v>27500</v>
      </c>
      <c r="Q174" s="51">
        <f t="shared" si="48"/>
        <v>940</v>
      </c>
      <c r="R174" s="51">
        <f t="shared" si="48"/>
        <v>0</v>
      </c>
      <c r="S174" s="51">
        <f t="shared" si="48"/>
        <v>0</v>
      </c>
      <c r="T174" s="51">
        <f t="shared" si="48"/>
        <v>0</v>
      </c>
      <c r="U174" s="51">
        <f t="shared" si="48"/>
        <v>0</v>
      </c>
      <c r="V174" s="51">
        <f t="shared" si="48"/>
        <v>0</v>
      </c>
      <c r="W174" s="51">
        <f t="shared" si="48"/>
        <v>0</v>
      </c>
      <c r="X174" s="55">
        <f t="shared" si="48"/>
        <v>426</v>
      </c>
      <c r="Y174" s="59">
        <f t="shared" si="48"/>
        <v>28.999999999999996</v>
      </c>
      <c r="Z174" s="51">
        <f t="shared" si="48"/>
        <v>930.44890765297271</v>
      </c>
      <c r="AA174" s="51">
        <f t="shared" si="48"/>
        <v>92.868863933887425</v>
      </c>
      <c r="AC174" s="30" t="s">
        <v>60</v>
      </c>
      <c r="AD174" s="31" t="s">
        <v>13</v>
      </c>
      <c r="AE174" s="32" t="s">
        <v>61</v>
      </c>
      <c r="AF174" s="31" t="s">
        <v>78</v>
      </c>
      <c r="AG174" s="31"/>
      <c r="AH174" s="1" t="str">
        <f t="shared" si="52"/>
        <v/>
      </c>
      <c r="AI174" s="1" t="str">
        <f t="shared" si="52"/>
        <v/>
      </c>
      <c r="AJ174" s="1" t="str">
        <f t="shared" si="52"/>
        <v/>
      </c>
      <c r="AK174" s="1">
        <f t="shared" si="52"/>
        <v>8.3843537414965983</v>
      </c>
      <c r="AL174" s="1" t="str">
        <f t="shared" si="52"/>
        <v/>
      </c>
      <c r="AM174" s="1">
        <f t="shared" si="52"/>
        <v>9.1578947368421044</v>
      </c>
      <c r="AN174" s="52" t="str">
        <f t="shared" si="52"/>
        <v/>
      </c>
      <c r="AO174" s="1">
        <f t="shared" si="52"/>
        <v>159.73043478260868</v>
      </c>
      <c r="AP174" s="1" t="str">
        <f t="shared" si="52"/>
        <v/>
      </c>
      <c r="AQ174" s="1">
        <f t="shared" si="52"/>
        <v>4954.9549549549547</v>
      </c>
      <c r="AR174" s="1">
        <f t="shared" si="52"/>
        <v>11891.891891891892</v>
      </c>
      <c r="AS174" s="1">
        <f t="shared" si="52"/>
        <v>376</v>
      </c>
      <c r="AT174" s="1" t="str">
        <f t="shared" si="52"/>
        <v/>
      </c>
      <c r="AU174" s="1" t="str">
        <f t="shared" si="52"/>
        <v/>
      </c>
      <c r="AV174" s="1" t="str">
        <f t="shared" si="52"/>
        <v/>
      </c>
      <c r="AW174" s="1" t="str">
        <f t="shared" si="45"/>
        <v/>
      </c>
      <c r="AX174" s="1" t="str">
        <f t="shared" si="45"/>
        <v/>
      </c>
      <c r="AY174" s="1" t="str">
        <f t="shared" si="45"/>
        <v/>
      </c>
      <c r="AZ174" s="1">
        <f t="shared" si="45"/>
        <v>213</v>
      </c>
      <c r="BA174" s="1">
        <f t="shared" si="45"/>
        <v>8.6004901960784306</v>
      </c>
      <c r="BB174" s="1">
        <f t="shared" si="45"/>
        <v>426.02852458704785</v>
      </c>
      <c r="BC174" s="1">
        <f t="shared" si="45"/>
        <v>38.175826196119772</v>
      </c>
    </row>
    <row r="175" spans="1:55" ht="15.75" thickBot="1" x14ac:dyDescent="0.3">
      <c r="A175" s="33" t="s">
        <v>60</v>
      </c>
      <c r="B175" s="34" t="s">
        <v>13</v>
      </c>
      <c r="C175" s="35" t="s">
        <v>61</v>
      </c>
      <c r="D175" s="34" t="s">
        <v>79</v>
      </c>
      <c r="E175" s="31"/>
      <c r="F175" s="51">
        <f>F156</f>
        <v>51.753554502369674</v>
      </c>
      <c r="G175" s="51">
        <f t="shared" ref="G175:K176" si="54">G156</f>
        <v>0</v>
      </c>
      <c r="H175" s="51">
        <f t="shared" si="54"/>
        <v>3.8671875</v>
      </c>
      <c r="I175" s="51">
        <f t="shared" si="54"/>
        <v>29</v>
      </c>
      <c r="J175" s="51">
        <f t="shared" si="54"/>
        <v>57.291666666666671</v>
      </c>
      <c r="K175" s="51">
        <f t="shared" si="54"/>
        <v>29</v>
      </c>
      <c r="L175" s="52">
        <f t="shared" si="48"/>
        <v>0</v>
      </c>
      <c r="M175" s="51">
        <f t="shared" si="48"/>
        <v>0</v>
      </c>
      <c r="N175" s="51">
        <f t="shared" si="48"/>
        <v>0</v>
      </c>
      <c r="O175" s="51">
        <f t="shared" si="48"/>
        <v>0</v>
      </c>
      <c r="P175" s="51">
        <f t="shared" si="48"/>
        <v>0</v>
      </c>
      <c r="Q175" s="51">
        <f t="shared" si="48"/>
        <v>0</v>
      </c>
      <c r="R175" s="51">
        <f t="shared" si="48"/>
        <v>0</v>
      </c>
      <c r="S175" s="51">
        <f t="shared" si="48"/>
        <v>0</v>
      </c>
      <c r="T175" s="51">
        <f t="shared" si="48"/>
        <v>0</v>
      </c>
      <c r="U175" s="51">
        <f t="shared" si="48"/>
        <v>0</v>
      </c>
      <c r="V175" s="51">
        <f t="shared" si="48"/>
        <v>0</v>
      </c>
      <c r="W175" s="51">
        <f t="shared" si="48"/>
        <v>0</v>
      </c>
      <c r="X175" s="55">
        <f t="shared" si="48"/>
        <v>0</v>
      </c>
      <c r="Y175" s="59">
        <f t="shared" si="48"/>
        <v>0</v>
      </c>
      <c r="Z175" s="51">
        <f t="shared" si="48"/>
        <v>0</v>
      </c>
      <c r="AA175" s="51">
        <f t="shared" si="48"/>
        <v>0</v>
      </c>
      <c r="AC175" s="33" t="s">
        <v>60</v>
      </c>
      <c r="AD175" s="34" t="s">
        <v>13</v>
      </c>
      <c r="AE175" s="35" t="s">
        <v>61</v>
      </c>
      <c r="AF175" s="34" t="s">
        <v>79</v>
      </c>
      <c r="AG175" s="31"/>
      <c r="AH175" s="1" t="str">
        <f t="shared" si="52"/>
        <v/>
      </c>
      <c r="AI175" s="1" t="str">
        <f t="shared" si="52"/>
        <v/>
      </c>
      <c r="AJ175" s="1" t="str">
        <f t="shared" si="52"/>
        <v/>
      </c>
      <c r="AK175" s="1" t="str">
        <f t="shared" si="52"/>
        <v/>
      </c>
      <c r="AL175" s="1" t="str">
        <f t="shared" si="52"/>
        <v/>
      </c>
      <c r="AM175" s="1" t="str">
        <f t="shared" si="52"/>
        <v/>
      </c>
      <c r="AN175" s="52" t="str">
        <f t="shared" si="52"/>
        <v/>
      </c>
      <c r="AO175" s="1" t="str">
        <f t="shared" si="52"/>
        <v/>
      </c>
      <c r="AP175" s="1" t="str">
        <f t="shared" si="52"/>
        <v/>
      </c>
      <c r="AQ175" s="1" t="str">
        <f t="shared" si="52"/>
        <v/>
      </c>
      <c r="AR175" s="1" t="str">
        <f t="shared" si="52"/>
        <v/>
      </c>
      <c r="AS175" s="1" t="str">
        <f t="shared" si="52"/>
        <v/>
      </c>
      <c r="AT175" s="1" t="str">
        <f t="shared" si="52"/>
        <v/>
      </c>
      <c r="AU175" s="1" t="str">
        <f t="shared" si="52"/>
        <v/>
      </c>
      <c r="AV175" s="1" t="str">
        <f t="shared" si="52"/>
        <v/>
      </c>
      <c r="AW175" s="1" t="str">
        <f t="shared" si="45"/>
        <v/>
      </c>
      <c r="AX175" s="1" t="str">
        <f t="shared" si="45"/>
        <v/>
      </c>
      <c r="AY175" s="1" t="str">
        <f t="shared" si="45"/>
        <v/>
      </c>
      <c r="AZ175" s="1" t="str">
        <f t="shared" si="45"/>
        <v/>
      </c>
      <c r="BA175" s="1" t="str">
        <f t="shared" si="45"/>
        <v/>
      </c>
      <c r="BB175" s="1" t="str">
        <f t="shared" si="45"/>
        <v/>
      </c>
      <c r="BC175" s="1" t="str">
        <f t="shared" si="45"/>
        <v/>
      </c>
    </row>
    <row r="176" spans="1:55" x14ac:dyDescent="0.25">
      <c r="A176" s="30" t="s">
        <v>60</v>
      </c>
      <c r="B176" s="31" t="s">
        <v>13</v>
      </c>
      <c r="C176" s="32" t="s">
        <v>62</v>
      </c>
      <c r="D176" s="31" t="s">
        <v>75</v>
      </c>
      <c r="E176" s="31"/>
      <c r="F176" s="51">
        <f>F157</f>
        <v>51.75355450236966</v>
      </c>
      <c r="G176" s="51">
        <f t="shared" si="54"/>
        <v>27.692307692307693</v>
      </c>
      <c r="H176" s="51">
        <f t="shared" si="54"/>
        <v>5.15625</v>
      </c>
      <c r="I176" s="51">
        <f t="shared" si="54"/>
        <v>20</v>
      </c>
      <c r="J176" s="51">
        <f t="shared" si="54"/>
        <v>0</v>
      </c>
      <c r="K176" s="51">
        <f t="shared" si="54"/>
        <v>0</v>
      </c>
      <c r="L176" s="52">
        <f t="shared" si="48"/>
        <v>0</v>
      </c>
      <c r="M176" s="51">
        <f t="shared" si="48"/>
        <v>0</v>
      </c>
      <c r="N176" s="51">
        <f t="shared" si="48"/>
        <v>0</v>
      </c>
      <c r="O176" s="51">
        <f t="shared" si="48"/>
        <v>0</v>
      </c>
      <c r="P176" s="51">
        <f t="shared" si="48"/>
        <v>0</v>
      </c>
      <c r="Q176" s="51">
        <f t="shared" si="48"/>
        <v>0</v>
      </c>
      <c r="R176" s="51">
        <f t="shared" si="48"/>
        <v>0</v>
      </c>
      <c r="S176" s="51">
        <f t="shared" si="48"/>
        <v>0</v>
      </c>
      <c r="T176" s="51">
        <f t="shared" si="48"/>
        <v>0</v>
      </c>
      <c r="U176" s="51">
        <f t="shared" si="48"/>
        <v>0</v>
      </c>
      <c r="V176" s="51">
        <f t="shared" si="48"/>
        <v>0</v>
      </c>
      <c r="W176" s="51">
        <f t="shared" si="48"/>
        <v>0</v>
      </c>
      <c r="X176" s="55">
        <f t="shared" si="48"/>
        <v>0</v>
      </c>
      <c r="Y176" s="59">
        <f t="shared" si="48"/>
        <v>0</v>
      </c>
      <c r="Z176" s="51">
        <f t="shared" si="48"/>
        <v>0</v>
      </c>
      <c r="AA176" s="51">
        <f t="shared" si="48"/>
        <v>0</v>
      </c>
      <c r="AC176" s="30" t="s">
        <v>60</v>
      </c>
      <c r="AD176" s="31" t="s">
        <v>13</v>
      </c>
      <c r="AE176" s="32" t="s">
        <v>62</v>
      </c>
      <c r="AF176" s="31" t="s">
        <v>75</v>
      </c>
      <c r="AG176" s="31"/>
      <c r="AH176" s="1" t="str">
        <f t="shared" si="52"/>
        <v/>
      </c>
      <c r="AI176" s="1" t="str">
        <f t="shared" si="52"/>
        <v/>
      </c>
      <c r="AJ176" s="1" t="str">
        <f t="shared" si="52"/>
        <v/>
      </c>
      <c r="AK176" s="1" t="str">
        <f t="shared" si="52"/>
        <v/>
      </c>
      <c r="AL176" s="1" t="str">
        <f t="shared" si="52"/>
        <v/>
      </c>
      <c r="AM176" s="1" t="str">
        <f t="shared" si="52"/>
        <v/>
      </c>
      <c r="AN176" s="52" t="str">
        <f t="shared" si="52"/>
        <v/>
      </c>
      <c r="AO176" s="1" t="str">
        <f t="shared" si="52"/>
        <v/>
      </c>
      <c r="AP176" s="1" t="str">
        <f t="shared" si="52"/>
        <v/>
      </c>
      <c r="AQ176" s="1" t="str">
        <f t="shared" si="52"/>
        <v/>
      </c>
      <c r="AR176" s="1" t="str">
        <f t="shared" si="52"/>
        <v/>
      </c>
      <c r="AS176" s="1" t="str">
        <f t="shared" si="52"/>
        <v/>
      </c>
      <c r="AT176" s="1" t="str">
        <f t="shared" si="52"/>
        <v/>
      </c>
      <c r="AU176" s="1" t="str">
        <f t="shared" si="52"/>
        <v/>
      </c>
      <c r="AV176" s="1" t="str">
        <f t="shared" si="52"/>
        <v/>
      </c>
      <c r="AW176" s="1" t="str">
        <f t="shared" si="45"/>
        <v/>
      </c>
      <c r="AX176" s="1" t="str">
        <f t="shared" si="45"/>
        <v/>
      </c>
      <c r="AY176" s="1" t="str">
        <f t="shared" si="45"/>
        <v/>
      </c>
      <c r="AZ176" s="1" t="str">
        <f t="shared" si="45"/>
        <v/>
      </c>
      <c r="BA176" s="1" t="str">
        <f t="shared" si="45"/>
        <v/>
      </c>
      <c r="BB176" s="1" t="str">
        <f t="shared" si="45"/>
        <v/>
      </c>
      <c r="BC176" s="1" t="str">
        <f t="shared" si="45"/>
        <v/>
      </c>
    </row>
    <row r="177" spans="1:55" x14ac:dyDescent="0.25">
      <c r="A177" s="30" t="s">
        <v>60</v>
      </c>
      <c r="B177" s="31" t="s">
        <v>13</v>
      </c>
      <c r="C177" s="32" t="s">
        <v>62</v>
      </c>
      <c r="D177" s="31" t="s">
        <v>76</v>
      </c>
      <c r="E177" s="31"/>
      <c r="F177" s="51">
        <f t="shared" ref="F177:K177" si="55">F157</f>
        <v>51.75355450236966</v>
      </c>
      <c r="G177" s="51">
        <f t="shared" si="55"/>
        <v>27.692307692307693</v>
      </c>
      <c r="H177" s="51">
        <f t="shared" si="55"/>
        <v>5.15625</v>
      </c>
      <c r="I177" s="51">
        <f t="shared" si="55"/>
        <v>20</v>
      </c>
      <c r="J177" s="51">
        <f t="shared" si="55"/>
        <v>0</v>
      </c>
      <c r="K177" s="51">
        <f t="shared" si="55"/>
        <v>0</v>
      </c>
      <c r="L177" s="52">
        <f t="shared" si="48"/>
        <v>0</v>
      </c>
      <c r="M177" s="51">
        <f t="shared" si="48"/>
        <v>0</v>
      </c>
      <c r="N177" s="51">
        <f t="shared" si="48"/>
        <v>0</v>
      </c>
      <c r="O177" s="51">
        <f t="shared" si="48"/>
        <v>0</v>
      </c>
      <c r="P177" s="51">
        <f t="shared" si="48"/>
        <v>0</v>
      </c>
      <c r="Q177" s="51">
        <f t="shared" si="48"/>
        <v>0</v>
      </c>
      <c r="R177" s="51">
        <f t="shared" si="48"/>
        <v>0</v>
      </c>
      <c r="S177" s="51">
        <f t="shared" si="48"/>
        <v>0</v>
      </c>
      <c r="T177" s="51">
        <f t="shared" si="48"/>
        <v>0</v>
      </c>
      <c r="U177" s="51">
        <f t="shared" si="48"/>
        <v>0</v>
      </c>
      <c r="V177" s="51">
        <f t="shared" si="48"/>
        <v>0</v>
      </c>
      <c r="W177" s="51">
        <f t="shared" si="48"/>
        <v>0</v>
      </c>
      <c r="X177" s="55">
        <f t="shared" si="48"/>
        <v>0</v>
      </c>
      <c r="Y177" s="59">
        <f t="shared" si="48"/>
        <v>10.323391842277323</v>
      </c>
      <c r="Z177" s="51">
        <f t="shared" si="48"/>
        <v>0</v>
      </c>
      <c r="AA177" s="51">
        <f t="shared" si="48"/>
        <v>10.323391842277323</v>
      </c>
      <c r="AC177" s="30" t="s">
        <v>60</v>
      </c>
      <c r="AD177" s="31" t="s">
        <v>13</v>
      </c>
      <c r="AE177" s="32" t="s">
        <v>62</v>
      </c>
      <c r="AF177" s="31" t="s">
        <v>76</v>
      </c>
      <c r="AG177" s="31"/>
      <c r="AH177" s="1">
        <f t="shared" si="52"/>
        <v>12.322274881516588</v>
      </c>
      <c r="AI177" s="1">
        <f t="shared" si="52"/>
        <v>9.2307692307692299</v>
      </c>
      <c r="AJ177" s="1">
        <f t="shared" si="52"/>
        <v>2.34375</v>
      </c>
      <c r="AK177" s="1" t="str">
        <f t="shared" si="52"/>
        <v/>
      </c>
      <c r="AL177" s="1" t="str">
        <f t="shared" si="52"/>
        <v/>
      </c>
      <c r="AM177" s="1" t="str">
        <f t="shared" si="52"/>
        <v/>
      </c>
      <c r="AN177" s="52" t="str">
        <f t="shared" si="52"/>
        <v/>
      </c>
      <c r="AO177" s="1" t="str">
        <f t="shared" si="52"/>
        <v/>
      </c>
      <c r="AP177" s="1" t="str">
        <f t="shared" si="52"/>
        <v/>
      </c>
      <c r="AQ177" s="1" t="str">
        <f t="shared" si="52"/>
        <v/>
      </c>
      <c r="AR177" s="1" t="str">
        <f t="shared" si="52"/>
        <v/>
      </c>
      <c r="AS177" s="1" t="str">
        <f t="shared" si="52"/>
        <v/>
      </c>
      <c r="AT177" s="1" t="str">
        <f t="shared" si="52"/>
        <v/>
      </c>
      <c r="AU177" s="1" t="str">
        <f t="shared" si="52"/>
        <v/>
      </c>
      <c r="AV177" s="1" t="str">
        <f t="shared" si="52"/>
        <v/>
      </c>
      <c r="AW177" s="1" t="str">
        <f t="shared" si="45"/>
        <v/>
      </c>
      <c r="AX177" s="1" t="str">
        <f t="shared" si="45"/>
        <v/>
      </c>
      <c r="AY177" s="1" t="str">
        <f t="shared" si="45"/>
        <v/>
      </c>
      <c r="AZ177" s="1" t="str">
        <f t="shared" si="45"/>
        <v/>
      </c>
      <c r="BA177" s="1">
        <f t="shared" si="45"/>
        <v>3.7871548559070565</v>
      </c>
      <c r="BB177" s="1" t="str">
        <f t="shared" si="45"/>
        <v/>
      </c>
      <c r="BC177" s="1">
        <f t="shared" si="45"/>
        <v>3.7871548559070565</v>
      </c>
    </row>
    <row r="178" spans="1:55" x14ac:dyDescent="0.25">
      <c r="A178" s="30" t="s">
        <v>60</v>
      </c>
      <c r="B178" s="31" t="s">
        <v>13</v>
      </c>
      <c r="C178" s="32" t="s">
        <v>62</v>
      </c>
      <c r="D178" s="31" t="s">
        <v>77</v>
      </c>
      <c r="E178" s="31"/>
      <c r="F178" s="51">
        <f t="shared" ref="F178:K178" si="56">F157</f>
        <v>51.75355450236966</v>
      </c>
      <c r="G178" s="51">
        <f t="shared" si="56"/>
        <v>27.692307692307693</v>
      </c>
      <c r="H178" s="51">
        <f t="shared" si="56"/>
        <v>5.15625</v>
      </c>
      <c r="I178" s="51">
        <f t="shared" si="56"/>
        <v>20</v>
      </c>
      <c r="J178" s="51">
        <f t="shared" si="56"/>
        <v>0</v>
      </c>
      <c r="K178" s="51">
        <f t="shared" si="56"/>
        <v>0</v>
      </c>
      <c r="L178" s="52">
        <f t="shared" si="48"/>
        <v>0</v>
      </c>
      <c r="M178" s="51">
        <f t="shared" si="48"/>
        <v>0</v>
      </c>
      <c r="N178" s="51">
        <f t="shared" si="48"/>
        <v>0</v>
      </c>
      <c r="O178" s="51">
        <f t="shared" si="48"/>
        <v>0</v>
      </c>
      <c r="P178" s="51">
        <f t="shared" si="48"/>
        <v>0</v>
      </c>
      <c r="Q178" s="51">
        <f t="shared" si="48"/>
        <v>0</v>
      </c>
      <c r="R178" s="51">
        <f t="shared" si="48"/>
        <v>0</v>
      </c>
      <c r="S178" s="51">
        <f t="shared" si="48"/>
        <v>0</v>
      </c>
      <c r="T178" s="51">
        <f t="shared" si="48"/>
        <v>0</v>
      </c>
      <c r="U178" s="51">
        <f t="shared" si="48"/>
        <v>0</v>
      </c>
      <c r="V178" s="51">
        <f t="shared" si="48"/>
        <v>0</v>
      </c>
      <c r="W178" s="51">
        <f t="shared" si="48"/>
        <v>0</v>
      </c>
      <c r="X178" s="55">
        <f t="shared" si="48"/>
        <v>0</v>
      </c>
      <c r="Y178" s="59">
        <f t="shared" si="48"/>
        <v>0</v>
      </c>
      <c r="Z178" s="51">
        <f t="shared" si="48"/>
        <v>0</v>
      </c>
      <c r="AA178" s="51">
        <f t="shared" si="48"/>
        <v>0</v>
      </c>
      <c r="AC178" s="30" t="s">
        <v>60</v>
      </c>
      <c r="AD178" s="31" t="s">
        <v>13</v>
      </c>
      <c r="AE178" s="32" t="s">
        <v>62</v>
      </c>
      <c r="AF178" s="31" t="s">
        <v>77</v>
      </c>
      <c r="AG178" s="31"/>
      <c r="AH178" s="1" t="str">
        <f t="shared" si="52"/>
        <v/>
      </c>
      <c r="AI178" s="1" t="str">
        <f t="shared" si="52"/>
        <v/>
      </c>
      <c r="AJ178" s="1" t="str">
        <f t="shared" si="52"/>
        <v/>
      </c>
      <c r="AK178" s="1" t="str">
        <f t="shared" si="52"/>
        <v/>
      </c>
      <c r="AL178" s="1" t="str">
        <f t="shared" si="52"/>
        <v/>
      </c>
      <c r="AM178" s="1" t="str">
        <f t="shared" si="52"/>
        <v/>
      </c>
      <c r="AN178" s="52" t="str">
        <f t="shared" si="52"/>
        <v/>
      </c>
      <c r="AO178" s="1" t="str">
        <f t="shared" si="52"/>
        <v/>
      </c>
      <c r="AP178" s="1" t="str">
        <f t="shared" si="52"/>
        <v/>
      </c>
      <c r="AQ178" s="1" t="str">
        <f t="shared" si="52"/>
        <v/>
      </c>
      <c r="AR178" s="1" t="str">
        <f t="shared" si="52"/>
        <v/>
      </c>
      <c r="AS178" s="1" t="str">
        <f t="shared" si="52"/>
        <v/>
      </c>
      <c r="AT178" s="1" t="str">
        <f t="shared" si="52"/>
        <v/>
      </c>
      <c r="AU178" s="1" t="str">
        <f t="shared" si="52"/>
        <v/>
      </c>
      <c r="AV178" s="1" t="str">
        <f t="shared" si="52"/>
        <v/>
      </c>
      <c r="AW178" s="1" t="str">
        <f t="shared" si="45"/>
        <v/>
      </c>
      <c r="AX178" s="1" t="str">
        <f t="shared" si="45"/>
        <v/>
      </c>
      <c r="AY178" s="1" t="str">
        <f t="shared" si="45"/>
        <v/>
      </c>
      <c r="AZ178" s="1" t="str">
        <f t="shared" si="45"/>
        <v/>
      </c>
      <c r="BA178" s="1" t="str">
        <f t="shared" si="45"/>
        <v/>
      </c>
      <c r="BB178" s="1" t="str">
        <f t="shared" si="45"/>
        <v/>
      </c>
      <c r="BC178" s="1" t="str">
        <f t="shared" si="45"/>
        <v/>
      </c>
    </row>
    <row r="179" spans="1:55" x14ac:dyDescent="0.25">
      <c r="A179" s="30" t="s">
        <v>60</v>
      </c>
      <c r="B179" s="31" t="s">
        <v>13</v>
      </c>
      <c r="C179" s="32" t="s">
        <v>62</v>
      </c>
      <c r="D179" s="31" t="s">
        <v>78</v>
      </c>
      <c r="E179" s="31"/>
      <c r="F179" s="51">
        <f t="shared" ref="F179:K179" si="57">F157</f>
        <v>51.75355450236966</v>
      </c>
      <c r="G179" s="51">
        <f t="shared" si="57"/>
        <v>27.692307692307693</v>
      </c>
      <c r="H179" s="51">
        <f t="shared" si="57"/>
        <v>5.15625</v>
      </c>
      <c r="I179" s="51">
        <f t="shared" si="57"/>
        <v>20</v>
      </c>
      <c r="J179" s="51">
        <f t="shared" si="57"/>
        <v>0</v>
      </c>
      <c r="K179" s="51">
        <f t="shared" si="57"/>
        <v>0</v>
      </c>
      <c r="L179" s="52">
        <f t="shared" si="48"/>
        <v>0</v>
      </c>
      <c r="M179" s="51">
        <f t="shared" si="48"/>
        <v>0</v>
      </c>
      <c r="N179" s="51">
        <f t="shared" si="48"/>
        <v>0</v>
      </c>
      <c r="O179" s="51">
        <f t="shared" si="48"/>
        <v>0</v>
      </c>
      <c r="P179" s="51">
        <f t="shared" si="48"/>
        <v>0</v>
      </c>
      <c r="Q179" s="51">
        <f t="shared" si="48"/>
        <v>0</v>
      </c>
      <c r="R179" s="51">
        <f t="shared" si="48"/>
        <v>0</v>
      </c>
      <c r="S179" s="51">
        <f t="shared" si="48"/>
        <v>0</v>
      </c>
      <c r="T179" s="51">
        <f t="shared" si="48"/>
        <v>0</v>
      </c>
      <c r="U179" s="51">
        <f t="shared" si="48"/>
        <v>0</v>
      </c>
      <c r="V179" s="51">
        <f t="shared" si="48"/>
        <v>0</v>
      </c>
      <c r="W179" s="51">
        <f t="shared" si="48"/>
        <v>0</v>
      </c>
      <c r="X179" s="55">
        <f t="shared" si="48"/>
        <v>0</v>
      </c>
      <c r="Y179" s="59">
        <f t="shared" si="48"/>
        <v>0</v>
      </c>
      <c r="Z179" s="51">
        <f t="shared" si="48"/>
        <v>0</v>
      </c>
      <c r="AA179" s="51">
        <f t="shared" si="48"/>
        <v>0</v>
      </c>
      <c r="AC179" s="30" t="s">
        <v>60</v>
      </c>
      <c r="AD179" s="31" t="s">
        <v>13</v>
      </c>
      <c r="AE179" s="32" t="s">
        <v>62</v>
      </c>
      <c r="AF179" s="31" t="s">
        <v>78</v>
      </c>
      <c r="AG179" s="31"/>
      <c r="AH179" s="1" t="str">
        <f t="shared" si="52"/>
        <v/>
      </c>
      <c r="AI179" s="1" t="str">
        <f t="shared" si="52"/>
        <v/>
      </c>
      <c r="AJ179" s="1" t="str">
        <f t="shared" si="52"/>
        <v/>
      </c>
      <c r="AK179" s="1" t="str">
        <f t="shared" si="52"/>
        <v/>
      </c>
      <c r="AL179" s="1" t="str">
        <f t="shared" si="52"/>
        <v/>
      </c>
      <c r="AM179" s="1" t="str">
        <f t="shared" si="52"/>
        <v/>
      </c>
      <c r="AN179" s="52" t="str">
        <f t="shared" si="52"/>
        <v/>
      </c>
      <c r="AO179" s="1" t="str">
        <f t="shared" si="52"/>
        <v/>
      </c>
      <c r="AP179" s="1" t="str">
        <f t="shared" si="52"/>
        <v/>
      </c>
      <c r="AQ179" s="1" t="str">
        <f t="shared" si="52"/>
        <v/>
      </c>
      <c r="AR179" s="1" t="str">
        <f t="shared" si="52"/>
        <v/>
      </c>
      <c r="AS179" s="1" t="str">
        <f t="shared" si="52"/>
        <v/>
      </c>
      <c r="AT179" s="1" t="str">
        <f t="shared" si="52"/>
        <v/>
      </c>
      <c r="AU179" s="1" t="str">
        <f t="shared" si="52"/>
        <v/>
      </c>
      <c r="AV179" s="1" t="str">
        <f t="shared" si="52"/>
        <v/>
      </c>
      <c r="AW179" s="1" t="str">
        <f t="shared" si="45"/>
        <v/>
      </c>
      <c r="AX179" s="1" t="str">
        <f t="shared" si="45"/>
        <v/>
      </c>
      <c r="AY179" s="1" t="str">
        <f t="shared" si="45"/>
        <v/>
      </c>
      <c r="AZ179" s="1" t="str">
        <f t="shared" si="45"/>
        <v/>
      </c>
      <c r="BA179" s="1" t="str">
        <f t="shared" si="45"/>
        <v/>
      </c>
      <c r="BB179" s="1" t="str">
        <f t="shared" si="45"/>
        <v/>
      </c>
      <c r="BC179" s="1" t="str">
        <f t="shared" si="45"/>
        <v/>
      </c>
    </row>
    <row r="180" spans="1:55" ht="15.75" thickBot="1" x14ac:dyDescent="0.3">
      <c r="A180" s="33" t="s">
        <v>60</v>
      </c>
      <c r="B180" s="34" t="s">
        <v>13</v>
      </c>
      <c r="C180" s="32" t="s">
        <v>62</v>
      </c>
      <c r="D180" s="34" t="s">
        <v>79</v>
      </c>
      <c r="E180" s="31"/>
      <c r="F180" s="51">
        <f t="shared" ref="F180:K180" si="58">F157</f>
        <v>51.75355450236966</v>
      </c>
      <c r="G180" s="51">
        <f t="shared" si="58"/>
        <v>27.692307692307693</v>
      </c>
      <c r="H180" s="51">
        <f t="shared" si="58"/>
        <v>5.15625</v>
      </c>
      <c r="I180" s="51">
        <f t="shared" si="58"/>
        <v>20</v>
      </c>
      <c r="J180" s="51">
        <f t="shared" si="58"/>
        <v>0</v>
      </c>
      <c r="K180" s="51">
        <f t="shared" si="58"/>
        <v>0</v>
      </c>
      <c r="L180" s="52">
        <f t="shared" si="48"/>
        <v>0</v>
      </c>
      <c r="M180" s="51">
        <f t="shared" si="48"/>
        <v>0</v>
      </c>
      <c r="N180" s="51">
        <f t="shared" si="48"/>
        <v>0</v>
      </c>
      <c r="O180" s="51">
        <f t="shared" si="48"/>
        <v>0</v>
      </c>
      <c r="P180" s="51">
        <f t="shared" si="48"/>
        <v>0</v>
      </c>
      <c r="Q180" s="51">
        <f t="shared" si="48"/>
        <v>0</v>
      </c>
      <c r="R180" s="51">
        <f t="shared" si="48"/>
        <v>0</v>
      </c>
      <c r="S180" s="51">
        <f t="shared" si="48"/>
        <v>0</v>
      </c>
      <c r="T180" s="51">
        <f t="shared" si="48"/>
        <v>0</v>
      </c>
      <c r="U180" s="51">
        <f t="shared" si="48"/>
        <v>0</v>
      </c>
      <c r="V180" s="51">
        <f t="shared" si="48"/>
        <v>0</v>
      </c>
      <c r="W180" s="51">
        <f t="shared" si="48"/>
        <v>0</v>
      </c>
      <c r="X180" s="55">
        <f t="shared" si="48"/>
        <v>0</v>
      </c>
      <c r="Y180" s="59">
        <f t="shared" si="48"/>
        <v>0</v>
      </c>
      <c r="Z180" s="51">
        <f t="shared" si="48"/>
        <v>0</v>
      </c>
      <c r="AA180" s="51">
        <f t="shared" si="48"/>
        <v>0</v>
      </c>
      <c r="AC180" s="33" t="s">
        <v>60</v>
      </c>
      <c r="AD180" s="34" t="s">
        <v>13</v>
      </c>
      <c r="AE180" s="32" t="s">
        <v>62</v>
      </c>
      <c r="AF180" s="34" t="s">
        <v>79</v>
      </c>
      <c r="AG180" s="31"/>
      <c r="AH180" s="1" t="str">
        <f t="shared" si="52"/>
        <v/>
      </c>
      <c r="AI180" s="1" t="str">
        <f t="shared" si="52"/>
        <v/>
      </c>
      <c r="AJ180" s="1" t="str">
        <f t="shared" si="52"/>
        <v/>
      </c>
      <c r="AK180" s="1" t="str">
        <f t="shared" si="52"/>
        <v/>
      </c>
      <c r="AL180" s="1" t="str">
        <f t="shared" si="52"/>
        <v/>
      </c>
      <c r="AM180" s="1" t="str">
        <f t="shared" si="52"/>
        <v/>
      </c>
      <c r="AN180" s="52" t="str">
        <f t="shared" si="52"/>
        <v/>
      </c>
      <c r="AO180" s="1" t="str">
        <f t="shared" si="52"/>
        <v/>
      </c>
      <c r="AP180" s="1" t="str">
        <f t="shared" si="52"/>
        <v/>
      </c>
      <c r="AQ180" s="1" t="str">
        <f t="shared" si="52"/>
        <v/>
      </c>
      <c r="AR180" s="1" t="str">
        <f t="shared" si="52"/>
        <v/>
      </c>
      <c r="AS180" s="1" t="str">
        <f t="shared" si="52"/>
        <v/>
      </c>
      <c r="AT180" s="1" t="str">
        <f t="shared" si="52"/>
        <v/>
      </c>
      <c r="AU180" s="1" t="str">
        <f t="shared" si="52"/>
        <v/>
      </c>
      <c r="AV180" s="1" t="str">
        <f t="shared" si="52"/>
        <v/>
      </c>
      <c r="AW180" s="1" t="str">
        <f t="shared" si="45"/>
        <v/>
      </c>
      <c r="AX180" s="1" t="str">
        <f t="shared" si="45"/>
        <v/>
      </c>
      <c r="AY180" s="1" t="str">
        <f t="shared" si="45"/>
        <v/>
      </c>
      <c r="AZ180" s="1" t="str">
        <f t="shared" si="45"/>
        <v/>
      </c>
      <c r="BA180" s="1" t="str">
        <f t="shared" si="45"/>
        <v/>
      </c>
      <c r="BB180" s="1" t="str">
        <f t="shared" si="45"/>
        <v/>
      </c>
      <c r="BC180" s="1" t="str">
        <f t="shared" si="45"/>
        <v/>
      </c>
    </row>
    <row r="182" spans="1:55" x14ac:dyDescent="0.25">
      <c r="D182" s="41" t="s">
        <v>35</v>
      </c>
      <c r="E182" s="41"/>
      <c r="M182" s="24" t="s">
        <v>81</v>
      </c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AF182" s="41" t="s">
        <v>101</v>
      </c>
      <c r="AG182" s="41"/>
      <c r="AO182" s="24" t="s">
        <v>81</v>
      </c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</row>
    <row r="183" spans="1:55" x14ac:dyDescent="0.25">
      <c r="F183" s="23" t="s">
        <v>44</v>
      </c>
      <c r="G183" s="23"/>
      <c r="H183" s="23"/>
      <c r="I183" s="23"/>
      <c r="J183" s="23"/>
      <c r="K183" s="23"/>
      <c r="L183" s="7" t="s">
        <v>30</v>
      </c>
      <c r="M183" s="24" t="s">
        <v>46</v>
      </c>
      <c r="N183" s="24"/>
      <c r="O183" s="24"/>
      <c r="P183" s="24"/>
      <c r="Q183" s="24"/>
      <c r="R183" s="24" t="s">
        <v>47</v>
      </c>
      <c r="S183" s="24"/>
      <c r="T183" s="24"/>
      <c r="U183" s="24"/>
      <c r="V183" s="24"/>
      <c r="W183" s="24"/>
      <c r="X183" s="24"/>
      <c r="Y183" s="44" t="s">
        <v>85</v>
      </c>
      <c r="Z183" s="44" t="s">
        <v>48</v>
      </c>
      <c r="AA183" s="44" t="s">
        <v>3</v>
      </c>
      <c r="AH183" s="23" t="s">
        <v>44</v>
      </c>
      <c r="AI183" s="23"/>
      <c r="AJ183" s="23"/>
      <c r="AK183" s="23"/>
      <c r="AL183" s="23"/>
      <c r="AM183" s="23"/>
      <c r="AN183" s="7" t="s">
        <v>30</v>
      </c>
      <c r="AO183" s="24" t="s">
        <v>46</v>
      </c>
      <c r="AP183" s="24"/>
      <c r="AQ183" s="24"/>
      <c r="AR183" s="24"/>
      <c r="AS183" s="24"/>
      <c r="AT183" s="24" t="s">
        <v>47</v>
      </c>
      <c r="AU183" s="24"/>
      <c r="AV183" s="24"/>
      <c r="AW183" s="24"/>
      <c r="AX183" s="24"/>
      <c r="AY183" s="24"/>
      <c r="AZ183" s="24"/>
      <c r="BA183" s="44" t="s">
        <v>85</v>
      </c>
      <c r="BB183" s="44" t="s">
        <v>48</v>
      </c>
      <c r="BC183" s="44" t="s">
        <v>3</v>
      </c>
    </row>
    <row r="184" spans="1:55" ht="63" x14ac:dyDescent="0.25">
      <c r="F184" s="38" t="s">
        <v>36</v>
      </c>
      <c r="G184" s="38" t="s">
        <v>37</v>
      </c>
      <c r="H184" s="38" t="s">
        <v>38</v>
      </c>
      <c r="I184" s="38" t="s">
        <v>80</v>
      </c>
      <c r="J184" s="38" t="s">
        <v>39</v>
      </c>
      <c r="K184" s="38" t="s">
        <v>45</v>
      </c>
      <c r="L184" s="39" t="s">
        <v>16</v>
      </c>
      <c r="M184" s="40" t="s">
        <v>34</v>
      </c>
      <c r="N184" s="40" t="s">
        <v>5</v>
      </c>
      <c r="O184" s="40" t="s">
        <v>7</v>
      </c>
      <c r="P184" s="40" t="s">
        <v>8</v>
      </c>
      <c r="Q184" s="40" t="s">
        <v>40</v>
      </c>
      <c r="R184" s="40" t="s">
        <v>41</v>
      </c>
      <c r="S184" s="40" t="s">
        <v>42</v>
      </c>
      <c r="T184" s="40" t="s">
        <v>31</v>
      </c>
      <c r="U184" s="40" t="s">
        <v>43</v>
      </c>
      <c r="V184" s="40" t="s">
        <v>82</v>
      </c>
      <c r="W184" s="40" t="s">
        <v>87</v>
      </c>
      <c r="X184" s="40" t="s">
        <v>83</v>
      </c>
      <c r="Y184" s="45" t="s">
        <v>3</v>
      </c>
      <c r="Z184" s="45" t="s">
        <v>86</v>
      </c>
      <c r="AA184" s="45" t="s">
        <v>3</v>
      </c>
      <c r="AH184" s="38" t="s">
        <v>36</v>
      </c>
      <c r="AI184" s="38" t="s">
        <v>37</v>
      </c>
      <c r="AJ184" s="38" t="s">
        <v>38</v>
      </c>
      <c r="AK184" s="38" t="s">
        <v>80</v>
      </c>
      <c r="AL184" s="38" t="s">
        <v>39</v>
      </c>
      <c r="AM184" s="38" t="s">
        <v>45</v>
      </c>
      <c r="AN184" s="39" t="s">
        <v>16</v>
      </c>
      <c r="AO184" s="40" t="s">
        <v>34</v>
      </c>
      <c r="AP184" s="40" t="s">
        <v>5</v>
      </c>
      <c r="AQ184" s="40" t="s">
        <v>7</v>
      </c>
      <c r="AR184" s="40" t="s">
        <v>8</v>
      </c>
      <c r="AS184" s="40" t="s">
        <v>40</v>
      </c>
      <c r="AT184" s="40" t="s">
        <v>41</v>
      </c>
      <c r="AU184" s="40" t="s">
        <v>42</v>
      </c>
      <c r="AV184" s="40" t="s">
        <v>31</v>
      </c>
      <c r="AW184" s="40" t="s">
        <v>43</v>
      </c>
      <c r="AX184" s="40" t="s">
        <v>82</v>
      </c>
      <c r="AY184" s="40" t="s">
        <v>87</v>
      </c>
      <c r="AZ184" s="40" t="s">
        <v>83</v>
      </c>
      <c r="BA184" s="45" t="s">
        <v>3</v>
      </c>
      <c r="BB184" s="45" t="s">
        <v>86</v>
      </c>
      <c r="BC184" s="45" t="s">
        <v>3</v>
      </c>
    </row>
    <row r="185" spans="1:55" x14ac:dyDescent="0.25">
      <c r="A185" s="15" t="s">
        <v>51</v>
      </c>
      <c r="B185" s="2"/>
      <c r="C185" s="2"/>
      <c r="F185" s="1">
        <f t="shared" ref="F185:M185" si="59">F187+F188+F189</f>
        <v>0</v>
      </c>
      <c r="G185" s="1">
        <f t="shared" si="59"/>
        <v>0</v>
      </c>
      <c r="H185" s="1">
        <f t="shared" si="59"/>
        <v>0</v>
      </c>
      <c r="I185" s="1">
        <f t="shared" si="59"/>
        <v>0</v>
      </c>
      <c r="J185" s="1">
        <f t="shared" si="59"/>
        <v>0</v>
      </c>
      <c r="K185" s="1">
        <f t="shared" si="59"/>
        <v>0</v>
      </c>
      <c r="L185" s="52">
        <f t="shared" si="59"/>
        <v>0</v>
      </c>
      <c r="M185" s="1">
        <f t="shared" si="59"/>
        <v>0</v>
      </c>
      <c r="N185" s="1">
        <f t="shared" ref="N185:X185" si="60">N187+N188+N189</f>
        <v>0</v>
      </c>
      <c r="O185" s="1">
        <f t="shared" si="60"/>
        <v>0</v>
      </c>
      <c r="P185" s="1">
        <f t="shared" si="60"/>
        <v>0</v>
      </c>
      <c r="Q185" s="1">
        <f t="shared" si="60"/>
        <v>0</v>
      </c>
      <c r="R185" s="1">
        <f t="shared" si="60"/>
        <v>0</v>
      </c>
      <c r="S185" s="1">
        <f t="shared" si="60"/>
        <v>0</v>
      </c>
      <c r="T185" s="1">
        <f t="shared" si="60"/>
        <v>0</v>
      </c>
      <c r="U185" s="1">
        <f t="shared" si="60"/>
        <v>0</v>
      </c>
      <c r="V185" s="1">
        <f t="shared" si="60"/>
        <v>0</v>
      </c>
      <c r="W185" s="1">
        <f t="shared" si="60"/>
        <v>0</v>
      </c>
      <c r="X185" s="1">
        <f t="shared" si="60"/>
        <v>0</v>
      </c>
      <c r="Y185" s="58">
        <f t="shared" ref="Y185:Y225" si="61">SUM(F185:K185)</f>
        <v>0</v>
      </c>
      <c r="Z185" s="1">
        <f t="shared" ref="Z185:Z225" si="62">SUM(M185:X185)</f>
        <v>0</v>
      </c>
      <c r="AA185" s="1">
        <f t="shared" ref="AA185:AA225" si="63">L185+Y185+Z185</f>
        <v>0</v>
      </c>
      <c r="AC185" s="15" t="s">
        <v>51</v>
      </c>
      <c r="AD185" s="2"/>
      <c r="AE185" s="2"/>
      <c r="AH185" s="1" t="str">
        <f t="shared" ref="AH185:AW200" si="64">IF(F185&gt;0,F230/F185*1000,"")</f>
        <v/>
      </c>
      <c r="AI185" s="1" t="str">
        <f t="shared" si="64"/>
        <v/>
      </c>
      <c r="AJ185" s="1" t="str">
        <f t="shared" si="64"/>
        <v/>
      </c>
      <c r="AK185" s="1" t="str">
        <f t="shared" si="64"/>
        <v/>
      </c>
      <c r="AL185" s="1" t="str">
        <f t="shared" si="64"/>
        <v/>
      </c>
      <c r="AM185" s="1" t="str">
        <f t="shared" si="64"/>
        <v/>
      </c>
      <c r="AN185" s="52" t="str">
        <f t="shared" si="64"/>
        <v/>
      </c>
      <c r="AO185" s="1" t="str">
        <f t="shared" si="64"/>
        <v/>
      </c>
      <c r="AP185" s="1" t="str">
        <f t="shared" si="64"/>
        <v/>
      </c>
      <c r="AQ185" s="1" t="str">
        <f t="shared" si="64"/>
        <v/>
      </c>
      <c r="AR185" s="1" t="str">
        <f t="shared" si="64"/>
        <v/>
      </c>
      <c r="AS185" s="1" t="str">
        <f t="shared" si="64"/>
        <v/>
      </c>
      <c r="AT185" s="1" t="str">
        <f t="shared" si="64"/>
        <v/>
      </c>
      <c r="AU185" s="1" t="str">
        <f t="shared" si="64"/>
        <v/>
      </c>
      <c r="AV185" s="1" t="str">
        <f t="shared" si="64"/>
        <v/>
      </c>
      <c r="AW185" s="1" t="str">
        <f t="shared" si="64"/>
        <v/>
      </c>
      <c r="AX185" s="1" t="str">
        <f t="shared" ref="AX185:BC200" si="65">IF(V185&gt;0,V230/V185*1000,"")</f>
        <v/>
      </c>
      <c r="AY185" s="1" t="str">
        <f t="shared" si="65"/>
        <v/>
      </c>
      <c r="AZ185" s="1" t="str">
        <f t="shared" si="65"/>
        <v/>
      </c>
      <c r="BA185" s="1" t="str">
        <f t="shared" si="65"/>
        <v/>
      </c>
      <c r="BB185" s="1" t="str">
        <f t="shared" si="65"/>
        <v/>
      </c>
      <c r="BC185" s="1" t="str">
        <f t="shared" si="65"/>
        <v/>
      </c>
    </row>
    <row r="186" spans="1:55" x14ac:dyDescent="0.25">
      <c r="A186" s="30" t="s">
        <v>60</v>
      </c>
      <c r="B186" s="2"/>
      <c r="C186" s="2"/>
      <c r="F186" s="1">
        <f>F190+F191+F192+F193</f>
        <v>214.74999999999997</v>
      </c>
      <c r="G186" s="1">
        <f t="shared" ref="G186:X186" si="66">G190+G191+G192+G193</f>
        <v>65</v>
      </c>
      <c r="H186" s="1">
        <f t="shared" si="66"/>
        <v>1600</v>
      </c>
      <c r="I186" s="1">
        <f t="shared" si="66"/>
        <v>101.37931034482759</v>
      </c>
      <c r="J186" s="1">
        <f t="shared" si="66"/>
        <v>119.54568581530972</v>
      </c>
      <c r="K186" s="1">
        <f t="shared" si="66"/>
        <v>1088.746081504702</v>
      </c>
      <c r="L186" s="52">
        <f t="shared" si="66"/>
        <v>261.43790849673206</v>
      </c>
      <c r="M186" s="1">
        <f t="shared" si="66"/>
        <v>33.735754985754987</v>
      </c>
      <c r="N186" s="1">
        <f t="shared" si="66"/>
        <v>1.4005348837209302</v>
      </c>
      <c r="O186" s="1">
        <f t="shared" si="66"/>
        <v>4.4400000000000002E-2</v>
      </c>
      <c r="P186" s="1">
        <f t="shared" si="66"/>
        <v>4.0363636363636365E-2</v>
      </c>
      <c r="Q186" s="1">
        <f t="shared" si="66"/>
        <v>23.355322625504105</v>
      </c>
      <c r="R186" s="1">
        <f t="shared" si="66"/>
        <v>33.692595661112648</v>
      </c>
      <c r="S186" s="1">
        <f t="shared" si="66"/>
        <v>2.4500000000000002</v>
      </c>
      <c r="T186" s="1">
        <f t="shared" si="66"/>
        <v>33.03057004788856</v>
      </c>
      <c r="U186" s="1">
        <f t="shared" si="66"/>
        <v>16.709073613796068</v>
      </c>
      <c r="V186" s="1">
        <f t="shared" si="66"/>
        <v>9.9528014756709453</v>
      </c>
      <c r="W186" s="1">
        <f t="shared" si="66"/>
        <v>14.039092945472399</v>
      </c>
      <c r="X186" s="54">
        <f t="shared" si="66"/>
        <v>41.962199914232599</v>
      </c>
      <c r="Y186" s="58">
        <f t="shared" si="61"/>
        <v>3189.4210776648392</v>
      </c>
      <c r="Z186" s="1">
        <f t="shared" si="62"/>
        <v>210.4127097895169</v>
      </c>
      <c r="AA186" s="1">
        <f t="shared" si="63"/>
        <v>3661.2716959510885</v>
      </c>
      <c r="AC186" s="30" t="s">
        <v>60</v>
      </c>
      <c r="AD186" s="2"/>
      <c r="AE186" s="2"/>
      <c r="AH186" s="1">
        <f t="shared" si="64"/>
        <v>308.11334775552655</v>
      </c>
      <c r="AI186" s="1">
        <f t="shared" si="64"/>
        <v>161.94331983805668</v>
      </c>
      <c r="AJ186" s="1">
        <f t="shared" si="64"/>
        <v>25.541795665634677</v>
      </c>
      <c r="AK186" s="1">
        <f t="shared" si="64"/>
        <v>179.56656346749224</v>
      </c>
      <c r="AL186" s="1">
        <f t="shared" si="64"/>
        <v>1044.6753957353076</v>
      </c>
      <c r="AM186" s="1">
        <f t="shared" si="64"/>
        <v>36.476849675026592</v>
      </c>
      <c r="AN186" s="52">
        <f t="shared" si="64"/>
        <v>18939.393939393936</v>
      </c>
      <c r="AO186" s="1">
        <f t="shared" si="64"/>
        <v>7112.9362709865736</v>
      </c>
      <c r="AP186" s="1">
        <f t="shared" si="64"/>
        <v>14762.795241249441</v>
      </c>
      <c r="AQ186" s="1">
        <f t="shared" si="64"/>
        <v>58479.53216374269</v>
      </c>
      <c r="AR186" s="1">
        <f t="shared" si="64"/>
        <v>160818.71345029239</v>
      </c>
      <c r="AS186" s="1">
        <f t="shared" si="64"/>
        <v>26835.251564794344</v>
      </c>
      <c r="AT186" s="1">
        <f t="shared" si="64"/>
        <v>12122.869230912927</v>
      </c>
      <c r="AU186" s="1">
        <f t="shared" si="64"/>
        <v>2222.2222222222222</v>
      </c>
      <c r="AV186" s="1">
        <f t="shared" si="64"/>
        <v>12108.319192271527</v>
      </c>
      <c r="AW186" s="1">
        <f t="shared" si="64"/>
        <v>11779.763476551485</v>
      </c>
      <c r="AX186" s="1">
        <f t="shared" si="65"/>
        <v>11979.33789616487</v>
      </c>
      <c r="AY186" s="1">
        <f t="shared" si="65"/>
        <v>10531.261709090002</v>
      </c>
      <c r="AZ186" s="1">
        <f t="shared" si="65"/>
        <v>11319.210922388673</v>
      </c>
      <c r="BA186" s="1">
        <f t="shared" si="65"/>
        <v>94.175501171863829</v>
      </c>
      <c r="BB186" s="1">
        <f t="shared" si="65"/>
        <v>12590.470824876373</v>
      </c>
      <c r="BC186" s="1">
        <f t="shared" si="65"/>
        <v>2158.0031770583105</v>
      </c>
    </row>
    <row r="187" spans="1:55" x14ac:dyDescent="0.25">
      <c r="A187" s="15" t="s">
        <v>51</v>
      </c>
      <c r="B187" s="16" t="s">
        <v>52</v>
      </c>
      <c r="C187" s="2"/>
      <c r="F187" s="1">
        <f>F194+F195+F196</f>
        <v>0</v>
      </c>
      <c r="G187" s="1">
        <f t="shared" ref="G187:X187" si="67">G194+G195+G196</f>
        <v>0</v>
      </c>
      <c r="H187" s="1">
        <f t="shared" si="67"/>
        <v>0</v>
      </c>
      <c r="I187" s="1">
        <f t="shared" si="67"/>
        <v>0</v>
      </c>
      <c r="J187" s="1">
        <f t="shared" si="67"/>
        <v>0</v>
      </c>
      <c r="K187" s="1">
        <f t="shared" si="67"/>
        <v>0</v>
      </c>
      <c r="L187" s="52">
        <f t="shared" si="67"/>
        <v>0</v>
      </c>
      <c r="M187" s="1">
        <f t="shared" si="67"/>
        <v>0</v>
      </c>
      <c r="N187" s="1">
        <f t="shared" si="67"/>
        <v>0</v>
      </c>
      <c r="O187" s="1">
        <f t="shared" si="67"/>
        <v>0</v>
      </c>
      <c r="P187" s="1">
        <f t="shared" si="67"/>
        <v>0</v>
      </c>
      <c r="Q187" s="1">
        <f t="shared" si="67"/>
        <v>0</v>
      </c>
      <c r="R187" s="1">
        <f t="shared" si="67"/>
        <v>0</v>
      </c>
      <c r="S187" s="1">
        <f t="shared" si="67"/>
        <v>0</v>
      </c>
      <c r="T187" s="1">
        <f t="shared" si="67"/>
        <v>0</v>
      </c>
      <c r="U187" s="1">
        <f t="shared" si="67"/>
        <v>0</v>
      </c>
      <c r="V187" s="1">
        <f t="shared" si="67"/>
        <v>0</v>
      </c>
      <c r="W187" s="1">
        <f t="shared" si="67"/>
        <v>0</v>
      </c>
      <c r="X187" s="54">
        <f t="shared" si="67"/>
        <v>0</v>
      </c>
      <c r="Y187" s="58">
        <f t="shared" si="61"/>
        <v>0</v>
      </c>
      <c r="Z187" s="1">
        <f t="shared" si="62"/>
        <v>0</v>
      </c>
      <c r="AA187" s="1">
        <f t="shared" si="63"/>
        <v>0</v>
      </c>
      <c r="AC187" s="15" t="s">
        <v>51</v>
      </c>
      <c r="AD187" s="16" t="s">
        <v>52</v>
      </c>
      <c r="AE187" s="2"/>
      <c r="AH187" s="1" t="str">
        <f t="shared" si="64"/>
        <v/>
      </c>
      <c r="AI187" s="1" t="str">
        <f t="shared" si="64"/>
        <v/>
      </c>
      <c r="AJ187" s="1" t="str">
        <f t="shared" si="64"/>
        <v/>
      </c>
      <c r="AK187" s="1" t="str">
        <f t="shared" si="64"/>
        <v/>
      </c>
      <c r="AL187" s="1" t="str">
        <f t="shared" si="64"/>
        <v/>
      </c>
      <c r="AM187" s="1" t="str">
        <f t="shared" si="64"/>
        <v/>
      </c>
      <c r="AN187" s="52" t="str">
        <f t="shared" si="64"/>
        <v/>
      </c>
      <c r="AO187" s="1" t="str">
        <f t="shared" si="64"/>
        <v/>
      </c>
      <c r="AP187" s="1" t="str">
        <f t="shared" si="64"/>
        <v/>
      </c>
      <c r="AQ187" s="1" t="str">
        <f t="shared" si="64"/>
        <v/>
      </c>
      <c r="AR187" s="1" t="str">
        <f t="shared" si="64"/>
        <v/>
      </c>
      <c r="AS187" s="1" t="str">
        <f t="shared" si="64"/>
        <v/>
      </c>
      <c r="AT187" s="1" t="str">
        <f t="shared" si="64"/>
        <v/>
      </c>
      <c r="AU187" s="1" t="str">
        <f t="shared" si="64"/>
        <v/>
      </c>
      <c r="AV187" s="1" t="str">
        <f t="shared" si="64"/>
        <v/>
      </c>
      <c r="AW187" s="1" t="str">
        <f t="shared" si="64"/>
        <v/>
      </c>
      <c r="AX187" s="1" t="str">
        <f t="shared" si="65"/>
        <v/>
      </c>
      <c r="AY187" s="1" t="str">
        <f t="shared" si="65"/>
        <v/>
      </c>
      <c r="AZ187" s="1" t="str">
        <f t="shared" si="65"/>
        <v/>
      </c>
      <c r="BA187" s="1" t="str">
        <f t="shared" si="65"/>
        <v/>
      </c>
      <c r="BB187" s="1" t="str">
        <f t="shared" si="65"/>
        <v/>
      </c>
      <c r="BC187" s="1" t="str">
        <f t="shared" si="65"/>
        <v/>
      </c>
    </row>
    <row r="188" spans="1:55" x14ac:dyDescent="0.25">
      <c r="A188" s="15" t="s">
        <v>51</v>
      </c>
      <c r="B188" s="16" t="s">
        <v>56</v>
      </c>
      <c r="C188" s="2"/>
      <c r="F188" s="1">
        <f>F197+F198+F199</f>
        <v>0</v>
      </c>
      <c r="G188" s="1">
        <f t="shared" ref="G188:X188" si="68">G197+G198+G199</f>
        <v>0</v>
      </c>
      <c r="H188" s="1">
        <f t="shared" si="68"/>
        <v>0</v>
      </c>
      <c r="I188" s="1">
        <f t="shared" si="68"/>
        <v>0</v>
      </c>
      <c r="J188" s="1">
        <f t="shared" si="68"/>
        <v>0</v>
      </c>
      <c r="K188" s="1">
        <f t="shared" si="68"/>
        <v>0</v>
      </c>
      <c r="L188" s="52">
        <f t="shared" si="68"/>
        <v>0</v>
      </c>
      <c r="M188" s="1">
        <f t="shared" si="68"/>
        <v>0</v>
      </c>
      <c r="N188" s="1">
        <f t="shared" si="68"/>
        <v>0</v>
      </c>
      <c r="O188" s="1">
        <f t="shared" si="68"/>
        <v>0</v>
      </c>
      <c r="P188" s="1">
        <f t="shared" si="68"/>
        <v>0</v>
      </c>
      <c r="Q188" s="1">
        <f t="shared" si="68"/>
        <v>0</v>
      </c>
      <c r="R188" s="1">
        <f t="shared" si="68"/>
        <v>0</v>
      </c>
      <c r="S188" s="1">
        <f t="shared" si="68"/>
        <v>0</v>
      </c>
      <c r="T188" s="1">
        <f t="shared" si="68"/>
        <v>0</v>
      </c>
      <c r="U188" s="1">
        <f t="shared" si="68"/>
        <v>0</v>
      </c>
      <c r="V188" s="1">
        <f t="shared" si="68"/>
        <v>0</v>
      </c>
      <c r="W188" s="1">
        <f t="shared" si="68"/>
        <v>0</v>
      </c>
      <c r="X188" s="54">
        <f t="shared" si="68"/>
        <v>0</v>
      </c>
      <c r="Y188" s="58">
        <f t="shared" si="61"/>
        <v>0</v>
      </c>
      <c r="Z188" s="1">
        <f t="shared" si="62"/>
        <v>0</v>
      </c>
      <c r="AA188" s="1">
        <f t="shared" si="63"/>
        <v>0</v>
      </c>
      <c r="AC188" s="15" t="s">
        <v>51</v>
      </c>
      <c r="AD188" s="16" t="s">
        <v>56</v>
      </c>
      <c r="AE188" s="2"/>
      <c r="AH188" s="1" t="str">
        <f t="shared" si="64"/>
        <v/>
      </c>
      <c r="AI188" s="1" t="str">
        <f t="shared" si="64"/>
        <v/>
      </c>
      <c r="AJ188" s="1" t="str">
        <f t="shared" si="64"/>
        <v/>
      </c>
      <c r="AK188" s="1" t="str">
        <f t="shared" si="64"/>
        <v/>
      </c>
      <c r="AL188" s="1" t="str">
        <f t="shared" si="64"/>
        <v/>
      </c>
      <c r="AM188" s="1" t="str">
        <f t="shared" si="64"/>
        <v/>
      </c>
      <c r="AN188" s="52" t="str">
        <f t="shared" si="64"/>
        <v/>
      </c>
      <c r="AO188" s="1" t="str">
        <f t="shared" si="64"/>
        <v/>
      </c>
      <c r="AP188" s="1" t="str">
        <f t="shared" si="64"/>
        <v/>
      </c>
      <c r="AQ188" s="1" t="str">
        <f t="shared" si="64"/>
        <v/>
      </c>
      <c r="AR188" s="1" t="str">
        <f t="shared" si="64"/>
        <v/>
      </c>
      <c r="AS188" s="1" t="str">
        <f t="shared" si="64"/>
        <v/>
      </c>
      <c r="AT188" s="1" t="str">
        <f t="shared" si="64"/>
        <v/>
      </c>
      <c r="AU188" s="1" t="str">
        <f t="shared" si="64"/>
        <v/>
      </c>
      <c r="AV188" s="1" t="str">
        <f t="shared" si="64"/>
        <v/>
      </c>
      <c r="AW188" s="1" t="str">
        <f t="shared" si="64"/>
        <v/>
      </c>
      <c r="AX188" s="1" t="str">
        <f t="shared" si="65"/>
        <v/>
      </c>
      <c r="AY188" s="1" t="str">
        <f t="shared" si="65"/>
        <v/>
      </c>
      <c r="AZ188" s="1" t="str">
        <f t="shared" si="65"/>
        <v/>
      </c>
      <c r="BA188" s="1" t="str">
        <f t="shared" si="65"/>
        <v/>
      </c>
      <c r="BB188" s="1" t="str">
        <f t="shared" si="65"/>
        <v/>
      </c>
      <c r="BC188" s="1" t="str">
        <f t="shared" si="65"/>
        <v/>
      </c>
    </row>
    <row r="189" spans="1:55" x14ac:dyDescent="0.25">
      <c r="A189" s="15" t="s">
        <v>51</v>
      </c>
      <c r="B189" s="16" t="s">
        <v>9</v>
      </c>
      <c r="C189" s="2"/>
      <c r="F189" s="1">
        <f>F200</f>
        <v>0</v>
      </c>
      <c r="G189" s="1">
        <f t="shared" ref="G189:X189" si="69">G200</f>
        <v>0</v>
      </c>
      <c r="H189" s="1">
        <f t="shared" si="69"/>
        <v>0</v>
      </c>
      <c r="I189" s="1">
        <f t="shared" si="69"/>
        <v>0</v>
      </c>
      <c r="J189" s="1">
        <f t="shared" si="69"/>
        <v>0</v>
      </c>
      <c r="K189" s="1">
        <f t="shared" si="69"/>
        <v>0</v>
      </c>
      <c r="L189" s="52">
        <f t="shared" si="69"/>
        <v>0</v>
      </c>
      <c r="M189" s="1">
        <f t="shared" si="69"/>
        <v>0</v>
      </c>
      <c r="N189" s="1">
        <f t="shared" si="69"/>
        <v>0</v>
      </c>
      <c r="O189" s="1">
        <f t="shared" si="69"/>
        <v>0</v>
      </c>
      <c r="P189" s="1">
        <f t="shared" si="69"/>
        <v>0</v>
      </c>
      <c r="Q189" s="1">
        <f t="shared" si="69"/>
        <v>0</v>
      </c>
      <c r="R189" s="1">
        <f t="shared" si="69"/>
        <v>0</v>
      </c>
      <c r="S189" s="1">
        <f t="shared" si="69"/>
        <v>0</v>
      </c>
      <c r="T189" s="1">
        <f t="shared" si="69"/>
        <v>0</v>
      </c>
      <c r="U189" s="1">
        <f t="shared" si="69"/>
        <v>0</v>
      </c>
      <c r="V189" s="1">
        <f t="shared" si="69"/>
        <v>0</v>
      </c>
      <c r="W189" s="1">
        <f t="shared" si="69"/>
        <v>0</v>
      </c>
      <c r="X189" s="54">
        <f t="shared" si="69"/>
        <v>0</v>
      </c>
      <c r="Y189" s="58">
        <f t="shared" si="61"/>
        <v>0</v>
      </c>
      <c r="Z189" s="1">
        <f t="shared" si="62"/>
        <v>0</v>
      </c>
      <c r="AA189" s="1">
        <f t="shared" si="63"/>
        <v>0</v>
      </c>
      <c r="AC189" s="15" t="s">
        <v>51</v>
      </c>
      <c r="AD189" s="16" t="s">
        <v>9</v>
      </c>
      <c r="AE189" s="2"/>
      <c r="AH189" s="1" t="str">
        <f t="shared" si="64"/>
        <v/>
      </c>
      <c r="AI189" s="1" t="str">
        <f t="shared" si="64"/>
        <v/>
      </c>
      <c r="AJ189" s="1" t="str">
        <f t="shared" si="64"/>
        <v/>
      </c>
      <c r="AK189" s="1" t="str">
        <f t="shared" si="64"/>
        <v/>
      </c>
      <c r="AL189" s="1" t="str">
        <f t="shared" si="64"/>
        <v/>
      </c>
      <c r="AM189" s="1" t="str">
        <f t="shared" si="64"/>
        <v/>
      </c>
      <c r="AN189" s="52" t="str">
        <f t="shared" si="64"/>
        <v/>
      </c>
      <c r="AO189" s="1" t="str">
        <f t="shared" si="64"/>
        <v/>
      </c>
      <c r="AP189" s="1" t="str">
        <f t="shared" si="64"/>
        <v/>
      </c>
      <c r="AQ189" s="1" t="str">
        <f t="shared" si="64"/>
        <v/>
      </c>
      <c r="AR189" s="1" t="str">
        <f t="shared" si="64"/>
        <v/>
      </c>
      <c r="AS189" s="1" t="str">
        <f t="shared" si="64"/>
        <v/>
      </c>
      <c r="AT189" s="1" t="str">
        <f t="shared" si="64"/>
        <v/>
      </c>
      <c r="AU189" s="1" t="str">
        <f t="shared" si="64"/>
        <v/>
      </c>
      <c r="AV189" s="1" t="str">
        <f t="shared" si="64"/>
        <v/>
      </c>
      <c r="AW189" s="1" t="str">
        <f t="shared" si="64"/>
        <v/>
      </c>
      <c r="AX189" s="1" t="str">
        <f t="shared" si="65"/>
        <v/>
      </c>
      <c r="AY189" s="1" t="str">
        <f t="shared" si="65"/>
        <v/>
      </c>
      <c r="AZ189" s="1" t="str">
        <f t="shared" si="65"/>
        <v/>
      </c>
      <c r="BA189" s="1" t="str">
        <f t="shared" si="65"/>
        <v/>
      </c>
      <c r="BB189" s="1" t="str">
        <f t="shared" si="65"/>
        <v/>
      </c>
      <c r="BC189" s="1" t="str">
        <f t="shared" si="65"/>
        <v/>
      </c>
    </row>
    <row r="190" spans="1:55" x14ac:dyDescent="0.25">
      <c r="A190" s="30" t="s">
        <v>60</v>
      </c>
      <c r="B190" s="32" t="s">
        <v>13</v>
      </c>
      <c r="C190" s="2"/>
      <c r="F190" s="51">
        <f>F201+F202+F203</f>
        <v>210.99999999999997</v>
      </c>
      <c r="G190" s="51">
        <f t="shared" ref="G190:X190" si="70">G201+G202+G203</f>
        <v>65</v>
      </c>
      <c r="H190" s="51">
        <f t="shared" si="70"/>
        <v>1600</v>
      </c>
      <c r="I190" s="51">
        <f t="shared" si="70"/>
        <v>101.37931034482759</v>
      </c>
      <c r="J190" s="51">
        <f t="shared" si="70"/>
        <v>19.2</v>
      </c>
      <c r="K190" s="51">
        <f t="shared" si="70"/>
        <v>19.655172413793103</v>
      </c>
      <c r="L190" s="52">
        <f t="shared" si="70"/>
        <v>0</v>
      </c>
      <c r="M190" s="51">
        <f t="shared" si="70"/>
        <v>2.9487179487179489</v>
      </c>
      <c r="N190" s="51">
        <f t="shared" si="70"/>
        <v>8.9534883720930228E-2</v>
      </c>
      <c r="O190" s="51">
        <f t="shared" si="70"/>
        <v>4.4400000000000002E-2</v>
      </c>
      <c r="P190" s="51">
        <f t="shared" si="70"/>
        <v>4.0363636363636365E-2</v>
      </c>
      <c r="Q190" s="51">
        <f t="shared" si="70"/>
        <v>2.3936170212765957E-2</v>
      </c>
      <c r="R190" s="51">
        <f t="shared" si="70"/>
        <v>0.16901408450704225</v>
      </c>
      <c r="S190" s="51">
        <f t="shared" si="70"/>
        <v>0</v>
      </c>
      <c r="T190" s="51">
        <f t="shared" si="70"/>
        <v>0.13521126760563382</v>
      </c>
      <c r="U190" s="51">
        <f t="shared" si="70"/>
        <v>0.676056338028169</v>
      </c>
      <c r="V190" s="51">
        <f t="shared" si="70"/>
        <v>0.11737089201877934</v>
      </c>
      <c r="W190" s="51">
        <f t="shared" si="70"/>
        <v>2.3787167449139281</v>
      </c>
      <c r="X190" s="55">
        <f t="shared" si="70"/>
        <v>1.784037558685446</v>
      </c>
      <c r="Y190" s="59">
        <f t="shared" si="61"/>
        <v>2016.2344827586207</v>
      </c>
      <c r="Z190" s="51">
        <f t="shared" si="62"/>
        <v>8.4073595247742787</v>
      </c>
      <c r="AA190" s="51">
        <f t="shared" si="63"/>
        <v>2024.6418422833949</v>
      </c>
      <c r="AC190" s="30" t="s">
        <v>60</v>
      </c>
      <c r="AD190" s="32" t="s">
        <v>13</v>
      </c>
      <c r="AE190" s="2"/>
      <c r="AH190" s="1">
        <f t="shared" si="64"/>
        <v>302.65236551093375</v>
      </c>
      <c r="AI190" s="1">
        <f t="shared" si="64"/>
        <v>161.94331983805668</v>
      </c>
      <c r="AJ190" s="1">
        <f t="shared" si="64"/>
        <v>25.541795665634677</v>
      </c>
      <c r="AK190" s="1">
        <f t="shared" si="64"/>
        <v>179.56656346749224</v>
      </c>
      <c r="AL190" s="1">
        <f t="shared" si="64"/>
        <v>354.74716202270378</v>
      </c>
      <c r="AM190" s="1">
        <f t="shared" si="64"/>
        <v>179.56656346749224</v>
      </c>
      <c r="AN190" s="52" t="str">
        <f t="shared" si="64"/>
        <v/>
      </c>
      <c r="AO190" s="1">
        <f t="shared" si="64"/>
        <v>2280.7017543859647</v>
      </c>
      <c r="AP190" s="1">
        <f t="shared" si="64"/>
        <v>5657.894736842105</v>
      </c>
      <c r="AQ190" s="1">
        <f t="shared" si="64"/>
        <v>58479.53216374269</v>
      </c>
      <c r="AR190" s="1">
        <f t="shared" si="64"/>
        <v>160818.71345029239</v>
      </c>
      <c r="AS190" s="1">
        <f t="shared" si="64"/>
        <v>5497.0760233918127</v>
      </c>
      <c r="AT190" s="1">
        <f t="shared" si="64"/>
        <v>2491.2280701754385</v>
      </c>
      <c r="AU190" s="1" t="str">
        <f t="shared" si="64"/>
        <v/>
      </c>
      <c r="AV190" s="1">
        <f t="shared" si="64"/>
        <v>2491.2280701754385</v>
      </c>
      <c r="AW190" s="1">
        <f t="shared" si="64"/>
        <v>2491.2280701754385</v>
      </c>
      <c r="AX190" s="1">
        <f t="shared" si="65"/>
        <v>2491.2280701754385</v>
      </c>
      <c r="AY190" s="1">
        <f t="shared" si="65"/>
        <v>2491.2280701754389</v>
      </c>
      <c r="AZ190" s="1">
        <f t="shared" si="65"/>
        <v>2491.2280701754389</v>
      </c>
      <c r="BA190" s="1">
        <f t="shared" si="65"/>
        <v>71.319943611627139</v>
      </c>
      <c r="BB190" s="1">
        <f t="shared" si="65"/>
        <v>3515.4790988854929</v>
      </c>
      <c r="BC190" s="1">
        <f t="shared" si="65"/>
        <v>85.621872809273924</v>
      </c>
    </row>
    <row r="191" spans="1:55" x14ac:dyDescent="0.25">
      <c r="A191" s="30" t="s">
        <v>60</v>
      </c>
      <c r="B191" s="31" t="s">
        <v>23</v>
      </c>
      <c r="C191" s="2"/>
      <c r="F191" s="51">
        <f>F204+F205+F206</f>
        <v>3.75</v>
      </c>
      <c r="G191" s="51">
        <f t="shared" ref="G191:X191" si="71">G204+G205+G206</f>
        <v>0</v>
      </c>
      <c r="H191" s="51">
        <f t="shared" si="71"/>
        <v>0</v>
      </c>
      <c r="I191" s="51">
        <f t="shared" si="71"/>
        <v>0</v>
      </c>
      <c r="J191" s="51">
        <f t="shared" si="71"/>
        <v>44.906843611761637</v>
      </c>
      <c r="K191" s="51">
        <f t="shared" si="71"/>
        <v>1069.090909090909</v>
      </c>
      <c r="L191" s="52">
        <f t="shared" si="71"/>
        <v>0</v>
      </c>
      <c r="M191" s="51">
        <f t="shared" si="71"/>
        <v>0</v>
      </c>
      <c r="N191" s="51">
        <f t="shared" si="71"/>
        <v>1.3109999999999999</v>
      </c>
      <c r="O191" s="51">
        <f t="shared" si="71"/>
        <v>0</v>
      </c>
      <c r="P191" s="51">
        <f t="shared" si="71"/>
        <v>0</v>
      </c>
      <c r="Q191" s="51">
        <f t="shared" si="71"/>
        <v>0</v>
      </c>
      <c r="R191" s="51">
        <f t="shared" si="71"/>
        <v>0</v>
      </c>
      <c r="S191" s="51">
        <f t="shared" si="71"/>
        <v>2.4500000000000002</v>
      </c>
      <c r="T191" s="51">
        <f t="shared" si="71"/>
        <v>0.24630541871921183</v>
      </c>
      <c r="U191" s="51">
        <f t="shared" si="71"/>
        <v>0</v>
      </c>
      <c r="V191" s="51">
        <f t="shared" si="71"/>
        <v>0.24630541871921183</v>
      </c>
      <c r="W191" s="51">
        <f t="shared" si="71"/>
        <v>0</v>
      </c>
      <c r="X191" s="55">
        <f t="shared" si="71"/>
        <v>0.24630541871921183</v>
      </c>
      <c r="Y191" s="59">
        <f t="shared" si="61"/>
        <v>1117.7477527026706</v>
      </c>
      <c r="Z191" s="51">
        <f t="shared" si="62"/>
        <v>4.4999162561576354</v>
      </c>
      <c r="AA191" s="51">
        <f t="shared" si="63"/>
        <v>1122.2476689588282</v>
      </c>
      <c r="AC191" s="30" t="s">
        <v>60</v>
      </c>
      <c r="AD191" s="31" t="s">
        <v>23</v>
      </c>
      <c r="AE191" s="2"/>
      <c r="AH191" s="1">
        <f t="shared" si="64"/>
        <v>615.38461538461536</v>
      </c>
      <c r="AI191" s="1" t="str">
        <f t="shared" si="64"/>
        <v/>
      </c>
      <c r="AJ191" s="1" t="str">
        <f t="shared" si="64"/>
        <v/>
      </c>
      <c r="AK191" s="1" t="str">
        <f t="shared" si="64"/>
        <v/>
      </c>
      <c r="AL191" s="1">
        <f t="shared" si="64"/>
        <v>883.53857059420386</v>
      </c>
      <c r="AM191" s="1">
        <f t="shared" si="64"/>
        <v>33.846153846153847</v>
      </c>
      <c r="AN191" s="52" t="str">
        <f t="shared" si="64"/>
        <v/>
      </c>
      <c r="AO191" s="1" t="str">
        <f t="shared" si="64"/>
        <v/>
      </c>
      <c r="AP191" s="1">
        <f t="shared" si="64"/>
        <v>15384.615384615385</v>
      </c>
      <c r="AQ191" s="1" t="str">
        <f t="shared" si="64"/>
        <v/>
      </c>
      <c r="AR191" s="1" t="str">
        <f t="shared" si="64"/>
        <v/>
      </c>
      <c r="AS191" s="1" t="str">
        <f t="shared" si="64"/>
        <v/>
      </c>
      <c r="AT191" s="1" t="str">
        <f t="shared" si="64"/>
        <v/>
      </c>
      <c r="AU191" s="1">
        <f t="shared" si="64"/>
        <v>2222.2222222222222</v>
      </c>
      <c r="AV191" s="1">
        <f t="shared" si="64"/>
        <v>9022.2222222222226</v>
      </c>
      <c r="AW191" s="1" t="str">
        <f t="shared" si="64"/>
        <v/>
      </c>
      <c r="AX191" s="1">
        <f t="shared" si="65"/>
        <v>9022.2222222222226</v>
      </c>
      <c r="AY191" s="1" t="str">
        <f t="shared" si="65"/>
        <v/>
      </c>
      <c r="AZ191" s="1">
        <f t="shared" si="65"/>
        <v>9022.2222222222226</v>
      </c>
      <c r="BA191" s="1">
        <f t="shared" si="65"/>
        <v>69.934594740119891</v>
      </c>
      <c r="BB191" s="1">
        <f t="shared" si="65"/>
        <v>7173.5428045288218</v>
      </c>
      <c r="BC191" s="1">
        <f t="shared" si="65"/>
        <v>98.418184365446834</v>
      </c>
    </row>
    <row r="192" spans="1:55" x14ac:dyDescent="0.25">
      <c r="A192" s="30" t="s">
        <v>60</v>
      </c>
      <c r="B192" s="31" t="s">
        <v>65</v>
      </c>
      <c r="C192" s="46"/>
      <c r="F192" s="51">
        <f>F207+F208+F209</f>
        <v>0</v>
      </c>
      <c r="G192" s="51">
        <f t="shared" ref="G192:X192" si="72">G207+G208+G209</f>
        <v>0</v>
      </c>
      <c r="H192" s="51">
        <f t="shared" si="72"/>
        <v>0</v>
      </c>
      <c r="I192" s="51">
        <f t="shared" si="72"/>
        <v>0</v>
      </c>
      <c r="J192" s="51">
        <f t="shared" si="72"/>
        <v>55.438842203548084</v>
      </c>
      <c r="K192" s="51">
        <f t="shared" si="72"/>
        <v>0</v>
      </c>
      <c r="L192" s="52">
        <f t="shared" si="72"/>
        <v>261.43790849673206</v>
      </c>
      <c r="M192" s="51">
        <f t="shared" si="72"/>
        <v>30.787037037037038</v>
      </c>
      <c r="N192" s="51">
        <f t="shared" si="72"/>
        <v>0</v>
      </c>
      <c r="O192" s="51">
        <f t="shared" si="72"/>
        <v>0</v>
      </c>
      <c r="P192" s="51">
        <f t="shared" si="72"/>
        <v>0</v>
      </c>
      <c r="Q192" s="51">
        <f t="shared" si="72"/>
        <v>23.331386455291337</v>
      </c>
      <c r="R192" s="51">
        <f t="shared" si="72"/>
        <v>33.523581576605608</v>
      </c>
      <c r="S192" s="51">
        <f t="shared" si="72"/>
        <v>0</v>
      </c>
      <c r="T192" s="51">
        <f t="shared" si="72"/>
        <v>32.649053361563716</v>
      </c>
      <c r="U192" s="51">
        <f t="shared" si="72"/>
        <v>16.0330172757679</v>
      </c>
      <c r="V192" s="51">
        <f t="shared" si="72"/>
        <v>9.5891251649329536</v>
      </c>
      <c r="W192" s="51">
        <f t="shared" si="72"/>
        <v>11.660376200558471</v>
      </c>
      <c r="X192" s="55">
        <f t="shared" si="72"/>
        <v>36.438675626745223</v>
      </c>
      <c r="Y192" s="59">
        <f t="shared" si="61"/>
        <v>55.438842203548084</v>
      </c>
      <c r="Z192" s="51">
        <f t="shared" si="62"/>
        <v>194.01225269850227</v>
      </c>
      <c r="AA192" s="51">
        <f t="shared" si="63"/>
        <v>510.88900339878239</v>
      </c>
      <c r="AC192" s="30" t="s">
        <v>60</v>
      </c>
      <c r="AD192" s="31" t="s">
        <v>65</v>
      </c>
      <c r="AE192" s="46"/>
      <c r="AH192" s="1" t="str">
        <f t="shared" si="64"/>
        <v/>
      </c>
      <c r="AI192" s="1" t="str">
        <f t="shared" si="64"/>
        <v/>
      </c>
      <c r="AJ192" s="1" t="str">
        <f t="shared" si="64"/>
        <v/>
      </c>
      <c r="AK192" s="1" t="str">
        <f t="shared" si="64"/>
        <v/>
      </c>
      <c r="AL192" s="1">
        <f t="shared" si="64"/>
        <v>1414.1414141414141</v>
      </c>
      <c r="AM192" s="1" t="str">
        <f t="shared" si="64"/>
        <v/>
      </c>
      <c r="AN192" s="52">
        <f t="shared" si="64"/>
        <v>18939.393939393936</v>
      </c>
      <c r="AO192" s="1">
        <f t="shared" si="64"/>
        <v>7575.7575757575751</v>
      </c>
      <c r="AP192" s="1" t="str">
        <f t="shared" si="64"/>
        <v/>
      </c>
      <c r="AQ192" s="1" t="str">
        <f t="shared" si="64"/>
        <v/>
      </c>
      <c r="AR192" s="1" t="str">
        <f t="shared" si="64"/>
        <v/>
      </c>
      <c r="AS192" s="1">
        <f t="shared" si="64"/>
        <v>26857.142857142859</v>
      </c>
      <c r="AT192" s="1">
        <f t="shared" si="64"/>
        <v>12171.428571428571</v>
      </c>
      <c r="AU192" s="1" t="str">
        <f t="shared" si="64"/>
        <v/>
      </c>
      <c r="AV192" s="1">
        <f t="shared" si="64"/>
        <v>12171.428571428572</v>
      </c>
      <c r="AW192" s="1">
        <f t="shared" si="64"/>
        <v>12171.428571428571</v>
      </c>
      <c r="AX192" s="1">
        <f t="shared" si="65"/>
        <v>12171.428571428571</v>
      </c>
      <c r="AY192" s="1">
        <f t="shared" si="65"/>
        <v>12171.428571428572</v>
      </c>
      <c r="AZ192" s="1">
        <f t="shared" si="65"/>
        <v>12171.428571428571</v>
      </c>
      <c r="BA192" s="1">
        <f t="shared" si="65"/>
        <v>1414.1414141414141</v>
      </c>
      <c r="BB192" s="1">
        <f t="shared" si="65"/>
        <v>13208.223822349264</v>
      </c>
      <c r="BC192" s="1">
        <f t="shared" si="65"/>
        <v>14861.214686229083</v>
      </c>
    </row>
    <row r="193" spans="1:55" ht="15.75" thickBot="1" x14ac:dyDescent="0.3">
      <c r="A193" s="48" t="s">
        <v>60</v>
      </c>
      <c r="B193" s="49" t="s">
        <v>9</v>
      </c>
      <c r="C193" s="50"/>
      <c r="D193" s="50"/>
      <c r="E193" s="50"/>
      <c r="F193" s="53">
        <f>F210</f>
        <v>0</v>
      </c>
      <c r="G193" s="53">
        <f t="shared" ref="G193:X193" si="73">G210</f>
        <v>0</v>
      </c>
      <c r="H193" s="53">
        <f t="shared" si="73"/>
        <v>0</v>
      </c>
      <c r="I193" s="53">
        <f t="shared" si="73"/>
        <v>0</v>
      </c>
      <c r="J193" s="53">
        <f t="shared" si="73"/>
        <v>0</v>
      </c>
      <c r="K193" s="53">
        <f t="shared" si="73"/>
        <v>0</v>
      </c>
      <c r="L193" s="62">
        <f t="shared" si="73"/>
        <v>0</v>
      </c>
      <c r="M193" s="53">
        <f t="shared" si="73"/>
        <v>0</v>
      </c>
      <c r="N193" s="53">
        <f t="shared" si="73"/>
        <v>0</v>
      </c>
      <c r="O193" s="53">
        <f t="shared" si="73"/>
        <v>0</v>
      </c>
      <c r="P193" s="53">
        <f t="shared" si="73"/>
        <v>0</v>
      </c>
      <c r="Q193" s="53">
        <f t="shared" si="73"/>
        <v>0</v>
      </c>
      <c r="R193" s="53">
        <f t="shared" si="73"/>
        <v>0</v>
      </c>
      <c r="S193" s="53">
        <f t="shared" si="73"/>
        <v>0</v>
      </c>
      <c r="T193" s="53">
        <f t="shared" si="73"/>
        <v>0</v>
      </c>
      <c r="U193" s="53">
        <f t="shared" si="73"/>
        <v>0</v>
      </c>
      <c r="V193" s="53">
        <f t="shared" si="73"/>
        <v>0</v>
      </c>
      <c r="W193" s="53">
        <f t="shared" si="73"/>
        <v>0</v>
      </c>
      <c r="X193" s="56">
        <f t="shared" si="73"/>
        <v>3.4931813100827185</v>
      </c>
      <c r="Y193" s="60">
        <f t="shared" si="61"/>
        <v>0</v>
      </c>
      <c r="Z193" s="53">
        <f t="shared" si="62"/>
        <v>3.4931813100827185</v>
      </c>
      <c r="AA193" s="53">
        <f t="shared" si="63"/>
        <v>3.4931813100827185</v>
      </c>
      <c r="AC193" s="48" t="s">
        <v>60</v>
      </c>
      <c r="AD193" s="49" t="s">
        <v>9</v>
      </c>
      <c r="AE193" s="50"/>
      <c r="AF193" s="50"/>
      <c r="AG193" s="50"/>
      <c r="AH193" s="1" t="str">
        <f t="shared" si="64"/>
        <v/>
      </c>
      <c r="AI193" s="1" t="str">
        <f t="shared" si="64"/>
        <v/>
      </c>
      <c r="AJ193" s="1" t="str">
        <f t="shared" si="64"/>
        <v/>
      </c>
      <c r="AK193" s="1" t="str">
        <f t="shared" si="64"/>
        <v/>
      </c>
      <c r="AL193" s="1" t="str">
        <f t="shared" si="64"/>
        <v/>
      </c>
      <c r="AM193" s="1" t="str">
        <f t="shared" si="64"/>
        <v/>
      </c>
      <c r="AN193" s="52" t="str">
        <f t="shared" si="64"/>
        <v/>
      </c>
      <c r="AO193" s="1" t="str">
        <f t="shared" si="64"/>
        <v/>
      </c>
      <c r="AP193" s="1" t="str">
        <f t="shared" si="64"/>
        <v/>
      </c>
      <c r="AQ193" s="1" t="str">
        <f t="shared" si="64"/>
        <v/>
      </c>
      <c r="AR193" s="1" t="str">
        <f t="shared" si="64"/>
        <v/>
      </c>
      <c r="AS193" s="1" t="str">
        <f t="shared" si="64"/>
        <v/>
      </c>
      <c r="AT193" s="1" t="str">
        <f t="shared" si="64"/>
        <v/>
      </c>
      <c r="AU193" s="1" t="str">
        <f t="shared" si="64"/>
        <v/>
      </c>
      <c r="AV193" s="1" t="str">
        <f t="shared" si="64"/>
        <v/>
      </c>
      <c r="AW193" s="1" t="str">
        <f t="shared" si="64"/>
        <v/>
      </c>
      <c r="AX193" s="1" t="str">
        <f t="shared" si="65"/>
        <v/>
      </c>
      <c r="AY193" s="1" t="str">
        <f t="shared" si="65"/>
        <v/>
      </c>
      <c r="AZ193" s="1">
        <f t="shared" si="65"/>
        <v>7100</v>
      </c>
      <c r="BA193" s="1" t="str">
        <f t="shared" si="65"/>
        <v/>
      </c>
      <c r="BB193" s="1">
        <f t="shared" si="65"/>
        <v>7100</v>
      </c>
      <c r="BC193" s="1">
        <f t="shared" si="65"/>
        <v>7100</v>
      </c>
    </row>
    <row r="194" spans="1:55" ht="15.75" thickTop="1" x14ac:dyDescent="0.25">
      <c r="A194" s="15" t="s">
        <v>51</v>
      </c>
      <c r="B194" s="16" t="s">
        <v>52</v>
      </c>
      <c r="C194" s="16" t="s">
        <v>53</v>
      </c>
      <c r="D194" s="2"/>
      <c r="E194" s="2"/>
      <c r="F194" s="47">
        <v>0</v>
      </c>
      <c r="G194" s="47">
        <v>0</v>
      </c>
      <c r="H194" s="47">
        <v>0</v>
      </c>
      <c r="I194" s="47">
        <v>0</v>
      </c>
      <c r="J194" s="47">
        <v>0</v>
      </c>
      <c r="K194" s="47">
        <v>0</v>
      </c>
      <c r="L194" s="63">
        <v>0</v>
      </c>
      <c r="M194" s="47">
        <v>0</v>
      </c>
      <c r="N194" s="47">
        <v>0</v>
      </c>
      <c r="O194" s="47">
        <v>0</v>
      </c>
      <c r="P194" s="47">
        <v>0</v>
      </c>
      <c r="Q194" s="47">
        <v>0</v>
      </c>
      <c r="R194" s="47">
        <v>0</v>
      </c>
      <c r="S194" s="47">
        <v>0</v>
      </c>
      <c r="T194" s="47">
        <v>0</v>
      </c>
      <c r="U194" s="47">
        <v>0</v>
      </c>
      <c r="V194" s="47">
        <v>0</v>
      </c>
      <c r="W194" s="47">
        <v>0</v>
      </c>
      <c r="X194" s="57">
        <v>0</v>
      </c>
      <c r="Y194" s="61">
        <f t="shared" si="61"/>
        <v>0</v>
      </c>
      <c r="Z194" s="47">
        <f t="shared" si="62"/>
        <v>0</v>
      </c>
      <c r="AA194" s="47">
        <f t="shared" si="63"/>
        <v>0</v>
      </c>
      <c r="AC194" s="15" t="s">
        <v>51</v>
      </c>
      <c r="AD194" s="16" t="s">
        <v>52</v>
      </c>
      <c r="AE194" s="16" t="s">
        <v>53</v>
      </c>
      <c r="AF194" s="2"/>
      <c r="AG194" s="2"/>
      <c r="AH194" s="90" t="str">
        <f t="shared" si="64"/>
        <v/>
      </c>
      <c r="AI194" s="90" t="str">
        <f t="shared" si="64"/>
        <v/>
      </c>
      <c r="AJ194" s="90" t="str">
        <f t="shared" si="64"/>
        <v/>
      </c>
      <c r="AK194" s="90" t="str">
        <f t="shared" si="64"/>
        <v/>
      </c>
      <c r="AL194" s="90" t="str">
        <f t="shared" si="64"/>
        <v/>
      </c>
      <c r="AM194" s="90" t="str">
        <f t="shared" si="64"/>
        <v/>
      </c>
      <c r="AN194" s="90" t="str">
        <f t="shared" si="64"/>
        <v/>
      </c>
      <c r="AO194" s="90" t="str">
        <f t="shared" si="64"/>
        <v/>
      </c>
      <c r="AP194" s="90" t="str">
        <f t="shared" si="64"/>
        <v/>
      </c>
      <c r="AQ194" s="90" t="str">
        <f t="shared" si="64"/>
        <v/>
      </c>
      <c r="AR194" s="90" t="str">
        <f t="shared" si="64"/>
        <v/>
      </c>
      <c r="AS194" s="90" t="str">
        <f t="shared" si="64"/>
        <v/>
      </c>
      <c r="AT194" s="90" t="str">
        <f t="shared" si="64"/>
        <v/>
      </c>
      <c r="AU194" s="90" t="str">
        <f t="shared" si="64"/>
        <v/>
      </c>
      <c r="AV194" s="90" t="str">
        <f t="shared" si="64"/>
        <v/>
      </c>
      <c r="AW194" s="90" t="str">
        <f t="shared" si="64"/>
        <v/>
      </c>
      <c r="AX194" s="90" t="str">
        <f t="shared" si="65"/>
        <v/>
      </c>
      <c r="AY194" s="90" t="str">
        <f t="shared" si="65"/>
        <v/>
      </c>
      <c r="AZ194" s="90" t="str">
        <f t="shared" si="65"/>
        <v/>
      </c>
      <c r="BA194" s="90" t="str">
        <f t="shared" si="65"/>
        <v/>
      </c>
      <c r="BB194" s="90" t="str">
        <f t="shared" si="65"/>
        <v/>
      </c>
      <c r="BC194" s="90" t="str">
        <f t="shared" si="65"/>
        <v/>
      </c>
    </row>
    <row r="195" spans="1:55" x14ac:dyDescent="0.25">
      <c r="A195" s="15" t="s">
        <v>51</v>
      </c>
      <c r="B195" s="16" t="s">
        <v>52</v>
      </c>
      <c r="C195" s="16" t="s">
        <v>54</v>
      </c>
      <c r="D195" s="2"/>
      <c r="E195" s="2"/>
      <c r="F195" s="47">
        <v>0</v>
      </c>
      <c r="G195" s="47">
        <v>0</v>
      </c>
      <c r="H195" s="1">
        <v>0</v>
      </c>
      <c r="I195" s="1">
        <v>0</v>
      </c>
      <c r="J195" s="1">
        <v>0</v>
      </c>
      <c r="K195" s="1">
        <v>0</v>
      </c>
      <c r="L195" s="52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54">
        <v>0</v>
      </c>
      <c r="Y195" s="58">
        <f t="shared" si="61"/>
        <v>0</v>
      </c>
      <c r="Z195" s="1">
        <f t="shared" si="62"/>
        <v>0</v>
      </c>
      <c r="AA195" s="1">
        <f t="shared" si="63"/>
        <v>0</v>
      </c>
      <c r="AC195" s="15" t="s">
        <v>51</v>
      </c>
      <c r="AD195" s="16" t="s">
        <v>52</v>
      </c>
      <c r="AE195" s="16" t="s">
        <v>54</v>
      </c>
      <c r="AF195" s="2"/>
      <c r="AG195" s="2"/>
      <c r="AH195" s="90" t="str">
        <f t="shared" si="64"/>
        <v/>
      </c>
      <c r="AI195" s="90" t="str">
        <f t="shared" si="64"/>
        <v/>
      </c>
      <c r="AJ195" s="90" t="str">
        <f t="shared" si="64"/>
        <v/>
      </c>
      <c r="AK195" s="90" t="str">
        <f t="shared" si="64"/>
        <v/>
      </c>
      <c r="AL195" s="90" t="str">
        <f t="shared" si="64"/>
        <v/>
      </c>
      <c r="AM195" s="90" t="str">
        <f t="shared" si="64"/>
        <v/>
      </c>
      <c r="AN195" s="90" t="str">
        <f t="shared" si="64"/>
        <v/>
      </c>
      <c r="AO195" s="90" t="str">
        <f t="shared" si="64"/>
        <v/>
      </c>
      <c r="AP195" s="90" t="str">
        <f t="shared" si="64"/>
        <v/>
      </c>
      <c r="AQ195" s="90" t="str">
        <f t="shared" si="64"/>
        <v/>
      </c>
      <c r="AR195" s="90" t="str">
        <f t="shared" si="64"/>
        <v/>
      </c>
      <c r="AS195" s="90" t="str">
        <f t="shared" si="64"/>
        <v/>
      </c>
      <c r="AT195" s="90" t="str">
        <f t="shared" si="64"/>
        <v/>
      </c>
      <c r="AU195" s="90" t="str">
        <f t="shared" si="64"/>
        <v/>
      </c>
      <c r="AV195" s="90" t="str">
        <f t="shared" si="64"/>
        <v/>
      </c>
      <c r="AW195" s="90" t="str">
        <f t="shared" si="64"/>
        <v/>
      </c>
      <c r="AX195" s="90" t="str">
        <f t="shared" si="65"/>
        <v/>
      </c>
      <c r="AY195" s="90" t="str">
        <f t="shared" si="65"/>
        <v/>
      </c>
      <c r="AZ195" s="90" t="str">
        <f t="shared" si="65"/>
        <v/>
      </c>
      <c r="BA195" s="90" t="str">
        <f t="shared" si="65"/>
        <v/>
      </c>
      <c r="BB195" s="90" t="str">
        <f t="shared" si="65"/>
        <v/>
      </c>
      <c r="BC195" s="90" t="str">
        <f t="shared" si="65"/>
        <v/>
      </c>
    </row>
    <row r="196" spans="1:55" x14ac:dyDescent="0.25">
      <c r="A196" s="15" t="s">
        <v>51</v>
      </c>
      <c r="B196" s="16" t="s">
        <v>52</v>
      </c>
      <c r="C196" s="16" t="s">
        <v>55</v>
      </c>
      <c r="D196" s="2"/>
      <c r="E196" s="2"/>
      <c r="F196" s="47">
        <v>0</v>
      </c>
      <c r="G196" s="47">
        <v>0</v>
      </c>
      <c r="H196" s="1">
        <v>0</v>
      </c>
      <c r="I196" s="1">
        <v>0</v>
      </c>
      <c r="J196" s="1">
        <v>0</v>
      </c>
      <c r="K196" s="1">
        <v>0</v>
      </c>
      <c r="L196" s="52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54">
        <v>0</v>
      </c>
      <c r="Y196" s="58">
        <f t="shared" si="61"/>
        <v>0</v>
      </c>
      <c r="Z196" s="1">
        <f t="shared" si="62"/>
        <v>0</v>
      </c>
      <c r="AA196" s="1">
        <f t="shared" si="63"/>
        <v>0</v>
      </c>
      <c r="AC196" s="15" t="s">
        <v>51</v>
      </c>
      <c r="AD196" s="16" t="s">
        <v>52</v>
      </c>
      <c r="AE196" s="16" t="s">
        <v>55</v>
      </c>
      <c r="AF196" s="2"/>
      <c r="AG196" s="2"/>
      <c r="AH196" s="90" t="str">
        <f t="shared" si="64"/>
        <v/>
      </c>
      <c r="AI196" s="90" t="str">
        <f t="shared" si="64"/>
        <v/>
      </c>
      <c r="AJ196" s="90" t="str">
        <f t="shared" si="64"/>
        <v/>
      </c>
      <c r="AK196" s="90" t="str">
        <f t="shared" si="64"/>
        <v/>
      </c>
      <c r="AL196" s="90" t="str">
        <f t="shared" si="64"/>
        <v/>
      </c>
      <c r="AM196" s="90" t="str">
        <f t="shared" si="64"/>
        <v/>
      </c>
      <c r="AN196" s="90" t="str">
        <f t="shared" si="64"/>
        <v/>
      </c>
      <c r="AO196" s="90" t="str">
        <f t="shared" si="64"/>
        <v/>
      </c>
      <c r="AP196" s="90" t="str">
        <f t="shared" si="64"/>
        <v/>
      </c>
      <c r="AQ196" s="90" t="str">
        <f t="shared" si="64"/>
        <v/>
      </c>
      <c r="AR196" s="90" t="str">
        <f t="shared" si="64"/>
        <v/>
      </c>
      <c r="AS196" s="90" t="str">
        <f t="shared" si="64"/>
        <v/>
      </c>
      <c r="AT196" s="90" t="str">
        <f t="shared" si="64"/>
        <v/>
      </c>
      <c r="AU196" s="90" t="str">
        <f t="shared" si="64"/>
        <v/>
      </c>
      <c r="AV196" s="90" t="str">
        <f t="shared" si="64"/>
        <v/>
      </c>
      <c r="AW196" s="90" t="str">
        <f t="shared" si="64"/>
        <v/>
      </c>
      <c r="AX196" s="90" t="str">
        <f t="shared" si="65"/>
        <v/>
      </c>
      <c r="AY196" s="90" t="str">
        <f t="shared" si="65"/>
        <v/>
      </c>
      <c r="AZ196" s="90" t="str">
        <f t="shared" si="65"/>
        <v/>
      </c>
      <c r="BA196" s="90" t="str">
        <f t="shared" si="65"/>
        <v/>
      </c>
      <c r="BB196" s="90" t="str">
        <f t="shared" si="65"/>
        <v/>
      </c>
      <c r="BC196" s="90" t="str">
        <f t="shared" si="65"/>
        <v/>
      </c>
    </row>
    <row r="197" spans="1:55" x14ac:dyDescent="0.25">
      <c r="A197" s="25" t="s">
        <v>51</v>
      </c>
      <c r="B197" s="26" t="s">
        <v>56</v>
      </c>
      <c r="C197" s="26" t="s">
        <v>57</v>
      </c>
      <c r="D197" s="2"/>
      <c r="E197" s="2"/>
      <c r="F197" s="47">
        <v>0</v>
      </c>
      <c r="G197" s="47">
        <v>0</v>
      </c>
      <c r="H197" s="1">
        <v>0</v>
      </c>
      <c r="I197" s="1">
        <v>0</v>
      </c>
      <c r="J197" s="1">
        <v>0</v>
      </c>
      <c r="K197" s="1">
        <v>0</v>
      </c>
      <c r="L197" s="52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54">
        <v>0</v>
      </c>
      <c r="Y197" s="58">
        <f t="shared" si="61"/>
        <v>0</v>
      </c>
      <c r="Z197" s="1">
        <f t="shared" si="62"/>
        <v>0</v>
      </c>
      <c r="AA197" s="1">
        <f t="shared" si="63"/>
        <v>0</v>
      </c>
      <c r="AC197" s="25" t="s">
        <v>51</v>
      </c>
      <c r="AD197" s="26" t="s">
        <v>56</v>
      </c>
      <c r="AE197" s="26" t="s">
        <v>57</v>
      </c>
      <c r="AF197" s="2"/>
      <c r="AG197" s="2"/>
      <c r="AH197" s="90" t="str">
        <f t="shared" si="64"/>
        <v/>
      </c>
      <c r="AI197" s="90" t="str">
        <f t="shared" si="64"/>
        <v/>
      </c>
      <c r="AJ197" s="90" t="str">
        <f t="shared" si="64"/>
        <v/>
      </c>
      <c r="AK197" s="90" t="str">
        <f t="shared" si="64"/>
        <v/>
      </c>
      <c r="AL197" s="90" t="str">
        <f t="shared" si="64"/>
        <v/>
      </c>
      <c r="AM197" s="90" t="str">
        <f t="shared" si="64"/>
        <v/>
      </c>
      <c r="AN197" s="90" t="str">
        <f t="shared" si="64"/>
        <v/>
      </c>
      <c r="AO197" s="90" t="str">
        <f t="shared" si="64"/>
        <v/>
      </c>
      <c r="AP197" s="90" t="str">
        <f t="shared" si="64"/>
        <v/>
      </c>
      <c r="AQ197" s="90" t="str">
        <f t="shared" si="64"/>
        <v/>
      </c>
      <c r="AR197" s="90" t="str">
        <f t="shared" si="64"/>
        <v/>
      </c>
      <c r="AS197" s="90" t="str">
        <f t="shared" si="64"/>
        <v/>
      </c>
      <c r="AT197" s="90" t="str">
        <f t="shared" si="64"/>
        <v/>
      </c>
      <c r="AU197" s="90" t="str">
        <f t="shared" si="64"/>
        <v/>
      </c>
      <c r="AV197" s="90" t="str">
        <f t="shared" si="64"/>
        <v/>
      </c>
      <c r="AW197" s="90" t="str">
        <f t="shared" si="64"/>
        <v/>
      </c>
      <c r="AX197" s="90" t="str">
        <f t="shared" si="65"/>
        <v/>
      </c>
      <c r="AY197" s="90" t="str">
        <f t="shared" si="65"/>
        <v/>
      </c>
      <c r="AZ197" s="90" t="str">
        <f t="shared" si="65"/>
        <v/>
      </c>
      <c r="BA197" s="90" t="str">
        <f t="shared" si="65"/>
        <v/>
      </c>
      <c r="BB197" s="90" t="str">
        <f t="shared" si="65"/>
        <v/>
      </c>
      <c r="BC197" s="90" t="str">
        <f t="shared" si="65"/>
        <v/>
      </c>
    </row>
    <row r="198" spans="1:55" x14ac:dyDescent="0.25">
      <c r="A198" s="15" t="s">
        <v>51</v>
      </c>
      <c r="B198" s="16" t="s">
        <v>56</v>
      </c>
      <c r="C198" s="27" t="s">
        <v>58</v>
      </c>
      <c r="D198" s="2"/>
      <c r="E198" s="2"/>
      <c r="F198" s="47">
        <v>0</v>
      </c>
      <c r="G198" s="47">
        <v>0</v>
      </c>
      <c r="H198" s="1">
        <v>0</v>
      </c>
      <c r="I198" s="1">
        <v>0</v>
      </c>
      <c r="J198" s="1">
        <v>0</v>
      </c>
      <c r="K198" s="1">
        <v>0</v>
      </c>
      <c r="L198" s="52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54">
        <v>0</v>
      </c>
      <c r="Y198" s="58">
        <f t="shared" si="61"/>
        <v>0</v>
      </c>
      <c r="Z198" s="1">
        <f t="shared" si="62"/>
        <v>0</v>
      </c>
      <c r="AA198" s="1">
        <f t="shared" si="63"/>
        <v>0</v>
      </c>
      <c r="AC198" s="15" t="s">
        <v>51</v>
      </c>
      <c r="AD198" s="16" t="s">
        <v>56</v>
      </c>
      <c r="AE198" s="27" t="s">
        <v>58</v>
      </c>
      <c r="AF198" s="2"/>
      <c r="AG198" s="2"/>
      <c r="AH198" s="90" t="str">
        <f t="shared" si="64"/>
        <v/>
      </c>
      <c r="AI198" s="90" t="str">
        <f t="shared" si="64"/>
        <v/>
      </c>
      <c r="AJ198" s="90" t="str">
        <f t="shared" si="64"/>
        <v/>
      </c>
      <c r="AK198" s="90" t="str">
        <f t="shared" si="64"/>
        <v/>
      </c>
      <c r="AL198" s="90" t="str">
        <f t="shared" si="64"/>
        <v/>
      </c>
      <c r="AM198" s="90" t="str">
        <f t="shared" si="64"/>
        <v/>
      </c>
      <c r="AN198" s="90" t="str">
        <f t="shared" si="64"/>
        <v/>
      </c>
      <c r="AO198" s="90" t="str">
        <f t="shared" si="64"/>
        <v/>
      </c>
      <c r="AP198" s="90" t="str">
        <f t="shared" si="64"/>
        <v/>
      </c>
      <c r="AQ198" s="90" t="str">
        <f t="shared" si="64"/>
        <v/>
      </c>
      <c r="AR198" s="90" t="str">
        <f t="shared" si="64"/>
        <v/>
      </c>
      <c r="AS198" s="90" t="str">
        <f t="shared" si="64"/>
        <v/>
      </c>
      <c r="AT198" s="90" t="str">
        <f t="shared" si="64"/>
        <v/>
      </c>
      <c r="AU198" s="90" t="str">
        <f t="shared" si="64"/>
        <v/>
      </c>
      <c r="AV198" s="90" t="str">
        <f t="shared" si="64"/>
        <v/>
      </c>
      <c r="AW198" s="90" t="str">
        <f t="shared" si="64"/>
        <v/>
      </c>
      <c r="AX198" s="90" t="str">
        <f t="shared" si="65"/>
        <v/>
      </c>
      <c r="AY198" s="90" t="str">
        <f t="shared" si="65"/>
        <v/>
      </c>
      <c r="AZ198" s="90" t="str">
        <f t="shared" si="65"/>
        <v/>
      </c>
      <c r="BA198" s="90" t="str">
        <f t="shared" si="65"/>
        <v/>
      </c>
      <c r="BB198" s="90" t="str">
        <f t="shared" si="65"/>
        <v/>
      </c>
      <c r="BC198" s="90" t="str">
        <f t="shared" si="65"/>
        <v/>
      </c>
    </row>
    <row r="199" spans="1:55" x14ac:dyDescent="0.25">
      <c r="A199" s="15" t="s">
        <v>51</v>
      </c>
      <c r="B199" s="16" t="s">
        <v>9</v>
      </c>
      <c r="C199" s="27" t="s">
        <v>59</v>
      </c>
      <c r="D199" s="2"/>
      <c r="E199" s="2"/>
      <c r="F199" s="47">
        <v>0</v>
      </c>
      <c r="G199" s="47">
        <v>0</v>
      </c>
      <c r="H199" s="1">
        <v>0</v>
      </c>
      <c r="I199" s="1">
        <v>0</v>
      </c>
      <c r="J199" s="1">
        <v>0</v>
      </c>
      <c r="K199" s="1">
        <v>0</v>
      </c>
      <c r="L199" s="52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54">
        <v>0</v>
      </c>
      <c r="Y199" s="58">
        <f t="shared" si="61"/>
        <v>0</v>
      </c>
      <c r="Z199" s="1">
        <f t="shared" si="62"/>
        <v>0</v>
      </c>
      <c r="AA199" s="1">
        <f t="shared" si="63"/>
        <v>0</v>
      </c>
      <c r="AC199" s="15" t="s">
        <v>51</v>
      </c>
      <c r="AD199" s="16" t="s">
        <v>9</v>
      </c>
      <c r="AE199" s="27" t="s">
        <v>59</v>
      </c>
      <c r="AF199" s="2"/>
      <c r="AG199" s="2"/>
      <c r="AH199" s="90" t="str">
        <f t="shared" si="64"/>
        <v/>
      </c>
      <c r="AI199" s="90" t="str">
        <f t="shared" si="64"/>
        <v/>
      </c>
      <c r="AJ199" s="90" t="str">
        <f t="shared" si="64"/>
        <v/>
      </c>
      <c r="AK199" s="90" t="str">
        <f t="shared" si="64"/>
        <v/>
      </c>
      <c r="AL199" s="90" t="str">
        <f t="shared" si="64"/>
        <v/>
      </c>
      <c r="AM199" s="90" t="str">
        <f t="shared" si="64"/>
        <v/>
      </c>
      <c r="AN199" s="90" t="str">
        <f t="shared" si="64"/>
        <v/>
      </c>
      <c r="AO199" s="90" t="str">
        <f t="shared" si="64"/>
        <v/>
      </c>
      <c r="AP199" s="90" t="str">
        <f t="shared" si="64"/>
        <v/>
      </c>
      <c r="AQ199" s="90" t="str">
        <f t="shared" si="64"/>
        <v/>
      </c>
      <c r="AR199" s="90" t="str">
        <f t="shared" si="64"/>
        <v/>
      </c>
      <c r="AS199" s="90" t="str">
        <f t="shared" si="64"/>
        <v/>
      </c>
      <c r="AT199" s="90" t="str">
        <f t="shared" si="64"/>
        <v/>
      </c>
      <c r="AU199" s="90" t="str">
        <f t="shared" si="64"/>
        <v/>
      </c>
      <c r="AV199" s="90" t="str">
        <f t="shared" si="64"/>
        <v/>
      </c>
      <c r="AW199" s="90" t="str">
        <f t="shared" si="64"/>
        <v/>
      </c>
      <c r="AX199" s="90" t="str">
        <f t="shared" si="65"/>
        <v/>
      </c>
      <c r="AY199" s="90" t="str">
        <f t="shared" si="65"/>
        <v/>
      </c>
      <c r="AZ199" s="90" t="str">
        <f t="shared" si="65"/>
        <v/>
      </c>
      <c r="BA199" s="90" t="str">
        <f t="shared" si="65"/>
        <v/>
      </c>
      <c r="BB199" s="90" t="str">
        <f t="shared" si="65"/>
        <v/>
      </c>
      <c r="BC199" s="90" t="str">
        <f t="shared" si="65"/>
        <v/>
      </c>
    </row>
    <row r="200" spans="1:55" x14ac:dyDescent="0.25">
      <c r="A200" s="15" t="s">
        <v>51</v>
      </c>
      <c r="B200" s="16" t="s">
        <v>9</v>
      </c>
      <c r="C200" s="27" t="s">
        <v>9</v>
      </c>
      <c r="D200" s="2"/>
      <c r="E200" s="2"/>
      <c r="F200" s="47">
        <v>0</v>
      </c>
      <c r="G200" s="47">
        <v>0</v>
      </c>
      <c r="H200" s="1">
        <v>0</v>
      </c>
      <c r="I200" s="1">
        <v>0</v>
      </c>
      <c r="J200" s="1">
        <v>0</v>
      </c>
      <c r="K200" s="1">
        <v>0</v>
      </c>
      <c r="L200" s="52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54">
        <v>0</v>
      </c>
      <c r="Y200" s="58">
        <f t="shared" si="61"/>
        <v>0</v>
      </c>
      <c r="Z200" s="1">
        <f t="shared" si="62"/>
        <v>0</v>
      </c>
      <c r="AA200" s="1">
        <f t="shared" si="63"/>
        <v>0</v>
      </c>
      <c r="AC200" s="15" t="s">
        <v>51</v>
      </c>
      <c r="AD200" s="16" t="s">
        <v>9</v>
      </c>
      <c r="AE200" s="27" t="s">
        <v>9</v>
      </c>
      <c r="AF200" s="2"/>
      <c r="AG200" s="2"/>
      <c r="AH200" s="90" t="str">
        <f t="shared" si="64"/>
        <v/>
      </c>
      <c r="AI200" s="90" t="str">
        <f t="shared" si="64"/>
        <v/>
      </c>
      <c r="AJ200" s="90" t="str">
        <f t="shared" si="64"/>
        <v/>
      </c>
      <c r="AK200" s="90" t="str">
        <f t="shared" si="64"/>
        <v/>
      </c>
      <c r="AL200" s="90" t="str">
        <f t="shared" si="64"/>
        <v/>
      </c>
      <c r="AM200" s="90" t="str">
        <f t="shared" si="64"/>
        <v/>
      </c>
      <c r="AN200" s="90" t="str">
        <f t="shared" si="64"/>
        <v/>
      </c>
      <c r="AO200" s="90" t="str">
        <f t="shared" si="64"/>
        <v/>
      </c>
      <c r="AP200" s="90" t="str">
        <f t="shared" si="64"/>
        <v/>
      </c>
      <c r="AQ200" s="90" t="str">
        <f t="shared" si="64"/>
        <v/>
      </c>
      <c r="AR200" s="90" t="str">
        <f t="shared" si="64"/>
        <v/>
      </c>
      <c r="AS200" s="90" t="str">
        <f t="shared" si="64"/>
        <v/>
      </c>
      <c r="AT200" s="90" t="str">
        <f t="shared" si="64"/>
        <v/>
      </c>
      <c r="AU200" s="90" t="str">
        <f t="shared" si="64"/>
        <v/>
      </c>
      <c r="AV200" s="90" t="str">
        <f t="shared" si="64"/>
        <v/>
      </c>
      <c r="AW200" s="90" t="str">
        <f t="shared" ref="AW200:BC225" si="74">IF(U200&gt;0,U245/U200*1000,"")</f>
        <v/>
      </c>
      <c r="AX200" s="90" t="str">
        <f t="shared" si="65"/>
        <v/>
      </c>
      <c r="AY200" s="90" t="str">
        <f t="shared" si="65"/>
        <v/>
      </c>
      <c r="AZ200" s="90" t="str">
        <f t="shared" si="65"/>
        <v/>
      </c>
      <c r="BA200" s="90" t="str">
        <f t="shared" si="65"/>
        <v/>
      </c>
      <c r="BB200" s="90" t="str">
        <f t="shared" si="65"/>
        <v/>
      </c>
      <c r="BC200" s="90" t="str">
        <f t="shared" si="65"/>
        <v/>
      </c>
    </row>
    <row r="201" spans="1:55" x14ac:dyDescent="0.25">
      <c r="A201" s="28" t="s">
        <v>60</v>
      </c>
      <c r="B201" s="29" t="s">
        <v>13</v>
      </c>
      <c r="C201" s="29" t="s">
        <v>61</v>
      </c>
      <c r="D201" s="2"/>
      <c r="E201" s="2"/>
      <c r="F201" s="83">
        <f>211*0.94</f>
        <v>198.33999999999997</v>
      </c>
      <c r="G201" s="51">
        <v>0</v>
      </c>
      <c r="H201" s="64">
        <f>1600*0.8</f>
        <v>1280</v>
      </c>
      <c r="I201" s="77">
        <f>I21/I156</f>
        <v>101.37931034482759</v>
      </c>
      <c r="J201" s="83">
        <f>60*0.32</f>
        <v>19.2</v>
      </c>
      <c r="K201" s="77">
        <f>K21/K156</f>
        <v>19.655172413793103</v>
      </c>
      <c r="L201" s="52">
        <v>0</v>
      </c>
      <c r="M201" s="80">
        <f>M21/M156</f>
        <v>2.9487179487179489</v>
      </c>
      <c r="N201" s="84">
        <f t="shared" ref="N201:X201" si="75">N21/N156</f>
        <v>8.9534883720930228E-2</v>
      </c>
      <c r="O201" s="84">
        <f t="shared" si="75"/>
        <v>4.4400000000000002E-2</v>
      </c>
      <c r="P201" s="84">
        <f t="shared" si="75"/>
        <v>4.0363636363636365E-2</v>
      </c>
      <c r="Q201" s="84">
        <f t="shared" si="75"/>
        <v>2.3936170212765957E-2</v>
      </c>
      <c r="R201" s="80">
        <f t="shared" si="75"/>
        <v>0.16901408450704225</v>
      </c>
      <c r="S201" s="51">
        <v>0</v>
      </c>
      <c r="T201" s="80">
        <f t="shared" si="75"/>
        <v>0.13521126760563382</v>
      </c>
      <c r="U201" s="80">
        <f t="shared" si="75"/>
        <v>0.676056338028169</v>
      </c>
      <c r="V201" s="80">
        <f t="shared" si="75"/>
        <v>0.11737089201877934</v>
      </c>
      <c r="W201" s="80">
        <f t="shared" si="75"/>
        <v>2.3787167449139281</v>
      </c>
      <c r="X201" s="80">
        <f t="shared" si="75"/>
        <v>1.784037558685446</v>
      </c>
      <c r="Y201" s="59">
        <f t="shared" si="61"/>
        <v>1618.5744827586207</v>
      </c>
      <c r="Z201" s="51">
        <f t="shared" si="62"/>
        <v>8.4073595247742787</v>
      </c>
      <c r="AA201" s="51">
        <f t="shared" si="63"/>
        <v>1626.9818422833951</v>
      </c>
      <c r="AC201" s="28" t="s">
        <v>60</v>
      </c>
      <c r="AD201" s="29" t="s">
        <v>13</v>
      </c>
      <c r="AE201" s="29" t="s">
        <v>61</v>
      </c>
      <c r="AF201" s="2"/>
      <c r="AG201" s="2"/>
      <c r="AH201" s="1">
        <f t="shared" ref="AH201:AV217" si="76">IF(F201&gt;0,F246/F201*1000,"")</f>
        <v>302.65236551093375</v>
      </c>
      <c r="AI201" s="1" t="str">
        <f t="shared" si="76"/>
        <v/>
      </c>
      <c r="AJ201" s="1">
        <f t="shared" si="76"/>
        <v>23.945433436532507</v>
      </c>
      <c r="AK201" s="1">
        <f t="shared" si="76"/>
        <v>179.56656346749224</v>
      </c>
      <c r="AL201" s="1">
        <f t="shared" si="76"/>
        <v>354.74716202270378</v>
      </c>
      <c r="AM201" s="1">
        <f t="shared" si="76"/>
        <v>179.56656346749224</v>
      </c>
      <c r="AN201" s="52" t="str">
        <f t="shared" si="76"/>
        <v/>
      </c>
      <c r="AO201" s="1">
        <f t="shared" si="76"/>
        <v>2280.7017543859647</v>
      </c>
      <c r="AP201" s="1">
        <f t="shared" si="76"/>
        <v>5657.894736842105</v>
      </c>
      <c r="AQ201" s="1">
        <f t="shared" si="76"/>
        <v>58479.53216374269</v>
      </c>
      <c r="AR201" s="1">
        <f t="shared" si="76"/>
        <v>160818.71345029239</v>
      </c>
      <c r="AS201" s="1">
        <f t="shared" si="76"/>
        <v>5497.0760233918127</v>
      </c>
      <c r="AT201" s="1">
        <f t="shared" si="76"/>
        <v>2491.2280701754385</v>
      </c>
      <c r="AU201" s="1" t="str">
        <f t="shared" si="76"/>
        <v/>
      </c>
      <c r="AV201" s="1">
        <f t="shared" si="76"/>
        <v>2491.2280701754385</v>
      </c>
      <c r="AW201" s="1">
        <f t="shared" si="74"/>
        <v>2491.2280701754385</v>
      </c>
      <c r="AX201" s="1">
        <f t="shared" si="74"/>
        <v>2491.2280701754385</v>
      </c>
      <c r="AY201" s="1">
        <f t="shared" si="74"/>
        <v>2491.2280701754389</v>
      </c>
      <c r="AZ201" s="1">
        <f t="shared" si="74"/>
        <v>2491.2280701754389</v>
      </c>
      <c r="BA201" s="1">
        <f t="shared" si="74"/>
        <v>0</v>
      </c>
      <c r="BB201" s="1">
        <f t="shared" si="74"/>
        <v>0</v>
      </c>
      <c r="BC201" s="1">
        <f t="shared" si="74"/>
        <v>0</v>
      </c>
    </row>
    <row r="202" spans="1:55" x14ac:dyDescent="0.25">
      <c r="A202" s="36" t="s">
        <v>60</v>
      </c>
      <c r="B202" s="37" t="s">
        <v>13</v>
      </c>
      <c r="C202" s="29" t="s">
        <v>62</v>
      </c>
      <c r="D202" s="2"/>
      <c r="E202" s="2"/>
      <c r="F202" s="83">
        <f>211*0.06</f>
        <v>12.66</v>
      </c>
      <c r="G202" s="64">
        <v>65</v>
      </c>
      <c r="H202" s="64">
        <f>1600*0.2</f>
        <v>320</v>
      </c>
      <c r="I202" s="51">
        <v>0</v>
      </c>
      <c r="J202" s="51">
        <v>0</v>
      </c>
      <c r="K202" s="51">
        <v>0</v>
      </c>
      <c r="L202" s="52">
        <v>0</v>
      </c>
      <c r="M202" s="51">
        <v>0</v>
      </c>
      <c r="N202" s="51">
        <v>0</v>
      </c>
      <c r="O202" s="51">
        <v>0</v>
      </c>
      <c r="P202" s="51">
        <v>0</v>
      </c>
      <c r="Q202" s="51">
        <v>0</v>
      </c>
      <c r="R202" s="51">
        <v>0</v>
      </c>
      <c r="S202" s="51">
        <v>0</v>
      </c>
      <c r="T202" s="51">
        <v>0</v>
      </c>
      <c r="U202" s="51">
        <v>0</v>
      </c>
      <c r="V202" s="51">
        <v>0</v>
      </c>
      <c r="W202" s="51">
        <v>0</v>
      </c>
      <c r="X202" s="55">
        <v>0</v>
      </c>
      <c r="Y202" s="59">
        <f t="shared" si="61"/>
        <v>397.65999999999997</v>
      </c>
      <c r="Z202" s="51">
        <f t="shared" si="62"/>
        <v>0</v>
      </c>
      <c r="AA202" s="51">
        <f t="shared" si="63"/>
        <v>397.65999999999997</v>
      </c>
      <c r="AC202" s="36" t="s">
        <v>60</v>
      </c>
      <c r="AD202" s="37" t="s">
        <v>13</v>
      </c>
      <c r="AE202" s="29" t="s">
        <v>62</v>
      </c>
      <c r="AF202" s="2"/>
      <c r="AG202" s="2"/>
      <c r="AH202" s="1">
        <f t="shared" si="76"/>
        <v>302.65236551093369</v>
      </c>
      <c r="AI202" s="1">
        <f t="shared" si="76"/>
        <v>161.94331983805668</v>
      </c>
      <c r="AJ202" s="1">
        <f t="shared" si="76"/>
        <v>31.927244582043343</v>
      </c>
      <c r="AK202" s="1" t="str">
        <f t="shared" si="76"/>
        <v/>
      </c>
      <c r="AL202" s="1" t="str">
        <f t="shared" si="76"/>
        <v/>
      </c>
      <c r="AM202" s="1" t="str">
        <f t="shared" si="76"/>
        <v/>
      </c>
      <c r="AN202" s="52" t="str">
        <f t="shared" si="76"/>
        <v/>
      </c>
      <c r="AO202" s="1" t="str">
        <f t="shared" si="76"/>
        <v/>
      </c>
      <c r="AP202" s="1" t="str">
        <f t="shared" si="76"/>
        <v/>
      </c>
      <c r="AQ202" s="1" t="str">
        <f t="shared" si="76"/>
        <v/>
      </c>
      <c r="AR202" s="1" t="str">
        <f t="shared" si="76"/>
        <v/>
      </c>
      <c r="AS202" s="1" t="str">
        <f t="shared" si="76"/>
        <v/>
      </c>
      <c r="AT202" s="1" t="str">
        <f t="shared" si="76"/>
        <v/>
      </c>
      <c r="AU202" s="1" t="str">
        <f t="shared" si="76"/>
        <v/>
      </c>
      <c r="AV202" s="1" t="str">
        <f t="shared" si="76"/>
        <v/>
      </c>
      <c r="AW202" s="1" t="str">
        <f t="shared" si="74"/>
        <v/>
      </c>
      <c r="AX202" s="1" t="str">
        <f t="shared" si="74"/>
        <v/>
      </c>
      <c r="AY202" s="1" t="str">
        <f t="shared" si="74"/>
        <v/>
      </c>
      <c r="AZ202" s="1" t="str">
        <f t="shared" si="74"/>
        <v/>
      </c>
      <c r="BA202" s="1">
        <f t="shared" si="74"/>
        <v>0</v>
      </c>
      <c r="BB202" s="1" t="str">
        <f t="shared" si="74"/>
        <v/>
      </c>
      <c r="BC202" s="1">
        <f t="shared" si="74"/>
        <v>0</v>
      </c>
    </row>
    <row r="203" spans="1:55" x14ac:dyDescent="0.25">
      <c r="A203" s="30" t="s">
        <v>60</v>
      </c>
      <c r="B203" s="31" t="s">
        <v>13</v>
      </c>
      <c r="C203" s="32" t="s">
        <v>63</v>
      </c>
      <c r="D203" s="2"/>
      <c r="E203" s="2"/>
      <c r="F203" s="51">
        <v>0</v>
      </c>
      <c r="G203" s="51">
        <v>0</v>
      </c>
      <c r="H203" s="51">
        <v>0</v>
      </c>
      <c r="I203" s="51">
        <v>0</v>
      </c>
      <c r="J203" s="51">
        <v>0</v>
      </c>
      <c r="K203" s="51">
        <v>0</v>
      </c>
      <c r="L203" s="52">
        <v>0</v>
      </c>
      <c r="M203" s="51">
        <v>0</v>
      </c>
      <c r="N203" s="51">
        <v>0</v>
      </c>
      <c r="O203" s="51">
        <v>0</v>
      </c>
      <c r="P203" s="51">
        <v>0</v>
      </c>
      <c r="Q203" s="51">
        <v>0</v>
      </c>
      <c r="R203" s="51">
        <v>0</v>
      </c>
      <c r="S203" s="51">
        <v>0</v>
      </c>
      <c r="T203" s="51">
        <v>0</v>
      </c>
      <c r="U203" s="51">
        <v>0</v>
      </c>
      <c r="V203" s="51">
        <v>0</v>
      </c>
      <c r="W203" s="51">
        <v>0</v>
      </c>
      <c r="X203" s="55">
        <v>0</v>
      </c>
      <c r="Y203" s="59">
        <f t="shared" si="61"/>
        <v>0</v>
      </c>
      <c r="Z203" s="51">
        <f t="shared" si="62"/>
        <v>0</v>
      </c>
      <c r="AA203" s="51">
        <f t="shared" si="63"/>
        <v>0</v>
      </c>
      <c r="AC203" s="30" t="s">
        <v>60</v>
      </c>
      <c r="AD203" s="31" t="s">
        <v>13</v>
      </c>
      <c r="AE203" s="32" t="s">
        <v>63</v>
      </c>
      <c r="AF203" s="2"/>
      <c r="AG203" s="2"/>
      <c r="AH203" s="1" t="str">
        <f t="shared" si="76"/>
        <v/>
      </c>
      <c r="AI203" s="1" t="str">
        <f t="shared" si="76"/>
        <v/>
      </c>
      <c r="AJ203" s="1" t="str">
        <f t="shared" si="76"/>
        <v/>
      </c>
      <c r="AK203" s="1" t="str">
        <f t="shared" si="76"/>
        <v/>
      </c>
      <c r="AL203" s="1" t="str">
        <f t="shared" si="76"/>
        <v/>
      </c>
      <c r="AM203" s="1" t="str">
        <f t="shared" si="76"/>
        <v/>
      </c>
      <c r="AN203" s="52" t="str">
        <f t="shared" si="76"/>
        <v/>
      </c>
      <c r="AO203" s="1" t="str">
        <f t="shared" si="76"/>
        <v/>
      </c>
      <c r="AP203" s="1" t="str">
        <f t="shared" si="76"/>
        <v/>
      </c>
      <c r="AQ203" s="1" t="str">
        <f t="shared" si="76"/>
        <v/>
      </c>
      <c r="AR203" s="1" t="str">
        <f t="shared" si="76"/>
        <v/>
      </c>
      <c r="AS203" s="1" t="str">
        <f t="shared" si="76"/>
        <v/>
      </c>
      <c r="AT203" s="1" t="str">
        <f t="shared" si="76"/>
        <v/>
      </c>
      <c r="AU203" s="1" t="str">
        <f t="shared" si="76"/>
        <v/>
      </c>
      <c r="AV203" s="1" t="str">
        <f t="shared" si="76"/>
        <v/>
      </c>
      <c r="AW203" s="1" t="str">
        <f t="shared" si="74"/>
        <v/>
      </c>
      <c r="AX203" s="1" t="str">
        <f t="shared" si="74"/>
        <v/>
      </c>
      <c r="AY203" s="1" t="str">
        <f t="shared" si="74"/>
        <v/>
      </c>
      <c r="AZ203" s="1" t="str">
        <f t="shared" si="74"/>
        <v/>
      </c>
      <c r="BA203" s="1" t="str">
        <f t="shared" si="74"/>
        <v/>
      </c>
      <c r="BB203" s="1" t="str">
        <f t="shared" si="74"/>
        <v/>
      </c>
      <c r="BC203" s="1" t="str">
        <f t="shared" si="74"/>
        <v/>
      </c>
    </row>
    <row r="204" spans="1:55" x14ac:dyDescent="0.25">
      <c r="A204" s="30" t="s">
        <v>60</v>
      </c>
      <c r="B204" s="32" t="s">
        <v>23</v>
      </c>
      <c r="C204" s="31" t="s">
        <v>50</v>
      </c>
      <c r="D204" s="2"/>
      <c r="E204" s="2"/>
      <c r="F204" s="64">
        <f>3/40*50</f>
        <v>3.75</v>
      </c>
      <c r="G204" s="51">
        <v>0</v>
      </c>
      <c r="H204" s="51">
        <v>0</v>
      </c>
      <c r="I204" s="51">
        <v>0</v>
      </c>
      <c r="J204" s="80">
        <f>J24/J159</f>
        <v>1.2222222222222223</v>
      </c>
      <c r="K204" s="77">
        <f>K24/K159</f>
        <v>1069.090909090909</v>
      </c>
      <c r="L204" s="52">
        <v>0</v>
      </c>
      <c r="M204" s="51">
        <v>0</v>
      </c>
      <c r="N204" s="84">
        <f>N24/N159</f>
        <v>1.3109999999999999</v>
      </c>
      <c r="O204" s="51">
        <v>0</v>
      </c>
      <c r="P204" s="51">
        <v>0</v>
      </c>
      <c r="Q204" s="51">
        <v>0</v>
      </c>
      <c r="R204" s="51">
        <v>0</v>
      </c>
      <c r="S204" s="51">
        <v>0</v>
      </c>
      <c r="T204" s="51">
        <v>0</v>
      </c>
      <c r="U204" s="51">
        <v>0</v>
      </c>
      <c r="V204" s="51">
        <v>0</v>
      </c>
      <c r="W204" s="51">
        <v>0</v>
      </c>
      <c r="X204" s="55">
        <v>0</v>
      </c>
      <c r="Y204" s="59">
        <f t="shared" si="61"/>
        <v>1074.0631313131312</v>
      </c>
      <c r="Z204" s="51">
        <f t="shared" si="62"/>
        <v>1.3109999999999999</v>
      </c>
      <c r="AA204" s="51">
        <f t="shared" si="63"/>
        <v>1075.3741313131311</v>
      </c>
      <c r="AC204" s="30" t="s">
        <v>60</v>
      </c>
      <c r="AD204" s="32" t="s">
        <v>23</v>
      </c>
      <c r="AE204" s="31" t="s">
        <v>50</v>
      </c>
      <c r="AF204" s="2"/>
      <c r="AG204" s="2"/>
      <c r="AH204" s="1">
        <f t="shared" si="76"/>
        <v>615.38461538461536</v>
      </c>
      <c r="AI204" s="1" t="str">
        <f t="shared" si="76"/>
        <v/>
      </c>
      <c r="AJ204" s="1" t="str">
        <f t="shared" si="76"/>
        <v/>
      </c>
      <c r="AK204" s="1" t="str">
        <f t="shared" si="76"/>
        <v/>
      </c>
      <c r="AL204" s="1">
        <f t="shared" si="76"/>
        <v>692.30769230769226</v>
      </c>
      <c r="AM204" s="1">
        <f t="shared" si="76"/>
        <v>33.846153846153847</v>
      </c>
      <c r="AN204" s="52" t="str">
        <f t="shared" si="76"/>
        <v/>
      </c>
      <c r="AO204" s="1" t="str">
        <f t="shared" si="76"/>
        <v/>
      </c>
      <c r="AP204" s="1">
        <f t="shared" si="76"/>
        <v>15384.615384615385</v>
      </c>
      <c r="AQ204" s="1" t="str">
        <f t="shared" si="76"/>
        <v/>
      </c>
      <c r="AR204" s="1" t="str">
        <f t="shared" si="76"/>
        <v/>
      </c>
      <c r="AS204" s="1" t="str">
        <f t="shared" si="76"/>
        <v/>
      </c>
      <c r="AT204" s="1" t="str">
        <f t="shared" si="76"/>
        <v/>
      </c>
      <c r="AU204" s="1" t="str">
        <f t="shared" si="76"/>
        <v/>
      </c>
      <c r="AV204" s="1" t="str">
        <f t="shared" si="76"/>
        <v/>
      </c>
      <c r="AW204" s="1" t="str">
        <f t="shared" si="74"/>
        <v/>
      </c>
      <c r="AX204" s="1" t="str">
        <f t="shared" si="74"/>
        <v/>
      </c>
      <c r="AY204" s="1" t="str">
        <f t="shared" si="74"/>
        <v/>
      </c>
      <c r="AZ204" s="1" t="str">
        <f t="shared" si="74"/>
        <v/>
      </c>
      <c r="BA204" s="1">
        <f t="shared" si="74"/>
        <v>0</v>
      </c>
      <c r="BB204" s="1">
        <f t="shared" si="74"/>
        <v>0</v>
      </c>
      <c r="BC204" s="1">
        <f t="shared" si="74"/>
        <v>0</v>
      </c>
    </row>
    <row r="205" spans="1:55" x14ac:dyDescent="0.25">
      <c r="A205" s="30" t="s">
        <v>60</v>
      </c>
      <c r="B205" s="32" t="s">
        <v>23</v>
      </c>
      <c r="C205" s="31" t="s">
        <v>49</v>
      </c>
      <c r="D205" s="2"/>
      <c r="E205" s="2"/>
      <c r="F205" s="51">
        <v>0</v>
      </c>
      <c r="G205" s="51">
        <v>0</v>
      </c>
      <c r="H205" s="51">
        <v>0</v>
      </c>
      <c r="I205" s="51">
        <v>0</v>
      </c>
      <c r="J205" s="80">
        <f>J25/J160</f>
        <v>43.684621389539416</v>
      </c>
      <c r="K205" s="51">
        <v>0</v>
      </c>
      <c r="L205" s="52">
        <v>0</v>
      </c>
      <c r="M205" s="51">
        <v>0</v>
      </c>
      <c r="N205" s="51">
        <v>0</v>
      </c>
      <c r="O205" s="51">
        <v>0</v>
      </c>
      <c r="P205" s="51">
        <v>0</v>
      </c>
      <c r="Q205" s="51">
        <v>0</v>
      </c>
      <c r="R205" s="51">
        <v>0</v>
      </c>
      <c r="S205" s="77">
        <f t="shared" ref="S205:X205" si="77">S25/S160</f>
        <v>2.4500000000000002</v>
      </c>
      <c r="T205" s="80">
        <f t="shared" si="77"/>
        <v>0.24630541871921183</v>
      </c>
      <c r="U205" s="86">
        <v>0</v>
      </c>
      <c r="V205" s="80">
        <f t="shared" si="77"/>
        <v>0.24630541871921183</v>
      </c>
      <c r="W205" s="86">
        <v>0</v>
      </c>
      <c r="X205" s="80">
        <f t="shared" si="77"/>
        <v>0.24630541871921183</v>
      </c>
      <c r="Y205" s="59">
        <f t="shared" si="61"/>
        <v>43.684621389539416</v>
      </c>
      <c r="Z205" s="51">
        <f t="shared" si="62"/>
        <v>3.1889162561576354</v>
      </c>
      <c r="AA205" s="51">
        <f t="shared" si="63"/>
        <v>46.873537645697049</v>
      </c>
      <c r="AC205" s="30" t="s">
        <v>60</v>
      </c>
      <c r="AD205" s="32" t="s">
        <v>23</v>
      </c>
      <c r="AE205" s="31" t="s">
        <v>49</v>
      </c>
      <c r="AF205" s="2"/>
      <c r="AG205" s="2"/>
      <c r="AH205" s="1" t="str">
        <f t="shared" si="76"/>
        <v/>
      </c>
      <c r="AI205" s="1" t="str">
        <f t="shared" si="76"/>
        <v/>
      </c>
      <c r="AJ205" s="1" t="str">
        <f t="shared" si="76"/>
        <v/>
      </c>
      <c r="AK205" s="1" t="str">
        <f t="shared" si="76"/>
        <v/>
      </c>
      <c r="AL205" s="1">
        <f t="shared" si="76"/>
        <v>888.88888888888891</v>
      </c>
      <c r="AM205" s="1" t="str">
        <f t="shared" si="76"/>
        <v/>
      </c>
      <c r="AN205" s="52" t="str">
        <f t="shared" si="76"/>
        <v/>
      </c>
      <c r="AO205" s="1" t="str">
        <f t="shared" si="76"/>
        <v/>
      </c>
      <c r="AP205" s="1" t="str">
        <f t="shared" si="76"/>
        <v/>
      </c>
      <c r="AQ205" s="1" t="str">
        <f t="shared" si="76"/>
        <v/>
      </c>
      <c r="AR205" s="1" t="str">
        <f t="shared" si="76"/>
        <v/>
      </c>
      <c r="AS205" s="1" t="str">
        <f t="shared" si="76"/>
        <v/>
      </c>
      <c r="AT205" s="1" t="str">
        <f t="shared" si="76"/>
        <v/>
      </c>
      <c r="AU205" s="1">
        <f t="shared" si="76"/>
        <v>2222.2222222222222</v>
      </c>
      <c r="AV205" s="1">
        <f t="shared" si="76"/>
        <v>9022.2222222222226</v>
      </c>
      <c r="AW205" s="1" t="str">
        <f t="shared" si="74"/>
        <v/>
      </c>
      <c r="AX205" s="1">
        <f t="shared" si="74"/>
        <v>9022.2222222222226</v>
      </c>
      <c r="AY205" s="1" t="str">
        <f t="shared" si="74"/>
        <v/>
      </c>
      <c r="AZ205" s="1">
        <f t="shared" si="74"/>
        <v>9022.2222222222226</v>
      </c>
      <c r="BA205" s="1">
        <f t="shared" si="74"/>
        <v>0</v>
      </c>
      <c r="BB205" s="1">
        <f t="shared" si="74"/>
        <v>0</v>
      </c>
      <c r="BC205" s="1">
        <f t="shared" si="74"/>
        <v>0</v>
      </c>
    </row>
    <row r="206" spans="1:55" x14ac:dyDescent="0.25">
      <c r="A206" s="30" t="s">
        <v>60</v>
      </c>
      <c r="B206" s="32" t="s">
        <v>23</v>
      </c>
      <c r="C206" s="31" t="s">
        <v>64</v>
      </c>
      <c r="D206" s="2"/>
      <c r="E206" s="2"/>
      <c r="F206" s="51">
        <v>0</v>
      </c>
      <c r="G206" s="51">
        <v>0</v>
      </c>
      <c r="H206" s="51">
        <v>0</v>
      </c>
      <c r="I206" s="51">
        <v>0</v>
      </c>
      <c r="J206" s="51">
        <v>0</v>
      </c>
      <c r="K206" s="51">
        <v>0</v>
      </c>
      <c r="L206" s="52">
        <v>0</v>
      </c>
      <c r="M206" s="51">
        <v>0</v>
      </c>
      <c r="N206" s="51">
        <v>0</v>
      </c>
      <c r="O206" s="51">
        <v>0</v>
      </c>
      <c r="P206" s="51">
        <v>0</v>
      </c>
      <c r="Q206" s="51">
        <v>0</v>
      </c>
      <c r="R206" s="51">
        <v>0</v>
      </c>
      <c r="S206" s="51">
        <v>0</v>
      </c>
      <c r="T206" s="51">
        <v>0</v>
      </c>
      <c r="U206" s="51">
        <v>0</v>
      </c>
      <c r="V206" s="51">
        <v>0</v>
      </c>
      <c r="W206" s="51">
        <v>0</v>
      </c>
      <c r="X206" s="55">
        <v>0</v>
      </c>
      <c r="Y206" s="59">
        <f t="shared" si="61"/>
        <v>0</v>
      </c>
      <c r="Z206" s="51">
        <f t="shared" si="62"/>
        <v>0</v>
      </c>
      <c r="AA206" s="51">
        <f t="shared" si="63"/>
        <v>0</v>
      </c>
      <c r="AC206" s="30" t="s">
        <v>60</v>
      </c>
      <c r="AD206" s="32" t="s">
        <v>23</v>
      </c>
      <c r="AE206" s="31" t="s">
        <v>64</v>
      </c>
      <c r="AF206" s="2"/>
      <c r="AG206" s="2"/>
      <c r="AH206" s="1" t="str">
        <f t="shared" si="76"/>
        <v/>
      </c>
      <c r="AI206" s="1" t="str">
        <f t="shared" si="76"/>
        <v/>
      </c>
      <c r="AJ206" s="1" t="str">
        <f t="shared" si="76"/>
        <v/>
      </c>
      <c r="AK206" s="1" t="str">
        <f t="shared" si="76"/>
        <v/>
      </c>
      <c r="AL206" s="1" t="str">
        <f t="shared" si="76"/>
        <v/>
      </c>
      <c r="AM206" s="1" t="str">
        <f t="shared" si="76"/>
        <v/>
      </c>
      <c r="AN206" s="52" t="str">
        <f t="shared" si="76"/>
        <v/>
      </c>
      <c r="AO206" s="1" t="str">
        <f t="shared" si="76"/>
        <v/>
      </c>
      <c r="AP206" s="1" t="str">
        <f t="shared" si="76"/>
        <v/>
      </c>
      <c r="AQ206" s="1" t="str">
        <f t="shared" si="76"/>
        <v/>
      </c>
      <c r="AR206" s="1" t="str">
        <f t="shared" si="76"/>
        <v/>
      </c>
      <c r="AS206" s="1" t="str">
        <f t="shared" si="76"/>
        <v/>
      </c>
      <c r="AT206" s="1" t="str">
        <f t="shared" si="76"/>
        <v/>
      </c>
      <c r="AU206" s="1" t="str">
        <f t="shared" si="76"/>
        <v/>
      </c>
      <c r="AV206" s="1" t="str">
        <f t="shared" si="76"/>
        <v/>
      </c>
      <c r="AW206" s="1" t="str">
        <f t="shared" si="74"/>
        <v/>
      </c>
      <c r="AX206" s="1" t="str">
        <f t="shared" si="74"/>
        <v/>
      </c>
      <c r="AY206" s="1" t="str">
        <f t="shared" si="74"/>
        <v/>
      </c>
      <c r="AZ206" s="1" t="str">
        <f t="shared" si="74"/>
        <v/>
      </c>
      <c r="BA206" s="1" t="str">
        <f t="shared" si="74"/>
        <v/>
      </c>
      <c r="BB206" s="1" t="str">
        <f t="shared" si="74"/>
        <v/>
      </c>
      <c r="BC206" s="1" t="str">
        <f t="shared" si="74"/>
        <v/>
      </c>
    </row>
    <row r="207" spans="1:55" x14ac:dyDescent="0.25">
      <c r="A207" s="30" t="s">
        <v>60</v>
      </c>
      <c r="B207" s="32" t="s">
        <v>65</v>
      </c>
      <c r="C207" s="31" t="s">
        <v>66</v>
      </c>
      <c r="D207" s="2"/>
      <c r="E207" s="2"/>
      <c r="F207" s="51">
        <v>0</v>
      </c>
      <c r="G207" s="51">
        <v>0</v>
      </c>
      <c r="H207" s="51">
        <v>0</v>
      </c>
      <c r="I207" s="51">
        <v>0</v>
      </c>
      <c r="J207" s="80">
        <f>J27/J162</f>
        <v>55.438842203548084</v>
      </c>
      <c r="K207" s="51">
        <v>0</v>
      </c>
      <c r="L207" s="52">
        <v>0</v>
      </c>
      <c r="M207" s="81">
        <f>M27/M162</f>
        <v>30.787037037037038</v>
      </c>
      <c r="N207" s="51">
        <v>0</v>
      </c>
      <c r="O207" s="51">
        <v>0</v>
      </c>
      <c r="P207" s="51">
        <v>0</v>
      </c>
      <c r="Q207" s="51">
        <v>0</v>
      </c>
      <c r="R207" s="51">
        <v>0</v>
      </c>
      <c r="S207" s="51">
        <v>0</v>
      </c>
      <c r="T207" s="51">
        <v>0</v>
      </c>
      <c r="U207" s="51">
        <v>0</v>
      </c>
      <c r="V207" s="51">
        <v>0</v>
      </c>
      <c r="W207" s="51">
        <v>0</v>
      </c>
      <c r="X207" s="55">
        <v>0</v>
      </c>
      <c r="Y207" s="59">
        <f t="shared" si="61"/>
        <v>55.438842203548084</v>
      </c>
      <c r="Z207" s="51">
        <f t="shared" si="62"/>
        <v>30.787037037037038</v>
      </c>
      <c r="AA207" s="51">
        <f t="shared" si="63"/>
        <v>86.22587924058513</v>
      </c>
      <c r="AC207" s="30" t="s">
        <v>60</v>
      </c>
      <c r="AD207" s="32" t="s">
        <v>65</v>
      </c>
      <c r="AE207" s="31" t="s">
        <v>66</v>
      </c>
      <c r="AF207" s="2"/>
      <c r="AG207" s="2"/>
      <c r="AH207" s="1" t="str">
        <f t="shared" si="76"/>
        <v/>
      </c>
      <c r="AI207" s="1" t="str">
        <f t="shared" si="76"/>
        <v/>
      </c>
      <c r="AJ207" s="1" t="str">
        <f t="shared" si="76"/>
        <v/>
      </c>
      <c r="AK207" s="1" t="str">
        <f t="shared" si="76"/>
        <v/>
      </c>
      <c r="AL207" s="1">
        <f t="shared" si="76"/>
        <v>1414.1414141414141</v>
      </c>
      <c r="AM207" s="1" t="str">
        <f t="shared" si="76"/>
        <v/>
      </c>
      <c r="AN207" s="52" t="str">
        <f t="shared" si="76"/>
        <v/>
      </c>
      <c r="AO207" s="1">
        <f t="shared" si="76"/>
        <v>7575.7575757575751</v>
      </c>
      <c r="AP207" s="1" t="str">
        <f t="shared" si="76"/>
        <v/>
      </c>
      <c r="AQ207" s="1" t="str">
        <f t="shared" si="76"/>
        <v/>
      </c>
      <c r="AR207" s="1" t="str">
        <f t="shared" si="76"/>
        <v/>
      </c>
      <c r="AS207" s="1" t="str">
        <f t="shared" si="76"/>
        <v/>
      </c>
      <c r="AT207" s="1" t="str">
        <f t="shared" si="76"/>
        <v/>
      </c>
      <c r="AU207" s="1" t="str">
        <f t="shared" si="76"/>
        <v/>
      </c>
      <c r="AV207" s="1" t="str">
        <f t="shared" si="76"/>
        <v/>
      </c>
      <c r="AW207" s="1" t="str">
        <f t="shared" si="74"/>
        <v/>
      </c>
      <c r="AX207" s="1" t="str">
        <f t="shared" si="74"/>
        <v/>
      </c>
      <c r="AY207" s="1" t="str">
        <f t="shared" si="74"/>
        <v/>
      </c>
      <c r="AZ207" s="1" t="str">
        <f t="shared" si="74"/>
        <v/>
      </c>
      <c r="BA207" s="1">
        <f t="shared" si="74"/>
        <v>0</v>
      </c>
      <c r="BB207" s="1">
        <f t="shared" si="74"/>
        <v>0</v>
      </c>
      <c r="BC207" s="1">
        <f t="shared" si="74"/>
        <v>0</v>
      </c>
    </row>
    <row r="208" spans="1:55" x14ac:dyDescent="0.25">
      <c r="A208" s="30" t="s">
        <v>60</v>
      </c>
      <c r="B208" s="32" t="s">
        <v>65</v>
      </c>
      <c r="C208" s="31" t="s">
        <v>67</v>
      </c>
      <c r="D208" s="2"/>
      <c r="E208" s="2"/>
      <c r="F208" s="51">
        <v>0</v>
      </c>
      <c r="G208" s="51">
        <v>0</v>
      </c>
      <c r="H208" s="51">
        <v>0</v>
      </c>
      <c r="I208" s="51">
        <v>0</v>
      </c>
      <c r="J208" s="51">
        <v>0</v>
      </c>
      <c r="K208" s="51">
        <v>0</v>
      </c>
      <c r="L208" s="52">
        <v>0</v>
      </c>
      <c r="M208" s="51">
        <v>0</v>
      </c>
      <c r="N208" s="51">
        <v>0</v>
      </c>
      <c r="O208" s="51">
        <v>0</v>
      </c>
      <c r="P208" s="51">
        <v>0</v>
      </c>
      <c r="Q208" s="80">
        <f>Q28/Q163</f>
        <v>23.331386455291337</v>
      </c>
      <c r="R208" s="80">
        <f>R28/R163</f>
        <v>33.523581576605608</v>
      </c>
      <c r="S208" s="51">
        <v>0</v>
      </c>
      <c r="T208" s="80">
        <f>T28/T163</f>
        <v>32.649053361563716</v>
      </c>
      <c r="U208" s="80">
        <f>U28/U163</f>
        <v>16.0330172757679</v>
      </c>
      <c r="V208" s="80">
        <f>V28/V163</f>
        <v>9.5891251649329536</v>
      </c>
      <c r="W208" s="80">
        <f>W28/W163</f>
        <v>11.660376200558471</v>
      </c>
      <c r="X208" s="80">
        <f>X28/X163</f>
        <v>36.438675626745223</v>
      </c>
      <c r="Y208" s="59">
        <f t="shared" si="61"/>
        <v>0</v>
      </c>
      <c r="Z208" s="51">
        <f t="shared" si="62"/>
        <v>163.2252156614652</v>
      </c>
      <c r="AA208" s="51">
        <f t="shared" si="63"/>
        <v>163.2252156614652</v>
      </c>
      <c r="AC208" s="30" t="s">
        <v>60</v>
      </c>
      <c r="AD208" s="32" t="s">
        <v>65</v>
      </c>
      <c r="AE208" s="31" t="s">
        <v>67</v>
      </c>
      <c r="AF208" s="2"/>
      <c r="AG208" s="2"/>
      <c r="AH208" s="1" t="str">
        <f t="shared" si="76"/>
        <v/>
      </c>
      <c r="AI208" s="1" t="str">
        <f t="shared" si="76"/>
        <v/>
      </c>
      <c r="AJ208" s="1" t="str">
        <f t="shared" si="76"/>
        <v/>
      </c>
      <c r="AK208" s="1" t="str">
        <f t="shared" si="76"/>
        <v/>
      </c>
      <c r="AL208" s="1" t="str">
        <f t="shared" si="76"/>
        <v/>
      </c>
      <c r="AM208" s="1" t="str">
        <f t="shared" si="76"/>
        <v/>
      </c>
      <c r="AN208" s="52" t="str">
        <f t="shared" si="76"/>
        <v/>
      </c>
      <c r="AO208" s="1" t="str">
        <f t="shared" si="76"/>
        <v/>
      </c>
      <c r="AP208" s="1" t="str">
        <f t="shared" si="76"/>
        <v/>
      </c>
      <c r="AQ208" s="1" t="str">
        <f t="shared" si="76"/>
        <v/>
      </c>
      <c r="AR208" s="1" t="str">
        <f t="shared" si="76"/>
        <v/>
      </c>
      <c r="AS208" s="1">
        <f t="shared" si="76"/>
        <v>26857.142857142859</v>
      </c>
      <c r="AT208" s="1">
        <f t="shared" si="76"/>
        <v>12171.428571428571</v>
      </c>
      <c r="AU208" s="1" t="str">
        <f t="shared" si="76"/>
        <v/>
      </c>
      <c r="AV208" s="1">
        <f t="shared" si="76"/>
        <v>12171.428571428572</v>
      </c>
      <c r="AW208" s="1">
        <f t="shared" si="74"/>
        <v>12171.428571428571</v>
      </c>
      <c r="AX208" s="1">
        <f t="shared" si="74"/>
        <v>12171.428571428571</v>
      </c>
      <c r="AY208" s="1">
        <f t="shared" si="74"/>
        <v>12171.428571428572</v>
      </c>
      <c r="AZ208" s="1">
        <f t="shared" si="74"/>
        <v>12171.428571428571</v>
      </c>
      <c r="BA208" s="1" t="str">
        <f t="shared" si="74"/>
        <v/>
      </c>
      <c r="BB208" s="1">
        <f t="shared" si="74"/>
        <v>0</v>
      </c>
      <c r="BC208" s="1">
        <f t="shared" si="74"/>
        <v>0</v>
      </c>
    </row>
    <row r="209" spans="1:55" x14ac:dyDescent="0.25">
      <c r="A209" s="30" t="s">
        <v>60</v>
      </c>
      <c r="B209" s="32" t="s">
        <v>65</v>
      </c>
      <c r="C209" s="31" t="s">
        <v>68</v>
      </c>
      <c r="D209" s="2"/>
      <c r="E209" s="2"/>
      <c r="F209" s="51">
        <v>0</v>
      </c>
      <c r="G209" s="51">
        <v>0</v>
      </c>
      <c r="H209" s="51">
        <v>0</v>
      </c>
      <c r="I209" s="51">
        <v>0</v>
      </c>
      <c r="J209" s="51">
        <v>0</v>
      </c>
      <c r="K209" s="51">
        <v>0</v>
      </c>
      <c r="L209" s="80">
        <f>L29/L164</f>
        <v>261.43790849673206</v>
      </c>
      <c r="M209" s="51">
        <v>0</v>
      </c>
      <c r="N209" s="51">
        <v>0</v>
      </c>
      <c r="O209" s="51">
        <v>0</v>
      </c>
      <c r="P209" s="51">
        <v>0</v>
      </c>
      <c r="Q209" s="51">
        <v>0</v>
      </c>
      <c r="R209" s="51">
        <v>0</v>
      </c>
      <c r="S209" s="51">
        <v>0</v>
      </c>
      <c r="T209" s="51">
        <v>0</v>
      </c>
      <c r="U209" s="51">
        <v>0</v>
      </c>
      <c r="V209" s="51">
        <v>0</v>
      </c>
      <c r="W209" s="51">
        <v>0</v>
      </c>
      <c r="X209" s="55">
        <v>0</v>
      </c>
      <c r="Y209" s="59">
        <f t="shared" si="61"/>
        <v>0</v>
      </c>
      <c r="Z209" s="51">
        <f t="shared" si="62"/>
        <v>0</v>
      </c>
      <c r="AA209" s="51">
        <f t="shared" si="63"/>
        <v>261.43790849673206</v>
      </c>
      <c r="AC209" s="30" t="s">
        <v>60</v>
      </c>
      <c r="AD209" s="32" t="s">
        <v>65</v>
      </c>
      <c r="AE209" s="31" t="s">
        <v>68</v>
      </c>
      <c r="AF209" s="2"/>
      <c r="AG209" s="2"/>
      <c r="AH209" s="1" t="str">
        <f t="shared" si="76"/>
        <v/>
      </c>
      <c r="AI209" s="1" t="str">
        <f t="shared" si="76"/>
        <v/>
      </c>
      <c r="AJ209" s="1" t="str">
        <f t="shared" si="76"/>
        <v/>
      </c>
      <c r="AK209" s="1" t="str">
        <f t="shared" si="76"/>
        <v/>
      </c>
      <c r="AL209" s="1" t="str">
        <f t="shared" si="76"/>
        <v/>
      </c>
      <c r="AM209" s="1" t="str">
        <f t="shared" si="76"/>
        <v/>
      </c>
      <c r="AN209" s="52">
        <f t="shared" si="76"/>
        <v>18939.393939393936</v>
      </c>
      <c r="AO209" s="1" t="str">
        <f t="shared" si="76"/>
        <v/>
      </c>
      <c r="AP209" s="1" t="str">
        <f t="shared" si="76"/>
        <v/>
      </c>
      <c r="AQ209" s="1" t="str">
        <f t="shared" si="76"/>
        <v/>
      </c>
      <c r="AR209" s="1" t="str">
        <f t="shared" si="76"/>
        <v/>
      </c>
      <c r="AS209" s="1" t="str">
        <f t="shared" si="76"/>
        <v/>
      </c>
      <c r="AT209" s="1" t="str">
        <f t="shared" si="76"/>
        <v/>
      </c>
      <c r="AU209" s="1" t="str">
        <f t="shared" si="76"/>
        <v/>
      </c>
      <c r="AV209" s="1" t="str">
        <f t="shared" si="76"/>
        <v/>
      </c>
      <c r="AW209" s="1" t="str">
        <f t="shared" si="74"/>
        <v/>
      </c>
      <c r="AX209" s="1" t="str">
        <f t="shared" si="74"/>
        <v/>
      </c>
      <c r="AY209" s="1" t="str">
        <f t="shared" si="74"/>
        <v/>
      </c>
      <c r="AZ209" s="1" t="str">
        <f t="shared" si="74"/>
        <v/>
      </c>
      <c r="BA209" s="1" t="str">
        <f t="shared" si="74"/>
        <v/>
      </c>
      <c r="BB209" s="1" t="str">
        <f t="shared" si="74"/>
        <v/>
      </c>
      <c r="BC209" s="1">
        <f t="shared" si="74"/>
        <v>0</v>
      </c>
    </row>
    <row r="210" spans="1:55" x14ac:dyDescent="0.25">
      <c r="A210" s="30" t="s">
        <v>60</v>
      </c>
      <c r="B210" s="32" t="s">
        <v>9</v>
      </c>
      <c r="C210" s="31" t="s">
        <v>69</v>
      </c>
      <c r="D210" s="2"/>
      <c r="E210" s="2"/>
      <c r="F210" s="51">
        <v>0</v>
      </c>
      <c r="G210" s="51">
        <v>0</v>
      </c>
      <c r="H210" s="51">
        <v>0</v>
      </c>
      <c r="I210" s="51">
        <v>0</v>
      </c>
      <c r="J210" s="51">
        <v>0</v>
      </c>
      <c r="K210" s="51">
        <v>0</v>
      </c>
      <c r="L210" s="52">
        <v>0</v>
      </c>
      <c r="M210" s="51">
        <v>0</v>
      </c>
      <c r="N210" s="51">
        <v>0</v>
      </c>
      <c r="O210" s="51">
        <v>0</v>
      </c>
      <c r="P210" s="51">
        <v>0</v>
      </c>
      <c r="Q210" s="51">
        <v>0</v>
      </c>
      <c r="R210" s="51">
        <v>0</v>
      </c>
      <c r="S210" s="51">
        <v>0</v>
      </c>
      <c r="T210" s="51">
        <v>0</v>
      </c>
      <c r="U210" s="51">
        <v>0</v>
      </c>
      <c r="V210" s="51">
        <v>0</v>
      </c>
      <c r="W210" s="51">
        <v>0</v>
      </c>
      <c r="X210" s="80">
        <f>X30/X165</f>
        <v>3.4931813100827185</v>
      </c>
      <c r="Y210" s="80">
        <f t="shared" si="61"/>
        <v>0</v>
      </c>
      <c r="Z210" s="80">
        <f t="shared" si="62"/>
        <v>3.4931813100827185</v>
      </c>
      <c r="AA210" s="51">
        <f t="shared" si="63"/>
        <v>3.4931813100827185</v>
      </c>
      <c r="AC210" s="30" t="s">
        <v>60</v>
      </c>
      <c r="AD210" s="32" t="s">
        <v>9</v>
      </c>
      <c r="AE210" s="31" t="s">
        <v>69</v>
      </c>
      <c r="AF210" s="2"/>
      <c r="AG210" s="2"/>
      <c r="AH210" s="1" t="str">
        <f t="shared" si="76"/>
        <v/>
      </c>
      <c r="AI210" s="1" t="str">
        <f t="shared" si="76"/>
        <v/>
      </c>
      <c r="AJ210" s="1" t="str">
        <f t="shared" si="76"/>
        <v/>
      </c>
      <c r="AK210" s="1" t="str">
        <f t="shared" si="76"/>
        <v/>
      </c>
      <c r="AL210" s="1" t="str">
        <f t="shared" si="76"/>
        <v/>
      </c>
      <c r="AM210" s="1" t="str">
        <f t="shared" si="76"/>
        <v/>
      </c>
      <c r="AN210" s="52" t="str">
        <f t="shared" si="76"/>
        <v/>
      </c>
      <c r="AO210" s="1" t="str">
        <f t="shared" si="76"/>
        <v/>
      </c>
      <c r="AP210" s="1" t="str">
        <f t="shared" si="76"/>
        <v/>
      </c>
      <c r="AQ210" s="1" t="str">
        <f t="shared" si="76"/>
        <v/>
      </c>
      <c r="AR210" s="1" t="str">
        <f t="shared" si="76"/>
        <v/>
      </c>
      <c r="AS210" s="1" t="str">
        <f t="shared" si="76"/>
        <v/>
      </c>
      <c r="AT210" s="1" t="str">
        <f t="shared" si="76"/>
        <v/>
      </c>
      <c r="AU210" s="1" t="str">
        <f t="shared" si="76"/>
        <v/>
      </c>
      <c r="AV210" s="1" t="str">
        <f t="shared" si="76"/>
        <v/>
      </c>
      <c r="AW210" s="1" t="str">
        <f t="shared" si="74"/>
        <v/>
      </c>
      <c r="AX210" s="1" t="str">
        <f t="shared" si="74"/>
        <v/>
      </c>
      <c r="AY210" s="1" t="str">
        <f t="shared" si="74"/>
        <v/>
      </c>
      <c r="AZ210" s="1">
        <f t="shared" si="74"/>
        <v>7100</v>
      </c>
      <c r="BA210" s="1" t="str">
        <f t="shared" si="74"/>
        <v/>
      </c>
      <c r="BB210" s="1">
        <f t="shared" si="74"/>
        <v>0</v>
      </c>
      <c r="BC210" s="1">
        <f t="shared" si="74"/>
        <v>0</v>
      </c>
    </row>
    <row r="211" spans="1:55" x14ac:dyDescent="0.25">
      <c r="A211" s="15" t="s">
        <v>51</v>
      </c>
      <c r="B211" s="16" t="s">
        <v>56</v>
      </c>
      <c r="C211" s="27" t="s">
        <v>57</v>
      </c>
      <c r="D211" s="16" t="s">
        <v>70</v>
      </c>
      <c r="E211" s="16"/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52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54">
        <v>0</v>
      </c>
      <c r="Y211" s="58">
        <f t="shared" si="61"/>
        <v>0</v>
      </c>
      <c r="Z211" s="1">
        <f t="shared" si="62"/>
        <v>0</v>
      </c>
      <c r="AA211" s="1">
        <f t="shared" si="63"/>
        <v>0</v>
      </c>
      <c r="AC211" s="15" t="s">
        <v>51</v>
      </c>
      <c r="AD211" s="16" t="s">
        <v>56</v>
      </c>
      <c r="AE211" s="27" t="s">
        <v>57</v>
      </c>
      <c r="AF211" s="16" t="s">
        <v>70</v>
      </c>
      <c r="AG211" s="16"/>
      <c r="AH211" s="90" t="str">
        <f t="shared" si="76"/>
        <v/>
      </c>
      <c r="AI211" s="90" t="str">
        <f t="shared" si="76"/>
        <v/>
      </c>
      <c r="AJ211" s="90" t="str">
        <f t="shared" si="76"/>
        <v/>
      </c>
      <c r="AK211" s="90" t="str">
        <f t="shared" si="76"/>
        <v/>
      </c>
      <c r="AL211" s="90" t="str">
        <f t="shared" si="76"/>
        <v/>
      </c>
      <c r="AM211" s="90" t="str">
        <f t="shared" si="76"/>
        <v/>
      </c>
      <c r="AN211" s="90" t="str">
        <f t="shared" si="76"/>
        <v/>
      </c>
      <c r="AO211" s="90" t="str">
        <f t="shared" si="76"/>
        <v/>
      </c>
      <c r="AP211" s="90" t="str">
        <f t="shared" si="76"/>
        <v/>
      </c>
      <c r="AQ211" s="90" t="str">
        <f t="shared" si="76"/>
        <v/>
      </c>
      <c r="AR211" s="90" t="str">
        <f t="shared" si="76"/>
        <v/>
      </c>
      <c r="AS211" s="90" t="str">
        <f t="shared" si="76"/>
        <v/>
      </c>
      <c r="AT211" s="90" t="str">
        <f t="shared" si="76"/>
        <v/>
      </c>
      <c r="AU211" s="90" t="str">
        <f t="shared" si="76"/>
        <v/>
      </c>
      <c r="AV211" s="90" t="str">
        <f t="shared" si="76"/>
        <v/>
      </c>
      <c r="AW211" s="90" t="str">
        <f t="shared" si="74"/>
        <v/>
      </c>
      <c r="AX211" s="90" t="str">
        <f t="shared" si="74"/>
        <v/>
      </c>
      <c r="AY211" s="90" t="str">
        <f t="shared" si="74"/>
        <v/>
      </c>
      <c r="AZ211" s="90" t="str">
        <f t="shared" si="74"/>
        <v/>
      </c>
      <c r="BA211" s="90" t="str">
        <f t="shared" si="74"/>
        <v/>
      </c>
      <c r="BB211" s="90" t="str">
        <f t="shared" si="74"/>
        <v/>
      </c>
      <c r="BC211" s="90" t="str">
        <f t="shared" si="74"/>
        <v/>
      </c>
    </row>
    <row r="212" spans="1:55" x14ac:dyDescent="0.25">
      <c r="A212" s="15" t="s">
        <v>51</v>
      </c>
      <c r="B212" s="16" t="s">
        <v>56</v>
      </c>
      <c r="C212" s="27" t="s">
        <v>57</v>
      </c>
      <c r="D212" s="16" t="s">
        <v>71</v>
      </c>
      <c r="E212" s="16"/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52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54">
        <v>0</v>
      </c>
      <c r="Y212" s="58">
        <f t="shared" si="61"/>
        <v>0</v>
      </c>
      <c r="Z212" s="1">
        <f t="shared" si="62"/>
        <v>0</v>
      </c>
      <c r="AA212" s="1">
        <f t="shared" si="63"/>
        <v>0</v>
      </c>
      <c r="AC212" s="15" t="s">
        <v>51</v>
      </c>
      <c r="AD212" s="16" t="s">
        <v>56</v>
      </c>
      <c r="AE212" s="27" t="s">
        <v>57</v>
      </c>
      <c r="AF212" s="16" t="s">
        <v>71</v>
      </c>
      <c r="AG212" s="16"/>
      <c r="AH212" s="90" t="str">
        <f t="shared" si="76"/>
        <v/>
      </c>
      <c r="AI212" s="90" t="str">
        <f t="shared" si="76"/>
        <v/>
      </c>
      <c r="AJ212" s="90" t="str">
        <f t="shared" si="76"/>
        <v/>
      </c>
      <c r="AK212" s="90" t="str">
        <f t="shared" si="76"/>
        <v/>
      </c>
      <c r="AL212" s="90" t="str">
        <f t="shared" si="76"/>
        <v/>
      </c>
      <c r="AM212" s="90" t="str">
        <f t="shared" si="76"/>
        <v/>
      </c>
      <c r="AN212" s="90" t="str">
        <f t="shared" si="76"/>
        <v/>
      </c>
      <c r="AO212" s="90" t="str">
        <f t="shared" si="76"/>
        <v/>
      </c>
      <c r="AP212" s="90" t="str">
        <f t="shared" si="76"/>
        <v/>
      </c>
      <c r="AQ212" s="90" t="str">
        <f t="shared" si="76"/>
        <v/>
      </c>
      <c r="AR212" s="90" t="str">
        <f t="shared" si="76"/>
        <v/>
      </c>
      <c r="AS212" s="90" t="str">
        <f t="shared" si="76"/>
        <v/>
      </c>
      <c r="AT212" s="90" t="str">
        <f t="shared" si="76"/>
        <v/>
      </c>
      <c r="AU212" s="90" t="str">
        <f t="shared" si="76"/>
        <v/>
      </c>
      <c r="AV212" s="90" t="str">
        <f t="shared" si="76"/>
        <v/>
      </c>
      <c r="AW212" s="90" t="str">
        <f t="shared" si="74"/>
        <v/>
      </c>
      <c r="AX212" s="90" t="str">
        <f t="shared" si="74"/>
        <v/>
      </c>
      <c r="AY212" s="90" t="str">
        <f t="shared" si="74"/>
        <v/>
      </c>
      <c r="AZ212" s="90" t="str">
        <f t="shared" si="74"/>
        <v/>
      </c>
      <c r="BA212" s="90" t="str">
        <f t="shared" si="74"/>
        <v/>
      </c>
      <c r="BB212" s="90" t="str">
        <f t="shared" si="74"/>
        <v/>
      </c>
      <c r="BC212" s="90" t="str">
        <f t="shared" si="74"/>
        <v/>
      </c>
    </row>
    <row r="213" spans="1:55" x14ac:dyDescent="0.25">
      <c r="A213" s="15" t="s">
        <v>51</v>
      </c>
      <c r="B213" s="16" t="s">
        <v>56</v>
      </c>
      <c r="C213" s="27" t="s">
        <v>27</v>
      </c>
      <c r="D213" s="16" t="s">
        <v>72</v>
      </c>
      <c r="E213" s="16"/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52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54">
        <v>0</v>
      </c>
      <c r="Y213" s="58">
        <f t="shared" si="61"/>
        <v>0</v>
      </c>
      <c r="Z213" s="1">
        <f t="shared" si="62"/>
        <v>0</v>
      </c>
      <c r="AA213" s="1">
        <f t="shared" si="63"/>
        <v>0</v>
      </c>
      <c r="AC213" s="15" t="s">
        <v>51</v>
      </c>
      <c r="AD213" s="16" t="s">
        <v>56</v>
      </c>
      <c r="AE213" s="27" t="s">
        <v>27</v>
      </c>
      <c r="AF213" s="16" t="s">
        <v>72</v>
      </c>
      <c r="AG213" s="16"/>
      <c r="AH213" s="90" t="str">
        <f t="shared" si="76"/>
        <v/>
      </c>
      <c r="AI213" s="90" t="str">
        <f t="shared" si="76"/>
        <v/>
      </c>
      <c r="AJ213" s="90" t="str">
        <f t="shared" si="76"/>
        <v/>
      </c>
      <c r="AK213" s="90" t="str">
        <f t="shared" si="76"/>
        <v/>
      </c>
      <c r="AL213" s="90" t="str">
        <f t="shared" si="76"/>
        <v/>
      </c>
      <c r="AM213" s="90" t="str">
        <f t="shared" si="76"/>
        <v/>
      </c>
      <c r="AN213" s="90" t="str">
        <f t="shared" si="76"/>
        <v/>
      </c>
      <c r="AO213" s="90" t="str">
        <f t="shared" si="76"/>
        <v/>
      </c>
      <c r="AP213" s="90" t="str">
        <f t="shared" si="76"/>
        <v/>
      </c>
      <c r="AQ213" s="90" t="str">
        <f t="shared" si="76"/>
        <v/>
      </c>
      <c r="AR213" s="90" t="str">
        <f t="shared" si="76"/>
        <v/>
      </c>
      <c r="AS213" s="90" t="str">
        <f t="shared" si="76"/>
        <v/>
      </c>
      <c r="AT213" s="90" t="str">
        <f t="shared" si="76"/>
        <v/>
      </c>
      <c r="AU213" s="90" t="str">
        <f t="shared" si="76"/>
        <v/>
      </c>
      <c r="AV213" s="90" t="str">
        <f t="shared" si="76"/>
        <v/>
      </c>
      <c r="AW213" s="90" t="str">
        <f t="shared" si="74"/>
        <v/>
      </c>
      <c r="AX213" s="90" t="str">
        <f t="shared" si="74"/>
        <v/>
      </c>
      <c r="AY213" s="90" t="str">
        <f t="shared" si="74"/>
        <v/>
      </c>
      <c r="AZ213" s="90" t="str">
        <f t="shared" si="74"/>
        <v/>
      </c>
      <c r="BA213" s="90" t="str">
        <f t="shared" si="74"/>
        <v/>
      </c>
      <c r="BB213" s="90" t="str">
        <f t="shared" si="74"/>
        <v/>
      </c>
      <c r="BC213" s="90" t="str">
        <f t="shared" si="74"/>
        <v/>
      </c>
    </row>
    <row r="214" spans="1:55" x14ac:dyDescent="0.25">
      <c r="A214" s="15" t="s">
        <v>51</v>
      </c>
      <c r="B214" s="16" t="s">
        <v>56</v>
      </c>
      <c r="C214" s="27" t="s">
        <v>57</v>
      </c>
      <c r="D214" s="16" t="s">
        <v>73</v>
      </c>
      <c r="E214" s="16"/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52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54">
        <v>0</v>
      </c>
      <c r="Y214" s="58">
        <f t="shared" si="61"/>
        <v>0</v>
      </c>
      <c r="Z214" s="1">
        <f t="shared" si="62"/>
        <v>0</v>
      </c>
      <c r="AA214" s="1">
        <f t="shared" si="63"/>
        <v>0</v>
      </c>
      <c r="AC214" s="15" t="s">
        <v>51</v>
      </c>
      <c r="AD214" s="16" t="s">
        <v>56</v>
      </c>
      <c r="AE214" s="27" t="s">
        <v>57</v>
      </c>
      <c r="AF214" s="16" t="s">
        <v>73</v>
      </c>
      <c r="AG214" s="16"/>
      <c r="AH214" s="90" t="str">
        <f t="shared" si="76"/>
        <v/>
      </c>
      <c r="AI214" s="90" t="str">
        <f t="shared" si="76"/>
        <v/>
      </c>
      <c r="AJ214" s="90" t="str">
        <f t="shared" si="76"/>
        <v/>
      </c>
      <c r="AK214" s="90" t="str">
        <f t="shared" si="76"/>
        <v/>
      </c>
      <c r="AL214" s="90" t="str">
        <f t="shared" si="76"/>
        <v/>
      </c>
      <c r="AM214" s="90" t="str">
        <f t="shared" si="76"/>
        <v/>
      </c>
      <c r="AN214" s="90" t="str">
        <f t="shared" si="76"/>
        <v/>
      </c>
      <c r="AO214" s="90" t="str">
        <f t="shared" si="76"/>
        <v/>
      </c>
      <c r="AP214" s="90" t="str">
        <f t="shared" si="76"/>
        <v/>
      </c>
      <c r="AQ214" s="90" t="str">
        <f t="shared" si="76"/>
        <v/>
      </c>
      <c r="AR214" s="90" t="str">
        <f t="shared" si="76"/>
        <v/>
      </c>
      <c r="AS214" s="90" t="str">
        <f t="shared" si="76"/>
        <v/>
      </c>
      <c r="AT214" s="90" t="str">
        <f t="shared" si="76"/>
        <v/>
      </c>
      <c r="AU214" s="90" t="str">
        <f t="shared" si="76"/>
        <v/>
      </c>
      <c r="AV214" s="90" t="str">
        <f t="shared" si="76"/>
        <v/>
      </c>
      <c r="AW214" s="90" t="str">
        <f t="shared" si="74"/>
        <v/>
      </c>
      <c r="AX214" s="90" t="str">
        <f t="shared" si="74"/>
        <v/>
      </c>
      <c r="AY214" s="90" t="str">
        <f t="shared" si="74"/>
        <v/>
      </c>
      <c r="AZ214" s="90" t="str">
        <f t="shared" si="74"/>
        <v/>
      </c>
      <c r="BA214" s="90" t="str">
        <f t="shared" si="74"/>
        <v/>
      </c>
      <c r="BB214" s="90" t="str">
        <f t="shared" si="74"/>
        <v/>
      </c>
      <c r="BC214" s="90" t="str">
        <f t="shared" si="74"/>
        <v/>
      </c>
    </row>
    <row r="215" spans="1:55" x14ac:dyDescent="0.25">
      <c r="A215" s="15" t="s">
        <v>51</v>
      </c>
      <c r="B215" s="16" t="s">
        <v>56</v>
      </c>
      <c r="C215" s="27" t="s">
        <v>57</v>
      </c>
      <c r="D215" s="16" t="s">
        <v>74</v>
      </c>
      <c r="E215" s="16"/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52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54">
        <v>0</v>
      </c>
      <c r="Y215" s="58">
        <f t="shared" si="61"/>
        <v>0</v>
      </c>
      <c r="Z215" s="1">
        <f t="shared" si="62"/>
        <v>0</v>
      </c>
      <c r="AA215" s="1">
        <f t="shared" si="63"/>
        <v>0</v>
      </c>
      <c r="AC215" s="15" t="s">
        <v>51</v>
      </c>
      <c r="AD215" s="16" t="s">
        <v>56</v>
      </c>
      <c r="AE215" s="27" t="s">
        <v>57</v>
      </c>
      <c r="AF215" s="16" t="s">
        <v>74</v>
      </c>
      <c r="AG215" s="16"/>
      <c r="AH215" s="90" t="str">
        <f t="shared" si="76"/>
        <v/>
      </c>
      <c r="AI215" s="90" t="str">
        <f t="shared" si="76"/>
        <v/>
      </c>
      <c r="AJ215" s="90" t="str">
        <f t="shared" si="76"/>
        <v/>
      </c>
      <c r="AK215" s="90" t="str">
        <f t="shared" si="76"/>
        <v/>
      </c>
      <c r="AL215" s="90" t="str">
        <f t="shared" si="76"/>
        <v/>
      </c>
      <c r="AM215" s="90" t="str">
        <f t="shared" si="76"/>
        <v/>
      </c>
      <c r="AN215" s="90" t="str">
        <f t="shared" si="76"/>
        <v/>
      </c>
      <c r="AO215" s="90" t="str">
        <f t="shared" si="76"/>
        <v/>
      </c>
      <c r="AP215" s="90" t="str">
        <f t="shared" si="76"/>
        <v/>
      </c>
      <c r="AQ215" s="90" t="str">
        <f t="shared" si="76"/>
        <v/>
      </c>
      <c r="AR215" s="90" t="str">
        <f t="shared" si="76"/>
        <v/>
      </c>
      <c r="AS215" s="90" t="str">
        <f t="shared" si="76"/>
        <v/>
      </c>
      <c r="AT215" s="90" t="str">
        <f t="shared" si="76"/>
        <v/>
      </c>
      <c r="AU215" s="90" t="str">
        <f t="shared" si="76"/>
        <v/>
      </c>
      <c r="AV215" s="90" t="str">
        <f t="shared" si="76"/>
        <v/>
      </c>
      <c r="AW215" s="90" t="str">
        <f t="shared" si="74"/>
        <v/>
      </c>
      <c r="AX215" s="90" t="str">
        <f t="shared" si="74"/>
        <v/>
      </c>
      <c r="AY215" s="90" t="str">
        <f t="shared" si="74"/>
        <v/>
      </c>
      <c r="AZ215" s="90" t="str">
        <f t="shared" si="74"/>
        <v/>
      </c>
      <c r="BA215" s="90" t="str">
        <f t="shared" si="74"/>
        <v/>
      </c>
      <c r="BB215" s="90" t="str">
        <f t="shared" si="74"/>
        <v/>
      </c>
      <c r="BC215" s="90" t="str">
        <f t="shared" si="74"/>
        <v/>
      </c>
    </row>
    <row r="216" spans="1:55" x14ac:dyDescent="0.25">
      <c r="A216" s="30" t="s">
        <v>60</v>
      </c>
      <c r="B216" s="31" t="s">
        <v>13</v>
      </c>
      <c r="C216" s="32" t="s">
        <v>61</v>
      </c>
      <c r="D216" s="31" t="s">
        <v>75</v>
      </c>
      <c r="E216" s="31"/>
      <c r="F216" s="51">
        <f>F201*0.8</f>
        <v>158.672</v>
      </c>
      <c r="G216" s="51">
        <v>0</v>
      </c>
      <c r="H216" s="51">
        <f>H201</f>
        <v>1280</v>
      </c>
      <c r="I216" s="51">
        <f>I201*0.1</f>
        <v>10.13793103448276</v>
      </c>
      <c r="J216" s="51">
        <v>0</v>
      </c>
      <c r="K216" s="51">
        <v>0</v>
      </c>
      <c r="L216" s="52">
        <v>0</v>
      </c>
      <c r="M216" s="51">
        <f>M201*0.1</f>
        <v>0.29487179487179488</v>
      </c>
      <c r="N216" s="51">
        <v>0</v>
      </c>
      <c r="O216" s="51">
        <v>0</v>
      </c>
      <c r="P216" s="51">
        <v>0</v>
      </c>
      <c r="Q216" s="51"/>
      <c r="R216" s="51"/>
      <c r="S216" s="51"/>
      <c r="T216" s="51"/>
      <c r="U216" s="51"/>
      <c r="V216" s="51"/>
      <c r="W216" s="51">
        <f>W201</f>
        <v>2.3787167449139281</v>
      </c>
      <c r="X216" s="55"/>
      <c r="Y216" s="59">
        <f t="shared" si="61"/>
        <v>1448.8099310344828</v>
      </c>
      <c r="Z216" s="51">
        <f t="shared" si="62"/>
        <v>2.6735885397857229</v>
      </c>
      <c r="AA216" s="51">
        <f t="shared" si="63"/>
        <v>1451.4835195742685</v>
      </c>
      <c r="AC216" s="30" t="s">
        <v>60</v>
      </c>
      <c r="AD216" s="31" t="s">
        <v>13</v>
      </c>
      <c r="AE216" s="32" t="s">
        <v>61</v>
      </c>
      <c r="AF216" s="31" t="s">
        <v>75</v>
      </c>
      <c r="AG216" s="31"/>
      <c r="AH216" s="1">
        <f t="shared" si="76"/>
        <v>302.65236551093369</v>
      </c>
      <c r="AI216" s="1" t="str">
        <f t="shared" si="76"/>
        <v/>
      </c>
      <c r="AJ216" s="1">
        <f t="shared" si="76"/>
        <v>23.945433436532507</v>
      </c>
      <c r="AK216" s="1">
        <f t="shared" si="76"/>
        <v>179.56656346749224</v>
      </c>
      <c r="AL216" s="1" t="str">
        <f t="shared" si="76"/>
        <v/>
      </c>
      <c r="AM216" s="1" t="str">
        <f t="shared" si="76"/>
        <v/>
      </c>
      <c r="AN216" s="52" t="str">
        <f t="shared" si="76"/>
        <v/>
      </c>
      <c r="AO216" s="1">
        <f t="shared" si="76"/>
        <v>2280.7017543859647</v>
      </c>
      <c r="AP216" s="1" t="str">
        <f t="shared" si="76"/>
        <v/>
      </c>
      <c r="AQ216" s="1" t="str">
        <f t="shared" si="76"/>
        <v/>
      </c>
      <c r="AR216" s="1" t="str">
        <f t="shared" si="76"/>
        <v/>
      </c>
      <c r="AS216" s="1" t="str">
        <f t="shared" si="76"/>
        <v/>
      </c>
      <c r="AT216" s="1" t="str">
        <f t="shared" si="76"/>
        <v/>
      </c>
      <c r="AU216" s="1" t="str">
        <f t="shared" si="76"/>
        <v/>
      </c>
      <c r="AV216" s="1" t="str">
        <f t="shared" si="76"/>
        <v/>
      </c>
      <c r="AW216" s="1" t="str">
        <f t="shared" si="74"/>
        <v/>
      </c>
      <c r="AX216" s="1" t="str">
        <f t="shared" si="74"/>
        <v/>
      </c>
      <c r="AY216" s="1">
        <f t="shared" si="74"/>
        <v>2491.2280701754389</v>
      </c>
      <c r="AZ216" s="1" t="str">
        <f t="shared" si="74"/>
        <v/>
      </c>
      <c r="BA216" s="1">
        <f t="shared" si="74"/>
        <v>0</v>
      </c>
      <c r="BB216" s="1">
        <f t="shared" si="74"/>
        <v>0</v>
      </c>
      <c r="BC216" s="1">
        <f t="shared" si="74"/>
        <v>0</v>
      </c>
    </row>
    <row r="217" spans="1:55" x14ac:dyDescent="0.25">
      <c r="A217" s="30" t="s">
        <v>60</v>
      </c>
      <c r="B217" s="31" t="s">
        <v>13</v>
      </c>
      <c r="C217" s="32" t="s">
        <v>61</v>
      </c>
      <c r="D217" s="31" t="s">
        <v>76</v>
      </c>
      <c r="E217" s="31"/>
      <c r="F217" s="51">
        <f>F201*0.2</f>
        <v>39.667999999999999</v>
      </c>
      <c r="G217" s="51">
        <v>0</v>
      </c>
      <c r="H217" s="51">
        <v>0</v>
      </c>
      <c r="I217" s="51">
        <f>I201*0.7</f>
        <v>70.965517241379303</v>
      </c>
      <c r="J217" s="51">
        <f>J201</f>
        <v>19.2</v>
      </c>
      <c r="K217" s="51">
        <f>K201*0.2</f>
        <v>3.931034482758621</v>
      </c>
      <c r="L217" s="52">
        <v>0</v>
      </c>
      <c r="M217" s="51">
        <f>M201*0.3</f>
        <v>0.88461538461538469</v>
      </c>
      <c r="N217" s="51">
        <f>N201</f>
        <v>8.9534883720930228E-2</v>
      </c>
      <c r="O217" s="51">
        <f>O201*0.9</f>
        <v>3.9960000000000002E-2</v>
      </c>
      <c r="P217" s="51">
        <f>P201*0.05</f>
        <v>2.0181818181818183E-3</v>
      </c>
      <c r="Q217" s="51"/>
      <c r="R217" s="86">
        <f>R201</f>
        <v>0.16901408450704225</v>
      </c>
      <c r="S217" s="51"/>
      <c r="T217" s="51"/>
      <c r="U217" s="51"/>
      <c r="V217" s="51"/>
      <c r="W217" s="51"/>
      <c r="X217" s="55"/>
      <c r="Y217" s="59">
        <f t="shared" si="61"/>
        <v>133.76455172413793</v>
      </c>
      <c r="Z217" s="51">
        <f t="shared" si="62"/>
        <v>1.1851425346615392</v>
      </c>
      <c r="AA217" s="51">
        <f t="shared" si="63"/>
        <v>134.94969425879947</v>
      </c>
      <c r="AC217" s="30" t="s">
        <v>60</v>
      </c>
      <c r="AD217" s="31" t="s">
        <v>13</v>
      </c>
      <c r="AE217" s="32" t="s">
        <v>61</v>
      </c>
      <c r="AF217" s="31" t="s">
        <v>76</v>
      </c>
      <c r="AG217" s="31"/>
      <c r="AH217" s="1">
        <f t="shared" si="76"/>
        <v>302.65236551093369</v>
      </c>
      <c r="AI217" s="1" t="str">
        <f t="shared" si="76"/>
        <v/>
      </c>
      <c r="AJ217" s="1" t="str">
        <f t="shared" si="76"/>
        <v/>
      </c>
      <c r="AK217" s="1">
        <f t="shared" si="76"/>
        <v>179.56656346749227</v>
      </c>
      <c r="AL217" s="1">
        <f t="shared" si="76"/>
        <v>354.74716202270378</v>
      </c>
      <c r="AM217" s="1">
        <f t="shared" si="76"/>
        <v>179.56656346749224</v>
      </c>
      <c r="AN217" s="52" t="str">
        <f t="shared" si="76"/>
        <v/>
      </c>
      <c r="AO217" s="1">
        <f t="shared" si="76"/>
        <v>2280.7017543859647</v>
      </c>
      <c r="AP217" s="1">
        <f t="shared" si="76"/>
        <v>5657.894736842105</v>
      </c>
      <c r="AQ217" s="1">
        <f t="shared" si="76"/>
        <v>58479.53216374269</v>
      </c>
      <c r="AR217" s="1">
        <f t="shared" si="76"/>
        <v>160818.71345029239</v>
      </c>
      <c r="AS217" s="1" t="str">
        <f t="shared" si="76"/>
        <v/>
      </c>
      <c r="AT217" s="1">
        <f t="shared" si="76"/>
        <v>2491.2280701754385</v>
      </c>
      <c r="AU217" s="1" t="str">
        <f t="shared" si="76"/>
        <v/>
      </c>
      <c r="AV217" s="1" t="str">
        <f t="shared" si="76"/>
        <v/>
      </c>
      <c r="AW217" s="1" t="str">
        <f t="shared" si="74"/>
        <v/>
      </c>
      <c r="AX217" s="1" t="str">
        <f t="shared" si="74"/>
        <v/>
      </c>
      <c r="AY217" s="1" t="str">
        <f t="shared" si="74"/>
        <v/>
      </c>
      <c r="AZ217" s="1" t="str">
        <f t="shared" si="74"/>
        <v/>
      </c>
      <c r="BA217" s="1">
        <f t="shared" si="74"/>
        <v>0</v>
      </c>
      <c r="BB217" s="1">
        <f t="shared" si="74"/>
        <v>0</v>
      </c>
      <c r="BC217" s="1">
        <f t="shared" si="74"/>
        <v>0</v>
      </c>
    </row>
    <row r="218" spans="1:55" x14ac:dyDescent="0.25">
      <c r="A218" s="30" t="s">
        <v>60</v>
      </c>
      <c r="B218" s="31" t="s">
        <v>13</v>
      </c>
      <c r="C218" s="32" t="s">
        <v>61</v>
      </c>
      <c r="D218" s="31" t="s">
        <v>77</v>
      </c>
      <c r="E218" s="31"/>
      <c r="F218" s="51">
        <v>0</v>
      </c>
      <c r="G218" s="51">
        <v>0</v>
      </c>
      <c r="H218" s="51">
        <v>0</v>
      </c>
      <c r="I218" s="51">
        <v>0</v>
      </c>
      <c r="J218" s="51">
        <v>0</v>
      </c>
      <c r="K218" s="51">
        <f>K201*0.4</f>
        <v>7.862068965517242</v>
      </c>
      <c r="L218" s="52">
        <v>0</v>
      </c>
      <c r="M218" s="51">
        <f>M201*0.5</f>
        <v>1.4743589743589745</v>
      </c>
      <c r="N218" s="51">
        <v>0</v>
      </c>
      <c r="O218" s="51">
        <v>0</v>
      </c>
      <c r="P218" s="51">
        <v>0</v>
      </c>
      <c r="Q218" s="51"/>
      <c r="R218" s="51"/>
      <c r="S218" s="51"/>
      <c r="T218" s="51">
        <f>T201</f>
        <v>0.13521126760563382</v>
      </c>
      <c r="U218" s="51">
        <f>U201</f>
        <v>0.676056338028169</v>
      </c>
      <c r="V218" s="51"/>
      <c r="W218" s="51"/>
      <c r="X218" s="55"/>
      <c r="Y218" s="59">
        <f t="shared" si="61"/>
        <v>7.862068965517242</v>
      </c>
      <c r="Z218" s="51">
        <f t="shared" si="62"/>
        <v>2.2856265799927771</v>
      </c>
      <c r="AA218" s="51">
        <f t="shared" si="63"/>
        <v>10.147695545510018</v>
      </c>
      <c r="AC218" s="30" t="s">
        <v>60</v>
      </c>
      <c r="AD218" s="31" t="s">
        <v>13</v>
      </c>
      <c r="AE218" s="32" t="s">
        <v>61</v>
      </c>
      <c r="AF218" s="31" t="s">
        <v>77</v>
      </c>
      <c r="AG218" s="31"/>
      <c r="AH218" s="1" t="str">
        <f t="shared" ref="AH218:AV225" si="78">IF(F218&gt;0,F263/F218*1000,"")</f>
        <v/>
      </c>
      <c r="AI218" s="1" t="str">
        <f t="shared" si="78"/>
        <v/>
      </c>
      <c r="AJ218" s="1" t="str">
        <f t="shared" si="78"/>
        <v/>
      </c>
      <c r="AK218" s="1" t="str">
        <f t="shared" si="78"/>
        <v/>
      </c>
      <c r="AL218" s="1" t="str">
        <f t="shared" si="78"/>
        <v/>
      </c>
      <c r="AM218" s="1">
        <f t="shared" si="78"/>
        <v>179.56656346749224</v>
      </c>
      <c r="AN218" s="52" t="str">
        <f t="shared" si="78"/>
        <v/>
      </c>
      <c r="AO218" s="1">
        <f t="shared" si="78"/>
        <v>2280.7017543859647</v>
      </c>
      <c r="AP218" s="1" t="str">
        <f t="shared" si="78"/>
        <v/>
      </c>
      <c r="AQ218" s="1" t="str">
        <f t="shared" si="78"/>
        <v/>
      </c>
      <c r="AR218" s="1" t="str">
        <f t="shared" si="78"/>
        <v/>
      </c>
      <c r="AS218" s="1" t="str">
        <f t="shared" si="78"/>
        <v/>
      </c>
      <c r="AT218" s="1" t="str">
        <f t="shared" si="78"/>
        <v/>
      </c>
      <c r="AU218" s="1" t="str">
        <f t="shared" si="78"/>
        <v/>
      </c>
      <c r="AV218" s="1">
        <f t="shared" si="78"/>
        <v>2491.2280701754385</v>
      </c>
      <c r="AW218" s="1">
        <f t="shared" si="74"/>
        <v>2491.2280701754385</v>
      </c>
      <c r="AX218" s="1" t="str">
        <f t="shared" si="74"/>
        <v/>
      </c>
      <c r="AY218" s="1" t="str">
        <f t="shared" si="74"/>
        <v/>
      </c>
      <c r="AZ218" s="1" t="str">
        <f t="shared" si="74"/>
        <v/>
      </c>
      <c r="BA218" s="1">
        <f t="shared" si="74"/>
        <v>0</v>
      </c>
      <c r="BB218" s="1">
        <f t="shared" si="74"/>
        <v>0</v>
      </c>
      <c r="BC218" s="1">
        <f t="shared" si="74"/>
        <v>0</v>
      </c>
    </row>
    <row r="219" spans="1:55" x14ac:dyDescent="0.25">
      <c r="A219" s="30" t="s">
        <v>60</v>
      </c>
      <c r="B219" s="31" t="s">
        <v>13</v>
      </c>
      <c r="C219" s="32" t="s">
        <v>61</v>
      </c>
      <c r="D219" s="31" t="s">
        <v>78</v>
      </c>
      <c r="E219" s="31"/>
      <c r="F219" s="51">
        <v>0</v>
      </c>
      <c r="G219" s="51">
        <v>0</v>
      </c>
      <c r="H219" s="51">
        <v>0</v>
      </c>
      <c r="I219" s="51">
        <f>I201*0.2</f>
        <v>20.27586206896552</v>
      </c>
      <c r="J219" s="51">
        <v>0</v>
      </c>
      <c r="K219" s="51">
        <f>K201*0.4</f>
        <v>7.862068965517242</v>
      </c>
      <c r="L219" s="52">
        <v>0</v>
      </c>
      <c r="M219" s="51">
        <f>M201*0.1</f>
        <v>0.29487179487179488</v>
      </c>
      <c r="N219" s="51">
        <v>0</v>
      </c>
      <c r="O219" s="51">
        <f>O201*0.1</f>
        <v>4.4400000000000004E-3</v>
      </c>
      <c r="P219" s="51">
        <f>P201*0.95</f>
        <v>3.8345454545454544E-2</v>
      </c>
      <c r="Q219" s="51">
        <f>Q201</f>
        <v>2.3936170212765957E-2</v>
      </c>
      <c r="R219" s="51"/>
      <c r="S219" s="51"/>
      <c r="T219" s="51"/>
      <c r="U219" s="51"/>
      <c r="V219" s="51"/>
      <c r="W219" s="51"/>
      <c r="X219" s="55">
        <f>X201</f>
        <v>1.784037558685446</v>
      </c>
      <c r="Y219" s="59">
        <f t="shared" si="61"/>
        <v>28.137931034482762</v>
      </c>
      <c r="Z219" s="51">
        <f t="shared" si="62"/>
        <v>2.1456309783154612</v>
      </c>
      <c r="AA219" s="51">
        <f t="shared" si="63"/>
        <v>30.283562012798221</v>
      </c>
      <c r="AC219" s="30" t="s">
        <v>60</v>
      </c>
      <c r="AD219" s="31" t="s">
        <v>13</v>
      </c>
      <c r="AE219" s="32" t="s">
        <v>61</v>
      </c>
      <c r="AF219" s="31" t="s">
        <v>78</v>
      </c>
      <c r="AG219" s="31"/>
      <c r="AH219" s="1" t="str">
        <f t="shared" si="78"/>
        <v/>
      </c>
      <c r="AI219" s="1" t="str">
        <f t="shared" si="78"/>
        <v/>
      </c>
      <c r="AJ219" s="1" t="str">
        <f t="shared" si="78"/>
        <v/>
      </c>
      <c r="AK219" s="1">
        <f t="shared" si="78"/>
        <v>179.56656346749224</v>
      </c>
      <c r="AL219" s="1" t="str">
        <f t="shared" si="78"/>
        <v/>
      </c>
      <c r="AM219" s="1">
        <f t="shared" si="78"/>
        <v>179.56656346749224</v>
      </c>
      <c r="AN219" s="52" t="str">
        <f t="shared" si="78"/>
        <v/>
      </c>
      <c r="AO219" s="1">
        <f t="shared" si="78"/>
        <v>2280.7017543859647</v>
      </c>
      <c r="AP219" s="1" t="str">
        <f t="shared" si="78"/>
        <v/>
      </c>
      <c r="AQ219" s="1">
        <f t="shared" si="78"/>
        <v>58479.53216374269</v>
      </c>
      <c r="AR219" s="1">
        <f t="shared" si="78"/>
        <v>160818.71345029239</v>
      </c>
      <c r="AS219" s="1">
        <f t="shared" si="78"/>
        <v>5497.0760233918127</v>
      </c>
      <c r="AT219" s="1" t="str">
        <f t="shared" si="78"/>
        <v/>
      </c>
      <c r="AU219" s="1" t="str">
        <f t="shared" si="78"/>
        <v/>
      </c>
      <c r="AV219" s="1" t="str">
        <f t="shared" si="78"/>
        <v/>
      </c>
      <c r="AW219" s="1" t="str">
        <f t="shared" si="74"/>
        <v/>
      </c>
      <c r="AX219" s="1" t="str">
        <f t="shared" si="74"/>
        <v/>
      </c>
      <c r="AY219" s="1" t="str">
        <f t="shared" si="74"/>
        <v/>
      </c>
      <c r="AZ219" s="1">
        <f t="shared" si="74"/>
        <v>2491.2280701754389</v>
      </c>
      <c r="BA219" s="1">
        <f t="shared" si="74"/>
        <v>0</v>
      </c>
      <c r="BB219" s="1">
        <f t="shared" si="74"/>
        <v>0</v>
      </c>
      <c r="BC219" s="1">
        <f t="shared" si="74"/>
        <v>0</v>
      </c>
    </row>
    <row r="220" spans="1:55" ht="15.75" thickBot="1" x14ac:dyDescent="0.3">
      <c r="A220" s="33" t="s">
        <v>60</v>
      </c>
      <c r="B220" s="34" t="s">
        <v>13</v>
      </c>
      <c r="C220" s="35" t="s">
        <v>61</v>
      </c>
      <c r="D220" s="34" t="s">
        <v>79</v>
      </c>
      <c r="E220" s="31"/>
      <c r="F220" s="51">
        <v>0</v>
      </c>
      <c r="G220" s="51">
        <v>0</v>
      </c>
      <c r="H220" s="51">
        <v>0</v>
      </c>
      <c r="I220" s="51">
        <v>0</v>
      </c>
      <c r="J220" s="51">
        <v>0</v>
      </c>
      <c r="K220" s="51">
        <v>0</v>
      </c>
      <c r="L220" s="52">
        <v>0</v>
      </c>
      <c r="M220" s="51">
        <v>0</v>
      </c>
      <c r="N220" s="51">
        <v>0</v>
      </c>
      <c r="O220" s="51">
        <v>0</v>
      </c>
      <c r="P220" s="51">
        <v>0</v>
      </c>
      <c r="Q220" s="51">
        <v>0</v>
      </c>
      <c r="R220" s="51">
        <v>0</v>
      </c>
      <c r="S220" s="51">
        <v>0</v>
      </c>
      <c r="T220" s="51">
        <v>0</v>
      </c>
      <c r="U220" s="51">
        <v>0</v>
      </c>
      <c r="V220" s="51">
        <v>0</v>
      </c>
      <c r="W220" s="51">
        <v>0</v>
      </c>
      <c r="X220" s="55">
        <v>0</v>
      </c>
      <c r="Y220" s="59">
        <f t="shared" si="61"/>
        <v>0</v>
      </c>
      <c r="Z220" s="51">
        <f t="shared" si="62"/>
        <v>0</v>
      </c>
      <c r="AA220" s="51">
        <f t="shared" si="63"/>
        <v>0</v>
      </c>
      <c r="AC220" s="33" t="s">
        <v>60</v>
      </c>
      <c r="AD220" s="34" t="s">
        <v>13</v>
      </c>
      <c r="AE220" s="35" t="s">
        <v>61</v>
      </c>
      <c r="AF220" s="34" t="s">
        <v>79</v>
      </c>
      <c r="AG220" s="31"/>
      <c r="AH220" s="1" t="str">
        <f t="shared" si="78"/>
        <v/>
      </c>
      <c r="AI220" s="1" t="str">
        <f t="shared" si="78"/>
        <v/>
      </c>
      <c r="AJ220" s="1" t="str">
        <f t="shared" si="78"/>
        <v/>
      </c>
      <c r="AK220" s="1" t="str">
        <f t="shared" si="78"/>
        <v/>
      </c>
      <c r="AL220" s="1" t="str">
        <f t="shared" si="78"/>
        <v/>
      </c>
      <c r="AM220" s="1" t="str">
        <f t="shared" si="78"/>
        <v/>
      </c>
      <c r="AN220" s="52" t="str">
        <f t="shared" si="78"/>
        <v/>
      </c>
      <c r="AO220" s="1" t="str">
        <f t="shared" si="78"/>
        <v/>
      </c>
      <c r="AP220" s="1" t="str">
        <f t="shared" si="78"/>
        <v/>
      </c>
      <c r="AQ220" s="1" t="str">
        <f t="shared" si="78"/>
        <v/>
      </c>
      <c r="AR220" s="1" t="str">
        <f t="shared" si="78"/>
        <v/>
      </c>
      <c r="AS220" s="1" t="str">
        <f t="shared" si="78"/>
        <v/>
      </c>
      <c r="AT220" s="1" t="str">
        <f t="shared" si="78"/>
        <v/>
      </c>
      <c r="AU220" s="1" t="str">
        <f t="shared" si="78"/>
        <v/>
      </c>
      <c r="AV220" s="1" t="str">
        <f t="shared" si="78"/>
        <v/>
      </c>
      <c r="AW220" s="1" t="str">
        <f t="shared" si="74"/>
        <v/>
      </c>
      <c r="AX220" s="1" t="str">
        <f t="shared" si="74"/>
        <v/>
      </c>
      <c r="AY220" s="1" t="str">
        <f t="shared" si="74"/>
        <v/>
      </c>
      <c r="AZ220" s="1" t="str">
        <f t="shared" si="74"/>
        <v/>
      </c>
      <c r="BA220" s="1" t="str">
        <f t="shared" si="74"/>
        <v/>
      </c>
      <c r="BB220" s="1" t="str">
        <f t="shared" si="74"/>
        <v/>
      </c>
      <c r="BC220" s="1" t="str">
        <f t="shared" si="74"/>
        <v/>
      </c>
    </row>
    <row r="221" spans="1:55" x14ac:dyDescent="0.25">
      <c r="A221" s="30" t="s">
        <v>60</v>
      </c>
      <c r="B221" s="31" t="s">
        <v>13</v>
      </c>
      <c r="C221" s="32" t="s">
        <v>62</v>
      </c>
      <c r="D221" s="31" t="s">
        <v>75</v>
      </c>
      <c r="E221" s="31"/>
      <c r="F221" s="51"/>
      <c r="G221" s="51">
        <v>0</v>
      </c>
      <c r="H221" s="51">
        <v>0</v>
      </c>
      <c r="I221" s="51">
        <v>0</v>
      </c>
      <c r="J221" s="51">
        <v>0</v>
      </c>
      <c r="K221" s="51">
        <v>0</v>
      </c>
      <c r="L221" s="52">
        <v>0</v>
      </c>
      <c r="M221" s="51">
        <v>0</v>
      </c>
      <c r="N221" s="51">
        <v>0</v>
      </c>
      <c r="O221" s="51">
        <v>0</v>
      </c>
      <c r="P221" s="51">
        <v>0</v>
      </c>
      <c r="Q221" s="51">
        <v>0</v>
      </c>
      <c r="R221" s="51">
        <v>0</v>
      </c>
      <c r="S221" s="51">
        <v>0</v>
      </c>
      <c r="T221" s="51">
        <v>0</v>
      </c>
      <c r="U221" s="51">
        <v>0</v>
      </c>
      <c r="V221" s="51">
        <v>0</v>
      </c>
      <c r="W221" s="51">
        <v>0</v>
      </c>
      <c r="X221" s="55">
        <v>0</v>
      </c>
      <c r="Y221" s="59">
        <f t="shared" si="61"/>
        <v>0</v>
      </c>
      <c r="Z221" s="51">
        <f t="shared" si="62"/>
        <v>0</v>
      </c>
      <c r="AA221" s="51">
        <f t="shared" si="63"/>
        <v>0</v>
      </c>
      <c r="AC221" s="30" t="s">
        <v>60</v>
      </c>
      <c r="AD221" s="31" t="s">
        <v>13</v>
      </c>
      <c r="AE221" s="32" t="s">
        <v>62</v>
      </c>
      <c r="AF221" s="31" t="s">
        <v>75</v>
      </c>
      <c r="AG221" s="31"/>
      <c r="AH221" s="1" t="str">
        <f t="shared" si="78"/>
        <v/>
      </c>
      <c r="AI221" s="1" t="str">
        <f t="shared" si="78"/>
        <v/>
      </c>
      <c r="AJ221" s="1" t="str">
        <f t="shared" si="78"/>
        <v/>
      </c>
      <c r="AK221" s="1" t="str">
        <f t="shared" si="78"/>
        <v/>
      </c>
      <c r="AL221" s="1" t="str">
        <f t="shared" si="78"/>
        <v/>
      </c>
      <c r="AM221" s="1" t="str">
        <f t="shared" si="78"/>
        <v/>
      </c>
      <c r="AN221" s="52" t="str">
        <f t="shared" si="78"/>
        <v/>
      </c>
      <c r="AO221" s="1" t="str">
        <f t="shared" si="78"/>
        <v/>
      </c>
      <c r="AP221" s="1" t="str">
        <f t="shared" si="78"/>
        <v/>
      </c>
      <c r="AQ221" s="1" t="str">
        <f t="shared" si="78"/>
        <v/>
      </c>
      <c r="AR221" s="1" t="str">
        <f t="shared" si="78"/>
        <v/>
      </c>
      <c r="AS221" s="1" t="str">
        <f t="shared" si="78"/>
        <v/>
      </c>
      <c r="AT221" s="1" t="str">
        <f t="shared" si="78"/>
        <v/>
      </c>
      <c r="AU221" s="1" t="str">
        <f t="shared" si="78"/>
        <v/>
      </c>
      <c r="AV221" s="1" t="str">
        <f t="shared" si="78"/>
        <v/>
      </c>
      <c r="AW221" s="1" t="str">
        <f t="shared" si="74"/>
        <v/>
      </c>
      <c r="AX221" s="1" t="str">
        <f t="shared" si="74"/>
        <v/>
      </c>
      <c r="AY221" s="1" t="str">
        <f t="shared" si="74"/>
        <v/>
      </c>
      <c r="AZ221" s="1" t="str">
        <f t="shared" si="74"/>
        <v/>
      </c>
      <c r="BA221" s="1" t="str">
        <f t="shared" si="74"/>
        <v/>
      </c>
      <c r="BB221" s="1" t="str">
        <f t="shared" si="74"/>
        <v/>
      </c>
      <c r="BC221" s="1" t="str">
        <f t="shared" si="74"/>
        <v/>
      </c>
    </row>
    <row r="222" spans="1:55" x14ac:dyDescent="0.25">
      <c r="A222" s="30" t="s">
        <v>60</v>
      </c>
      <c r="B222" s="31" t="s">
        <v>13</v>
      </c>
      <c r="C222" s="32" t="s">
        <v>62</v>
      </c>
      <c r="D222" s="31" t="s">
        <v>76</v>
      </c>
      <c r="E222" s="31"/>
      <c r="F222" s="51">
        <f>F202</f>
        <v>12.66</v>
      </c>
      <c r="G222" s="51">
        <f>G202</f>
        <v>65</v>
      </c>
      <c r="H222" s="51">
        <f>H202</f>
        <v>320</v>
      </c>
      <c r="I222" s="51">
        <v>0</v>
      </c>
      <c r="J222" s="51">
        <v>0</v>
      </c>
      <c r="K222" s="51">
        <v>0</v>
      </c>
      <c r="L222" s="52">
        <v>0</v>
      </c>
      <c r="M222" s="51">
        <v>0</v>
      </c>
      <c r="N222" s="51">
        <v>0</v>
      </c>
      <c r="O222" s="51">
        <v>0</v>
      </c>
      <c r="P222" s="51">
        <v>0</v>
      </c>
      <c r="Q222" s="51">
        <v>0</v>
      </c>
      <c r="R222" s="51">
        <v>0</v>
      </c>
      <c r="S222" s="51">
        <v>0</v>
      </c>
      <c r="T222" s="51">
        <v>0</v>
      </c>
      <c r="U222" s="51">
        <v>0</v>
      </c>
      <c r="V222" s="51">
        <v>0</v>
      </c>
      <c r="W222" s="51">
        <v>0</v>
      </c>
      <c r="X222" s="55">
        <v>0</v>
      </c>
      <c r="Y222" s="59">
        <f t="shared" si="61"/>
        <v>397.65999999999997</v>
      </c>
      <c r="Z222" s="51">
        <f t="shared" si="62"/>
        <v>0</v>
      </c>
      <c r="AA222" s="51">
        <f t="shared" si="63"/>
        <v>397.65999999999997</v>
      </c>
      <c r="AC222" s="30" t="s">
        <v>60</v>
      </c>
      <c r="AD222" s="31" t="s">
        <v>13</v>
      </c>
      <c r="AE222" s="32" t="s">
        <v>62</v>
      </c>
      <c r="AF222" s="31" t="s">
        <v>76</v>
      </c>
      <c r="AG222" s="31"/>
      <c r="AH222" s="1">
        <f t="shared" si="78"/>
        <v>302.65236551093369</v>
      </c>
      <c r="AI222" s="1">
        <f t="shared" si="78"/>
        <v>161.94331983805668</v>
      </c>
      <c r="AJ222" s="1">
        <f t="shared" si="78"/>
        <v>31.927244582043343</v>
      </c>
      <c r="AK222" s="1" t="str">
        <f t="shared" si="78"/>
        <v/>
      </c>
      <c r="AL222" s="1" t="str">
        <f t="shared" si="78"/>
        <v/>
      </c>
      <c r="AM222" s="1" t="str">
        <f t="shared" si="78"/>
        <v/>
      </c>
      <c r="AN222" s="52" t="str">
        <f t="shared" si="78"/>
        <v/>
      </c>
      <c r="AO222" s="1" t="str">
        <f t="shared" si="78"/>
        <v/>
      </c>
      <c r="AP222" s="1" t="str">
        <f t="shared" si="78"/>
        <v/>
      </c>
      <c r="AQ222" s="1" t="str">
        <f t="shared" si="78"/>
        <v/>
      </c>
      <c r="AR222" s="1" t="str">
        <f t="shared" si="78"/>
        <v/>
      </c>
      <c r="AS222" s="1" t="str">
        <f t="shared" si="78"/>
        <v/>
      </c>
      <c r="AT222" s="1" t="str">
        <f t="shared" si="78"/>
        <v/>
      </c>
      <c r="AU222" s="1" t="str">
        <f t="shared" si="78"/>
        <v/>
      </c>
      <c r="AV222" s="1" t="str">
        <f t="shared" si="78"/>
        <v/>
      </c>
      <c r="AW222" s="1" t="str">
        <f t="shared" si="74"/>
        <v/>
      </c>
      <c r="AX222" s="1" t="str">
        <f t="shared" si="74"/>
        <v/>
      </c>
      <c r="AY222" s="1" t="str">
        <f t="shared" si="74"/>
        <v/>
      </c>
      <c r="AZ222" s="1" t="str">
        <f t="shared" si="74"/>
        <v/>
      </c>
      <c r="BA222" s="1">
        <f t="shared" si="74"/>
        <v>0</v>
      </c>
      <c r="BB222" s="1" t="str">
        <f t="shared" si="74"/>
        <v/>
      </c>
      <c r="BC222" s="1">
        <f t="shared" si="74"/>
        <v>0</v>
      </c>
    </row>
    <row r="223" spans="1:55" x14ac:dyDescent="0.25">
      <c r="A223" s="30" t="s">
        <v>60</v>
      </c>
      <c r="B223" s="31" t="s">
        <v>13</v>
      </c>
      <c r="C223" s="32" t="s">
        <v>62</v>
      </c>
      <c r="D223" s="31" t="s">
        <v>77</v>
      </c>
      <c r="E223" s="31"/>
      <c r="F223" s="51">
        <v>0</v>
      </c>
      <c r="G223" s="51">
        <v>0</v>
      </c>
      <c r="H223" s="51">
        <v>0</v>
      </c>
      <c r="I223" s="51">
        <v>0</v>
      </c>
      <c r="J223" s="51">
        <v>0</v>
      </c>
      <c r="K223" s="51">
        <v>0</v>
      </c>
      <c r="L223" s="52">
        <v>0</v>
      </c>
      <c r="M223" s="51">
        <v>0</v>
      </c>
      <c r="N223" s="51">
        <v>0</v>
      </c>
      <c r="O223" s="51">
        <v>0</v>
      </c>
      <c r="P223" s="51">
        <v>0</v>
      </c>
      <c r="Q223" s="51">
        <v>0</v>
      </c>
      <c r="R223" s="51">
        <v>0</v>
      </c>
      <c r="S223" s="51">
        <v>0</v>
      </c>
      <c r="T223" s="51">
        <v>0</v>
      </c>
      <c r="U223" s="51">
        <v>0</v>
      </c>
      <c r="V223" s="51">
        <v>0</v>
      </c>
      <c r="W223" s="51">
        <v>0</v>
      </c>
      <c r="X223" s="55">
        <v>0</v>
      </c>
      <c r="Y223" s="59">
        <f t="shared" si="61"/>
        <v>0</v>
      </c>
      <c r="Z223" s="51">
        <f t="shared" si="62"/>
        <v>0</v>
      </c>
      <c r="AA223" s="51">
        <f t="shared" si="63"/>
        <v>0</v>
      </c>
      <c r="AC223" s="30" t="s">
        <v>60</v>
      </c>
      <c r="AD223" s="31" t="s">
        <v>13</v>
      </c>
      <c r="AE223" s="32" t="s">
        <v>62</v>
      </c>
      <c r="AF223" s="31" t="s">
        <v>77</v>
      </c>
      <c r="AG223" s="31"/>
      <c r="AH223" s="1" t="str">
        <f t="shared" si="78"/>
        <v/>
      </c>
      <c r="AI223" s="1" t="str">
        <f t="shared" si="78"/>
        <v/>
      </c>
      <c r="AJ223" s="1" t="str">
        <f t="shared" si="78"/>
        <v/>
      </c>
      <c r="AK223" s="1" t="str">
        <f t="shared" si="78"/>
        <v/>
      </c>
      <c r="AL223" s="1" t="str">
        <f t="shared" si="78"/>
        <v/>
      </c>
      <c r="AM223" s="1" t="str">
        <f t="shared" si="78"/>
        <v/>
      </c>
      <c r="AN223" s="52" t="str">
        <f t="shared" si="78"/>
        <v/>
      </c>
      <c r="AO223" s="1" t="str">
        <f t="shared" si="78"/>
        <v/>
      </c>
      <c r="AP223" s="1" t="str">
        <f t="shared" si="78"/>
        <v/>
      </c>
      <c r="AQ223" s="1" t="str">
        <f t="shared" si="78"/>
        <v/>
      </c>
      <c r="AR223" s="1" t="str">
        <f t="shared" si="78"/>
        <v/>
      </c>
      <c r="AS223" s="1" t="str">
        <f t="shared" si="78"/>
        <v/>
      </c>
      <c r="AT223" s="1" t="str">
        <f t="shared" si="78"/>
        <v/>
      </c>
      <c r="AU223" s="1" t="str">
        <f t="shared" si="78"/>
        <v/>
      </c>
      <c r="AV223" s="1" t="str">
        <f t="shared" si="78"/>
        <v/>
      </c>
      <c r="AW223" s="1" t="str">
        <f t="shared" si="74"/>
        <v/>
      </c>
      <c r="AX223" s="1" t="str">
        <f t="shared" si="74"/>
        <v/>
      </c>
      <c r="AY223" s="1" t="str">
        <f t="shared" si="74"/>
        <v/>
      </c>
      <c r="AZ223" s="1" t="str">
        <f t="shared" si="74"/>
        <v/>
      </c>
      <c r="BA223" s="1" t="str">
        <f t="shared" si="74"/>
        <v/>
      </c>
      <c r="BB223" s="1" t="str">
        <f t="shared" si="74"/>
        <v/>
      </c>
      <c r="BC223" s="1" t="str">
        <f t="shared" si="74"/>
        <v/>
      </c>
    </row>
    <row r="224" spans="1:55" x14ac:dyDescent="0.25">
      <c r="A224" s="30" t="s">
        <v>60</v>
      </c>
      <c r="B224" s="31" t="s">
        <v>13</v>
      </c>
      <c r="C224" s="32" t="s">
        <v>62</v>
      </c>
      <c r="D224" s="31" t="s">
        <v>78</v>
      </c>
      <c r="E224" s="31"/>
      <c r="F224" s="51">
        <v>0</v>
      </c>
      <c r="G224" s="51">
        <v>0</v>
      </c>
      <c r="H224" s="51">
        <v>0</v>
      </c>
      <c r="I224" s="51">
        <v>0</v>
      </c>
      <c r="J224" s="51">
        <v>0</v>
      </c>
      <c r="K224" s="51">
        <v>0</v>
      </c>
      <c r="L224" s="52">
        <v>0</v>
      </c>
      <c r="M224" s="51">
        <v>0</v>
      </c>
      <c r="N224" s="51">
        <v>0</v>
      </c>
      <c r="O224" s="51">
        <v>0</v>
      </c>
      <c r="P224" s="51">
        <v>0</v>
      </c>
      <c r="Q224" s="51">
        <v>0</v>
      </c>
      <c r="R224" s="51">
        <v>0</v>
      </c>
      <c r="S224" s="51">
        <v>0</v>
      </c>
      <c r="T224" s="51">
        <v>0</v>
      </c>
      <c r="U224" s="51">
        <v>0</v>
      </c>
      <c r="V224" s="51">
        <v>0</v>
      </c>
      <c r="W224" s="51">
        <v>0</v>
      </c>
      <c r="X224" s="55">
        <v>0</v>
      </c>
      <c r="Y224" s="59">
        <f t="shared" si="61"/>
        <v>0</v>
      </c>
      <c r="Z224" s="51">
        <f t="shared" si="62"/>
        <v>0</v>
      </c>
      <c r="AA224" s="51">
        <f t="shared" si="63"/>
        <v>0</v>
      </c>
      <c r="AC224" s="30" t="s">
        <v>60</v>
      </c>
      <c r="AD224" s="31" t="s">
        <v>13</v>
      </c>
      <c r="AE224" s="32" t="s">
        <v>62</v>
      </c>
      <c r="AF224" s="31" t="s">
        <v>78</v>
      </c>
      <c r="AG224" s="31"/>
      <c r="AH224" s="1" t="str">
        <f t="shared" si="78"/>
        <v/>
      </c>
      <c r="AI224" s="1" t="str">
        <f t="shared" si="78"/>
        <v/>
      </c>
      <c r="AJ224" s="1" t="str">
        <f t="shared" si="78"/>
        <v/>
      </c>
      <c r="AK224" s="1" t="str">
        <f t="shared" si="78"/>
        <v/>
      </c>
      <c r="AL224" s="1" t="str">
        <f t="shared" si="78"/>
        <v/>
      </c>
      <c r="AM224" s="1" t="str">
        <f t="shared" si="78"/>
        <v/>
      </c>
      <c r="AN224" s="52" t="str">
        <f t="shared" si="78"/>
        <v/>
      </c>
      <c r="AO224" s="1" t="str">
        <f t="shared" si="78"/>
        <v/>
      </c>
      <c r="AP224" s="1" t="str">
        <f t="shared" si="78"/>
        <v/>
      </c>
      <c r="AQ224" s="1" t="str">
        <f t="shared" si="78"/>
        <v/>
      </c>
      <c r="AR224" s="1" t="str">
        <f t="shared" si="78"/>
        <v/>
      </c>
      <c r="AS224" s="1" t="str">
        <f t="shared" si="78"/>
        <v/>
      </c>
      <c r="AT224" s="1" t="str">
        <f t="shared" si="78"/>
        <v/>
      </c>
      <c r="AU224" s="1" t="str">
        <f t="shared" si="78"/>
        <v/>
      </c>
      <c r="AV224" s="1" t="str">
        <f t="shared" si="78"/>
        <v/>
      </c>
      <c r="AW224" s="1" t="str">
        <f t="shared" si="74"/>
        <v/>
      </c>
      <c r="AX224" s="1" t="str">
        <f t="shared" si="74"/>
        <v/>
      </c>
      <c r="AY224" s="1" t="str">
        <f t="shared" si="74"/>
        <v/>
      </c>
      <c r="AZ224" s="1" t="str">
        <f t="shared" si="74"/>
        <v/>
      </c>
      <c r="BA224" s="1" t="str">
        <f t="shared" si="74"/>
        <v/>
      </c>
      <c r="BB224" s="1" t="str">
        <f t="shared" si="74"/>
        <v/>
      </c>
      <c r="BC224" s="1" t="str">
        <f t="shared" si="74"/>
        <v/>
      </c>
    </row>
    <row r="225" spans="1:55" ht="15.75" thickBot="1" x14ac:dyDescent="0.3">
      <c r="A225" s="33" t="s">
        <v>60</v>
      </c>
      <c r="B225" s="34" t="s">
        <v>13</v>
      </c>
      <c r="C225" s="32" t="s">
        <v>62</v>
      </c>
      <c r="D225" s="34" t="s">
        <v>79</v>
      </c>
      <c r="E225" s="31"/>
      <c r="F225" s="51">
        <v>0</v>
      </c>
      <c r="G225" s="51">
        <v>0</v>
      </c>
      <c r="H225" s="51">
        <v>0</v>
      </c>
      <c r="I225" s="51">
        <v>0</v>
      </c>
      <c r="J225" s="51">
        <v>0</v>
      </c>
      <c r="K225" s="51">
        <v>0</v>
      </c>
      <c r="L225" s="52">
        <v>0</v>
      </c>
      <c r="M225" s="51">
        <v>0</v>
      </c>
      <c r="N225" s="51">
        <v>0</v>
      </c>
      <c r="O225" s="51">
        <v>0</v>
      </c>
      <c r="P225" s="51">
        <v>0</v>
      </c>
      <c r="Q225" s="51">
        <v>0</v>
      </c>
      <c r="R225" s="51">
        <v>0</v>
      </c>
      <c r="S225" s="51">
        <v>0</v>
      </c>
      <c r="T225" s="51">
        <v>0</v>
      </c>
      <c r="U225" s="51">
        <v>0</v>
      </c>
      <c r="V225" s="51">
        <v>0</v>
      </c>
      <c r="W225" s="51">
        <v>0</v>
      </c>
      <c r="X225" s="55">
        <v>0</v>
      </c>
      <c r="Y225" s="59">
        <f t="shared" si="61"/>
        <v>0</v>
      </c>
      <c r="Z225" s="51">
        <f t="shared" si="62"/>
        <v>0</v>
      </c>
      <c r="AA225" s="51">
        <f t="shared" si="63"/>
        <v>0</v>
      </c>
      <c r="AC225" s="33" t="s">
        <v>60</v>
      </c>
      <c r="AD225" s="34" t="s">
        <v>13</v>
      </c>
      <c r="AE225" s="32" t="s">
        <v>62</v>
      </c>
      <c r="AF225" s="34" t="s">
        <v>79</v>
      </c>
      <c r="AG225" s="31"/>
      <c r="AH225" s="1" t="str">
        <f t="shared" si="78"/>
        <v/>
      </c>
      <c r="AI225" s="1" t="str">
        <f t="shared" si="78"/>
        <v/>
      </c>
      <c r="AJ225" s="1" t="str">
        <f t="shared" si="78"/>
        <v/>
      </c>
      <c r="AK225" s="1" t="str">
        <f t="shared" si="78"/>
        <v/>
      </c>
      <c r="AL225" s="1" t="str">
        <f t="shared" si="78"/>
        <v/>
      </c>
      <c r="AM225" s="1" t="str">
        <f t="shared" si="78"/>
        <v/>
      </c>
      <c r="AN225" s="52" t="str">
        <f t="shared" si="78"/>
        <v/>
      </c>
      <c r="AO225" s="1" t="str">
        <f t="shared" si="78"/>
        <v/>
      </c>
      <c r="AP225" s="1" t="str">
        <f t="shared" si="78"/>
        <v/>
      </c>
      <c r="AQ225" s="1" t="str">
        <f t="shared" si="78"/>
        <v/>
      </c>
      <c r="AR225" s="1" t="str">
        <f t="shared" si="78"/>
        <v/>
      </c>
      <c r="AS225" s="1" t="str">
        <f t="shared" si="78"/>
        <v/>
      </c>
      <c r="AT225" s="1" t="str">
        <f t="shared" si="78"/>
        <v/>
      </c>
      <c r="AU225" s="1" t="str">
        <f t="shared" si="78"/>
        <v/>
      </c>
      <c r="AV225" s="1" t="str">
        <f t="shared" si="78"/>
        <v/>
      </c>
      <c r="AW225" s="1" t="str">
        <f t="shared" si="74"/>
        <v/>
      </c>
      <c r="AX225" s="1" t="str">
        <f t="shared" si="74"/>
        <v/>
      </c>
      <c r="AY225" s="1" t="str">
        <f t="shared" si="74"/>
        <v/>
      </c>
      <c r="AZ225" s="1" t="str">
        <f t="shared" si="74"/>
        <v/>
      </c>
      <c r="BA225" s="1" t="str">
        <f t="shared" si="74"/>
        <v/>
      </c>
      <c r="BB225" s="1" t="str">
        <f t="shared" si="74"/>
        <v/>
      </c>
      <c r="BC225" s="1" t="str">
        <f t="shared" si="74"/>
        <v/>
      </c>
    </row>
    <row r="227" spans="1:55" x14ac:dyDescent="0.25">
      <c r="D227" s="41" t="s">
        <v>33</v>
      </c>
      <c r="E227" s="41"/>
      <c r="M227" s="24" t="s">
        <v>81</v>
      </c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</row>
    <row r="228" spans="1:55" x14ac:dyDescent="0.25">
      <c r="F228" s="23" t="s">
        <v>44</v>
      </c>
      <c r="G228" s="23"/>
      <c r="H228" s="23"/>
      <c r="I228" s="23"/>
      <c r="J228" s="23"/>
      <c r="K228" s="23"/>
      <c r="L228" s="7" t="s">
        <v>30</v>
      </c>
      <c r="M228" s="24" t="s">
        <v>46</v>
      </c>
      <c r="N228" s="24"/>
      <c r="O228" s="24"/>
      <c r="P228" s="24"/>
      <c r="Q228" s="24"/>
      <c r="R228" s="24" t="s">
        <v>47</v>
      </c>
      <c r="S228" s="24"/>
      <c r="T228" s="24"/>
      <c r="U228" s="24"/>
      <c r="V228" s="24"/>
      <c r="W228" s="24"/>
      <c r="X228" s="24"/>
      <c r="Y228" s="44" t="s">
        <v>85</v>
      </c>
      <c r="Z228" s="44" t="s">
        <v>48</v>
      </c>
      <c r="AA228" s="44" t="s">
        <v>3</v>
      </c>
    </row>
    <row r="229" spans="1:55" ht="63" x14ac:dyDescent="0.25">
      <c r="F229" s="38" t="s">
        <v>36</v>
      </c>
      <c r="G229" s="38" t="s">
        <v>37</v>
      </c>
      <c r="H229" s="38" t="s">
        <v>38</v>
      </c>
      <c r="I229" s="38" t="s">
        <v>80</v>
      </c>
      <c r="J229" s="38" t="s">
        <v>39</v>
      </c>
      <c r="K229" s="38" t="s">
        <v>45</v>
      </c>
      <c r="L229" s="39" t="s">
        <v>16</v>
      </c>
      <c r="M229" s="40" t="s">
        <v>34</v>
      </c>
      <c r="N229" s="40" t="s">
        <v>5</v>
      </c>
      <c r="O229" s="40" t="s">
        <v>7</v>
      </c>
      <c r="P229" s="40" t="s">
        <v>8</v>
      </c>
      <c r="Q229" s="40" t="s">
        <v>40</v>
      </c>
      <c r="R229" s="40" t="s">
        <v>41</v>
      </c>
      <c r="S229" s="40" t="s">
        <v>42</v>
      </c>
      <c r="T229" s="40" t="s">
        <v>31</v>
      </c>
      <c r="U229" s="40" t="s">
        <v>43</v>
      </c>
      <c r="V229" s="40" t="s">
        <v>82</v>
      </c>
      <c r="W229" s="40" t="s">
        <v>87</v>
      </c>
      <c r="X229" s="40" t="s">
        <v>83</v>
      </c>
      <c r="Y229" s="45" t="s">
        <v>3</v>
      </c>
      <c r="Z229" s="45" t="s">
        <v>86</v>
      </c>
      <c r="AA229" s="45" t="s">
        <v>3</v>
      </c>
    </row>
    <row r="230" spans="1:55" x14ac:dyDescent="0.25">
      <c r="A230" s="15" t="s">
        <v>51</v>
      </c>
      <c r="B230" s="2"/>
      <c r="C230" s="2"/>
      <c r="F230" s="1">
        <f t="shared" ref="F230:M230" si="79">F232+F233+F234</f>
        <v>0</v>
      </c>
      <c r="G230" s="1">
        <f t="shared" si="79"/>
        <v>0</v>
      </c>
      <c r="H230" s="1">
        <f t="shared" si="79"/>
        <v>0</v>
      </c>
      <c r="I230" s="1">
        <f t="shared" si="79"/>
        <v>0</v>
      </c>
      <c r="J230" s="1">
        <f t="shared" si="79"/>
        <v>0</v>
      </c>
      <c r="K230" s="1">
        <f t="shared" si="79"/>
        <v>0</v>
      </c>
      <c r="L230" s="52">
        <f t="shared" si="79"/>
        <v>0</v>
      </c>
      <c r="M230" s="1">
        <f t="shared" si="79"/>
        <v>0</v>
      </c>
      <c r="N230" s="1">
        <f t="shared" ref="N230:X230" si="80">N232+N233+N234</f>
        <v>0</v>
      </c>
      <c r="O230" s="1">
        <f t="shared" si="80"/>
        <v>0</v>
      </c>
      <c r="P230" s="1">
        <f t="shared" si="80"/>
        <v>0</v>
      </c>
      <c r="Q230" s="1">
        <f t="shared" si="80"/>
        <v>0</v>
      </c>
      <c r="R230" s="1">
        <f t="shared" si="80"/>
        <v>0</v>
      </c>
      <c r="S230" s="1">
        <f t="shared" si="80"/>
        <v>0</v>
      </c>
      <c r="T230" s="1">
        <f t="shared" si="80"/>
        <v>0</v>
      </c>
      <c r="U230" s="1">
        <f t="shared" si="80"/>
        <v>0</v>
      </c>
      <c r="V230" s="1">
        <f t="shared" si="80"/>
        <v>0</v>
      </c>
      <c r="W230" s="1">
        <f t="shared" si="80"/>
        <v>0</v>
      </c>
      <c r="X230" s="1">
        <f t="shared" si="80"/>
        <v>0</v>
      </c>
      <c r="Y230" s="58">
        <f t="shared" ref="Y230:Y238" si="81">SUM(F230:K230)</f>
        <v>0</v>
      </c>
      <c r="Z230" s="1">
        <f t="shared" ref="Z230:Z238" si="82">SUM(M230:X230)</f>
        <v>0</v>
      </c>
      <c r="AA230" s="1">
        <f t="shared" ref="AA230:AA238" si="83">L230+Y230+Z230</f>
        <v>0</v>
      </c>
    </row>
    <row r="231" spans="1:55" x14ac:dyDescent="0.25">
      <c r="A231" s="30" t="s">
        <v>60</v>
      </c>
      <c r="B231" s="2"/>
      <c r="C231" s="2"/>
      <c r="F231" s="1">
        <f>F235+F236+F237+F238</f>
        <v>66.16734143049932</v>
      </c>
      <c r="G231" s="1">
        <f t="shared" ref="G231:X231" si="84">G235+G236+G237+G238</f>
        <v>10.526315789473685</v>
      </c>
      <c r="H231" s="1">
        <f t="shared" si="84"/>
        <v>40.866873065015483</v>
      </c>
      <c r="I231" s="1">
        <f t="shared" si="84"/>
        <v>18.204334365325078</v>
      </c>
      <c r="J231" s="1">
        <f t="shared" si="84"/>
        <v>124.88643663755744</v>
      </c>
      <c r="K231" s="1">
        <f t="shared" si="84"/>
        <v>39.714027149321268</v>
      </c>
      <c r="L231" s="52">
        <f t="shared" si="84"/>
        <v>4951.4755397108338</v>
      </c>
      <c r="M231" s="1">
        <f t="shared" si="84"/>
        <v>239.96027526729279</v>
      </c>
      <c r="N231" s="1">
        <f t="shared" si="84"/>
        <v>20.67580971659919</v>
      </c>
      <c r="O231" s="1">
        <f t="shared" si="84"/>
        <v>2.5964912280701755</v>
      </c>
      <c r="P231" s="1">
        <f t="shared" si="84"/>
        <v>6.4912280701754383</v>
      </c>
      <c r="Q231" s="1">
        <f t="shared" si="84"/>
        <v>626.74595803233581</v>
      </c>
      <c r="R231" s="1">
        <f t="shared" si="84"/>
        <v>408.45093124969293</v>
      </c>
      <c r="S231" s="1">
        <f t="shared" si="84"/>
        <v>5.4444444444444446</v>
      </c>
      <c r="T231" s="1">
        <f t="shared" si="84"/>
        <v>399.94468524251806</v>
      </c>
      <c r="U231" s="1">
        <f t="shared" si="84"/>
        <v>196.82893508280506</v>
      </c>
      <c r="V231" s="1">
        <f t="shared" si="84"/>
        <v>119.2279718905106</v>
      </c>
      <c r="W231" s="1">
        <f t="shared" si="84"/>
        <v>147.84936196700903</v>
      </c>
      <c r="X231" s="54">
        <f t="shared" si="84"/>
        <v>474.97899159663865</v>
      </c>
      <c r="Y231" s="58">
        <f t="shared" si="81"/>
        <v>300.36532843719226</v>
      </c>
      <c r="Z231" s="1">
        <f t="shared" si="82"/>
        <v>2649.1950837880918</v>
      </c>
      <c r="AA231" s="1">
        <f t="shared" si="83"/>
        <v>7901.0359519361173</v>
      </c>
    </row>
    <row r="232" spans="1:55" x14ac:dyDescent="0.25">
      <c r="A232" s="15" t="s">
        <v>51</v>
      </c>
      <c r="B232" s="16" t="s">
        <v>52</v>
      </c>
      <c r="C232" s="2"/>
      <c r="F232" s="1">
        <f>F239+F240+F241</f>
        <v>0</v>
      </c>
      <c r="G232" s="1">
        <f t="shared" ref="G232:X232" si="85">G239+G240+G241</f>
        <v>0</v>
      </c>
      <c r="H232" s="1">
        <f t="shared" si="85"/>
        <v>0</v>
      </c>
      <c r="I232" s="1">
        <f t="shared" si="85"/>
        <v>0</v>
      </c>
      <c r="J232" s="1">
        <f t="shared" si="85"/>
        <v>0</v>
      </c>
      <c r="K232" s="1">
        <f t="shared" si="85"/>
        <v>0</v>
      </c>
      <c r="L232" s="52">
        <f t="shared" si="85"/>
        <v>0</v>
      </c>
      <c r="M232" s="1">
        <f t="shared" si="85"/>
        <v>0</v>
      </c>
      <c r="N232" s="1">
        <f t="shared" si="85"/>
        <v>0</v>
      </c>
      <c r="O232" s="1">
        <f t="shared" si="85"/>
        <v>0</v>
      </c>
      <c r="P232" s="1">
        <f t="shared" si="85"/>
        <v>0</v>
      </c>
      <c r="Q232" s="1">
        <f t="shared" si="85"/>
        <v>0</v>
      </c>
      <c r="R232" s="1">
        <f t="shared" si="85"/>
        <v>0</v>
      </c>
      <c r="S232" s="1">
        <f t="shared" si="85"/>
        <v>0</v>
      </c>
      <c r="T232" s="1">
        <f t="shared" si="85"/>
        <v>0</v>
      </c>
      <c r="U232" s="1">
        <f t="shared" si="85"/>
        <v>0</v>
      </c>
      <c r="V232" s="1">
        <f t="shared" si="85"/>
        <v>0</v>
      </c>
      <c r="W232" s="1">
        <f t="shared" si="85"/>
        <v>0</v>
      </c>
      <c r="X232" s="54">
        <f t="shared" si="85"/>
        <v>0</v>
      </c>
      <c r="Y232" s="58">
        <f t="shared" si="81"/>
        <v>0</v>
      </c>
      <c r="Z232" s="1">
        <f t="shared" si="82"/>
        <v>0</v>
      </c>
      <c r="AA232" s="1">
        <f t="shared" si="83"/>
        <v>0</v>
      </c>
    </row>
    <row r="233" spans="1:55" x14ac:dyDescent="0.25">
      <c r="A233" s="15" t="s">
        <v>51</v>
      </c>
      <c r="B233" s="16" t="s">
        <v>56</v>
      </c>
      <c r="C233" s="2"/>
      <c r="F233" s="1">
        <f>F242+F243+F244</f>
        <v>0</v>
      </c>
      <c r="G233" s="1">
        <f t="shared" ref="G233:X233" si="86">G242+G243+G244</f>
        <v>0</v>
      </c>
      <c r="H233" s="1">
        <f t="shared" si="86"/>
        <v>0</v>
      </c>
      <c r="I233" s="1">
        <f t="shared" si="86"/>
        <v>0</v>
      </c>
      <c r="J233" s="1">
        <f t="shared" si="86"/>
        <v>0</v>
      </c>
      <c r="K233" s="1">
        <f t="shared" si="86"/>
        <v>0</v>
      </c>
      <c r="L233" s="52">
        <f t="shared" si="86"/>
        <v>0</v>
      </c>
      <c r="M233" s="1">
        <f t="shared" si="86"/>
        <v>0</v>
      </c>
      <c r="N233" s="1">
        <f t="shared" si="86"/>
        <v>0</v>
      </c>
      <c r="O233" s="1">
        <f t="shared" si="86"/>
        <v>0</v>
      </c>
      <c r="P233" s="1">
        <f t="shared" si="86"/>
        <v>0</v>
      </c>
      <c r="Q233" s="1">
        <f t="shared" si="86"/>
        <v>0</v>
      </c>
      <c r="R233" s="1">
        <f t="shared" si="86"/>
        <v>0</v>
      </c>
      <c r="S233" s="1">
        <f t="shared" si="86"/>
        <v>0</v>
      </c>
      <c r="T233" s="1">
        <f t="shared" si="86"/>
        <v>0</v>
      </c>
      <c r="U233" s="1">
        <f t="shared" si="86"/>
        <v>0</v>
      </c>
      <c r="V233" s="1">
        <f t="shared" si="86"/>
        <v>0</v>
      </c>
      <c r="W233" s="1">
        <f t="shared" si="86"/>
        <v>0</v>
      </c>
      <c r="X233" s="54">
        <f t="shared" si="86"/>
        <v>0</v>
      </c>
      <c r="Y233" s="58">
        <f t="shared" si="81"/>
        <v>0</v>
      </c>
      <c r="Z233" s="1">
        <f t="shared" si="82"/>
        <v>0</v>
      </c>
      <c r="AA233" s="1">
        <f t="shared" si="83"/>
        <v>0</v>
      </c>
    </row>
    <row r="234" spans="1:55" x14ac:dyDescent="0.25">
      <c r="A234" s="15" t="s">
        <v>51</v>
      </c>
      <c r="B234" s="16" t="s">
        <v>9</v>
      </c>
      <c r="C234" s="2"/>
      <c r="F234" s="1">
        <f>F245</f>
        <v>0</v>
      </c>
      <c r="G234" s="1">
        <f t="shared" ref="G234:X234" si="87">G245</f>
        <v>0</v>
      </c>
      <c r="H234" s="1">
        <f t="shared" si="87"/>
        <v>0</v>
      </c>
      <c r="I234" s="1">
        <f t="shared" si="87"/>
        <v>0</v>
      </c>
      <c r="J234" s="1">
        <f t="shared" si="87"/>
        <v>0</v>
      </c>
      <c r="K234" s="1">
        <f t="shared" si="87"/>
        <v>0</v>
      </c>
      <c r="L234" s="52">
        <f t="shared" si="87"/>
        <v>0</v>
      </c>
      <c r="M234" s="1">
        <f t="shared" si="87"/>
        <v>0</v>
      </c>
      <c r="N234" s="1">
        <f t="shared" si="87"/>
        <v>0</v>
      </c>
      <c r="O234" s="1">
        <f t="shared" si="87"/>
        <v>0</v>
      </c>
      <c r="P234" s="1">
        <f t="shared" si="87"/>
        <v>0</v>
      </c>
      <c r="Q234" s="1">
        <f t="shared" si="87"/>
        <v>0</v>
      </c>
      <c r="R234" s="1">
        <f t="shared" si="87"/>
        <v>0</v>
      </c>
      <c r="S234" s="1">
        <f t="shared" si="87"/>
        <v>0</v>
      </c>
      <c r="T234" s="1">
        <f t="shared" si="87"/>
        <v>0</v>
      </c>
      <c r="U234" s="1">
        <f t="shared" si="87"/>
        <v>0</v>
      </c>
      <c r="V234" s="1">
        <f t="shared" si="87"/>
        <v>0</v>
      </c>
      <c r="W234" s="1">
        <f t="shared" si="87"/>
        <v>0</v>
      </c>
      <c r="X234" s="54">
        <f t="shared" si="87"/>
        <v>0</v>
      </c>
      <c r="Y234" s="58">
        <f t="shared" si="81"/>
        <v>0</v>
      </c>
      <c r="Z234" s="1">
        <f t="shared" si="82"/>
        <v>0</v>
      </c>
      <c r="AA234" s="1">
        <f t="shared" si="83"/>
        <v>0</v>
      </c>
    </row>
    <row r="235" spans="1:55" x14ac:dyDescent="0.25">
      <c r="A235" s="30" t="s">
        <v>60</v>
      </c>
      <c r="B235" s="32" t="s">
        <v>13</v>
      </c>
      <c r="C235" s="2"/>
      <c r="F235" s="51">
        <f>F246+F247+F248</f>
        <v>63.859649122807014</v>
      </c>
      <c r="G235" s="51">
        <f t="shared" ref="G235:X235" si="88">G246+G247+G248</f>
        <v>10.526315789473685</v>
      </c>
      <c r="H235" s="51">
        <f t="shared" si="88"/>
        <v>40.866873065015483</v>
      </c>
      <c r="I235" s="51">
        <f t="shared" si="88"/>
        <v>18.204334365325078</v>
      </c>
      <c r="J235" s="51">
        <f t="shared" si="88"/>
        <v>6.8111455108359129</v>
      </c>
      <c r="K235" s="51">
        <f t="shared" si="88"/>
        <v>3.5294117647058822</v>
      </c>
      <c r="L235" s="52">
        <f t="shared" si="88"/>
        <v>0</v>
      </c>
      <c r="M235" s="51">
        <f t="shared" si="88"/>
        <v>6.7251461988304095</v>
      </c>
      <c r="N235" s="51">
        <f t="shared" si="88"/>
        <v>0.50657894736842102</v>
      </c>
      <c r="O235" s="51">
        <f t="shared" si="88"/>
        <v>2.5964912280701755</v>
      </c>
      <c r="P235" s="51">
        <f t="shared" si="88"/>
        <v>6.4912280701754383</v>
      </c>
      <c r="Q235" s="51">
        <f t="shared" si="88"/>
        <v>0.13157894736842105</v>
      </c>
      <c r="R235" s="51">
        <f t="shared" si="88"/>
        <v>0.42105263157894735</v>
      </c>
      <c r="S235" s="51">
        <f t="shared" si="88"/>
        <v>0</v>
      </c>
      <c r="T235" s="51">
        <f t="shared" si="88"/>
        <v>0.33684210526315789</v>
      </c>
      <c r="U235" s="51">
        <f t="shared" si="88"/>
        <v>1.6842105263157894</v>
      </c>
      <c r="V235" s="51">
        <f t="shared" si="88"/>
        <v>0.29239766081871343</v>
      </c>
      <c r="W235" s="51">
        <f t="shared" si="88"/>
        <v>5.9259259259259265</v>
      </c>
      <c r="X235" s="55">
        <f t="shared" si="88"/>
        <v>4.4444444444444446</v>
      </c>
      <c r="Y235" s="59">
        <f t="shared" si="81"/>
        <v>143.79772961816303</v>
      </c>
      <c r="Z235" s="51">
        <f t="shared" si="82"/>
        <v>29.555896686159848</v>
      </c>
      <c r="AA235" s="51">
        <f t="shared" si="83"/>
        <v>173.35362630432289</v>
      </c>
    </row>
    <row r="236" spans="1:55" x14ac:dyDescent="0.25">
      <c r="A236" s="30" t="s">
        <v>60</v>
      </c>
      <c r="B236" s="31" t="s">
        <v>23</v>
      </c>
      <c r="C236" s="2"/>
      <c r="F236" s="51">
        <f>F249+F250+F251</f>
        <v>2.3076923076923075</v>
      </c>
      <c r="G236" s="51">
        <f t="shared" ref="G236:X236" si="89">G249+G250+G251</f>
        <v>0</v>
      </c>
      <c r="H236" s="51">
        <f t="shared" si="89"/>
        <v>0</v>
      </c>
      <c r="I236" s="51">
        <f t="shared" si="89"/>
        <v>0</v>
      </c>
      <c r="J236" s="51">
        <f t="shared" si="89"/>
        <v>39.676928414633331</v>
      </c>
      <c r="K236" s="51">
        <f t="shared" si="89"/>
        <v>36.184615384615384</v>
      </c>
      <c r="L236" s="52">
        <f t="shared" si="89"/>
        <v>0</v>
      </c>
      <c r="M236" s="51">
        <f t="shared" si="89"/>
        <v>0</v>
      </c>
      <c r="N236" s="51">
        <f t="shared" si="89"/>
        <v>20.169230769230769</v>
      </c>
      <c r="O236" s="51">
        <f t="shared" si="89"/>
        <v>0</v>
      </c>
      <c r="P236" s="51">
        <f t="shared" si="89"/>
        <v>0</v>
      </c>
      <c r="Q236" s="51">
        <f t="shared" si="89"/>
        <v>0</v>
      </c>
      <c r="R236" s="51">
        <f t="shared" si="89"/>
        <v>0</v>
      </c>
      <c r="S236" s="51">
        <f t="shared" si="89"/>
        <v>5.4444444444444446</v>
      </c>
      <c r="T236" s="51">
        <f t="shared" si="89"/>
        <v>2.2222222222222223</v>
      </c>
      <c r="U236" s="51">
        <f t="shared" si="89"/>
        <v>0</v>
      </c>
      <c r="V236" s="51">
        <f t="shared" si="89"/>
        <v>2.2222222222222223</v>
      </c>
      <c r="W236" s="51">
        <f t="shared" si="89"/>
        <v>0</v>
      </c>
      <c r="X236" s="55">
        <f t="shared" si="89"/>
        <v>2.2222222222222223</v>
      </c>
      <c r="Y236" s="59">
        <f t="shared" si="81"/>
        <v>78.169236106941014</v>
      </c>
      <c r="Z236" s="51">
        <f t="shared" si="82"/>
        <v>32.280341880341879</v>
      </c>
      <c r="AA236" s="51">
        <f t="shared" si="83"/>
        <v>110.44957798728289</v>
      </c>
    </row>
    <row r="237" spans="1:55" x14ac:dyDescent="0.25">
      <c r="A237" s="30" t="s">
        <v>60</v>
      </c>
      <c r="B237" s="31" t="s">
        <v>65</v>
      </c>
      <c r="C237" s="46"/>
      <c r="F237" s="51">
        <f>F252+F253+F254</f>
        <v>0</v>
      </c>
      <c r="G237" s="51">
        <f t="shared" ref="G237:X237" si="90">G252+G253+G254</f>
        <v>0</v>
      </c>
      <c r="H237" s="51">
        <f t="shared" si="90"/>
        <v>0</v>
      </c>
      <c r="I237" s="51">
        <f t="shared" si="90"/>
        <v>0</v>
      </c>
      <c r="J237" s="51">
        <f t="shared" si="90"/>
        <v>78.398362712088201</v>
      </c>
      <c r="K237" s="51">
        <f t="shared" si="90"/>
        <v>0</v>
      </c>
      <c r="L237" s="52">
        <f t="shared" si="90"/>
        <v>4951.4755397108338</v>
      </c>
      <c r="M237" s="51">
        <f t="shared" si="90"/>
        <v>233.23512906846238</v>
      </c>
      <c r="N237" s="51">
        <f t="shared" si="90"/>
        <v>0</v>
      </c>
      <c r="O237" s="51">
        <f t="shared" si="90"/>
        <v>0</v>
      </c>
      <c r="P237" s="51">
        <f t="shared" si="90"/>
        <v>0</v>
      </c>
      <c r="Q237" s="51">
        <f t="shared" si="90"/>
        <v>626.61437908496737</v>
      </c>
      <c r="R237" s="51">
        <f t="shared" si="90"/>
        <v>408.02987861811397</v>
      </c>
      <c r="S237" s="51">
        <f t="shared" si="90"/>
        <v>0</v>
      </c>
      <c r="T237" s="51">
        <f t="shared" si="90"/>
        <v>397.38562091503269</v>
      </c>
      <c r="U237" s="51">
        <f t="shared" si="90"/>
        <v>195.14472455648928</v>
      </c>
      <c r="V237" s="51">
        <f t="shared" si="90"/>
        <v>116.71335200746967</v>
      </c>
      <c r="W237" s="51">
        <f t="shared" si="90"/>
        <v>141.92343604108311</v>
      </c>
      <c r="X237" s="55">
        <f t="shared" si="90"/>
        <v>443.51073762838467</v>
      </c>
      <c r="Y237" s="59">
        <f t="shared" si="81"/>
        <v>78.398362712088201</v>
      </c>
      <c r="Z237" s="51">
        <f t="shared" si="82"/>
        <v>2562.5572579200029</v>
      </c>
      <c r="AA237" s="51">
        <f t="shared" si="83"/>
        <v>7592.4311603429251</v>
      </c>
    </row>
    <row r="238" spans="1:55" ht="15.75" thickBot="1" x14ac:dyDescent="0.3">
      <c r="A238" s="48" t="s">
        <v>60</v>
      </c>
      <c r="B238" s="49" t="s">
        <v>9</v>
      </c>
      <c r="C238" s="50"/>
      <c r="D238" s="50"/>
      <c r="E238" s="50"/>
      <c r="F238" s="53">
        <f>F255</f>
        <v>0</v>
      </c>
      <c r="G238" s="53">
        <f t="shared" ref="G238:X238" si="91">G255</f>
        <v>0</v>
      </c>
      <c r="H238" s="53">
        <f t="shared" si="91"/>
        <v>0</v>
      </c>
      <c r="I238" s="53">
        <f t="shared" si="91"/>
        <v>0</v>
      </c>
      <c r="J238" s="53">
        <f t="shared" si="91"/>
        <v>0</v>
      </c>
      <c r="K238" s="53">
        <f t="shared" si="91"/>
        <v>0</v>
      </c>
      <c r="L238" s="62">
        <f t="shared" si="91"/>
        <v>0</v>
      </c>
      <c r="M238" s="53">
        <f t="shared" si="91"/>
        <v>0</v>
      </c>
      <c r="N238" s="53">
        <f t="shared" si="91"/>
        <v>0</v>
      </c>
      <c r="O238" s="53">
        <f t="shared" si="91"/>
        <v>0</v>
      </c>
      <c r="P238" s="53">
        <f t="shared" si="91"/>
        <v>0</v>
      </c>
      <c r="Q238" s="53">
        <f t="shared" si="91"/>
        <v>0</v>
      </c>
      <c r="R238" s="53">
        <f t="shared" si="91"/>
        <v>0</v>
      </c>
      <c r="S238" s="53">
        <f t="shared" si="91"/>
        <v>0</v>
      </c>
      <c r="T238" s="53">
        <f t="shared" si="91"/>
        <v>0</v>
      </c>
      <c r="U238" s="53">
        <f t="shared" si="91"/>
        <v>0</v>
      </c>
      <c r="V238" s="53">
        <f t="shared" si="91"/>
        <v>0</v>
      </c>
      <c r="W238" s="53">
        <f t="shared" si="91"/>
        <v>0</v>
      </c>
      <c r="X238" s="56">
        <f t="shared" si="91"/>
        <v>24.801587301587301</v>
      </c>
      <c r="Y238" s="60">
        <f t="shared" si="81"/>
        <v>0</v>
      </c>
      <c r="Z238" s="53">
        <f t="shared" si="82"/>
        <v>24.801587301587301</v>
      </c>
      <c r="AA238" s="53">
        <f t="shared" si="83"/>
        <v>24.801587301587301</v>
      </c>
    </row>
    <row r="239" spans="1:55" ht="15.75" thickTop="1" x14ac:dyDescent="0.25">
      <c r="A239" s="15" t="s">
        <v>51</v>
      </c>
      <c r="B239" s="16" t="s">
        <v>52</v>
      </c>
      <c r="C239" s="16" t="s">
        <v>53</v>
      </c>
      <c r="D239" s="2"/>
      <c r="E239" s="2"/>
      <c r="F239" s="47">
        <f t="shared" ref="F239:AA250" si="92">IF(F284&gt;0,F14/F284,0)</f>
        <v>0</v>
      </c>
      <c r="G239" s="47">
        <f t="shared" si="92"/>
        <v>0</v>
      </c>
      <c r="H239" s="47">
        <f t="shared" si="92"/>
        <v>0</v>
      </c>
      <c r="I239" s="47">
        <f t="shared" si="92"/>
        <v>0</v>
      </c>
      <c r="J239" s="47">
        <f t="shared" si="92"/>
        <v>0</v>
      </c>
      <c r="K239" s="47">
        <f t="shared" si="92"/>
        <v>0</v>
      </c>
      <c r="L239" s="63">
        <f t="shared" si="92"/>
        <v>0</v>
      </c>
      <c r="M239" s="47">
        <f t="shared" si="92"/>
        <v>0</v>
      </c>
      <c r="N239" s="47">
        <f t="shared" si="92"/>
        <v>0</v>
      </c>
      <c r="O239" s="47">
        <f t="shared" si="92"/>
        <v>0</v>
      </c>
      <c r="P239" s="47">
        <f t="shared" si="92"/>
        <v>0</v>
      </c>
      <c r="Q239" s="47">
        <f t="shared" si="92"/>
        <v>0</v>
      </c>
      <c r="R239" s="47">
        <f t="shared" si="92"/>
        <v>0</v>
      </c>
      <c r="S239" s="47">
        <f t="shared" si="92"/>
        <v>0</v>
      </c>
      <c r="T239" s="47">
        <f t="shared" si="92"/>
        <v>0</v>
      </c>
      <c r="U239" s="47">
        <f t="shared" si="92"/>
        <v>0</v>
      </c>
      <c r="V239" s="47">
        <f t="shared" si="92"/>
        <v>0</v>
      </c>
      <c r="W239" s="47">
        <f t="shared" si="92"/>
        <v>0</v>
      </c>
      <c r="X239" s="57">
        <f t="shared" si="92"/>
        <v>0</v>
      </c>
      <c r="Y239" s="61">
        <f t="shared" si="92"/>
        <v>0</v>
      </c>
      <c r="Z239" s="47">
        <f t="shared" si="92"/>
        <v>0</v>
      </c>
      <c r="AA239" s="47">
        <f t="shared" si="92"/>
        <v>0</v>
      </c>
    </row>
    <row r="240" spans="1:55" x14ac:dyDescent="0.25">
      <c r="A240" s="15" t="s">
        <v>51</v>
      </c>
      <c r="B240" s="16" t="s">
        <v>52</v>
      </c>
      <c r="C240" s="16" t="s">
        <v>54</v>
      </c>
      <c r="D240" s="2"/>
      <c r="E240" s="2"/>
      <c r="F240" s="1">
        <f t="shared" si="92"/>
        <v>0</v>
      </c>
      <c r="G240" s="1">
        <f t="shared" si="92"/>
        <v>0</v>
      </c>
      <c r="H240" s="1">
        <f t="shared" si="92"/>
        <v>0</v>
      </c>
      <c r="I240" s="1">
        <f t="shared" si="92"/>
        <v>0</v>
      </c>
      <c r="J240" s="1">
        <f t="shared" si="92"/>
        <v>0</v>
      </c>
      <c r="K240" s="1">
        <f t="shared" si="92"/>
        <v>0</v>
      </c>
      <c r="L240" s="52">
        <f t="shared" si="92"/>
        <v>0</v>
      </c>
      <c r="M240" s="1">
        <f t="shared" si="92"/>
        <v>0</v>
      </c>
      <c r="N240" s="1">
        <f t="shared" si="92"/>
        <v>0</v>
      </c>
      <c r="O240" s="1">
        <f t="shared" si="92"/>
        <v>0</v>
      </c>
      <c r="P240" s="1">
        <f t="shared" si="92"/>
        <v>0</v>
      </c>
      <c r="Q240" s="1">
        <f t="shared" si="92"/>
        <v>0</v>
      </c>
      <c r="R240" s="1">
        <f t="shared" si="92"/>
        <v>0</v>
      </c>
      <c r="S240" s="1">
        <f t="shared" si="92"/>
        <v>0</v>
      </c>
      <c r="T240" s="1">
        <f t="shared" si="92"/>
        <v>0</v>
      </c>
      <c r="U240" s="1">
        <f t="shared" si="92"/>
        <v>0</v>
      </c>
      <c r="V240" s="1">
        <f t="shared" si="92"/>
        <v>0</v>
      </c>
      <c r="W240" s="1">
        <f t="shared" si="92"/>
        <v>0</v>
      </c>
      <c r="X240" s="54">
        <f t="shared" si="92"/>
        <v>0</v>
      </c>
      <c r="Y240" s="58">
        <f t="shared" si="92"/>
        <v>0</v>
      </c>
      <c r="Z240" s="1">
        <f t="shared" si="92"/>
        <v>0</v>
      </c>
      <c r="AA240" s="1">
        <f t="shared" si="92"/>
        <v>0</v>
      </c>
    </row>
    <row r="241" spans="1:27" x14ac:dyDescent="0.25">
      <c r="A241" s="15" t="s">
        <v>51</v>
      </c>
      <c r="B241" s="16" t="s">
        <v>52</v>
      </c>
      <c r="C241" s="16" t="s">
        <v>55</v>
      </c>
      <c r="D241" s="2"/>
      <c r="E241" s="2"/>
      <c r="F241" s="1">
        <f t="shared" si="92"/>
        <v>0</v>
      </c>
      <c r="G241" s="1">
        <f t="shared" si="92"/>
        <v>0</v>
      </c>
      <c r="H241" s="1">
        <f t="shared" si="92"/>
        <v>0</v>
      </c>
      <c r="I241" s="1">
        <f t="shared" si="92"/>
        <v>0</v>
      </c>
      <c r="J241" s="1">
        <f t="shared" si="92"/>
        <v>0</v>
      </c>
      <c r="K241" s="1">
        <f t="shared" si="92"/>
        <v>0</v>
      </c>
      <c r="L241" s="52">
        <f t="shared" si="92"/>
        <v>0</v>
      </c>
      <c r="M241" s="1">
        <f t="shared" si="92"/>
        <v>0</v>
      </c>
      <c r="N241" s="1">
        <f t="shared" si="92"/>
        <v>0</v>
      </c>
      <c r="O241" s="1">
        <f t="shared" si="92"/>
        <v>0</v>
      </c>
      <c r="P241" s="1">
        <f t="shared" si="92"/>
        <v>0</v>
      </c>
      <c r="Q241" s="1">
        <f t="shared" si="92"/>
        <v>0</v>
      </c>
      <c r="R241" s="1">
        <f t="shared" si="92"/>
        <v>0</v>
      </c>
      <c r="S241" s="1">
        <f t="shared" si="92"/>
        <v>0</v>
      </c>
      <c r="T241" s="1">
        <f t="shared" si="92"/>
        <v>0</v>
      </c>
      <c r="U241" s="1">
        <f t="shared" si="92"/>
        <v>0</v>
      </c>
      <c r="V241" s="1">
        <f t="shared" si="92"/>
        <v>0</v>
      </c>
      <c r="W241" s="1">
        <f t="shared" si="92"/>
        <v>0</v>
      </c>
      <c r="X241" s="54">
        <f t="shared" si="92"/>
        <v>0</v>
      </c>
      <c r="Y241" s="58">
        <f t="shared" si="92"/>
        <v>0</v>
      </c>
      <c r="Z241" s="1">
        <f t="shared" si="92"/>
        <v>0</v>
      </c>
      <c r="AA241" s="1">
        <f t="shared" si="92"/>
        <v>0</v>
      </c>
    </row>
    <row r="242" spans="1:27" x14ac:dyDescent="0.25">
      <c r="A242" s="25" t="s">
        <v>51</v>
      </c>
      <c r="B242" s="26" t="s">
        <v>56</v>
      </c>
      <c r="C242" s="26" t="s">
        <v>57</v>
      </c>
      <c r="D242" s="2"/>
      <c r="E242" s="2"/>
      <c r="F242" s="1">
        <f t="shared" si="92"/>
        <v>0</v>
      </c>
      <c r="G242" s="1">
        <f t="shared" si="92"/>
        <v>0</v>
      </c>
      <c r="H242" s="1">
        <f t="shared" si="92"/>
        <v>0</v>
      </c>
      <c r="I242" s="1">
        <f t="shared" si="92"/>
        <v>0</v>
      </c>
      <c r="J242" s="1">
        <f t="shared" si="92"/>
        <v>0</v>
      </c>
      <c r="K242" s="1">
        <f t="shared" si="92"/>
        <v>0</v>
      </c>
      <c r="L242" s="52">
        <f t="shared" si="92"/>
        <v>0</v>
      </c>
      <c r="M242" s="1">
        <f t="shared" si="92"/>
        <v>0</v>
      </c>
      <c r="N242" s="1">
        <f t="shared" si="92"/>
        <v>0</v>
      </c>
      <c r="O242" s="1">
        <f t="shared" si="92"/>
        <v>0</v>
      </c>
      <c r="P242" s="1">
        <f t="shared" si="92"/>
        <v>0</v>
      </c>
      <c r="Q242" s="1">
        <f t="shared" si="92"/>
        <v>0</v>
      </c>
      <c r="R242" s="1">
        <f t="shared" si="92"/>
        <v>0</v>
      </c>
      <c r="S242" s="1">
        <f t="shared" si="92"/>
        <v>0</v>
      </c>
      <c r="T242" s="1">
        <f t="shared" si="92"/>
        <v>0</v>
      </c>
      <c r="U242" s="1">
        <f t="shared" si="92"/>
        <v>0</v>
      </c>
      <c r="V242" s="1">
        <f t="shared" si="92"/>
        <v>0</v>
      </c>
      <c r="W242" s="1">
        <f t="shared" si="92"/>
        <v>0</v>
      </c>
      <c r="X242" s="54">
        <f t="shared" si="92"/>
        <v>0</v>
      </c>
      <c r="Y242" s="58">
        <f t="shared" si="92"/>
        <v>0</v>
      </c>
      <c r="Z242" s="1">
        <f t="shared" si="92"/>
        <v>0</v>
      </c>
      <c r="AA242" s="1">
        <f t="shared" si="92"/>
        <v>0</v>
      </c>
    </row>
    <row r="243" spans="1:27" x14ac:dyDescent="0.25">
      <c r="A243" s="15" t="s">
        <v>51</v>
      </c>
      <c r="B243" s="16" t="s">
        <v>56</v>
      </c>
      <c r="C243" s="27" t="s">
        <v>58</v>
      </c>
      <c r="D243" s="2"/>
      <c r="E243" s="2"/>
      <c r="F243" s="1">
        <f t="shared" si="92"/>
        <v>0</v>
      </c>
      <c r="G243" s="1">
        <f t="shared" si="92"/>
        <v>0</v>
      </c>
      <c r="H243" s="1">
        <f t="shared" si="92"/>
        <v>0</v>
      </c>
      <c r="I243" s="1">
        <f t="shared" si="92"/>
        <v>0</v>
      </c>
      <c r="J243" s="1">
        <f t="shared" si="92"/>
        <v>0</v>
      </c>
      <c r="K243" s="1">
        <f t="shared" si="92"/>
        <v>0</v>
      </c>
      <c r="L243" s="52">
        <f t="shared" si="92"/>
        <v>0</v>
      </c>
      <c r="M243" s="1">
        <f t="shared" si="92"/>
        <v>0</v>
      </c>
      <c r="N243" s="1">
        <f t="shared" si="92"/>
        <v>0</v>
      </c>
      <c r="O243" s="1">
        <f t="shared" si="92"/>
        <v>0</v>
      </c>
      <c r="P243" s="1">
        <f t="shared" si="92"/>
        <v>0</v>
      </c>
      <c r="Q243" s="1">
        <f t="shared" si="92"/>
        <v>0</v>
      </c>
      <c r="R243" s="1">
        <f t="shared" si="92"/>
        <v>0</v>
      </c>
      <c r="S243" s="1">
        <f t="shared" si="92"/>
        <v>0</v>
      </c>
      <c r="T243" s="1">
        <f t="shared" si="92"/>
        <v>0</v>
      </c>
      <c r="U243" s="1">
        <f t="shared" si="92"/>
        <v>0</v>
      </c>
      <c r="V243" s="1">
        <f t="shared" si="92"/>
        <v>0</v>
      </c>
      <c r="W243" s="1">
        <f t="shared" si="92"/>
        <v>0</v>
      </c>
      <c r="X243" s="54">
        <f t="shared" si="92"/>
        <v>0</v>
      </c>
      <c r="Y243" s="58">
        <f t="shared" si="92"/>
        <v>0</v>
      </c>
      <c r="Z243" s="1">
        <f t="shared" si="92"/>
        <v>0</v>
      </c>
      <c r="AA243" s="1">
        <f t="shared" si="92"/>
        <v>0</v>
      </c>
    </row>
    <row r="244" spans="1:27" x14ac:dyDescent="0.25">
      <c r="A244" s="15" t="s">
        <v>51</v>
      </c>
      <c r="B244" s="16" t="s">
        <v>9</v>
      </c>
      <c r="C244" s="27" t="s">
        <v>59</v>
      </c>
      <c r="D244" s="2"/>
      <c r="E244" s="2"/>
      <c r="F244" s="1">
        <f t="shared" si="92"/>
        <v>0</v>
      </c>
      <c r="G244" s="1">
        <f t="shared" si="92"/>
        <v>0</v>
      </c>
      <c r="H244" s="1">
        <f t="shared" si="92"/>
        <v>0</v>
      </c>
      <c r="I244" s="1">
        <f t="shared" si="92"/>
        <v>0</v>
      </c>
      <c r="J244" s="1">
        <f t="shared" si="92"/>
        <v>0</v>
      </c>
      <c r="K244" s="1">
        <f t="shared" si="92"/>
        <v>0</v>
      </c>
      <c r="L244" s="52">
        <f t="shared" si="92"/>
        <v>0</v>
      </c>
      <c r="M244" s="1">
        <f t="shared" si="92"/>
        <v>0</v>
      </c>
      <c r="N244" s="1">
        <f t="shared" si="92"/>
        <v>0</v>
      </c>
      <c r="O244" s="1">
        <f t="shared" si="92"/>
        <v>0</v>
      </c>
      <c r="P244" s="1">
        <f t="shared" si="92"/>
        <v>0</v>
      </c>
      <c r="Q244" s="1">
        <f t="shared" si="92"/>
        <v>0</v>
      </c>
      <c r="R244" s="1">
        <f t="shared" si="92"/>
        <v>0</v>
      </c>
      <c r="S244" s="1">
        <f t="shared" si="92"/>
        <v>0</v>
      </c>
      <c r="T244" s="1">
        <f t="shared" si="92"/>
        <v>0</v>
      </c>
      <c r="U244" s="1">
        <f t="shared" si="92"/>
        <v>0</v>
      </c>
      <c r="V244" s="1">
        <f t="shared" si="92"/>
        <v>0</v>
      </c>
      <c r="W244" s="1">
        <f t="shared" si="92"/>
        <v>0</v>
      </c>
      <c r="X244" s="54">
        <f t="shared" si="92"/>
        <v>0</v>
      </c>
      <c r="Y244" s="58">
        <f t="shared" si="92"/>
        <v>0</v>
      </c>
      <c r="Z244" s="1">
        <f t="shared" si="92"/>
        <v>0</v>
      </c>
      <c r="AA244" s="1">
        <f t="shared" si="92"/>
        <v>0</v>
      </c>
    </row>
    <row r="245" spans="1:27" x14ac:dyDescent="0.25">
      <c r="A245" s="15" t="s">
        <v>51</v>
      </c>
      <c r="B245" s="16" t="s">
        <v>9</v>
      </c>
      <c r="C245" s="27" t="s">
        <v>9</v>
      </c>
      <c r="D245" s="2"/>
      <c r="E245" s="2"/>
      <c r="F245" s="1">
        <f t="shared" si="92"/>
        <v>0</v>
      </c>
      <c r="G245" s="1">
        <f t="shared" si="92"/>
        <v>0</v>
      </c>
      <c r="H245" s="1">
        <f t="shared" si="92"/>
        <v>0</v>
      </c>
      <c r="I245" s="1">
        <f t="shared" si="92"/>
        <v>0</v>
      </c>
      <c r="J245" s="1">
        <f t="shared" si="92"/>
        <v>0</v>
      </c>
      <c r="K245" s="1">
        <f t="shared" si="92"/>
        <v>0</v>
      </c>
      <c r="L245" s="52">
        <f t="shared" si="92"/>
        <v>0</v>
      </c>
      <c r="M245" s="1">
        <f t="shared" si="92"/>
        <v>0</v>
      </c>
      <c r="N245" s="1">
        <f t="shared" si="92"/>
        <v>0</v>
      </c>
      <c r="O245" s="1">
        <f t="shared" si="92"/>
        <v>0</v>
      </c>
      <c r="P245" s="1">
        <f t="shared" si="92"/>
        <v>0</v>
      </c>
      <c r="Q245" s="1">
        <f t="shared" si="92"/>
        <v>0</v>
      </c>
      <c r="R245" s="1">
        <f t="shared" si="92"/>
        <v>0</v>
      </c>
      <c r="S245" s="1">
        <f t="shared" si="92"/>
        <v>0</v>
      </c>
      <c r="T245" s="1">
        <f t="shared" si="92"/>
        <v>0</v>
      </c>
      <c r="U245" s="1">
        <f t="shared" si="92"/>
        <v>0</v>
      </c>
      <c r="V245" s="1">
        <f t="shared" si="92"/>
        <v>0</v>
      </c>
      <c r="W245" s="1">
        <f t="shared" si="92"/>
        <v>0</v>
      </c>
      <c r="X245" s="54">
        <f t="shared" si="92"/>
        <v>0</v>
      </c>
      <c r="Y245" s="58">
        <f t="shared" si="92"/>
        <v>0</v>
      </c>
      <c r="Z245" s="1">
        <f t="shared" si="92"/>
        <v>0</v>
      </c>
      <c r="AA245" s="1">
        <f t="shared" si="92"/>
        <v>0</v>
      </c>
    </row>
    <row r="246" spans="1:27" x14ac:dyDescent="0.25">
      <c r="A246" s="28" t="s">
        <v>60</v>
      </c>
      <c r="B246" s="29" t="s">
        <v>13</v>
      </c>
      <c r="C246" s="29" t="s">
        <v>61</v>
      </c>
      <c r="D246" s="2"/>
      <c r="E246" s="2"/>
      <c r="F246" s="86">
        <f t="shared" si="92"/>
        <v>60.028070175438593</v>
      </c>
      <c r="G246" s="86">
        <f t="shared" si="92"/>
        <v>0</v>
      </c>
      <c r="H246" s="86">
        <f t="shared" si="92"/>
        <v>30.650154798761609</v>
      </c>
      <c r="I246" s="86">
        <f t="shared" si="92"/>
        <v>18.204334365325078</v>
      </c>
      <c r="J246" s="86">
        <f t="shared" si="92"/>
        <v>6.8111455108359129</v>
      </c>
      <c r="K246" s="51">
        <f t="shared" si="92"/>
        <v>3.5294117647058822</v>
      </c>
      <c r="L246" s="52">
        <f t="shared" si="92"/>
        <v>0</v>
      </c>
      <c r="M246" s="85">
        <f t="shared" si="92"/>
        <v>6.7251461988304095</v>
      </c>
      <c r="N246" s="85">
        <f t="shared" si="92"/>
        <v>0.50657894736842102</v>
      </c>
      <c r="O246" s="85">
        <f t="shared" si="92"/>
        <v>2.5964912280701755</v>
      </c>
      <c r="P246" s="85">
        <f t="shared" si="92"/>
        <v>6.4912280701754383</v>
      </c>
      <c r="Q246" s="85">
        <f t="shared" si="92"/>
        <v>0.13157894736842105</v>
      </c>
      <c r="R246" s="85">
        <f t="shared" si="92"/>
        <v>0.42105263157894735</v>
      </c>
      <c r="S246" s="85">
        <f t="shared" si="92"/>
        <v>0</v>
      </c>
      <c r="T246" s="85">
        <f t="shared" si="92"/>
        <v>0.33684210526315789</v>
      </c>
      <c r="U246" s="85">
        <f t="shared" si="92"/>
        <v>1.6842105263157894</v>
      </c>
      <c r="V246" s="85">
        <f t="shared" si="92"/>
        <v>0.29239766081871343</v>
      </c>
      <c r="W246" s="85">
        <f t="shared" si="92"/>
        <v>5.9259259259259265</v>
      </c>
      <c r="X246" s="87">
        <f t="shared" si="92"/>
        <v>4.4444444444444446</v>
      </c>
      <c r="Y246" s="59">
        <f t="shared" si="92"/>
        <v>0</v>
      </c>
      <c r="Z246" s="51">
        <f t="shared" si="92"/>
        <v>0</v>
      </c>
      <c r="AA246" s="51">
        <f t="shared" si="92"/>
        <v>0</v>
      </c>
    </row>
    <row r="247" spans="1:27" x14ac:dyDescent="0.25">
      <c r="A247" s="36" t="s">
        <v>60</v>
      </c>
      <c r="B247" s="37" t="s">
        <v>13</v>
      </c>
      <c r="C247" s="29" t="s">
        <v>62</v>
      </c>
      <c r="D247" s="2"/>
      <c r="E247" s="2"/>
      <c r="F247" s="86">
        <f t="shared" si="92"/>
        <v>3.8315789473684205</v>
      </c>
      <c r="G247" s="86">
        <f t="shared" si="92"/>
        <v>10.526315789473685</v>
      </c>
      <c r="H247" s="86">
        <f t="shared" si="92"/>
        <v>10.216718266253871</v>
      </c>
      <c r="I247" s="51">
        <f t="shared" si="92"/>
        <v>0</v>
      </c>
      <c r="J247" s="51">
        <f t="shared" si="92"/>
        <v>0</v>
      </c>
      <c r="K247" s="51">
        <f t="shared" si="92"/>
        <v>0</v>
      </c>
      <c r="L247" s="52">
        <f t="shared" si="92"/>
        <v>0</v>
      </c>
      <c r="M247" s="51">
        <f t="shared" si="92"/>
        <v>0</v>
      </c>
      <c r="N247" s="51">
        <f t="shared" si="92"/>
        <v>0</v>
      </c>
      <c r="O247" s="51">
        <f t="shared" si="92"/>
        <v>0</v>
      </c>
      <c r="P247" s="51">
        <f t="shared" si="92"/>
        <v>0</v>
      </c>
      <c r="Q247" s="51">
        <f t="shared" si="92"/>
        <v>0</v>
      </c>
      <c r="R247" s="51">
        <f t="shared" si="92"/>
        <v>0</v>
      </c>
      <c r="S247" s="51">
        <f t="shared" si="92"/>
        <v>0</v>
      </c>
      <c r="T247" s="51">
        <f t="shared" si="92"/>
        <v>0</v>
      </c>
      <c r="U247" s="51">
        <f t="shared" si="92"/>
        <v>0</v>
      </c>
      <c r="V247" s="51">
        <f t="shared" si="92"/>
        <v>0</v>
      </c>
      <c r="W247" s="51">
        <f t="shared" si="92"/>
        <v>0</v>
      </c>
      <c r="X247" s="55">
        <f t="shared" si="92"/>
        <v>0</v>
      </c>
      <c r="Y247" s="59">
        <f t="shared" si="92"/>
        <v>0</v>
      </c>
      <c r="Z247" s="51">
        <f t="shared" si="92"/>
        <v>0</v>
      </c>
      <c r="AA247" s="51">
        <f t="shared" si="92"/>
        <v>0</v>
      </c>
    </row>
    <row r="248" spans="1:27" x14ac:dyDescent="0.25">
      <c r="A248" s="30" t="s">
        <v>60</v>
      </c>
      <c r="B248" s="31" t="s">
        <v>13</v>
      </c>
      <c r="C248" s="32" t="s">
        <v>63</v>
      </c>
      <c r="D248" s="2"/>
      <c r="E248" s="2"/>
      <c r="F248" s="51">
        <f t="shared" si="92"/>
        <v>0</v>
      </c>
      <c r="G248" s="51">
        <f t="shared" si="92"/>
        <v>0</v>
      </c>
      <c r="H248" s="51">
        <f t="shared" si="92"/>
        <v>0</v>
      </c>
      <c r="I248" s="51">
        <f t="shared" si="92"/>
        <v>0</v>
      </c>
      <c r="J248" s="51">
        <f t="shared" si="92"/>
        <v>0</v>
      </c>
      <c r="K248" s="51">
        <f t="shared" si="92"/>
        <v>0</v>
      </c>
      <c r="L248" s="52">
        <f t="shared" si="92"/>
        <v>0</v>
      </c>
      <c r="M248" s="51">
        <f t="shared" si="92"/>
        <v>0</v>
      </c>
      <c r="N248" s="51">
        <f t="shared" si="92"/>
        <v>0</v>
      </c>
      <c r="O248" s="51">
        <f t="shared" si="92"/>
        <v>0</v>
      </c>
      <c r="P248" s="51">
        <f t="shared" si="92"/>
        <v>0</v>
      </c>
      <c r="Q248" s="51">
        <f t="shared" si="92"/>
        <v>0</v>
      </c>
      <c r="R248" s="51">
        <f t="shared" si="92"/>
        <v>0</v>
      </c>
      <c r="S248" s="51">
        <f t="shared" si="92"/>
        <v>0</v>
      </c>
      <c r="T248" s="51">
        <f t="shared" si="92"/>
        <v>0</v>
      </c>
      <c r="U248" s="51">
        <f t="shared" si="92"/>
        <v>0</v>
      </c>
      <c r="V248" s="51">
        <f t="shared" si="92"/>
        <v>0</v>
      </c>
      <c r="W248" s="51">
        <f t="shared" si="92"/>
        <v>0</v>
      </c>
      <c r="X248" s="55">
        <f t="shared" si="92"/>
        <v>0</v>
      </c>
      <c r="Y248" s="59">
        <f t="shared" si="92"/>
        <v>0</v>
      </c>
      <c r="Z248" s="51">
        <f t="shared" si="92"/>
        <v>0</v>
      </c>
      <c r="AA248" s="51">
        <f t="shared" si="92"/>
        <v>0</v>
      </c>
    </row>
    <row r="249" spans="1:27" x14ac:dyDescent="0.25">
      <c r="A249" s="30" t="s">
        <v>60</v>
      </c>
      <c r="B249" s="32" t="s">
        <v>23</v>
      </c>
      <c r="C249" s="31" t="s">
        <v>50</v>
      </c>
      <c r="D249" s="2"/>
      <c r="E249" s="2"/>
      <c r="F249" s="51">
        <f t="shared" si="92"/>
        <v>2.3076923076923075</v>
      </c>
      <c r="G249" s="51">
        <f t="shared" si="92"/>
        <v>0</v>
      </c>
      <c r="H249" s="51">
        <f t="shared" si="92"/>
        <v>0</v>
      </c>
      <c r="I249" s="51">
        <f t="shared" si="92"/>
        <v>0</v>
      </c>
      <c r="J249" s="86">
        <f t="shared" si="92"/>
        <v>0.84615384615384615</v>
      </c>
      <c r="K249" s="51">
        <f t="shared" si="92"/>
        <v>36.184615384615384</v>
      </c>
      <c r="L249" s="52">
        <f t="shared" si="92"/>
        <v>0</v>
      </c>
      <c r="M249" s="51">
        <f t="shared" si="92"/>
        <v>0</v>
      </c>
      <c r="N249" s="86">
        <f t="shared" si="92"/>
        <v>20.169230769230769</v>
      </c>
      <c r="O249" s="51">
        <f t="shared" si="92"/>
        <v>0</v>
      </c>
      <c r="P249" s="51">
        <f t="shared" si="92"/>
        <v>0</v>
      </c>
      <c r="Q249" s="51">
        <f t="shared" si="92"/>
        <v>0</v>
      </c>
      <c r="R249" s="51">
        <f t="shared" si="92"/>
        <v>0</v>
      </c>
      <c r="S249" s="51">
        <f t="shared" si="92"/>
        <v>0</v>
      </c>
      <c r="T249" s="51">
        <f t="shared" si="92"/>
        <v>0</v>
      </c>
      <c r="U249" s="51">
        <f t="shared" si="92"/>
        <v>0</v>
      </c>
      <c r="V249" s="51">
        <f t="shared" si="92"/>
        <v>0</v>
      </c>
      <c r="W249" s="51">
        <f t="shared" si="92"/>
        <v>0</v>
      </c>
      <c r="X249" s="55">
        <f t="shared" si="92"/>
        <v>0</v>
      </c>
      <c r="Y249" s="59">
        <f t="shared" si="92"/>
        <v>0</v>
      </c>
      <c r="Z249" s="51">
        <f t="shared" si="92"/>
        <v>0</v>
      </c>
      <c r="AA249" s="51">
        <f t="shared" si="92"/>
        <v>0</v>
      </c>
    </row>
    <row r="250" spans="1:27" x14ac:dyDescent="0.25">
      <c r="A250" s="30" t="s">
        <v>60</v>
      </c>
      <c r="B250" s="32" t="s">
        <v>23</v>
      </c>
      <c r="C250" s="31" t="s">
        <v>49</v>
      </c>
      <c r="D250" s="2"/>
      <c r="E250" s="2"/>
      <c r="F250" s="51">
        <f t="shared" si="92"/>
        <v>0</v>
      </c>
      <c r="G250" s="51">
        <f t="shared" si="92"/>
        <v>0</v>
      </c>
      <c r="H250" s="51">
        <f t="shared" si="92"/>
        <v>0</v>
      </c>
      <c r="I250" s="51">
        <f t="shared" si="92"/>
        <v>0</v>
      </c>
      <c r="J250" s="86">
        <f t="shared" si="92"/>
        <v>38.830774568479484</v>
      </c>
      <c r="K250" s="51">
        <f t="shared" si="92"/>
        <v>0</v>
      </c>
      <c r="L250" s="52">
        <f t="shared" si="92"/>
        <v>0</v>
      </c>
      <c r="M250" s="51">
        <f t="shared" si="92"/>
        <v>0</v>
      </c>
      <c r="N250" s="51">
        <f t="shared" si="92"/>
        <v>0</v>
      </c>
      <c r="O250" s="51">
        <f t="shared" si="92"/>
        <v>0</v>
      </c>
      <c r="P250" s="51">
        <f t="shared" si="92"/>
        <v>0</v>
      </c>
      <c r="Q250" s="51">
        <f t="shared" si="92"/>
        <v>0</v>
      </c>
      <c r="R250" s="51">
        <f t="shared" si="92"/>
        <v>0</v>
      </c>
      <c r="S250" s="51">
        <f t="shared" ref="G250:AA265" si="93">IF(S295&gt;0,S25/S295,0)</f>
        <v>5.4444444444444446</v>
      </c>
      <c r="T250" s="51">
        <f t="shared" si="93"/>
        <v>2.2222222222222223</v>
      </c>
      <c r="U250" s="51">
        <f t="shared" si="93"/>
        <v>0</v>
      </c>
      <c r="V250" s="51">
        <f t="shared" si="93"/>
        <v>2.2222222222222223</v>
      </c>
      <c r="W250" s="51">
        <f t="shared" si="93"/>
        <v>0</v>
      </c>
      <c r="X250" s="95">
        <f t="shared" si="93"/>
        <v>2.2222222222222223</v>
      </c>
      <c r="Y250" s="59">
        <f t="shared" si="93"/>
        <v>0</v>
      </c>
      <c r="Z250" s="51">
        <f t="shared" si="93"/>
        <v>0</v>
      </c>
      <c r="AA250" s="51">
        <f t="shared" si="93"/>
        <v>0</v>
      </c>
    </row>
    <row r="251" spans="1:27" x14ac:dyDescent="0.25">
      <c r="A251" s="30" t="s">
        <v>60</v>
      </c>
      <c r="B251" s="32" t="s">
        <v>23</v>
      </c>
      <c r="C251" s="31" t="s">
        <v>64</v>
      </c>
      <c r="D251" s="2"/>
      <c r="E251" s="2"/>
      <c r="F251" s="51">
        <f t="shared" ref="F251:F260" si="94">IF(F296&gt;0,F26/F296,0)</f>
        <v>0</v>
      </c>
      <c r="G251" s="51">
        <f t="shared" si="93"/>
        <v>0</v>
      </c>
      <c r="H251" s="51">
        <f t="shared" si="93"/>
        <v>0</v>
      </c>
      <c r="I251" s="51">
        <f t="shared" si="93"/>
        <v>0</v>
      </c>
      <c r="J251" s="86">
        <f t="shared" si="93"/>
        <v>0</v>
      </c>
      <c r="K251" s="51">
        <f t="shared" si="93"/>
        <v>0</v>
      </c>
      <c r="L251" s="52">
        <f t="shared" si="93"/>
        <v>0</v>
      </c>
      <c r="M251" s="51">
        <f t="shared" si="93"/>
        <v>0</v>
      </c>
      <c r="N251" s="51">
        <f t="shared" si="93"/>
        <v>0</v>
      </c>
      <c r="O251" s="51">
        <f t="shared" si="93"/>
        <v>0</v>
      </c>
      <c r="P251" s="51">
        <f t="shared" si="93"/>
        <v>0</v>
      </c>
      <c r="Q251" s="51">
        <f t="shared" si="93"/>
        <v>0</v>
      </c>
      <c r="R251" s="51">
        <f t="shared" si="93"/>
        <v>0</v>
      </c>
      <c r="S251" s="51">
        <f t="shared" si="93"/>
        <v>0</v>
      </c>
      <c r="T251" s="51">
        <f t="shared" si="93"/>
        <v>0</v>
      </c>
      <c r="U251" s="51">
        <f t="shared" si="93"/>
        <v>0</v>
      </c>
      <c r="V251" s="51">
        <f t="shared" si="93"/>
        <v>0</v>
      </c>
      <c r="W251" s="51">
        <f t="shared" si="93"/>
        <v>0</v>
      </c>
      <c r="X251" s="55">
        <f t="shared" si="93"/>
        <v>0</v>
      </c>
      <c r="Y251" s="59">
        <f t="shared" si="93"/>
        <v>0</v>
      </c>
      <c r="Z251" s="51">
        <f t="shared" si="93"/>
        <v>0</v>
      </c>
      <c r="AA251" s="51">
        <f t="shared" si="93"/>
        <v>0</v>
      </c>
    </row>
    <row r="252" spans="1:27" x14ac:dyDescent="0.25">
      <c r="A252" s="30" t="s">
        <v>60</v>
      </c>
      <c r="B252" s="32" t="s">
        <v>65</v>
      </c>
      <c r="C252" s="31" t="s">
        <v>66</v>
      </c>
      <c r="D252" s="2"/>
      <c r="E252" s="2"/>
      <c r="F252" s="51">
        <f t="shared" si="94"/>
        <v>0</v>
      </c>
      <c r="G252" s="51">
        <f t="shared" si="93"/>
        <v>0</v>
      </c>
      <c r="H252" s="51">
        <f t="shared" si="93"/>
        <v>0</v>
      </c>
      <c r="I252" s="51">
        <f t="shared" si="93"/>
        <v>0</v>
      </c>
      <c r="J252" s="86">
        <f t="shared" si="93"/>
        <v>78.398362712088201</v>
      </c>
      <c r="K252" s="51">
        <f t="shared" si="93"/>
        <v>0</v>
      </c>
      <c r="L252" s="52">
        <f t="shared" si="93"/>
        <v>0</v>
      </c>
      <c r="M252" s="73">
        <f t="shared" si="93"/>
        <v>233.23512906846238</v>
      </c>
      <c r="N252" s="51">
        <f t="shared" si="93"/>
        <v>0</v>
      </c>
      <c r="O252" s="51">
        <f t="shared" si="93"/>
        <v>0</v>
      </c>
      <c r="P252" s="51">
        <f t="shared" si="93"/>
        <v>0</v>
      </c>
      <c r="Q252" s="51">
        <f t="shared" si="93"/>
        <v>0</v>
      </c>
      <c r="R252" s="51">
        <f t="shared" si="93"/>
        <v>0</v>
      </c>
      <c r="S252" s="51">
        <f t="shared" si="93"/>
        <v>0</v>
      </c>
      <c r="T252" s="51">
        <f t="shared" si="93"/>
        <v>0</v>
      </c>
      <c r="U252" s="51">
        <f t="shared" si="93"/>
        <v>0</v>
      </c>
      <c r="V252" s="51">
        <f t="shared" si="93"/>
        <v>0</v>
      </c>
      <c r="W252" s="51">
        <f t="shared" si="93"/>
        <v>0</v>
      </c>
      <c r="X252" s="55">
        <f t="shared" si="93"/>
        <v>0</v>
      </c>
      <c r="Y252" s="59">
        <f t="shared" si="93"/>
        <v>0</v>
      </c>
      <c r="Z252" s="51">
        <f t="shared" si="93"/>
        <v>0</v>
      </c>
      <c r="AA252" s="51">
        <f t="shared" si="93"/>
        <v>0</v>
      </c>
    </row>
    <row r="253" spans="1:27" x14ac:dyDescent="0.25">
      <c r="A253" s="30" t="s">
        <v>60</v>
      </c>
      <c r="B253" s="32" t="s">
        <v>65</v>
      </c>
      <c r="C253" s="31" t="s">
        <v>67</v>
      </c>
      <c r="D253" s="2"/>
      <c r="E253" s="2"/>
      <c r="F253" s="51">
        <f t="shared" si="94"/>
        <v>0</v>
      </c>
      <c r="G253" s="51">
        <f t="shared" si="93"/>
        <v>0</v>
      </c>
      <c r="H253" s="51">
        <f t="shared" si="93"/>
        <v>0</v>
      </c>
      <c r="I253" s="51">
        <f t="shared" si="93"/>
        <v>0</v>
      </c>
      <c r="J253" s="51">
        <f t="shared" si="93"/>
        <v>0</v>
      </c>
      <c r="K253" s="51">
        <f t="shared" si="93"/>
        <v>0</v>
      </c>
      <c r="L253" s="52">
        <f t="shared" si="93"/>
        <v>0</v>
      </c>
      <c r="M253" s="51">
        <f t="shared" si="93"/>
        <v>0</v>
      </c>
      <c r="N253" s="51">
        <f t="shared" si="93"/>
        <v>0</v>
      </c>
      <c r="O253" s="51">
        <f t="shared" si="93"/>
        <v>0</v>
      </c>
      <c r="P253" s="51">
        <f t="shared" si="93"/>
        <v>0</v>
      </c>
      <c r="Q253" s="73">
        <f t="shared" si="93"/>
        <v>626.61437908496737</v>
      </c>
      <c r="R253" s="73">
        <f t="shared" si="93"/>
        <v>408.02987861811397</v>
      </c>
      <c r="S253" s="73">
        <f t="shared" si="93"/>
        <v>0</v>
      </c>
      <c r="T253" s="73">
        <f t="shared" si="93"/>
        <v>397.38562091503269</v>
      </c>
      <c r="U253" s="73">
        <f t="shared" si="93"/>
        <v>195.14472455648928</v>
      </c>
      <c r="V253" s="73">
        <f t="shared" si="93"/>
        <v>116.71335200746967</v>
      </c>
      <c r="W253" s="73">
        <f t="shared" si="93"/>
        <v>141.92343604108311</v>
      </c>
      <c r="X253" s="89">
        <f t="shared" si="93"/>
        <v>443.51073762838467</v>
      </c>
      <c r="Y253" s="59">
        <f t="shared" si="93"/>
        <v>0</v>
      </c>
      <c r="Z253" s="51">
        <f t="shared" si="93"/>
        <v>0</v>
      </c>
      <c r="AA253" s="51">
        <f t="shared" si="93"/>
        <v>0</v>
      </c>
    </row>
    <row r="254" spans="1:27" x14ac:dyDescent="0.25">
      <c r="A254" s="30" t="s">
        <v>60</v>
      </c>
      <c r="B254" s="32" t="s">
        <v>65</v>
      </c>
      <c r="C254" s="31" t="s">
        <v>68</v>
      </c>
      <c r="D254" s="2"/>
      <c r="E254" s="2"/>
      <c r="F254" s="51">
        <f t="shared" si="94"/>
        <v>0</v>
      </c>
      <c r="G254" s="51">
        <f t="shared" si="93"/>
        <v>0</v>
      </c>
      <c r="H254" s="51">
        <f t="shared" si="93"/>
        <v>0</v>
      </c>
      <c r="I254" s="51">
        <f t="shared" si="93"/>
        <v>0</v>
      </c>
      <c r="J254" s="51">
        <f t="shared" si="93"/>
        <v>0</v>
      </c>
      <c r="K254" s="51">
        <f t="shared" si="93"/>
        <v>0</v>
      </c>
      <c r="L254" s="88">
        <f t="shared" si="93"/>
        <v>4951.4755397108338</v>
      </c>
      <c r="M254" s="51">
        <f t="shared" si="93"/>
        <v>0</v>
      </c>
      <c r="N254" s="51">
        <f t="shared" si="93"/>
        <v>0</v>
      </c>
      <c r="O254" s="51">
        <f t="shared" si="93"/>
        <v>0</v>
      </c>
      <c r="P254" s="51">
        <f t="shared" si="93"/>
        <v>0</v>
      </c>
      <c r="Q254" s="51">
        <f t="shared" si="93"/>
        <v>0</v>
      </c>
      <c r="R254" s="51">
        <f t="shared" si="93"/>
        <v>0</v>
      </c>
      <c r="S254" s="51">
        <f t="shared" si="93"/>
        <v>0</v>
      </c>
      <c r="T254" s="51">
        <f t="shared" si="93"/>
        <v>0</v>
      </c>
      <c r="U254" s="51">
        <f t="shared" si="93"/>
        <v>0</v>
      </c>
      <c r="V254" s="51">
        <f t="shared" si="93"/>
        <v>0</v>
      </c>
      <c r="W254" s="51">
        <f t="shared" si="93"/>
        <v>0</v>
      </c>
      <c r="X254" s="55">
        <f t="shared" si="93"/>
        <v>0</v>
      </c>
      <c r="Y254" s="59">
        <f t="shared" si="93"/>
        <v>0</v>
      </c>
      <c r="Z254" s="51">
        <f t="shared" si="93"/>
        <v>0</v>
      </c>
      <c r="AA254" s="51">
        <f t="shared" si="93"/>
        <v>0</v>
      </c>
    </row>
    <row r="255" spans="1:27" x14ac:dyDescent="0.25">
      <c r="A255" s="30" t="s">
        <v>60</v>
      </c>
      <c r="B255" s="32" t="s">
        <v>9</v>
      </c>
      <c r="C255" s="31" t="s">
        <v>69</v>
      </c>
      <c r="D255" s="2"/>
      <c r="E255" s="2"/>
      <c r="F255" s="51">
        <f t="shared" si="94"/>
        <v>0</v>
      </c>
      <c r="G255" s="51">
        <f t="shared" si="93"/>
        <v>0</v>
      </c>
      <c r="H255" s="51">
        <f t="shared" si="93"/>
        <v>0</v>
      </c>
      <c r="I255" s="51">
        <f t="shared" si="93"/>
        <v>0</v>
      </c>
      <c r="J255" s="51">
        <f t="shared" si="93"/>
        <v>0</v>
      </c>
      <c r="K255" s="51">
        <f t="shared" si="93"/>
        <v>0</v>
      </c>
      <c r="L255" s="52">
        <f t="shared" si="93"/>
        <v>0</v>
      </c>
      <c r="M255" s="51">
        <f t="shared" si="93"/>
        <v>0</v>
      </c>
      <c r="N255" s="51">
        <f t="shared" si="93"/>
        <v>0</v>
      </c>
      <c r="O255" s="51">
        <f t="shared" si="93"/>
        <v>0</v>
      </c>
      <c r="P255" s="51">
        <f t="shared" si="93"/>
        <v>0</v>
      </c>
      <c r="Q255" s="51">
        <f t="shared" si="93"/>
        <v>0</v>
      </c>
      <c r="R255" s="51">
        <f t="shared" si="93"/>
        <v>0</v>
      </c>
      <c r="S255" s="51">
        <f t="shared" si="93"/>
        <v>0</v>
      </c>
      <c r="T255" s="51">
        <f t="shared" si="93"/>
        <v>0</v>
      </c>
      <c r="U255" s="51">
        <f t="shared" si="93"/>
        <v>0</v>
      </c>
      <c r="V255" s="51">
        <f t="shared" si="93"/>
        <v>0</v>
      </c>
      <c r="W255" s="51">
        <f t="shared" si="93"/>
        <v>0</v>
      </c>
      <c r="X255" s="89">
        <f t="shared" si="93"/>
        <v>24.801587301587301</v>
      </c>
      <c r="Y255" s="59">
        <f t="shared" si="93"/>
        <v>0</v>
      </c>
      <c r="Z255" s="51">
        <f t="shared" si="93"/>
        <v>0</v>
      </c>
      <c r="AA255" s="51">
        <f t="shared" si="93"/>
        <v>0</v>
      </c>
    </row>
    <row r="256" spans="1:27" x14ac:dyDescent="0.25">
      <c r="A256" s="15" t="s">
        <v>51</v>
      </c>
      <c r="B256" s="16" t="s">
        <v>56</v>
      </c>
      <c r="C256" s="27" t="s">
        <v>57</v>
      </c>
      <c r="D256" s="16" t="s">
        <v>70</v>
      </c>
      <c r="E256" s="16"/>
      <c r="F256" s="1">
        <f t="shared" si="94"/>
        <v>0</v>
      </c>
      <c r="G256" s="1">
        <f t="shared" si="93"/>
        <v>0</v>
      </c>
      <c r="H256" s="1">
        <f t="shared" si="93"/>
        <v>0</v>
      </c>
      <c r="I256" s="1">
        <f t="shared" si="93"/>
        <v>0</v>
      </c>
      <c r="J256" s="1">
        <f t="shared" si="93"/>
        <v>0</v>
      </c>
      <c r="K256" s="1">
        <f t="shared" si="93"/>
        <v>0</v>
      </c>
      <c r="L256" s="52">
        <f t="shared" si="93"/>
        <v>0</v>
      </c>
      <c r="M256" s="1">
        <f t="shared" si="93"/>
        <v>0</v>
      </c>
      <c r="N256" s="1">
        <f t="shared" si="93"/>
        <v>0</v>
      </c>
      <c r="O256" s="1">
        <f t="shared" si="93"/>
        <v>0</v>
      </c>
      <c r="P256" s="1">
        <f t="shared" si="93"/>
        <v>0</v>
      </c>
      <c r="Q256" s="1">
        <f t="shared" si="93"/>
        <v>0</v>
      </c>
      <c r="R256" s="1">
        <f t="shared" si="93"/>
        <v>0</v>
      </c>
      <c r="S256" s="1">
        <f t="shared" si="93"/>
        <v>0</v>
      </c>
      <c r="T256" s="1">
        <f t="shared" si="93"/>
        <v>0</v>
      </c>
      <c r="U256" s="1">
        <f t="shared" si="93"/>
        <v>0</v>
      </c>
      <c r="V256" s="1">
        <f t="shared" si="93"/>
        <v>0</v>
      </c>
      <c r="W256" s="1">
        <f t="shared" si="93"/>
        <v>0</v>
      </c>
      <c r="X256" s="54">
        <f t="shared" si="93"/>
        <v>0</v>
      </c>
      <c r="Y256" s="58">
        <f t="shared" si="93"/>
        <v>0</v>
      </c>
      <c r="Z256" s="1">
        <f t="shared" si="93"/>
        <v>0</v>
      </c>
      <c r="AA256" s="1">
        <f t="shared" si="93"/>
        <v>0</v>
      </c>
    </row>
    <row r="257" spans="1:27" x14ac:dyDescent="0.25">
      <c r="A257" s="15" t="s">
        <v>51</v>
      </c>
      <c r="B257" s="16" t="s">
        <v>56</v>
      </c>
      <c r="C257" s="27" t="s">
        <v>57</v>
      </c>
      <c r="D257" s="16" t="s">
        <v>71</v>
      </c>
      <c r="E257" s="16"/>
      <c r="F257" s="1">
        <f t="shared" si="94"/>
        <v>0</v>
      </c>
      <c r="G257" s="1">
        <f t="shared" si="93"/>
        <v>0</v>
      </c>
      <c r="H257" s="1">
        <f t="shared" si="93"/>
        <v>0</v>
      </c>
      <c r="I257" s="1">
        <f t="shared" si="93"/>
        <v>0</v>
      </c>
      <c r="J257" s="1">
        <f t="shared" si="93"/>
        <v>0</v>
      </c>
      <c r="K257" s="1">
        <f t="shared" si="93"/>
        <v>0</v>
      </c>
      <c r="L257" s="52">
        <f t="shared" si="93"/>
        <v>0</v>
      </c>
      <c r="M257" s="1">
        <f t="shared" si="93"/>
        <v>0</v>
      </c>
      <c r="N257" s="1">
        <f t="shared" si="93"/>
        <v>0</v>
      </c>
      <c r="O257" s="1">
        <f t="shared" si="93"/>
        <v>0</v>
      </c>
      <c r="P257" s="1">
        <f t="shared" si="93"/>
        <v>0</v>
      </c>
      <c r="Q257" s="1">
        <f t="shared" si="93"/>
        <v>0</v>
      </c>
      <c r="R257" s="1">
        <f t="shared" si="93"/>
        <v>0</v>
      </c>
      <c r="S257" s="1">
        <f t="shared" si="93"/>
        <v>0</v>
      </c>
      <c r="T257" s="1">
        <f t="shared" si="93"/>
        <v>0</v>
      </c>
      <c r="U257" s="1">
        <f t="shared" si="93"/>
        <v>0</v>
      </c>
      <c r="V257" s="1">
        <f t="shared" si="93"/>
        <v>0</v>
      </c>
      <c r="W257" s="1">
        <f t="shared" si="93"/>
        <v>0</v>
      </c>
      <c r="X257" s="54">
        <f t="shared" si="93"/>
        <v>0</v>
      </c>
      <c r="Y257" s="58">
        <f t="shared" si="93"/>
        <v>0</v>
      </c>
      <c r="Z257" s="1">
        <f t="shared" si="93"/>
        <v>0</v>
      </c>
      <c r="AA257" s="1">
        <f t="shared" si="93"/>
        <v>0</v>
      </c>
    </row>
    <row r="258" spans="1:27" x14ac:dyDescent="0.25">
      <c r="A258" s="15" t="s">
        <v>51</v>
      </c>
      <c r="B258" s="16" t="s">
        <v>56</v>
      </c>
      <c r="C258" s="27" t="s">
        <v>27</v>
      </c>
      <c r="D258" s="16" t="s">
        <v>72</v>
      </c>
      <c r="E258" s="16"/>
      <c r="F258" s="1">
        <f t="shared" si="94"/>
        <v>0</v>
      </c>
      <c r="G258" s="1">
        <f t="shared" si="93"/>
        <v>0</v>
      </c>
      <c r="H258" s="1">
        <f t="shared" si="93"/>
        <v>0</v>
      </c>
      <c r="I258" s="1">
        <f t="shared" si="93"/>
        <v>0</v>
      </c>
      <c r="J258" s="1">
        <f t="shared" si="93"/>
        <v>0</v>
      </c>
      <c r="K258" s="1">
        <f t="shared" si="93"/>
        <v>0</v>
      </c>
      <c r="L258" s="52">
        <f t="shared" si="93"/>
        <v>0</v>
      </c>
      <c r="M258" s="1">
        <f t="shared" si="93"/>
        <v>0</v>
      </c>
      <c r="N258" s="1">
        <f t="shared" si="93"/>
        <v>0</v>
      </c>
      <c r="O258" s="1">
        <f t="shared" si="93"/>
        <v>0</v>
      </c>
      <c r="P258" s="1">
        <f t="shared" si="93"/>
        <v>0</v>
      </c>
      <c r="Q258" s="1">
        <f t="shared" si="93"/>
        <v>0</v>
      </c>
      <c r="R258" s="1">
        <f t="shared" si="93"/>
        <v>0</v>
      </c>
      <c r="S258" s="1">
        <f t="shared" si="93"/>
        <v>0</v>
      </c>
      <c r="T258" s="1">
        <f t="shared" si="93"/>
        <v>0</v>
      </c>
      <c r="U258" s="1">
        <f t="shared" si="93"/>
        <v>0</v>
      </c>
      <c r="V258" s="1">
        <f t="shared" si="93"/>
        <v>0</v>
      </c>
      <c r="W258" s="1">
        <f t="shared" si="93"/>
        <v>0</v>
      </c>
      <c r="X258" s="54">
        <f t="shared" si="93"/>
        <v>0</v>
      </c>
      <c r="Y258" s="58">
        <f t="shared" si="93"/>
        <v>0</v>
      </c>
      <c r="Z258" s="1">
        <f t="shared" si="93"/>
        <v>0</v>
      </c>
      <c r="AA258" s="1">
        <f t="shared" si="93"/>
        <v>0</v>
      </c>
    </row>
    <row r="259" spans="1:27" x14ac:dyDescent="0.25">
      <c r="A259" s="15" t="s">
        <v>51</v>
      </c>
      <c r="B259" s="16" t="s">
        <v>56</v>
      </c>
      <c r="C259" s="27" t="s">
        <v>57</v>
      </c>
      <c r="D259" s="16" t="s">
        <v>73</v>
      </c>
      <c r="E259" s="16"/>
      <c r="F259" s="1">
        <f t="shared" si="94"/>
        <v>0</v>
      </c>
      <c r="G259" s="1">
        <f t="shared" si="93"/>
        <v>0</v>
      </c>
      <c r="H259" s="1">
        <f t="shared" si="93"/>
        <v>0</v>
      </c>
      <c r="I259" s="1">
        <f t="shared" si="93"/>
        <v>0</v>
      </c>
      <c r="J259" s="1">
        <f t="shared" si="93"/>
        <v>0</v>
      </c>
      <c r="K259" s="1">
        <f t="shared" si="93"/>
        <v>0</v>
      </c>
      <c r="L259" s="52">
        <f t="shared" si="93"/>
        <v>0</v>
      </c>
      <c r="M259" s="1">
        <f t="shared" si="93"/>
        <v>0</v>
      </c>
      <c r="N259" s="1">
        <f t="shared" si="93"/>
        <v>0</v>
      </c>
      <c r="O259" s="1">
        <f t="shared" si="93"/>
        <v>0</v>
      </c>
      <c r="P259" s="1">
        <f t="shared" si="93"/>
        <v>0</v>
      </c>
      <c r="Q259" s="1">
        <f t="shared" si="93"/>
        <v>0</v>
      </c>
      <c r="R259" s="1">
        <f t="shared" si="93"/>
        <v>0</v>
      </c>
      <c r="S259" s="1">
        <f t="shared" si="93"/>
        <v>0</v>
      </c>
      <c r="T259" s="1">
        <f t="shared" si="93"/>
        <v>0</v>
      </c>
      <c r="U259" s="1">
        <f t="shared" si="93"/>
        <v>0</v>
      </c>
      <c r="V259" s="1">
        <f t="shared" si="93"/>
        <v>0</v>
      </c>
      <c r="W259" s="1">
        <f t="shared" si="93"/>
        <v>0</v>
      </c>
      <c r="X259" s="54">
        <f t="shared" si="93"/>
        <v>0</v>
      </c>
      <c r="Y259" s="58">
        <f t="shared" si="93"/>
        <v>0</v>
      </c>
      <c r="Z259" s="1">
        <f t="shared" si="93"/>
        <v>0</v>
      </c>
      <c r="AA259" s="1">
        <f t="shared" si="93"/>
        <v>0</v>
      </c>
    </row>
    <row r="260" spans="1:27" x14ac:dyDescent="0.25">
      <c r="A260" s="15" t="s">
        <v>51</v>
      </c>
      <c r="B260" s="16" t="s">
        <v>56</v>
      </c>
      <c r="C260" s="27" t="s">
        <v>57</v>
      </c>
      <c r="D260" s="16" t="s">
        <v>74</v>
      </c>
      <c r="E260" s="16"/>
      <c r="F260" s="1">
        <f t="shared" si="94"/>
        <v>0</v>
      </c>
      <c r="G260" s="1">
        <f t="shared" si="93"/>
        <v>0</v>
      </c>
      <c r="H260" s="1">
        <f t="shared" si="93"/>
        <v>0</v>
      </c>
      <c r="I260" s="1">
        <f t="shared" si="93"/>
        <v>0</v>
      </c>
      <c r="J260" s="1">
        <f t="shared" si="93"/>
        <v>0</v>
      </c>
      <c r="K260" s="1">
        <f t="shared" si="93"/>
        <v>0</v>
      </c>
      <c r="L260" s="52">
        <f t="shared" si="93"/>
        <v>0</v>
      </c>
      <c r="M260" s="1">
        <f t="shared" si="93"/>
        <v>0</v>
      </c>
      <c r="N260" s="1">
        <f t="shared" si="93"/>
        <v>0</v>
      </c>
      <c r="O260" s="1">
        <f t="shared" si="93"/>
        <v>0</v>
      </c>
      <c r="P260" s="1">
        <f t="shared" si="93"/>
        <v>0</v>
      </c>
      <c r="Q260" s="1">
        <f t="shared" si="93"/>
        <v>0</v>
      </c>
      <c r="R260" s="1">
        <f t="shared" si="93"/>
        <v>0</v>
      </c>
      <c r="S260" s="1">
        <f t="shared" si="93"/>
        <v>0</v>
      </c>
      <c r="T260" s="1">
        <f t="shared" si="93"/>
        <v>0</v>
      </c>
      <c r="U260" s="1">
        <f t="shared" si="93"/>
        <v>0</v>
      </c>
      <c r="V260" s="1">
        <f t="shared" si="93"/>
        <v>0</v>
      </c>
      <c r="W260" s="1">
        <f t="shared" si="93"/>
        <v>0</v>
      </c>
      <c r="X260" s="54">
        <f t="shared" si="93"/>
        <v>0</v>
      </c>
      <c r="Y260" s="58">
        <f t="shared" si="93"/>
        <v>0</v>
      </c>
      <c r="Z260" s="1">
        <f t="shared" si="93"/>
        <v>0</v>
      </c>
      <c r="AA260" s="1">
        <f t="shared" si="93"/>
        <v>0</v>
      </c>
    </row>
    <row r="261" spans="1:27" x14ac:dyDescent="0.25">
      <c r="A261" s="30" t="s">
        <v>60</v>
      </c>
      <c r="B261" s="31" t="s">
        <v>13</v>
      </c>
      <c r="C261" s="32" t="s">
        <v>61</v>
      </c>
      <c r="D261" s="31" t="s">
        <v>75</v>
      </c>
      <c r="E261" s="31"/>
      <c r="F261" s="51">
        <f>F246*0.8</f>
        <v>48.022456140350876</v>
      </c>
      <c r="G261" s="51">
        <v>0</v>
      </c>
      <c r="H261" s="51">
        <f>H246</f>
        <v>30.650154798761609</v>
      </c>
      <c r="I261" s="51">
        <f>I246*0.1</f>
        <v>1.8204334365325079</v>
      </c>
      <c r="J261" s="51">
        <v>0</v>
      </c>
      <c r="K261" s="51">
        <v>0</v>
      </c>
      <c r="L261" s="52">
        <v>0</v>
      </c>
      <c r="M261" s="51">
        <f>M246*0.1</f>
        <v>0.67251461988304095</v>
      </c>
      <c r="N261" s="51">
        <v>0</v>
      </c>
      <c r="O261" s="51">
        <v>0</v>
      </c>
      <c r="P261" s="51">
        <v>0</v>
      </c>
      <c r="Q261" s="51"/>
      <c r="R261" s="51"/>
      <c r="S261" s="51"/>
      <c r="T261" s="51"/>
      <c r="U261" s="51"/>
      <c r="V261" s="51"/>
      <c r="W261" s="51">
        <f>W246</f>
        <v>5.9259259259259265</v>
      </c>
      <c r="X261" s="55"/>
      <c r="Y261" s="59">
        <f t="shared" si="93"/>
        <v>0</v>
      </c>
      <c r="Z261" s="51">
        <f t="shared" si="93"/>
        <v>0</v>
      </c>
      <c r="AA261" s="51">
        <f t="shared" si="93"/>
        <v>0</v>
      </c>
    </row>
    <row r="262" spans="1:27" x14ac:dyDescent="0.25">
      <c r="A262" s="30" t="s">
        <v>60</v>
      </c>
      <c r="B262" s="31" t="s">
        <v>13</v>
      </c>
      <c r="C262" s="32" t="s">
        <v>61</v>
      </c>
      <c r="D262" s="31" t="s">
        <v>76</v>
      </c>
      <c r="E262" s="31"/>
      <c r="F262" s="51">
        <f>F246*0.2</f>
        <v>12.005614035087719</v>
      </c>
      <c r="G262" s="51">
        <v>0</v>
      </c>
      <c r="H262" s="51">
        <v>0</v>
      </c>
      <c r="I262" s="51">
        <f>I246*0.7</f>
        <v>12.743034055727554</v>
      </c>
      <c r="J262" s="51">
        <f>J246</f>
        <v>6.8111455108359129</v>
      </c>
      <c r="K262" s="51">
        <f>K246*0.2</f>
        <v>0.70588235294117652</v>
      </c>
      <c r="L262" s="52">
        <v>0</v>
      </c>
      <c r="M262" s="51">
        <f>M246*0.3</f>
        <v>2.0175438596491229</v>
      </c>
      <c r="N262" s="51">
        <f>N246</f>
        <v>0.50657894736842102</v>
      </c>
      <c r="O262" s="51">
        <f>O246*0.9</f>
        <v>2.3368421052631581</v>
      </c>
      <c r="P262" s="51">
        <f>P246*0.05</f>
        <v>0.32456140350877194</v>
      </c>
      <c r="Q262" s="51"/>
      <c r="R262" s="85">
        <f>R246</f>
        <v>0.42105263157894735</v>
      </c>
      <c r="S262" s="51"/>
      <c r="T262" s="51"/>
      <c r="U262" s="51"/>
      <c r="V262" s="51"/>
      <c r="W262" s="51"/>
      <c r="X262" s="55"/>
      <c r="Y262" s="59">
        <f t="shared" si="93"/>
        <v>0</v>
      </c>
      <c r="Z262" s="51">
        <f t="shared" si="93"/>
        <v>0</v>
      </c>
      <c r="AA262" s="51">
        <f t="shared" si="93"/>
        <v>0</v>
      </c>
    </row>
    <row r="263" spans="1:27" x14ac:dyDescent="0.25">
      <c r="A263" s="30" t="s">
        <v>60</v>
      </c>
      <c r="B263" s="31" t="s">
        <v>13</v>
      </c>
      <c r="C263" s="32" t="s">
        <v>61</v>
      </c>
      <c r="D263" s="31" t="s">
        <v>77</v>
      </c>
      <c r="E263" s="31"/>
      <c r="F263" s="51">
        <v>0</v>
      </c>
      <c r="G263" s="51">
        <v>0</v>
      </c>
      <c r="H263" s="51">
        <v>0</v>
      </c>
      <c r="I263" s="51">
        <v>0</v>
      </c>
      <c r="J263" s="51">
        <v>0</v>
      </c>
      <c r="K263" s="51">
        <f>K246*0.4</f>
        <v>1.411764705882353</v>
      </c>
      <c r="L263" s="52">
        <v>0</v>
      </c>
      <c r="M263" s="51">
        <f>M246*0.5</f>
        <v>3.3625730994152048</v>
      </c>
      <c r="N263" s="51">
        <v>0</v>
      </c>
      <c r="O263" s="51">
        <v>0</v>
      </c>
      <c r="P263" s="51">
        <v>0</v>
      </c>
      <c r="Q263" s="51"/>
      <c r="R263" s="51"/>
      <c r="S263" s="51"/>
      <c r="T263" s="51">
        <f>T246</f>
        <v>0.33684210526315789</v>
      </c>
      <c r="U263" s="51">
        <f>U246</f>
        <v>1.6842105263157894</v>
      </c>
      <c r="V263" s="51"/>
      <c r="W263" s="51"/>
      <c r="X263" s="55"/>
      <c r="Y263" s="59">
        <f t="shared" si="93"/>
        <v>0</v>
      </c>
      <c r="Z263" s="51">
        <f t="shared" si="93"/>
        <v>0</v>
      </c>
      <c r="AA263" s="51">
        <f t="shared" si="93"/>
        <v>0</v>
      </c>
    </row>
    <row r="264" spans="1:27" x14ac:dyDescent="0.25">
      <c r="A264" s="30" t="s">
        <v>60</v>
      </c>
      <c r="B264" s="31" t="s">
        <v>13</v>
      </c>
      <c r="C264" s="32" t="s">
        <v>61</v>
      </c>
      <c r="D264" s="31" t="s">
        <v>78</v>
      </c>
      <c r="E264" s="31"/>
      <c r="F264" s="51">
        <v>0</v>
      </c>
      <c r="G264" s="51">
        <v>0</v>
      </c>
      <c r="H264" s="51">
        <v>0</v>
      </c>
      <c r="I264" s="51">
        <f>I246*0.2</f>
        <v>3.6408668730650158</v>
      </c>
      <c r="J264" s="51">
        <v>0</v>
      </c>
      <c r="K264" s="51">
        <f>K246*0.4</f>
        <v>1.411764705882353</v>
      </c>
      <c r="L264" s="52">
        <v>0</v>
      </c>
      <c r="M264" s="51">
        <f>M246*0.1</f>
        <v>0.67251461988304095</v>
      </c>
      <c r="N264" s="51">
        <v>0</v>
      </c>
      <c r="O264" s="51">
        <f>O246*0.1</f>
        <v>0.25964912280701757</v>
      </c>
      <c r="P264" s="51">
        <f>P246*0.95</f>
        <v>6.1666666666666661</v>
      </c>
      <c r="Q264" s="51">
        <f>Q246</f>
        <v>0.13157894736842105</v>
      </c>
      <c r="R264" s="51"/>
      <c r="S264" s="51"/>
      <c r="T264" s="51"/>
      <c r="U264" s="51"/>
      <c r="V264" s="51"/>
      <c r="W264" s="51"/>
      <c r="X264" s="55">
        <f>X246</f>
        <v>4.4444444444444446</v>
      </c>
      <c r="Y264" s="59">
        <f t="shared" si="93"/>
        <v>0</v>
      </c>
      <c r="Z264" s="51">
        <f t="shared" si="93"/>
        <v>0</v>
      </c>
      <c r="AA264" s="51">
        <f t="shared" si="93"/>
        <v>0</v>
      </c>
    </row>
    <row r="265" spans="1:27" ht="15.75" thickBot="1" x14ac:dyDescent="0.3">
      <c r="A265" s="33" t="s">
        <v>60</v>
      </c>
      <c r="B265" s="34" t="s">
        <v>13</v>
      </c>
      <c r="C265" s="35" t="s">
        <v>61</v>
      </c>
      <c r="D265" s="34" t="s">
        <v>79</v>
      </c>
      <c r="E265" s="31"/>
      <c r="F265" s="51">
        <v>0</v>
      </c>
      <c r="G265" s="51">
        <v>0</v>
      </c>
      <c r="H265" s="51">
        <v>0</v>
      </c>
      <c r="I265" s="51">
        <v>0</v>
      </c>
      <c r="J265" s="51">
        <v>0</v>
      </c>
      <c r="K265" s="51">
        <v>0</v>
      </c>
      <c r="L265" s="52">
        <v>0</v>
      </c>
      <c r="M265" s="51">
        <v>0</v>
      </c>
      <c r="N265" s="51">
        <v>0</v>
      </c>
      <c r="O265" s="51">
        <v>0</v>
      </c>
      <c r="P265" s="51">
        <v>0</v>
      </c>
      <c r="Q265" s="51">
        <v>0</v>
      </c>
      <c r="R265" s="51">
        <v>0</v>
      </c>
      <c r="S265" s="51">
        <v>0</v>
      </c>
      <c r="T265" s="51">
        <v>0</v>
      </c>
      <c r="U265" s="51">
        <v>0</v>
      </c>
      <c r="V265" s="51">
        <v>0</v>
      </c>
      <c r="W265" s="51">
        <v>0</v>
      </c>
      <c r="X265" s="55">
        <v>0</v>
      </c>
      <c r="Y265" s="59">
        <f t="shared" si="93"/>
        <v>0</v>
      </c>
      <c r="Z265" s="51">
        <f t="shared" si="93"/>
        <v>0</v>
      </c>
      <c r="AA265" s="51">
        <f t="shared" si="93"/>
        <v>0</v>
      </c>
    </row>
    <row r="266" spans="1:27" x14ac:dyDescent="0.25">
      <c r="A266" s="30" t="s">
        <v>60</v>
      </c>
      <c r="B266" s="31" t="s">
        <v>13</v>
      </c>
      <c r="C266" s="32" t="s">
        <v>62</v>
      </c>
      <c r="D266" s="31" t="s">
        <v>75</v>
      </c>
      <c r="E266" s="31"/>
      <c r="F266" s="51">
        <v>0</v>
      </c>
      <c r="G266" s="51">
        <v>0</v>
      </c>
      <c r="H266" s="51">
        <v>0</v>
      </c>
      <c r="I266" s="51">
        <v>0</v>
      </c>
      <c r="J266" s="51">
        <v>0</v>
      </c>
      <c r="K266" s="51">
        <v>0</v>
      </c>
      <c r="L266" s="52">
        <v>0</v>
      </c>
      <c r="M266" s="51">
        <v>0</v>
      </c>
      <c r="N266" s="51">
        <v>0</v>
      </c>
      <c r="O266" s="51">
        <v>0</v>
      </c>
      <c r="P266" s="51">
        <v>0</v>
      </c>
      <c r="Q266" s="51">
        <v>0</v>
      </c>
      <c r="R266" s="51">
        <v>0</v>
      </c>
      <c r="S266" s="51">
        <v>0</v>
      </c>
      <c r="T266" s="51">
        <v>0</v>
      </c>
      <c r="U266" s="51">
        <v>0</v>
      </c>
      <c r="V266" s="51">
        <v>0</v>
      </c>
      <c r="W266" s="51">
        <v>0</v>
      </c>
      <c r="X266" s="55">
        <v>0</v>
      </c>
      <c r="Y266" s="59">
        <f t="shared" ref="Y266:AA270" si="95">IF(Y311&gt;0,Y41/Y311,0)</f>
        <v>0</v>
      </c>
      <c r="Z266" s="51">
        <f t="shared" si="95"/>
        <v>0</v>
      </c>
      <c r="AA266" s="51">
        <f t="shared" si="95"/>
        <v>0</v>
      </c>
    </row>
    <row r="267" spans="1:27" x14ac:dyDescent="0.25">
      <c r="A267" s="30" t="s">
        <v>60</v>
      </c>
      <c r="B267" s="31" t="s">
        <v>13</v>
      </c>
      <c r="C267" s="32" t="s">
        <v>62</v>
      </c>
      <c r="D267" s="31" t="s">
        <v>76</v>
      </c>
      <c r="E267" s="31"/>
      <c r="F267" s="51">
        <f>F247</f>
        <v>3.8315789473684205</v>
      </c>
      <c r="G267" s="51">
        <f>G247</f>
        <v>10.526315789473685</v>
      </c>
      <c r="H267" s="51">
        <f>H247</f>
        <v>10.216718266253871</v>
      </c>
      <c r="I267" s="51">
        <v>0</v>
      </c>
      <c r="J267" s="51">
        <v>0</v>
      </c>
      <c r="K267" s="51">
        <v>0</v>
      </c>
      <c r="L267" s="52">
        <v>0</v>
      </c>
      <c r="M267" s="51">
        <v>0</v>
      </c>
      <c r="N267" s="51">
        <v>0</v>
      </c>
      <c r="O267" s="51">
        <v>0</v>
      </c>
      <c r="P267" s="51">
        <v>0</v>
      </c>
      <c r="Q267" s="51">
        <v>0</v>
      </c>
      <c r="R267" s="51">
        <v>0</v>
      </c>
      <c r="S267" s="51">
        <v>0</v>
      </c>
      <c r="T267" s="51">
        <v>0</v>
      </c>
      <c r="U267" s="51">
        <v>0</v>
      </c>
      <c r="V267" s="51">
        <v>0</v>
      </c>
      <c r="W267" s="51">
        <v>0</v>
      </c>
      <c r="X267" s="55">
        <v>0</v>
      </c>
      <c r="Y267" s="59">
        <f t="shared" si="95"/>
        <v>0</v>
      </c>
      <c r="Z267" s="51">
        <f t="shared" si="95"/>
        <v>0</v>
      </c>
      <c r="AA267" s="51">
        <f t="shared" si="95"/>
        <v>0</v>
      </c>
    </row>
    <row r="268" spans="1:27" x14ac:dyDescent="0.25">
      <c r="A268" s="30" t="s">
        <v>60</v>
      </c>
      <c r="B268" s="31" t="s">
        <v>13</v>
      </c>
      <c r="C268" s="32" t="s">
        <v>62</v>
      </c>
      <c r="D268" s="31" t="s">
        <v>77</v>
      </c>
      <c r="E268" s="31"/>
      <c r="F268" s="51">
        <v>0</v>
      </c>
      <c r="G268" s="51">
        <v>0</v>
      </c>
      <c r="H268" s="51">
        <v>0</v>
      </c>
      <c r="I268" s="51">
        <v>0</v>
      </c>
      <c r="J268" s="51">
        <v>0</v>
      </c>
      <c r="K268" s="51">
        <v>0</v>
      </c>
      <c r="L268" s="52">
        <v>0</v>
      </c>
      <c r="M268" s="51">
        <v>0</v>
      </c>
      <c r="N268" s="51">
        <v>0</v>
      </c>
      <c r="O268" s="51">
        <v>0</v>
      </c>
      <c r="P268" s="51">
        <v>0</v>
      </c>
      <c r="Q268" s="51">
        <v>0</v>
      </c>
      <c r="R268" s="51">
        <v>0</v>
      </c>
      <c r="S268" s="51">
        <v>0</v>
      </c>
      <c r="T268" s="51">
        <v>0</v>
      </c>
      <c r="U268" s="51">
        <v>0</v>
      </c>
      <c r="V268" s="51">
        <v>0</v>
      </c>
      <c r="W268" s="51">
        <v>0</v>
      </c>
      <c r="X268" s="55">
        <v>0</v>
      </c>
      <c r="Y268" s="59">
        <f t="shared" si="95"/>
        <v>0</v>
      </c>
      <c r="Z268" s="51">
        <f t="shared" si="95"/>
        <v>0</v>
      </c>
      <c r="AA268" s="51">
        <f t="shared" si="95"/>
        <v>0</v>
      </c>
    </row>
    <row r="269" spans="1:27" x14ac:dyDescent="0.25">
      <c r="A269" s="30" t="s">
        <v>60</v>
      </c>
      <c r="B269" s="31" t="s">
        <v>13</v>
      </c>
      <c r="C269" s="32" t="s">
        <v>62</v>
      </c>
      <c r="D269" s="31" t="s">
        <v>78</v>
      </c>
      <c r="E269" s="31"/>
      <c r="F269" s="51">
        <v>0</v>
      </c>
      <c r="G269" s="51">
        <v>0</v>
      </c>
      <c r="H269" s="51">
        <v>0</v>
      </c>
      <c r="I269" s="51">
        <v>0</v>
      </c>
      <c r="J269" s="51">
        <v>0</v>
      </c>
      <c r="K269" s="51">
        <v>0</v>
      </c>
      <c r="L269" s="52">
        <v>0</v>
      </c>
      <c r="M269" s="51">
        <v>0</v>
      </c>
      <c r="N269" s="51">
        <v>0</v>
      </c>
      <c r="O269" s="51">
        <v>0</v>
      </c>
      <c r="P269" s="51">
        <v>0</v>
      </c>
      <c r="Q269" s="51">
        <v>0</v>
      </c>
      <c r="R269" s="51">
        <v>0</v>
      </c>
      <c r="S269" s="51">
        <v>0</v>
      </c>
      <c r="T269" s="51">
        <v>0</v>
      </c>
      <c r="U269" s="51">
        <v>0</v>
      </c>
      <c r="V269" s="51">
        <v>0</v>
      </c>
      <c r="W269" s="51">
        <v>0</v>
      </c>
      <c r="X269" s="55">
        <v>0</v>
      </c>
      <c r="Y269" s="59">
        <f t="shared" si="95"/>
        <v>0</v>
      </c>
      <c r="Z269" s="51">
        <f t="shared" si="95"/>
        <v>0</v>
      </c>
      <c r="AA269" s="51">
        <f t="shared" si="95"/>
        <v>0</v>
      </c>
    </row>
    <row r="270" spans="1:27" ht="15.75" thickBot="1" x14ac:dyDescent="0.3">
      <c r="A270" s="33" t="s">
        <v>60</v>
      </c>
      <c r="B270" s="34" t="s">
        <v>13</v>
      </c>
      <c r="C270" s="32" t="s">
        <v>62</v>
      </c>
      <c r="D270" s="34" t="s">
        <v>79</v>
      </c>
      <c r="E270" s="31"/>
      <c r="F270" s="51">
        <v>0</v>
      </c>
      <c r="G270" s="51">
        <v>0</v>
      </c>
      <c r="H270" s="51">
        <v>0</v>
      </c>
      <c r="I270" s="51">
        <v>0</v>
      </c>
      <c r="J270" s="51">
        <v>0</v>
      </c>
      <c r="K270" s="51">
        <v>0</v>
      </c>
      <c r="L270" s="52">
        <v>0</v>
      </c>
      <c r="M270" s="51">
        <v>0</v>
      </c>
      <c r="N270" s="51">
        <v>0</v>
      </c>
      <c r="O270" s="51">
        <v>0</v>
      </c>
      <c r="P270" s="51">
        <v>0</v>
      </c>
      <c r="Q270" s="51">
        <v>0</v>
      </c>
      <c r="R270" s="51">
        <v>0</v>
      </c>
      <c r="S270" s="51">
        <v>0</v>
      </c>
      <c r="T270" s="51">
        <v>0</v>
      </c>
      <c r="U270" s="51">
        <v>0</v>
      </c>
      <c r="V270" s="51">
        <v>0</v>
      </c>
      <c r="W270" s="51">
        <v>0</v>
      </c>
      <c r="X270" s="55">
        <v>0</v>
      </c>
      <c r="Y270" s="59">
        <f t="shared" si="95"/>
        <v>0</v>
      </c>
      <c r="Z270" s="51">
        <f t="shared" si="95"/>
        <v>0</v>
      </c>
      <c r="AA270" s="51">
        <f t="shared" si="95"/>
        <v>0</v>
      </c>
    </row>
    <row r="272" spans="1:27" x14ac:dyDescent="0.25">
      <c r="D272" s="41" t="s">
        <v>84</v>
      </c>
      <c r="E272" s="41"/>
      <c r="F272" s="14">
        <v>0.95</v>
      </c>
      <c r="L272" s="31">
        <v>0.99</v>
      </c>
      <c r="M272" s="24" t="s">
        <v>81</v>
      </c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</row>
    <row r="273" spans="1:27" x14ac:dyDescent="0.25">
      <c r="F273" s="23" t="s">
        <v>44</v>
      </c>
      <c r="G273" s="23"/>
      <c r="H273" s="23"/>
      <c r="I273" s="23"/>
      <c r="J273" s="23"/>
      <c r="K273" s="23"/>
      <c r="L273" s="7" t="s">
        <v>30</v>
      </c>
      <c r="M273" s="24" t="s">
        <v>46</v>
      </c>
      <c r="N273" s="24"/>
      <c r="O273" s="24"/>
      <c r="P273" s="24"/>
      <c r="Q273" s="24"/>
      <c r="R273" s="24" t="s">
        <v>47</v>
      </c>
      <c r="S273" s="24"/>
      <c r="T273" s="24"/>
      <c r="U273" s="24"/>
      <c r="V273" s="24"/>
      <c r="W273" s="24"/>
      <c r="X273" s="24"/>
      <c r="Y273" s="44" t="s">
        <v>85</v>
      </c>
      <c r="Z273" s="44" t="s">
        <v>48</v>
      </c>
      <c r="AA273" s="44" t="s">
        <v>3</v>
      </c>
    </row>
    <row r="274" spans="1:27" ht="63" x14ac:dyDescent="0.25">
      <c r="F274" s="38" t="s">
        <v>36</v>
      </c>
      <c r="G274" s="38" t="s">
        <v>37</v>
      </c>
      <c r="H274" s="38" t="s">
        <v>38</v>
      </c>
      <c r="I274" s="38" t="s">
        <v>80</v>
      </c>
      <c r="J274" s="38" t="s">
        <v>39</v>
      </c>
      <c r="K274" s="38" t="s">
        <v>45</v>
      </c>
      <c r="L274" s="39" t="s">
        <v>16</v>
      </c>
      <c r="M274" s="40" t="s">
        <v>34</v>
      </c>
      <c r="N274" s="40" t="s">
        <v>5</v>
      </c>
      <c r="O274" s="40" t="s">
        <v>7</v>
      </c>
      <c r="P274" s="40" t="s">
        <v>8</v>
      </c>
      <c r="Q274" s="40" t="s">
        <v>40</v>
      </c>
      <c r="R274" s="40" t="s">
        <v>41</v>
      </c>
      <c r="S274" s="40" t="s">
        <v>42</v>
      </c>
      <c r="T274" s="40" t="s">
        <v>31</v>
      </c>
      <c r="U274" s="40" t="s">
        <v>43</v>
      </c>
      <c r="V274" s="40" t="s">
        <v>82</v>
      </c>
      <c r="W274" s="40" t="s">
        <v>87</v>
      </c>
      <c r="X274" s="40" t="s">
        <v>83</v>
      </c>
      <c r="Y274" s="45" t="s">
        <v>3</v>
      </c>
      <c r="Z274" s="45" t="s">
        <v>86</v>
      </c>
      <c r="AA274" s="45" t="s">
        <v>3</v>
      </c>
    </row>
    <row r="275" spans="1:27" x14ac:dyDescent="0.25">
      <c r="A275" s="15" t="s">
        <v>51</v>
      </c>
      <c r="B275" s="2"/>
      <c r="C275" s="2"/>
      <c r="F275" s="1"/>
      <c r="G275" s="1"/>
      <c r="H275" s="1"/>
      <c r="I275" s="1"/>
      <c r="J275" s="1"/>
      <c r="K275" s="1"/>
      <c r="L275" s="5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54"/>
      <c r="Y275" s="58"/>
      <c r="Z275" s="1"/>
      <c r="AA275" s="1"/>
    </row>
    <row r="276" spans="1:27" x14ac:dyDescent="0.25">
      <c r="A276" s="30" t="s">
        <v>60</v>
      </c>
      <c r="B276" s="2"/>
      <c r="C276" s="2"/>
      <c r="F276" s="1"/>
      <c r="G276" s="1"/>
      <c r="H276" s="1"/>
      <c r="I276" s="1"/>
      <c r="J276" s="1"/>
      <c r="K276" s="1"/>
      <c r="L276" s="5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54"/>
      <c r="Y276" s="58"/>
      <c r="Z276" s="1"/>
      <c r="AA276" s="1"/>
    </row>
    <row r="277" spans="1:27" x14ac:dyDescent="0.25">
      <c r="A277" s="15" t="s">
        <v>51</v>
      </c>
      <c r="B277" s="16" t="s">
        <v>52</v>
      </c>
      <c r="C277" s="2"/>
      <c r="F277" s="1"/>
      <c r="G277" s="1"/>
      <c r="H277" s="1"/>
      <c r="I277" s="1"/>
      <c r="J277" s="1"/>
      <c r="K277" s="1"/>
      <c r="L277" s="5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54"/>
      <c r="Y277" s="58"/>
      <c r="Z277" s="1"/>
      <c r="AA277" s="1"/>
    </row>
    <row r="278" spans="1:27" x14ac:dyDescent="0.25">
      <c r="A278" s="15" t="s">
        <v>51</v>
      </c>
      <c r="B278" s="16" t="s">
        <v>56</v>
      </c>
      <c r="C278" s="2"/>
      <c r="F278" s="1"/>
      <c r="G278" s="1"/>
      <c r="H278" s="1"/>
      <c r="I278" s="1"/>
      <c r="J278" s="1"/>
      <c r="K278" s="1"/>
      <c r="L278" s="5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54"/>
      <c r="Y278" s="58"/>
      <c r="Z278" s="1"/>
      <c r="AA278" s="1"/>
    </row>
    <row r="279" spans="1:27" x14ac:dyDescent="0.25">
      <c r="A279" s="15" t="s">
        <v>51</v>
      </c>
      <c r="B279" s="16" t="s">
        <v>9</v>
      </c>
      <c r="C279" s="2"/>
      <c r="F279" s="1"/>
      <c r="G279" s="1"/>
      <c r="H279" s="1"/>
      <c r="I279" s="1"/>
      <c r="J279" s="1"/>
      <c r="K279" s="1"/>
      <c r="L279" s="5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54"/>
      <c r="Y279" s="58"/>
      <c r="Z279" s="1"/>
      <c r="AA279" s="1"/>
    </row>
    <row r="280" spans="1:27" x14ac:dyDescent="0.25">
      <c r="A280" s="30" t="s">
        <v>60</v>
      </c>
      <c r="B280" s="32" t="s">
        <v>13</v>
      </c>
      <c r="C280" s="2"/>
      <c r="F280" s="51"/>
      <c r="G280" s="51"/>
      <c r="H280" s="51"/>
      <c r="I280" s="51"/>
      <c r="J280" s="51"/>
      <c r="K280" s="51"/>
      <c r="L280" s="52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5"/>
      <c r="Y280" s="59"/>
      <c r="Z280" s="51"/>
      <c r="AA280" s="51"/>
    </row>
    <row r="281" spans="1:27" x14ac:dyDescent="0.25">
      <c r="A281" s="30" t="s">
        <v>60</v>
      </c>
      <c r="B281" s="31" t="s">
        <v>23</v>
      </c>
      <c r="C281" s="2"/>
      <c r="F281" s="51"/>
      <c r="G281" s="51"/>
      <c r="H281" s="51"/>
      <c r="I281" s="51"/>
      <c r="J281" s="51"/>
      <c r="K281" s="51"/>
      <c r="L281" s="52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5"/>
      <c r="Y281" s="59"/>
      <c r="Z281" s="51"/>
      <c r="AA281" s="51"/>
    </row>
    <row r="282" spans="1:27" x14ac:dyDescent="0.25">
      <c r="A282" s="30" t="s">
        <v>60</v>
      </c>
      <c r="B282" s="31" t="s">
        <v>65</v>
      </c>
      <c r="C282" s="46"/>
      <c r="F282" s="51"/>
      <c r="G282" s="51"/>
      <c r="H282" s="51"/>
      <c r="I282" s="51"/>
      <c r="J282" s="51"/>
      <c r="K282" s="51"/>
      <c r="L282" s="52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5"/>
      <c r="Y282" s="59"/>
      <c r="Z282" s="51"/>
      <c r="AA282" s="51"/>
    </row>
    <row r="283" spans="1:27" ht="15.75" thickBot="1" x14ac:dyDescent="0.3">
      <c r="A283" s="48" t="s">
        <v>60</v>
      </c>
      <c r="B283" s="49" t="s">
        <v>9</v>
      </c>
      <c r="C283" s="50"/>
      <c r="D283" s="50"/>
      <c r="E283" s="50"/>
      <c r="F283" s="53"/>
      <c r="G283" s="53"/>
      <c r="H283" s="53"/>
      <c r="I283" s="53"/>
      <c r="J283" s="53"/>
      <c r="K283" s="53"/>
      <c r="L283" s="62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6"/>
      <c r="Y283" s="60"/>
      <c r="Z283" s="53"/>
      <c r="AA283" s="53"/>
    </row>
    <row r="284" spans="1:27" ht="15.75" thickTop="1" x14ac:dyDescent="0.25">
      <c r="A284" s="15" t="s">
        <v>51</v>
      </c>
      <c r="B284" s="16" t="s">
        <v>52</v>
      </c>
      <c r="C284" s="16" t="s">
        <v>53</v>
      </c>
      <c r="D284" s="2"/>
      <c r="E284" s="2"/>
      <c r="F284" s="47"/>
      <c r="G284" s="47"/>
      <c r="H284" s="47"/>
      <c r="I284" s="47"/>
      <c r="J284" s="47"/>
      <c r="K284" s="47"/>
      <c r="L284" s="6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57"/>
      <c r="Y284" s="61"/>
      <c r="Z284" s="47"/>
      <c r="AA284" s="47"/>
    </row>
    <row r="285" spans="1:27" x14ac:dyDescent="0.25">
      <c r="A285" s="15" t="s">
        <v>51</v>
      </c>
      <c r="B285" s="16" t="s">
        <v>52</v>
      </c>
      <c r="C285" s="16" t="s">
        <v>54</v>
      </c>
      <c r="D285" s="2"/>
      <c r="E285" s="2"/>
      <c r="F285" s="1"/>
      <c r="G285" s="1"/>
      <c r="H285" s="1"/>
      <c r="I285" s="1"/>
      <c r="J285" s="1"/>
      <c r="K285" s="1"/>
      <c r="L285" s="5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54"/>
      <c r="Y285" s="58"/>
      <c r="Z285" s="1"/>
      <c r="AA285" s="1"/>
    </row>
    <row r="286" spans="1:27" x14ac:dyDescent="0.25">
      <c r="A286" s="15" t="s">
        <v>51</v>
      </c>
      <c r="B286" s="16" t="s">
        <v>52</v>
      </c>
      <c r="C286" s="16" t="s">
        <v>55</v>
      </c>
      <c r="D286" s="2"/>
      <c r="E286" s="2"/>
      <c r="F286" s="1"/>
      <c r="G286" s="1"/>
      <c r="H286" s="1"/>
      <c r="I286" s="1"/>
      <c r="J286" s="1"/>
      <c r="K286" s="1"/>
      <c r="L286" s="5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54"/>
      <c r="Y286" s="58"/>
      <c r="Z286" s="1"/>
      <c r="AA286" s="1"/>
    </row>
    <row r="287" spans="1:27" x14ac:dyDescent="0.25">
      <c r="A287" s="25" t="s">
        <v>51</v>
      </c>
      <c r="B287" s="26" t="s">
        <v>56</v>
      </c>
      <c r="C287" s="26" t="s">
        <v>57</v>
      </c>
      <c r="D287" s="2"/>
      <c r="E287" s="2"/>
      <c r="F287" s="1"/>
      <c r="G287" s="1"/>
      <c r="H287" s="1"/>
      <c r="I287" s="1"/>
      <c r="J287" s="1"/>
      <c r="K287" s="1"/>
      <c r="L287" s="5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54"/>
      <c r="Y287" s="58"/>
      <c r="Z287" s="1"/>
      <c r="AA287" s="1"/>
    </row>
    <row r="288" spans="1:27" x14ac:dyDescent="0.25">
      <c r="A288" s="15" t="s">
        <v>51</v>
      </c>
      <c r="B288" s="16" t="s">
        <v>56</v>
      </c>
      <c r="C288" s="27" t="s">
        <v>58</v>
      </c>
      <c r="D288" s="2"/>
      <c r="E288" s="2"/>
      <c r="F288" s="1"/>
      <c r="G288" s="1"/>
      <c r="H288" s="1"/>
      <c r="I288" s="1"/>
      <c r="J288" s="1"/>
      <c r="K288" s="1"/>
      <c r="L288" s="5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54"/>
      <c r="Y288" s="58"/>
      <c r="Z288" s="1"/>
      <c r="AA288" s="1"/>
    </row>
    <row r="289" spans="1:31" x14ac:dyDescent="0.25">
      <c r="A289" s="15" t="s">
        <v>51</v>
      </c>
      <c r="B289" s="16" t="s">
        <v>9</v>
      </c>
      <c r="C289" s="27" t="s">
        <v>59</v>
      </c>
      <c r="D289" s="2"/>
      <c r="E289" s="2"/>
      <c r="F289" s="1"/>
      <c r="G289" s="1"/>
      <c r="H289" s="1"/>
      <c r="I289" s="1"/>
      <c r="J289" s="1"/>
      <c r="K289" s="1"/>
      <c r="L289" s="5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54"/>
      <c r="Y289" s="58"/>
      <c r="Z289" s="1"/>
      <c r="AA289" s="1"/>
    </row>
    <row r="290" spans="1:31" x14ac:dyDescent="0.25">
      <c r="A290" s="15" t="s">
        <v>51</v>
      </c>
      <c r="B290" s="16" t="s">
        <v>9</v>
      </c>
      <c r="C290" s="27" t="s">
        <v>9</v>
      </c>
      <c r="D290" s="2"/>
      <c r="E290" s="2"/>
      <c r="F290" s="1"/>
      <c r="G290" s="1"/>
      <c r="H290" s="1"/>
      <c r="I290" s="1"/>
      <c r="J290" s="1"/>
      <c r="K290" s="1"/>
      <c r="L290" s="5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54"/>
      <c r="Y290" s="58"/>
      <c r="Z290" s="1"/>
      <c r="AA290" s="1"/>
    </row>
    <row r="291" spans="1:31" x14ac:dyDescent="0.25">
      <c r="A291" s="28" t="s">
        <v>60</v>
      </c>
      <c r="B291" s="29" t="s">
        <v>13</v>
      </c>
      <c r="C291" s="29" t="s">
        <v>61</v>
      </c>
      <c r="D291" s="2"/>
      <c r="E291" s="2"/>
      <c r="F291" s="51">
        <f>'Av 2012'!F291*$F$272</f>
        <v>171</v>
      </c>
      <c r="G291" s="51"/>
      <c r="H291" s="51">
        <f>'Av 2012'!H291*$F$272</f>
        <v>161.5</v>
      </c>
      <c r="I291" s="51">
        <f>'Av 2012'!I291*$F$272</f>
        <v>161.5</v>
      </c>
      <c r="J291" s="51">
        <f>'Av 2012'!J291*$F$272</f>
        <v>161.5</v>
      </c>
      <c r="K291" s="51">
        <f>'Av 2012'!K291*$F$272</f>
        <v>161.5</v>
      </c>
      <c r="L291" s="52"/>
      <c r="M291" s="51">
        <f>'Av 2012'!M291*$F$272</f>
        <v>171</v>
      </c>
      <c r="N291" s="51">
        <f>'Av 2012'!N291*$F$272</f>
        <v>152</v>
      </c>
      <c r="O291" s="51">
        <f>'Av 2012'!O291*$F$272</f>
        <v>171</v>
      </c>
      <c r="P291" s="51">
        <f>'Av 2012'!P291*$F$272</f>
        <v>171</v>
      </c>
      <c r="Q291" s="51">
        <f>'Av 2012'!Q291*$F$272</f>
        <v>171</v>
      </c>
      <c r="R291" s="51">
        <f>'Av 2012'!R291*$F$272</f>
        <v>171</v>
      </c>
      <c r="S291" s="51"/>
      <c r="T291" s="51">
        <f>'Av 2012'!T291*$F$272</f>
        <v>171</v>
      </c>
      <c r="U291" s="51">
        <f>'Av 2012'!U291*$F$272</f>
        <v>171</v>
      </c>
      <c r="V291" s="51">
        <f>'Av 2012'!V291*$F$272</f>
        <v>171</v>
      </c>
      <c r="W291" s="51">
        <f>'Av 2012'!W291*$F$272</f>
        <v>171</v>
      </c>
      <c r="X291" s="51">
        <f>'Av 2012'!X291*$F$272</f>
        <v>171</v>
      </c>
      <c r="Y291" s="59"/>
      <c r="Z291" s="51"/>
      <c r="AA291" s="51"/>
    </row>
    <row r="292" spans="1:31" x14ac:dyDescent="0.25">
      <c r="A292" s="36" t="s">
        <v>60</v>
      </c>
      <c r="B292" s="37" t="s">
        <v>13</v>
      </c>
      <c r="C292" s="29" t="s">
        <v>62</v>
      </c>
      <c r="D292" s="2"/>
      <c r="E292" s="2"/>
      <c r="F292" s="51">
        <f>'Av 2012'!F292*$F$272</f>
        <v>171</v>
      </c>
      <c r="G292" s="51">
        <f>'Av 2012'!G292*$F$272</f>
        <v>171</v>
      </c>
      <c r="H292" s="51">
        <f>'Av 2012'!H292*$F$272</f>
        <v>161.5</v>
      </c>
      <c r="I292" s="51"/>
      <c r="J292" s="51"/>
      <c r="K292" s="51"/>
      <c r="L292" s="52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5"/>
      <c r="Y292" s="59"/>
      <c r="Z292" s="51"/>
      <c r="AA292" s="51"/>
    </row>
    <row r="293" spans="1:31" x14ac:dyDescent="0.25">
      <c r="A293" s="30" t="s">
        <v>60</v>
      </c>
      <c r="B293" s="31" t="s">
        <v>13</v>
      </c>
      <c r="C293" s="32" t="s">
        <v>63</v>
      </c>
      <c r="D293" s="2"/>
      <c r="E293" s="2"/>
      <c r="F293" s="51"/>
      <c r="G293" s="51"/>
      <c r="H293" s="51"/>
      <c r="I293" s="51"/>
      <c r="J293" s="51"/>
      <c r="K293" s="51"/>
      <c r="L293" s="52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5"/>
      <c r="Y293" s="59"/>
      <c r="Z293" s="51"/>
      <c r="AA293" s="51"/>
    </row>
    <row r="294" spans="1:31" x14ac:dyDescent="0.25">
      <c r="A294" s="30" t="s">
        <v>60</v>
      </c>
      <c r="B294" s="32" t="s">
        <v>23</v>
      </c>
      <c r="C294" s="31" t="s">
        <v>50</v>
      </c>
      <c r="D294" s="2"/>
      <c r="E294" s="2"/>
      <c r="F294" s="51">
        <v>65</v>
      </c>
      <c r="G294" s="51"/>
      <c r="H294" s="51"/>
      <c r="I294" s="51"/>
      <c r="J294" s="51">
        <v>65</v>
      </c>
      <c r="K294" s="51">
        <v>65</v>
      </c>
      <c r="L294" s="52"/>
      <c r="M294" s="51">
        <v>65</v>
      </c>
      <c r="N294" s="51">
        <v>65</v>
      </c>
      <c r="O294" s="51"/>
      <c r="P294" s="51"/>
      <c r="Q294" s="51"/>
      <c r="R294" s="51"/>
      <c r="S294" s="51"/>
      <c r="T294" s="51"/>
      <c r="U294" s="51"/>
      <c r="V294" s="51"/>
      <c r="W294" s="51"/>
      <c r="X294" s="55"/>
      <c r="Y294" s="59"/>
      <c r="Z294" s="51"/>
      <c r="AA294" s="51"/>
      <c r="AB294" t="s">
        <v>13</v>
      </c>
      <c r="AC294" t="s">
        <v>111</v>
      </c>
      <c r="AD294" t="s">
        <v>106</v>
      </c>
    </row>
    <row r="295" spans="1:31" x14ac:dyDescent="0.25">
      <c r="A295" s="30" t="s">
        <v>60</v>
      </c>
      <c r="B295" s="32" t="s">
        <v>23</v>
      </c>
      <c r="C295" s="31" t="s">
        <v>49</v>
      </c>
      <c r="D295" s="2"/>
      <c r="E295" s="2"/>
      <c r="F295" s="51"/>
      <c r="G295" s="51"/>
      <c r="H295" s="51"/>
      <c r="I295" s="51"/>
      <c r="J295" s="51">
        <v>45</v>
      </c>
      <c r="K295" s="51"/>
      <c r="L295" s="52"/>
      <c r="M295" s="51"/>
      <c r="N295" s="51"/>
      <c r="O295" s="51"/>
      <c r="P295" s="51"/>
      <c r="Q295" s="51"/>
      <c r="R295" s="51"/>
      <c r="S295" s="51">
        <v>45</v>
      </c>
      <c r="T295" s="51">
        <v>45</v>
      </c>
      <c r="U295" s="51"/>
      <c r="V295" s="51">
        <v>45</v>
      </c>
      <c r="W295" s="51"/>
      <c r="X295" s="55">
        <v>45</v>
      </c>
      <c r="Y295" s="59"/>
      <c r="Z295" s="51"/>
      <c r="AA295" s="51"/>
      <c r="AB295">
        <v>2.9</v>
      </c>
      <c r="AC295">
        <v>3.2</v>
      </c>
      <c r="AD295">
        <v>1.8</v>
      </c>
      <c r="AE295" t="s">
        <v>107</v>
      </c>
    </row>
    <row r="296" spans="1:31" x14ac:dyDescent="0.25">
      <c r="A296" s="30" t="s">
        <v>60</v>
      </c>
      <c r="B296" s="32" t="s">
        <v>23</v>
      </c>
      <c r="C296" s="31" t="s">
        <v>64</v>
      </c>
      <c r="D296" s="2"/>
      <c r="E296" s="2"/>
      <c r="F296" s="51"/>
      <c r="G296" s="51"/>
      <c r="H296" s="51"/>
      <c r="I296" s="51"/>
      <c r="J296" s="51"/>
      <c r="K296" s="51"/>
      <c r="L296" s="52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5"/>
      <c r="Y296" s="59"/>
      <c r="Z296" s="51"/>
      <c r="AA296" s="51"/>
      <c r="AB296">
        <v>3.6</v>
      </c>
      <c r="AC296">
        <v>1.2</v>
      </c>
      <c r="AD296">
        <v>1.2</v>
      </c>
      <c r="AE296" t="s">
        <v>108</v>
      </c>
    </row>
    <row r="297" spans="1:31" x14ac:dyDescent="0.25">
      <c r="A297" s="30" t="s">
        <v>60</v>
      </c>
      <c r="B297" s="32" t="s">
        <v>65</v>
      </c>
      <c r="C297" s="31" t="s">
        <v>66</v>
      </c>
      <c r="D297" s="2"/>
      <c r="E297" s="2"/>
      <c r="F297" s="51"/>
      <c r="G297" s="51"/>
      <c r="H297" s="51"/>
      <c r="I297" s="51"/>
      <c r="J297" s="52">
        <f>'Av 2012'!J297*$L$272</f>
        <v>39.6</v>
      </c>
      <c r="K297" s="51"/>
      <c r="L297" s="52"/>
      <c r="M297" s="52">
        <f>'Av 2012'!M297*$L$272</f>
        <v>39.6</v>
      </c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5"/>
      <c r="Y297" s="59"/>
      <c r="Z297" s="51"/>
      <c r="AA297" s="51"/>
      <c r="AB297">
        <v>65.099999999999994</v>
      </c>
      <c r="AC297">
        <v>42.7</v>
      </c>
      <c r="AD297">
        <v>42.2</v>
      </c>
      <c r="AE297" t="s">
        <v>109</v>
      </c>
    </row>
    <row r="298" spans="1:31" x14ac:dyDescent="0.25">
      <c r="A298" s="30" t="s">
        <v>60</v>
      </c>
      <c r="B298" s="32" t="s">
        <v>65</v>
      </c>
      <c r="C298" s="31" t="s">
        <v>67</v>
      </c>
      <c r="D298" s="2"/>
      <c r="E298" s="2"/>
      <c r="F298" s="51"/>
      <c r="G298" s="51"/>
      <c r="H298" s="51"/>
      <c r="I298" s="51"/>
      <c r="J298" s="51"/>
      <c r="K298" s="51"/>
      <c r="L298" s="52"/>
      <c r="M298" s="51"/>
      <c r="N298" s="51"/>
      <c r="O298" s="51"/>
      <c r="P298" s="51"/>
      <c r="Q298" s="51">
        <v>35</v>
      </c>
      <c r="R298" s="51">
        <v>35</v>
      </c>
      <c r="S298" s="51"/>
      <c r="T298" s="51">
        <v>35</v>
      </c>
      <c r="U298" s="51">
        <v>35</v>
      </c>
      <c r="V298" s="51">
        <v>35</v>
      </c>
      <c r="W298" s="51">
        <v>35</v>
      </c>
      <c r="X298" s="55">
        <v>35</v>
      </c>
      <c r="Y298" s="59"/>
      <c r="Z298" s="51"/>
      <c r="AA298" s="51"/>
      <c r="AB298">
        <v>18.2</v>
      </c>
      <c r="AC298">
        <v>22</v>
      </c>
      <c r="AD298">
        <v>22.2</v>
      </c>
      <c r="AE298" t="s">
        <v>110</v>
      </c>
    </row>
    <row r="299" spans="1:31" x14ac:dyDescent="0.25">
      <c r="A299" s="30" t="s">
        <v>60</v>
      </c>
      <c r="B299" s="32" t="s">
        <v>65</v>
      </c>
      <c r="C299" s="31" t="s">
        <v>68</v>
      </c>
      <c r="D299" s="2"/>
      <c r="E299" s="2"/>
      <c r="F299" s="51"/>
      <c r="G299" s="51"/>
      <c r="H299" s="51"/>
      <c r="I299" s="51"/>
      <c r="J299" s="51"/>
      <c r="K299" s="51"/>
      <c r="L299" s="52">
        <f>'Av 2012'!L299*$L$272</f>
        <v>39.6</v>
      </c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5"/>
      <c r="Y299" s="59"/>
      <c r="Z299" s="51"/>
      <c r="AA299" s="51"/>
      <c r="AB299">
        <v>47</v>
      </c>
      <c r="AC299">
        <v>58</v>
      </c>
      <c r="AD299">
        <v>49</v>
      </c>
      <c r="AE299" t="s">
        <v>102</v>
      </c>
    </row>
    <row r="300" spans="1:31" x14ac:dyDescent="0.25">
      <c r="A300" s="30" t="s">
        <v>60</v>
      </c>
      <c r="B300" s="32" t="s">
        <v>9</v>
      </c>
      <c r="C300" s="31" t="s">
        <v>69</v>
      </c>
      <c r="D300" s="2"/>
      <c r="E300" s="2"/>
      <c r="F300" s="51"/>
      <c r="G300" s="51"/>
      <c r="H300" s="51"/>
      <c r="I300" s="51"/>
      <c r="J300" s="51"/>
      <c r="K300" s="51"/>
      <c r="L300" s="52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5">
        <v>60</v>
      </c>
      <c r="Y300" s="59"/>
      <c r="Z300" s="51"/>
      <c r="AA300" s="51"/>
      <c r="AB300">
        <f>AB295*AB296</f>
        <v>10.44</v>
      </c>
      <c r="AC300">
        <f>AC295*AC296</f>
        <v>3.84</v>
      </c>
      <c r="AD300">
        <f>AD295*AD296</f>
        <v>2.16</v>
      </c>
      <c r="AE300" t="s">
        <v>91</v>
      </c>
    </row>
    <row r="301" spans="1:31" x14ac:dyDescent="0.25">
      <c r="A301" s="15" t="s">
        <v>51</v>
      </c>
      <c r="B301" s="16" t="s">
        <v>56</v>
      </c>
      <c r="C301" s="27" t="s">
        <v>57</v>
      </c>
      <c r="D301" s="16" t="s">
        <v>70</v>
      </c>
      <c r="E301" s="16"/>
      <c r="F301" s="1"/>
      <c r="G301" s="1"/>
      <c r="H301" s="1"/>
      <c r="I301" s="1"/>
      <c r="J301" s="1"/>
      <c r="K301" s="1"/>
      <c r="L301" s="5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54"/>
      <c r="Y301" s="58"/>
      <c r="Z301" s="1"/>
      <c r="AA301" s="1"/>
      <c r="AB301">
        <f>(AB298/100)^2*AB297/100</f>
        <v>2.1563723999999999E-2</v>
      </c>
      <c r="AC301">
        <f>(AC298/100)^2*AC297/100</f>
        <v>2.0666800000000003E-2</v>
      </c>
      <c r="AD301">
        <f>(AD298/100)^2*AD297/100</f>
        <v>2.0797848000000001E-2</v>
      </c>
      <c r="AE301" t="s">
        <v>112</v>
      </c>
    </row>
    <row r="302" spans="1:31" x14ac:dyDescent="0.25">
      <c r="A302" s="15" t="s">
        <v>51</v>
      </c>
      <c r="B302" s="16" t="s">
        <v>56</v>
      </c>
      <c r="C302" s="27" t="s">
        <v>57</v>
      </c>
      <c r="D302" s="16" t="s">
        <v>71</v>
      </c>
      <c r="E302" s="16"/>
      <c r="F302" s="1"/>
      <c r="G302" s="1"/>
      <c r="H302" s="1"/>
      <c r="I302" s="1"/>
      <c r="J302" s="1"/>
      <c r="K302" s="1"/>
      <c r="L302" s="5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54"/>
      <c r="Y302" s="58"/>
      <c r="Z302" s="1"/>
      <c r="AA302" s="1"/>
      <c r="AB302">
        <f>AB300/AB299</f>
        <v>0.22212765957446806</v>
      </c>
      <c r="AC302">
        <f>AC300/AC299</f>
        <v>6.620689655172414E-2</v>
      </c>
      <c r="AD302">
        <f>AD300/AD299</f>
        <v>4.4081632653061226E-2</v>
      </c>
      <c r="AE302" t="s">
        <v>104</v>
      </c>
    </row>
    <row r="303" spans="1:31" x14ac:dyDescent="0.25">
      <c r="A303" s="15" t="s">
        <v>51</v>
      </c>
      <c r="B303" s="16" t="s">
        <v>56</v>
      </c>
      <c r="C303" s="27" t="s">
        <v>27</v>
      </c>
      <c r="D303" s="16" t="s">
        <v>72</v>
      </c>
      <c r="E303" s="16"/>
      <c r="F303" s="1"/>
      <c r="G303" s="1"/>
      <c r="H303" s="1"/>
      <c r="I303" s="1"/>
      <c r="J303" s="1"/>
      <c r="K303" s="1"/>
      <c r="L303" s="5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54"/>
      <c r="Y303" s="58"/>
      <c r="Z303" s="1"/>
      <c r="AA303" s="1"/>
      <c r="AB303">
        <f>AB300/AB301</f>
        <v>484.14643036610931</v>
      </c>
      <c r="AC303">
        <f>AC300/AC301</f>
        <v>185.8052528693363</v>
      </c>
      <c r="AD303">
        <f>AD300/AD301</f>
        <v>103.85689904070844</v>
      </c>
      <c r="AE303" t="s">
        <v>113</v>
      </c>
    </row>
    <row r="304" spans="1:31" x14ac:dyDescent="0.25">
      <c r="A304" s="15" t="s">
        <v>51</v>
      </c>
      <c r="B304" s="16" t="s">
        <v>56</v>
      </c>
      <c r="C304" s="27" t="s">
        <v>57</v>
      </c>
      <c r="D304" s="16" t="s">
        <v>73</v>
      </c>
      <c r="E304" s="16"/>
      <c r="F304" s="1"/>
      <c r="G304" s="1"/>
      <c r="H304" s="1"/>
      <c r="I304" s="1"/>
      <c r="J304" s="1"/>
      <c r="K304" s="1"/>
      <c r="L304" s="5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54"/>
      <c r="Y304" s="58"/>
      <c r="Z304" s="1"/>
      <c r="AA304" s="1"/>
    </row>
    <row r="305" spans="1:27" x14ac:dyDescent="0.25">
      <c r="A305" s="15" t="s">
        <v>51</v>
      </c>
      <c r="B305" s="16" t="s">
        <v>56</v>
      </c>
      <c r="C305" s="27" t="s">
        <v>57</v>
      </c>
      <c r="D305" s="16" t="s">
        <v>74</v>
      </c>
      <c r="E305" s="16"/>
      <c r="F305" s="1"/>
      <c r="G305" s="1"/>
      <c r="H305" s="1"/>
      <c r="I305" s="1"/>
      <c r="J305" s="1"/>
      <c r="K305" s="1"/>
      <c r="L305" s="5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54"/>
      <c r="Y305" s="58"/>
      <c r="Z305" s="1"/>
      <c r="AA305" s="1"/>
    </row>
    <row r="306" spans="1:27" x14ac:dyDescent="0.25">
      <c r="A306" s="30" t="s">
        <v>60</v>
      </c>
      <c r="B306" s="31" t="s">
        <v>13</v>
      </c>
      <c r="C306" s="32" t="s">
        <v>61</v>
      </c>
      <c r="D306" s="31" t="s">
        <v>75</v>
      </c>
      <c r="E306" s="31"/>
      <c r="F306" s="51"/>
      <c r="G306" s="51"/>
      <c r="H306" s="51"/>
      <c r="I306" s="51"/>
      <c r="J306" s="51"/>
      <c r="K306" s="51"/>
      <c r="L306" s="52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5"/>
      <c r="Y306" s="59"/>
      <c r="Z306" s="51"/>
      <c r="AA306" s="51"/>
    </row>
    <row r="307" spans="1:27" x14ac:dyDescent="0.25">
      <c r="A307" s="30" t="s">
        <v>60</v>
      </c>
      <c r="B307" s="31" t="s">
        <v>13</v>
      </c>
      <c r="C307" s="32" t="s">
        <v>61</v>
      </c>
      <c r="D307" s="31" t="s">
        <v>76</v>
      </c>
      <c r="E307" s="31"/>
      <c r="F307" s="51"/>
      <c r="G307" s="51"/>
      <c r="H307" s="51"/>
      <c r="I307" s="51"/>
      <c r="J307" s="51"/>
      <c r="K307" s="51"/>
      <c r="L307" s="52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5"/>
      <c r="Y307" s="59"/>
      <c r="Z307" s="51"/>
      <c r="AA307" s="51"/>
    </row>
    <row r="308" spans="1:27" x14ac:dyDescent="0.25">
      <c r="A308" s="30" t="s">
        <v>60</v>
      </c>
      <c r="B308" s="31" t="s">
        <v>13</v>
      </c>
      <c r="C308" s="32" t="s">
        <v>61</v>
      </c>
      <c r="D308" s="31" t="s">
        <v>77</v>
      </c>
      <c r="E308" s="31"/>
      <c r="F308" s="51"/>
      <c r="G308" s="51"/>
      <c r="H308" s="51"/>
      <c r="I308" s="51"/>
      <c r="J308" s="51"/>
      <c r="K308" s="51"/>
      <c r="L308" s="52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5"/>
      <c r="Y308" s="59"/>
      <c r="Z308" s="51"/>
      <c r="AA308" s="51"/>
    </row>
    <row r="309" spans="1:27" x14ac:dyDescent="0.25">
      <c r="A309" s="30" t="s">
        <v>60</v>
      </c>
      <c r="B309" s="31" t="s">
        <v>13</v>
      </c>
      <c r="C309" s="32" t="s">
        <v>61</v>
      </c>
      <c r="D309" s="31" t="s">
        <v>78</v>
      </c>
      <c r="E309" s="31"/>
      <c r="F309" s="51"/>
      <c r="G309" s="51"/>
      <c r="H309" s="51"/>
      <c r="I309" s="51"/>
      <c r="J309" s="51"/>
      <c r="K309" s="51"/>
      <c r="L309" s="52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5"/>
      <c r="Y309" s="59"/>
      <c r="Z309" s="51"/>
      <c r="AA309" s="51"/>
    </row>
    <row r="310" spans="1:27" ht="15.75" thickBot="1" x14ac:dyDescent="0.3">
      <c r="A310" s="33" t="s">
        <v>60</v>
      </c>
      <c r="B310" s="34" t="s">
        <v>13</v>
      </c>
      <c r="C310" s="35" t="s">
        <v>61</v>
      </c>
      <c r="D310" s="34" t="s">
        <v>79</v>
      </c>
      <c r="E310" s="31"/>
      <c r="F310" s="51"/>
      <c r="G310" s="51"/>
      <c r="H310" s="51"/>
      <c r="I310" s="51"/>
      <c r="J310" s="51"/>
      <c r="K310" s="51"/>
      <c r="L310" s="52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5"/>
      <c r="Y310" s="59"/>
      <c r="Z310" s="51"/>
      <c r="AA310" s="51"/>
    </row>
    <row r="311" spans="1:27" x14ac:dyDescent="0.25">
      <c r="A311" s="30" t="s">
        <v>60</v>
      </c>
      <c r="B311" s="31" t="s">
        <v>13</v>
      </c>
      <c r="C311" s="32" t="s">
        <v>62</v>
      </c>
      <c r="D311" s="31" t="s">
        <v>75</v>
      </c>
      <c r="E311" s="31"/>
      <c r="F311" s="51"/>
      <c r="G311" s="51"/>
      <c r="H311" s="51"/>
      <c r="I311" s="51"/>
      <c r="J311" s="51"/>
      <c r="K311" s="51"/>
      <c r="L311" s="52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5"/>
      <c r="Y311" s="59"/>
      <c r="Z311" s="51"/>
      <c r="AA311" s="51"/>
    </row>
    <row r="312" spans="1:27" x14ac:dyDescent="0.25">
      <c r="A312" s="30" t="s">
        <v>60</v>
      </c>
      <c r="B312" s="31" t="s">
        <v>13</v>
      </c>
      <c r="C312" s="32" t="s">
        <v>62</v>
      </c>
      <c r="D312" s="31" t="s">
        <v>76</v>
      </c>
      <c r="E312" s="31"/>
      <c r="F312" s="51"/>
      <c r="G312" s="51"/>
      <c r="H312" s="51"/>
      <c r="I312" s="51"/>
      <c r="J312" s="51"/>
      <c r="K312" s="51"/>
      <c r="L312" s="52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5"/>
      <c r="Y312" s="59"/>
      <c r="Z312" s="51"/>
      <c r="AA312" s="51"/>
    </row>
    <row r="313" spans="1:27" x14ac:dyDescent="0.25">
      <c r="A313" s="30" t="s">
        <v>60</v>
      </c>
      <c r="B313" s="31" t="s">
        <v>13</v>
      </c>
      <c r="C313" s="32" t="s">
        <v>62</v>
      </c>
      <c r="D313" s="31" t="s">
        <v>77</v>
      </c>
      <c r="E313" s="31"/>
      <c r="F313" s="51"/>
      <c r="G313" s="51"/>
      <c r="H313" s="51"/>
      <c r="I313" s="51"/>
      <c r="J313" s="51"/>
      <c r="K313" s="51"/>
      <c r="L313" s="52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5"/>
      <c r="Y313" s="59"/>
      <c r="Z313" s="51"/>
      <c r="AA313" s="51"/>
    </row>
    <row r="314" spans="1:27" x14ac:dyDescent="0.25">
      <c r="A314" s="30" t="s">
        <v>60</v>
      </c>
      <c r="B314" s="31" t="s">
        <v>13</v>
      </c>
      <c r="C314" s="32" t="s">
        <v>62</v>
      </c>
      <c r="D314" s="31" t="s">
        <v>78</v>
      </c>
      <c r="E314" s="31"/>
      <c r="F314" s="51"/>
      <c r="G314" s="51"/>
      <c r="H314" s="51"/>
      <c r="I314" s="51"/>
      <c r="J314" s="51"/>
      <c r="K314" s="51"/>
      <c r="L314" s="52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5"/>
      <c r="Y314" s="59"/>
      <c r="Z314" s="51"/>
      <c r="AA314" s="51"/>
    </row>
    <row r="315" spans="1:27" ht="15.75" thickBot="1" x14ac:dyDescent="0.3">
      <c r="A315" s="33" t="s">
        <v>60</v>
      </c>
      <c r="B315" s="34" t="s">
        <v>13</v>
      </c>
      <c r="C315" s="32" t="s">
        <v>62</v>
      </c>
      <c r="D315" s="34" t="s">
        <v>79</v>
      </c>
      <c r="E315" s="31"/>
      <c r="F315" s="51"/>
      <c r="G315" s="51"/>
      <c r="H315" s="51"/>
      <c r="I315" s="51"/>
      <c r="J315" s="51"/>
      <c r="K315" s="51"/>
      <c r="L315" s="52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5"/>
      <c r="Y315" s="59"/>
      <c r="Z315" s="51"/>
      <c r="AA315" s="51"/>
    </row>
  </sheetData>
  <pageMargins left="0.7" right="0.7" top="0.75" bottom="0.75" header="0.3" footer="0.3"/>
  <pageSetup paperSize="8" scale="2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15"/>
  <sheetViews>
    <sheetView topLeftCell="A10" workbookViewId="0"/>
  </sheetViews>
  <sheetFormatPr baseColWidth="10" defaultColWidth="8.85546875" defaultRowHeight="15" x14ac:dyDescent="0.25"/>
  <cols>
    <col min="5" max="5" width="9.140625" customWidth="1"/>
    <col min="25" max="25" width="9.140625" bestFit="1" customWidth="1"/>
    <col min="26" max="26" width="8.85546875" bestFit="1" customWidth="1"/>
    <col min="27" max="27" width="9.42578125" customWidth="1"/>
  </cols>
  <sheetData>
    <row r="1" spans="1:35" ht="18.75" x14ac:dyDescent="0.3">
      <c r="A1" s="42" t="s">
        <v>14</v>
      </c>
      <c r="B1" s="42"/>
      <c r="C1" s="216">
        <v>2020</v>
      </c>
    </row>
    <row r="2" spans="1:35" x14ac:dyDescent="0.25">
      <c r="D2" s="41" t="s">
        <v>1</v>
      </c>
      <c r="E2" s="41"/>
      <c r="M2" s="24" t="s">
        <v>81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35" x14ac:dyDescent="0.25">
      <c r="F3" s="23" t="s">
        <v>44</v>
      </c>
      <c r="G3" s="23"/>
      <c r="H3" s="23"/>
      <c r="I3" s="23"/>
      <c r="J3" s="23"/>
      <c r="K3" s="23"/>
      <c r="L3" s="7" t="s">
        <v>30</v>
      </c>
      <c r="M3" s="24" t="s">
        <v>46</v>
      </c>
      <c r="N3" s="24"/>
      <c r="O3" s="24"/>
      <c r="P3" s="24"/>
      <c r="Q3" s="24"/>
      <c r="R3" s="24" t="s">
        <v>47</v>
      </c>
      <c r="S3" s="24"/>
      <c r="T3" s="24"/>
      <c r="U3" s="24"/>
      <c r="V3" s="24"/>
      <c r="W3" s="24"/>
      <c r="X3" s="24"/>
      <c r="Y3" s="44" t="s">
        <v>85</v>
      </c>
      <c r="Z3" s="44" t="s">
        <v>48</v>
      </c>
      <c r="AA3" s="44" t="s">
        <v>3</v>
      </c>
    </row>
    <row r="4" spans="1:35" ht="63" x14ac:dyDescent="0.25">
      <c r="F4" s="38" t="s">
        <v>36</v>
      </c>
      <c r="G4" s="38" t="s">
        <v>37</v>
      </c>
      <c r="H4" s="38" t="s">
        <v>38</v>
      </c>
      <c r="I4" s="38" t="s">
        <v>80</v>
      </c>
      <c r="J4" s="38" t="s">
        <v>39</v>
      </c>
      <c r="K4" s="38" t="s">
        <v>45</v>
      </c>
      <c r="L4" s="39" t="s">
        <v>16</v>
      </c>
      <c r="M4" s="40" t="s">
        <v>34</v>
      </c>
      <c r="N4" s="40" t="s">
        <v>5</v>
      </c>
      <c r="O4" s="40" t="s">
        <v>7</v>
      </c>
      <c r="P4" s="40" t="s">
        <v>8</v>
      </c>
      <c r="Q4" s="40" t="s">
        <v>40</v>
      </c>
      <c r="R4" s="40" t="s">
        <v>41</v>
      </c>
      <c r="S4" s="40" t="s">
        <v>42</v>
      </c>
      <c r="T4" s="40" t="s">
        <v>31</v>
      </c>
      <c r="U4" s="40" t="s">
        <v>43</v>
      </c>
      <c r="V4" s="40" t="s">
        <v>82</v>
      </c>
      <c r="W4" s="40" t="s">
        <v>87</v>
      </c>
      <c r="X4" s="40" t="s">
        <v>83</v>
      </c>
      <c r="Y4" s="45" t="s">
        <v>3</v>
      </c>
      <c r="Z4" s="45" t="s">
        <v>3</v>
      </c>
      <c r="AA4" s="45" t="s">
        <v>3</v>
      </c>
    </row>
    <row r="5" spans="1:35" x14ac:dyDescent="0.25">
      <c r="A5" s="15" t="s">
        <v>51</v>
      </c>
      <c r="B5" s="2"/>
      <c r="C5" s="2"/>
      <c r="D5">
        <f>6000*0.045</f>
        <v>270</v>
      </c>
      <c r="F5" s="1">
        <f t="shared" ref="F5:X5" si="0">F7+F8+F9</f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52">
        <f t="shared" si="0"/>
        <v>0</v>
      </c>
      <c r="M5" s="1">
        <f t="shared" si="0"/>
        <v>0</v>
      </c>
      <c r="N5" s="1">
        <f t="shared" si="0"/>
        <v>0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1">
        <f t="shared" si="0"/>
        <v>0</v>
      </c>
      <c r="V5" s="1">
        <f t="shared" si="0"/>
        <v>0</v>
      </c>
      <c r="W5" s="1">
        <f t="shared" si="0"/>
        <v>0</v>
      </c>
      <c r="X5" s="1">
        <f t="shared" si="0"/>
        <v>0</v>
      </c>
      <c r="Y5" s="58">
        <f t="shared" ref="Y5:Y45" si="1">SUM(F5:K5)</f>
        <v>0</v>
      </c>
      <c r="Z5" s="1">
        <f t="shared" ref="Z5:Z45" si="2">SUM(M5:X5)</f>
        <v>0</v>
      </c>
      <c r="AA5" s="1">
        <f t="shared" ref="AA5:AA12" si="3">L5+Y5+Z5</f>
        <v>0</v>
      </c>
    </row>
    <row r="6" spans="1:35" x14ac:dyDescent="0.25">
      <c r="A6" s="30" t="s">
        <v>60</v>
      </c>
      <c r="B6" s="2"/>
      <c r="C6" s="2"/>
      <c r="F6" s="1">
        <f>F10+F11+F12+F13</f>
        <v>7600</v>
      </c>
      <c r="G6" s="1">
        <f t="shared" ref="G6:X6" si="4">G10+G11+G12+G13</f>
        <v>3480</v>
      </c>
      <c r="H6" s="1">
        <f t="shared" si="4"/>
        <v>10976</v>
      </c>
      <c r="I6" s="1">
        <f t="shared" si="4"/>
        <v>4116</v>
      </c>
      <c r="J6" s="1">
        <f t="shared" si="4"/>
        <v>22269.5</v>
      </c>
      <c r="K6" s="1">
        <f t="shared" si="4"/>
        <v>3404</v>
      </c>
      <c r="L6" s="52">
        <f t="shared" si="4"/>
        <v>291100</v>
      </c>
      <c r="M6" s="1">
        <f t="shared" si="4"/>
        <v>22800</v>
      </c>
      <c r="N6" s="1">
        <f t="shared" si="4"/>
        <v>4796</v>
      </c>
      <c r="O6" s="1">
        <f t="shared" si="4"/>
        <v>8073</v>
      </c>
      <c r="P6" s="1">
        <f t="shared" si="4"/>
        <v>160000</v>
      </c>
      <c r="Q6" s="1">
        <f t="shared" si="4"/>
        <v>38114.28571428571</v>
      </c>
      <c r="R6" s="1">
        <f t="shared" si="4"/>
        <v>19066.666666666668</v>
      </c>
      <c r="S6" s="1">
        <f t="shared" si="4"/>
        <v>112.00000000000001</v>
      </c>
      <c r="T6" s="1">
        <f t="shared" si="4"/>
        <v>14893.333333333334</v>
      </c>
      <c r="U6" s="1">
        <f t="shared" si="4"/>
        <v>15240</v>
      </c>
      <c r="V6" s="1">
        <f t="shared" si="4"/>
        <v>3330</v>
      </c>
      <c r="W6" s="1">
        <f t="shared" si="4"/>
        <v>4337.5</v>
      </c>
      <c r="X6" s="54">
        <f t="shared" si="4"/>
        <v>12679.523809523811</v>
      </c>
      <c r="Y6" s="58">
        <f t="shared" si="1"/>
        <v>51845.5</v>
      </c>
      <c r="Z6" s="1">
        <f t="shared" si="2"/>
        <v>303442.30952380947</v>
      </c>
      <c r="AA6" s="1">
        <f t="shared" si="3"/>
        <v>646387.80952380947</v>
      </c>
    </row>
    <row r="7" spans="1:35" x14ac:dyDescent="0.25">
      <c r="A7" s="15" t="s">
        <v>51</v>
      </c>
      <c r="B7" s="16" t="s">
        <v>52</v>
      </c>
      <c r="C7" s="2"/>
      <c r="F7" s="1">
        <f>F14+F15+F16</f>
        <v>0</v>
      </c>
      <c r="G7" s="1">
        <f t="shared" ref="G7:X7" si="5">G14+G15+G16</f>
        <v>0</v>
      </c>
      <c r="H7" s="1">
        <f t="shared" si="5"/>
        <v>0</v>
      </c>
      <c r="I7" s="1">
        <f t="shared" si="5"/>
        <v>0</v>
      </c>
      <c r="J7" s="1">
        <f t="shared" si="5"/>
        <v>0</v>
      </c>
      <c r="K7" s="1">
        <f t="shared" si="5"/>
        <v>0</v>
      </c>
      <c r="L7" s="52">
        <f t="shared" si="5"/>
        <v>0</v>
      </c>
      <c r="M7" s="1">
        <f t="shared" si="5"/>
        <v>0</v>
      </c>
      <c r="N7" s="1">
        <f t="shared" si="5"/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  <c r="R7" s="1">
        <f t="shared" si="5"/>
        <v>0</v>
      </c>
      <c r="S7" s="1">
        <f t="shared" si="5"/>
        <v>0</v>
      </c>
      <c r="T7" s="1">
        <f t="shared" si="5"/>
        <v>0</v>
      </c>
      <c r="U7" s="1">
        <f t="shared" si="5"/>
        <v>0</v>
      </c>
      <c r="V7" s="1">
        <f t="shared" si="5"/>
        <v>0</v>
      </c>
      <c r="W7" s="1">
        <f t="shared" si="5"/>
        <v>0</v>
      </c>
      <c r="X7" s="54">
        <f t="shared" si="5"/>
        <v>0</v>
      </c>
      <c r="Y7" s="58">
        <f t="shared" si="1"/>
        <v>0</v>
      </c>
      <c r="Z7" s="1">
        <f t="shared" si="2"/>
        <v>0</v>
      </c>
      <c r="AA7" s="1">
        <f t="shared" si="3"/>
        <v>0</v>
      </c>
    </row>
    <row r="8" spans="1:35" x14ac:dyDescent="0.25">
      <c r="A8" s="15" t="s">
        <v>51</v>
      </c>
      <c r="B8" s="16" t="s">
        <v>56</v>
      </c>
      <c r="C8" s="2"/>
      <c r="F8" s="1">
        <f>F17+F18+F19</f>
        <v>0</v>
      </c>
      <c r="G8" s="1">
        <f t="shared" ref="G8:X8" si="6">G17+G18+G19</f>
        <v>0</v>
      </c>
      <c r="H8" s="1">
        <f t="shared" si="6"/>
        <v>0</v>
      </c>
      <c r="I8" s="1">
        <f t="shared" si="6"/>
        <v>0</v>
      </c>
      <c r="J8" s="1">
        <f t="shared" si="6"/>
        <v>0</v>
      </c>
      <c r="K8" s="1">
        <f t="shared" si="6"/>
        <v>0</v>
      </c>
      <c r="L8" s="52">
        <f t="shared" si="6"/>
        <v>0</v>
      </c>
      <c r="M8" s="1">
        <f t="shared" si="6"/>
        <v>0</v>
      </c>
      <c r="N8" s="1">
        <f t="shared" si="6"/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  <c r="R8" s="1">
        <f t="shared" si="6"/>
        <v>0</v>
      </c>
      <c r="S8" s="1">
        <f t="shared" si="6"/>
        <v>0</v>
      </c>
      <c r="T8" s="1">
        <f t="shared" si="6"/>
        <v>0</v>
      </c>
      <c r="U8" s="1">
        <f t="shared" si="6"/>
        <v>0</v>
      </c>
      <c r="V8" s="1">
        <f t="shared" si="6"/>
        <v>0</v>
      </c>
      <c r="W8" s="1">
        <f t="shared" si="6"/>
        <v>0</v>
      </c>
      <c r="X8" s="54">
        <f t="shared" si="6"/>
        <v>0</v>
      </c>
      <c r="Y8" s="58">
        <f t="shared" si="1"/>
        <v>0</v>
      </c>
      <c r="Z8" s="1">
        <f t="shared" si="2"/>
        <v>0</v>
      </c>
      <c r="AA8" s="1">
        <f t="shared" si="3"/>
        <v>0</v>
      </c>
    </row>
    <row r="9" spans="1:35" x14ac:dyDescent="0.25">
      <c r="A9" s="15" t="s">
        <v>51</v>
      </c>
      <c r="B9" s="16" t="s">
        <v>9</v>
      </c>
      <c r="C9" s="2"/>
      <c r="F9" s="1">
        <f>F20</f>
        <v>0</v>
      </c>
      <c r="G9" s="1">
        <f t="shared" ref="G9:X9" si="7">G20</f>
        <v>0</v>
      </c>
      <c r="H9" s="1">
        <f t="shared" si="7"/>
        <v>0</v>
      </c>
      <c r="I9" s="1">
        <f t="shared" si="7"/>
        <v>0</v>
      </c>
      <c r="J9" s="1">
        <f t="shared" si="7"/>
        <v>0</v>
      </c>
      <c r="K9" s="1">
        <f t="shared" si="7"/>
        <v>0</v>
      </c>
      <c r="L9" s="52">
        <f t="shared" si="7"/>
        <v>0</v>
      </c>
      <c r="M9" s="1">
        <f t="shared" si="7"/>
        <v>0</v>
      </c>
      <c r="N9" s="1">
        <f t="shared" si="7"/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  <c r="R9" s="1">
        <f t="shared" si="7"/>
        <v>0</v>
      </c>
      <c r="S9" s="1">
        <f t="shared" si="7"/>
        <v>0</v>
      </c>
      <c r="T9" s="1">
        <f t="shared" si="7"/>
        <v>0</v>
      </c>
      <c r="U9" s="1">
        <f t="shared" si="7"/>
        <v>0</v>
      </c>
      <c r="V9" s="1">
        <f t="shared" si="7"/>
        <v>0</v>
      </c>
      <c r="W9" s="1">
        <f t="shared" si="7"/>
        <v>0</v>
      </c>
      <c r="X9" s="54">
        <f t="shared" si="7"/>
        <v>0</v>
      </c>
      <c r="Y9" s="58">
        <f t="shared" si="1"/>
        <v>0</v>
      </c>
      <c r="Z9" s="1">
        <f t="shared" si="2"/>
        <v>0</v>
      </c>
      <c r="AA9" s="1">
        <f t="shared" si="3"/>
        <v>0</v>
      </c>
    </row>
    <row r="10" spans="1:35" x14ac:dyDescent="0.25">
      <c r="A10" s="30" t="s">
        <v>60</v>
      </c>
      <c r="B10" s="32" t="s">
        <v>13</v>
      </c>
      <c r="C10" s="2"/>
      <c r="F10" s="51">
        <f>F21+F22+F23</f>
        <v>7600</v>
      </c>
      <c r="G10" s="51">
        <f t="shared" ref="G10:X10" si="8">G21+G22+G23</f>
        <v>3480</v>
      </c>
      <c r="H10" s="215">
        <f>11200*0.98</f>
        <v>10976</v>
      </c>
      <c r="I10" s="51">
        <f t="shared" si="8"/>
        <v>4116</v>
      </c>
      <c r="J10" s="51">
        <f t="shared" si="8"/>
        <v>3900</v>
      </c>
      <c r="K10" s="51">
        <f t="shared" si="8"/>
        <v>3000</v>
      </c>
      <c r="L10" s="52">
        <f t="shared" si="8"/>
        <v>0</v>
      </c>
      <c r="M10" s="51">
        <f t="shared" si="8"/>
        <v>6000</v>
      </c>
      <c r="N10" s="51">
        <f t="shared" si="8"/>
        <v>2420</v>
      </c>
      <c r="O10" s="51">
        <f t="shared" si="8"/>
        <v>8073</v>
      </c>
      <c r="P10" s="51">
        <f t="shared" si="8"/>
        <v>160000</v>
      </c>
      <c r="Q10" s="51">
        <f t="shared" si="8"/>
        <v>5714.2857142857138</v>
      </c>
      <c r="R10" s="51">
        <f t="shared" si="8"/>
        <v>4666.666666666667</v>
      </c>
      <c r="S10" s="51">
        <f t="shared" si="8"/>
        <v>0</v>
      </c>
      <c r="T10" s="51">
        <f t="shared" si="8"/>
        <v>1333.3333333333335</v>
      </c>
      <c r="U10" s="51">
        <f t="shared" si="8"/>
        <v>3000</v>
      </c>
      <c r="V10" s="51">
        <f t="shared" si="8"/>
        <v>50</v>
      </c>
      <c r="W10" s="51">
        <f t="shared" si="8"/>
        <v>137.5</v>
      </c>
      <c r="X10" s="55">
        <f t="shared" si="8"/>
        <v>8571.4285714285725</v>
      </c>
      <c r="Y10" s="59">
        <f t="shared" si="1"/>
        <v>33072</v>
      </c>
      <c r="Z10" s="73">
        <f t="shared" si="2"/>
        <v>199966.21428571429</v>
      </c>
      <c r="AA10" s="73">
        <f t="shared" si="3"/>
        <v>233038.21428571429</v>
      </c>
      <c r="AB10" s="214">
        <v>230000</v>
      </c>
    </row>
    <row r="11" spans="1:35" x14ac:dyDescent="0.25">
      <c r="A11" s="30" t="s">
        <v>60</v>
      </c>
      <c r="B11" s="31" t="s">
        <v>23</v>
      </c>
      <c r="C11" s="2"/>
      <c r="F11" s="51">
        <f>F24+F25+F26</f>
        <v>0</v>
      </c>
      <c r="G11" s="51">
        <f t="shared" ref="G11:X11" si="9">G24+G25+G26</f>
        <v>0</v>
      </c>
      <c r="H11" s="51">
        <f t="shared" si="9"/>
        <v>0</v>
      </c>
      <c r="I11" s="51">
        <f t="shared" si="9"/>
        <v>0</v>
      </c>
      <c r="J11" s="51">
        <f t="shared" si="9"/>
        <v>869.5</v>
      </c>
      <c r="K11" s="51">
        <f t="shared" si="9"/>
        <v>404</v>
      </c>
      <c r="L11" s="52">
        <f t="shared" si="9"/>
        <v>0</v>
      </c>
      <c r="M11" s="51">
        <f t="shared" si="9"/>
        <v>0</v>
      </c>
      <c r="N11" s="51">
        <f t="shared" si="9"/>
        <v>2376</v>
      </c>
      <c r="O11" s="51">
        <f t="shared" si="9"/>
        <v>0</v>
      </c>
      <c r="P11" s="51">
        <f t="shared" si="9"/>
        <v>0</v>
      </c>
      <c r="Q11" s="51">
        <f t="shared" si="9"/>
        <v>0</v>
      </c>
      <c r="R11" s="51">
        <f t="shared" si="9"/>
        <v>0</v>
      </c>
      <c r="S11" s="51">
        <f t="shared" si="9"/>
        <v>112.00000000000001</v>
      </c>
      <c r="T11" s="51">
        <f t="shared" si="9"/>
        <v>600</v>
      </c>
      <c r="U11" s="51">
        <f t="shared" si="9"/>
        <v>0</v>
      </c>
      <c r="V11" s="51">
        <f t="shared" si="9"/>
        <v>0</v>
      </c>
      <c r="W11" s="51">
        <f t="shared" si="9"/>
        <v>0</v>
      </c>
      <c r="X11" s="55">
        <f t="shared" si="9"/>
        <v>100</v>
      </c>
      <c r="Y11" s="59">
        <f t="shared" si="1"/>
        <v>1273.5</v>
      </c>
      <c r="Z11" s="73">
        <f t="shared" si="2"/>
        <v>3188</v>
      </c>
      <c r="AA11" s="73">
        <f t="shared" si="3"/>
        <v>4461.5</v>
      </c>
      <c r="AB11" s="214">
        <v>3000</v>
      </c>
      <c r="AC11" t="s">
        <v>443</v>
      </c>
    </row>
    <row r="12" spans="1:35" x14ac:dyDescent="0.25">
      <c r="A12" s="30" t="s">
        <v>60</v>
      </c>
      <c r="B12" s="31" t="s">
        <v>65</v>
      </c>
      <c r="C12" s="46"/>
      <c r="F12" s="51">
        <f>F27+F28+F29</f>
        <v>0</v>
      </c>
      <c r="G12" s="51">
        <f t="shared" ref="G12:X12" si="10">G27+G28+G29</f>
        <v>0</v>
      </c>
      <c r="H12" s="51">
        <f t="shared" si="10"/>
        <v>0</v>
      </c>
      <c r="I12" s="51">
        <f t="shared" si="10"/>
        <v>0</v>
      </c>
      <c r="J12" s="51">
        <f t="shared" si="10"/>
        <v>17500</v>
      </c>
      <c r="K12" s="51">
        <f t="shared" si="10"/>
        <v>0</v>
      </c>
      <c r="L12" s="52">
        <f t="shared" si="10"/>
        <v>291100</v>
      </c>
      <c r="M12" s="51">
        <f t="shared" si="10"/>
        <v>16800</v>
      </c>
      <c r="N12" s="51">
        <f t="shared" si="10"/>
        <v>0</v>
      </c>
      <c r="O12" s="51">
        <f t="shared" si="10"/>
        <v>0</v>
      </c>
      <c r="P12" s="51">
        <f t="shared" si="10"/>
        <v>0</v>
      </c>
      <c r="Q12" s="51">
        <f t="shared" si="10"/>
        <v>32400</v>
      </c>
      <c r="R12" s="51">
        <f t="shared" si="10"/>
        <v>14400</v>
      </c>
      <c r="S12" s="51">
        <f t="shared" si="10"/>
        <v>0</v>
      </c>
      <c r="T12" s="51">
        <f t="shared" si="10"/>
        <v>12960</v>
      </c>
      <c r="U12" s="51">
        <f t="shared" si="10"/>
        <v>12240</v>
      </c>
      <c r="V12" s="51">
        <f t="shared" si="10"/>
        <v>2520</v>
      </c>
      <c r="W12" s="51">
        <f t="shared" si="10"/>
        <v>4200</v>
      </c>
      <c r="X12" s="55">
        <f t="shared" si="10"/>
        <v>2520</v>
      </c>
      <c r="Y12" s="59">
        <f t="shared" si="1"/>
        <v>17500</v>
      </c>
      <c r="Z12" s="73">
        <f t="shared" si="2"/>
        <v>98040</v>
      </c>
      <c r="AA12" s="81">
        <f t="shared" si="3"/>
        <v>406640</v>
      </c>
      <c r="AB12" s="214">
        <v>410000</v>
      </c>
    </row>
    <row r="13" spans="1:35" ht="15.75" thickBot="1" x14ac:dyDescent="0.3">
      <c r="A13" s="48" t="s">
        <v>60</v>
      </c>
      <c r="B13" s="49" t="s">
        <v>9</v>
      </c>
      <c r="C13" s="50"/>
      <c r="D13" s="50"/>
      <c r="E13" s="50"/>
      <c r="F13" s="53">
        <f>F30</f>
        <v>0</v>
      </c>
      <c r="G13" s="53">
        <f t="shared" ref="G13:X13" si="11">G30</f>
        <v>0</v>
      </c>
      <c r="H13" s="53">
        <f t="shared" si="11"/>
        <v>0</v>
      </c>
      <c r="I13" s="53">
        <f t="shared" si="11"/>
        <v>0</v>
      </c>
      <c r="J13" s="53">
        <f t="shared" si="11"/>
        <v>0</v>
      </c>
      <c r="K13" s="53">
        <f t="shared" si="11"/>
        <v>0</v>
      </c>
      <c r="L13" s="62">
        <f t="shared" si="11"/>
        <v>0</v>
      </c>
      <c r="M13" s="53">
        <f t="shared" si="11"/>
        <v>0</v>
      </c>
      <c r="N13" s="53">
        <f t="shared" si="11"/>
        <v>0</v>
      </c>
      <c r="O13" s="53">
        <f t="shared" si="11"/>
        <v>0</v>
      </c>
      <c r="P13" s="53">
        <f t="shared" si="11"/>
        <v>0</v>
      </c>
      <c r="Q13" s="53">
        <f t="shared" si="11"/>
        <v>0</v>
      </c>
      <c r="R13" s="53">
        <f t="shared" si="11"/>
        <v>0</v>
      </c>
      <c r="S13" s="53">
        <f t="shared" si="11"/>
        <v>0</v>
      </c>
      <c r="T13" s="53">
        <f t="shared" si="11"/>
        <v>0</v>
      </c>
      <c r="U13" s="53">
        <f t="shared" si="11"/>
        <v>0</v>
      </c>
      <c r="V13" s="53">
        <f t="shared" si="11"/>
        <v>760</v>
      </c>
      <c r="W13" s="53">
        <f t="shared" si="11"/>
        <v>0</v>
      </c>
      <c r="X13" s="75">
        <f t="shared" si="11"/>
        <v>1488.0952380952381</v>
      </c>
      <c r="Y13" s="60">
        <f t="shared" si="1"/>
        <v>0</v>
      </c>
      <c r="Z13" s="74">
        <f t="shared" si="2"/>
        <v>2248.0952380952381</v>
      </c>
      <c r="AA13" s="104">
        <v>2200</v>
      </c>
      <c r="AB13" s="214">
        <v>10000</v>
      </c>
    </row>
    <row r="14" spans="1:35" ht="15.75" thickTop="1" x14ac:dyDescent="0.25">
      <c r="A14" s="15" t="s">
        <v>51</v>
      </c>
      <c r="B14" s="16" t="s">
        <v>52</v>
      </c>
      <c r="C14" s="16" t="s">
        <v>53</v>
      </c>
      <c r="D14" s="2"/>
      <c r="E14" s="2"/>
      <c r="F14" s="47">
        <v>0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63">
        <v>0</v>
      </c>
      <c r="M14" s="47">
        <v>0</v>
      </c>
      <c r="N14" s="47">
        <v>0</v>
      </c>
      <c r="O14" s="47">
        <v>0</v>
      </c>
      <c r="P14" s="47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57">
        <v>0</v>
      </c>
      <c r="Y14" s="61">
        <f t="shared" si="1"/>
        <v>0</v>
      </c>
      <c r="Z14" s="47">
        <f t="shared" si="2"/>
        <v>0</v>
      </c>
      <c r="AA14" s="47">
        <f t="shared" ref="AA14:AA45" si="12">L14+Y14+Z14</f>
        <v>0</v>
      </c>
    </row>
    <row r="15" spans="1:35" x14ac:dyDescent="0.25">
      <c r="A15" s="15" t="s">
        <v>51</v>
      </c>
      <c r="B15" s="16" t="s">
        <v>52</v>
      </c>
      <c r="C15" s="16" t="s">
        <v>54</v>
      </c>
      <c r="D15" s="2"/>
      <c r="E15" s="2"/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52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54">
        <v>0</v>
      </c>
      <c r="Y15" s="58">
        <f t="shared" si="1"/>
        <v>0</v>
      </c>
      <c r="Z15" s="1">
        <f t="shared" si="2"/>
        <v>0</v>
      </c>
      <c r="AA15" s="1">
        <f t="shared" si="12"/>
        <v>0</v>
      </c>
    </row>
    <row r="16" spans="1:35" x14ac:dyDescent="0.25">
      <c r="A16" s="15" t="s">
        <v>51</v>
      </c>
      <c r="B16" s="16" t="s">
        <v>52</v>
      </c>
      <c r="C16" s="16" t="s">
        <v>55</v>
      </c>
      <c r="D16" s="2"/>
      <c r="E16" s="2"/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52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54">
        <v>0</v>
      </c>
      <c r="Y16" s="58">
        <f t="shared" si="1"/>
        <v>0</v>
      </c>
      <c r="Z16" s="1">
        <f t="shared" si="2"/>
        <v>0</v>
      </c>
      <c r="AA16" s="1">
        <f t="shared" si="12"/>
        <v>0</v>
      </c>
      <c r="AH16" s="6" t="s">
        <v>13</v>
      </c>
      <c r="AI16" s="6" t="s">
        <v>1</v>
      </c>
    </row>
    <row r="17" spans="1:35" x14ac:dyDescent="0.25">
      <c r="A17" s="25" t="s">
        <v>51</v>
      </c>
      <c r="B17" s="26" t="s">
        <v>56</v>
      </c>
      <c r="C17" s="26" t="s">
        <v>57</v>
      </c>
      <c r="D17" s="2"/>
      <c r="E17" s="2"/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52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54">
        <v>0</v>
      </c>
      <c r="Y17" s="58">
        <f t="shared" si="1"/>
        <v>0</v>
      </c>
      <c r="Z17" s="1">
        <f t="shared" si="2"/>
        <v>0</v>
      </c>
      <c r="AA17" s="1">
        <f t="shared" si="12"/>
        <v>0</v>
      </c>
      <c r="AH17" s="6" t="s">
        <v>372</v>
      </c>
      <c r="AI17" s="6">
        <f>195000*0.44</f>
        <v>85800</v>
      </c>
    </row>
    <row r="18" spans="1:35" x14ac:dyDescent="0.25">
      <c r="A18" s="15" t="s">
        <v>51</v>
      </c>
      <c r="B18" s="16" t="s">
        <v>56</v>
      </c>
      <c r="C18" s="27" t="s">
        <v>58</v>
      </c>
      <c r="D18" s="2"/>
      <c r="E18" s="2"/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52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54">
        <v>0</v>
      </c>
      <c r="Y18" s="58">
        <f t="shared" si="1"/>
        <v>0</v>
      </c>
      <c r="Z18" s="1">
        <f t="shared" si="2"/>
        <v>0</v>
      </c>
      <c r="AA18" s="1">
        <f t="shared" si="12"/>
        <v>0</v>
      </c>
      <c r="AH18" s="6" t="s">
        <v>373</v>
      </c>
      <c r="AI18" s="6">
        <f>195000*0.23</f>
        <v>44850</v>
      </c>
    </row>
    <row r="19" spans="1:35" x14ac:dyDescent="0.25">
      <c r="A19" s="15" t="s">
        <v>51</v>
      </c>
      <c r="B19" s="16" t="s">
        <v>9</v>
      </c>
      <c r="C19" s="27" t="s">
        <v>59</v>
      </c>
      <c r="D19" s="2"/>
      <c r="E19" s="2"/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52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54">
        <v>0</v>
      </c>
      <c r="Y19" s="58">
        <f t="shared" si="1"/>
        <v>0</v>
      </c>
      <c r="Z19" s="1">
        <f t="shared" si="2"/>
        <v>0</v>
      </c>
      <c r="AA19" s="1">
        <f t="shared" si="12"/>
        <v>0</v>
      </c>
      <c r="AH19" s="6" t="s">
        <v>374</v>
      </c>
      <c r="AI19" s="6">
        <f>195000*0.17</f>
        <v>33150</v>
      </c>
    </row>
    <row r="20" spans="1:35" x14ac:dyDescent="0.25">
      <c r="A20" s="15" t="s">
        <v>51</v>
      </c>
      <c r="B20" s="16" t="s">
        <v>9</v>
      </c>
      <c r="C20" s="27" t="s">
        <v>9</v>
      </c>
      <c r="D20" s="2"/>
      <c r="E20" s="2"/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52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54">
        <v>0</v>
      </c>
      <c r="Y20" s="58">
        <f t="shared" si="1"/>
        <v>0</v>
      </c>
      <c r="Z20" s="1">
        <f t="shared" si="2"/>
        <v>0</v>
      </c>
      <c r="AA20" s="1">
        <f t="shared" si="12"/>
        <v>0</v>
      </c>
      <c r="AH20" s="6" t="s">
        <v>9</v>
      </c>
      <c r="AI20" s="6">
        <f>195000*0.11</f>
        <v>21450</v>
      </c>
    </row>
    <row r="21" spans="1:35" x14ac:dyDescent="0.25">
      <c r="A21" s="28" t="s">
        <v>60</v>
      </c>
      <c r="B21" s="29" t="s">
        <v>13</v>
      </c>
      <c r="C21" s="29" t="s">
        <v>61</v>
      </c>
      <c r="D21" s="2"/>
      <c r="E21" s="2"/>
      <c r="F21" s="215">
        <f>7600*0.65</f>
        <v>4940</v>
      </c>
      <c r="G21" s="51">
        <v>0</v>
      </c>
      <c r="H21" s="215">
        <f>H10*0.12</f>
        <v>1317.12</v>
      </c>
      <c r="I21" s="215">
        <f>2940*1.4</f>
        <v>4116</v>
      </c>
      <c r="J21" s="215">
        <f>1950*2</f>
        <v>3900</v>
      </c>
      <c r="K21" s="215">
        <f>3000</f>
        <v>3000</v>
      </c>
      <c r="L21" s="52">
        <v>0</v>
      </c>
      <c r="M21" s="103">
        <v>6000</v>
      </c>
      <c r="N21" s="91">
        <f>2200*1.1</f>
        <v>2420</v>
      </c>
      <c r="O21" s="215">
        <f>0.46*13500*1.3</f>
        <v>8073</v>
      </c>
      <c r="P21" s="215">
        <f>0.4*160000</f>
        <v>64000</v>
      </c>
      <c r="Q21" s="69">
        <f>Q66/Q111</f>
        <v>5714.2857142857138</v>
      </c>
      <c r="R21" s="69">
        <f>R66/R111</f>
        <v>4666.666666666667</v>
      </c>
      <c r="S21" s="51">
        <v>0</v>
      </c>
      <c r="T21" s="69">
        <f>T66/T111</f>
        <v>1333.3333333333335</v>
      </c>
      <c r="U21" s="69">
        <f>U66/U111</f>
        <v>3000</v>
      </c>
      <c r="V21" s="77">
        <v>50</v>
      </c>
      <c r="W21" s="69">
        <f>W66/W111</f>
        <v>137.5</v>
      </c>
      <c r="X21" s="69">
        <f>X66/X111</f>
        <v>8571.4285714285725</v>
      </c>
      <c r="Y21" s="59">
        <f t="shared" si="1"/>
        <v>17273.12</v>
      </c>
      <c r="Z21" s="51">
        <f t="shared" si="2"/>
        <v>103966.21428571429</v>
      </c>
      <c r="AA21" s="51">
        <f t="shared" si="12"/>
        <v>121239.33428571429</v>
      </c>
      <c r="AD21" s="99" t="s">
        <v>135</v>
      </c>
      <c r="AE21" s="99" t="s">
        <v>136</v>
      </c>
      <c r="AF21" s="99" t="s">
        <v>137</v>
      </c>
      <c r="AH21" s="6" t="s">
        <v>375</v>
      </c>
      <c r="AI21" s="6">
        <f>195000*0.05</f>
        <v>9750</v>
      </c>
    </row>
    <row r="22" spans="1:35" x14ac:dyDescent="0.25">
      <c r="A22" s="36" t="s">
        <v>60</v>
      </c>
      <c r="B22" s="37" t="s">
        <v>13</v>
      </c>
      <c r="C22" s="29" t="s">
        <v>62</v>
      </c>
      <c r="D22" s="2"/>
      <c r="E22" s="2"/>
      <c r="F22" s="215">
        <f>7600*0.35</f>
        <v>2660</v>
      </c>
      <c r="G22" s="214">
        <f>0.58*10000*0.6</f>
        <v>3480</v>
      </c>
      <c r="H22" s="215">
        <f>H10*0.88</f>
        <v>9658.8799999999992</v>
      </c>
      <c r="I22" s="51">
        <v>0</v>
      </c>
      <c r="J22" s="51">
        <v>0</v>
      </c>
      <c r="K22" s="51">
        <v>0</v>
      </c>
      <c r="L22" s="52">
        <v>0</v>
      </c>
      <c r="M22" s="51">
        <v>0</v>
      </c>
      <c r="N22" s="51">
        <v>0</v>
      </c>
      <c r="O22" s="215">
        <v>0</v>
      </c>
      <c r="P22" s="215">
        <f>0.6*160000</f>
        <v>96000</v>
      </c>
      <c r="Q22" s="51">
        <v>0</v>
      </c>
      <c r="R22" s="51">
        <v>0</v>
      </c>
      <c r="S22" s="51">
        <v>0</v>
      </c>
      <c r="T22" s="51">
        <v>0</v>
      </c>
      <c r="U22" s="51">
        <v>0</v>
      </c>
      <c r="V22" s="51">
        <v>0</v>
      </c>
      <c r="W22" s="51">
        <v>0</v>
      </c>
      <c r="X22" s="55">
        <v>0</v>
      </c>
      <c r="Y22" s="59">
        <f t="shared" si="1"/>
        <v>15798.88</v>
      </c>
      <c r="Z22" s="51">
        <f t="shared" si="2"/>
        <v>96000</v>
      </c>
      <c r="AA22" s="51">
        <f t="shared" si="12"/>
        <v>111798.88</v>
      </c>
      <c r="AB22">
        <v>14000</v>
      </c>
      <c r="AD22" s="99" t="s">
        <v>1</v>
      </c>
      <c r="AE22" s="99">
        <v>4000</v>
      </c>
      <c r="AF22" s="99">
        <v>3000</v>
      </c>
      <c r="AG22" s="99">
        <f>SUM(AE22:AF22)</f>
        <v>7000</v>
      </c>
    </row>
    <row r="23" spans="1:35" x14ac:dyDescent="0.25">
      <c r="A23" s="30" t="s">
        <v>60</v>
      </c>
      <c r="B23" s="31" t="s">
        <v>13</v>
      </c>
      <c r="C23" s="32" t="s">
        <v>63</v>
      </c>
      <c r="D23" s="2"/>
      <c r="E23" s="2"/>
      <c r="F23" s="51">
        <v>0</v>
      </c>
      <c r="G23" s="51">
        <v>0</v>
      </c>
      <c r="H23" s="51"/>
      <c r="I23" s="51">
        <v>0</v>
      </c>
      <c r="J23" s="51">
        <v>0</v>
      </c>
      <c r="K23" s="51">
        <v>0</v>
      </c>
      <c r="L23" s="52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55">
        <v>0</v>
      </c>
      <c r="Y23" s="59">
        <f t="shared" si="1"/>
        <v>0</v>
      </c>
      <c r="Z23" s="51">
        <f t="shared" si="2"/>
        <v>0</v>
      </c>
      <c r="AA23" s="51">
        <f t="shared" si="12"/>
        <v>0</v>
      </c>
      <c r="AD23" s="99" t="s">
        <v>18</v>
      </c>
      <c r="AE23" s="99"/>
      <c r="AF23" s="99"/>
      <c r="AG23" s="99">
        <v>2300</v>
      </c>
    </row>
    <row r="24" spans="1:35" x14ac:dyDescent="0.25">
      <c r="A24" s="30" t="s">
        <v>60</v>
      </c>
      <c r="B24" s="32" t="s">
        <v>23</v>
      </c>
      <c r="C24" s="31" t="s">
        <v>50</v>
      </c>
      <c r="D24" s="2"/>
      <c r="E24" s="2"/>
      <c r="F24" s="77">
        <f>F204*F159</f>
        <v>0</v>
      </c>
      <c r="G24" s="51">
        <v>0</v>
      </c>
      <c r="H24" s="51">
        <v>0</v>
      </c>
      <c r="I24" s="51">
        <v>0</v>
      </c>
      <c r="J24" s="77">
        <f>J21*0.005</f>
        <v>19.5</v>
      </c>
      <c r="K24" s="215">
        <f>2700*0.12</f>
        <v>324</v>
      </c>
      <c r="L24" s="52">
        <v>0</v>
      </c>
      <c r="M24" s="51">
        <v>0</v>
      </c>
      <c r="N24" s="215">
        <f>2700*0.88</f>
        <v>2376</v>
      </c>
      <c r="O24" s="51">
        <v>0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51">
        <v>0</v>
      </c>
      <c r="X24" s="55">
        <v>0</v>
      </c>
      <c r="Y24" s="59">
        <f t="shared" si="1"/>
        <v>343.5</v>
      </c>
      <c r="Z24" s="51">
        <f t="shared" si="2"/>
        <v>2376</v>
      </c>
      <c r="AA24" s="51">
        <f t="shared" si="12"/>
        <v>2719.5</v>
      </c>
      <c r="AD24" s="99" t="s">
        <v>35</v>
      </c>
      <c r="AF24" s="99">
        <v>0.04</v>
      </c>
      <c r="AG24" s="99">
        <v>0.15</v>
      </c>
    </row>
    <row r="25" spans="1:35" x14ac:dyDescent="0.25">
      <c r="A25" s="30" t="s">
        <v>60</v>
      </c>
      <c r="B25" s="32" t="s">
        <v>23</v>
      </c>
      <c r="C25" s="31" t="s">
        <v>49</v>
      </c>
      <c r="D25" s="2"/>
      <c r="E25" s="2"/>
      <c r="F25" s="51">
        <v>0</v>
      </c>
      <c r="G25" s="51">
        <v>0</v>
      </c>
      <c r="H25" s="51">
        <v>0</v>
      </c>
      <c r="I25" s="51">
        <v>0</v>
      </c>
      <c r="J25" s="214">
        <v>850</v>
      </c>
      <c r="K25" s="215">
        <f>800*0.1</f>
        <v>80</v>
      </c>
      <c r="L25" s="52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51">
        <v>0</v>
      </c>
      <c r="S25" s="215">
        <f>800*0.14</f>
        <v>112.00000000000001</v>
      </c>
      <c r="T25" s="77">
        <v>600</v>
      </c>
      <c r="U25" s="51">
        <v>0</v>
      </c>
      <c r="V25" s="77">
        <v>0</v>
      </c>
      <c r="W25" s="51">
        <v>0</v>
      </c>
      <c r="X25" s="77">
        <v>100</v>
      </c>
      <c r="Y25" s="59">
        <f t="shared" si="1"/>
        <v>930</v>
      </c>
      <c r="Z25" s="51">
        <f t="shared" si="2"/>
        <v>812</v>
      </c>
      <c r="AA25" s="51">
        <f t="shared" si="12"/>
        <v>1742</v>
      </c>
      <c r="AB25" s="214">
        <v>1500</v>
      </c>
      <c r="AC25" t="s">
        <v>129</v>
      </c>
      <c r="AE25" s="99" t="s">
        <v>17</v>
      </c>
      <c r="AF25" s="99">
        <f>AF22/AF24</f>
        <v>75000</v>
      </c>
      <c r="AG25" s="99">
        <f>AG22/AG24</f>
        <v>46666.666666666672</v>
      </c>
    </row>
    <row r="26" spans="1:35" x14ac:dyDescent="0.25">
      <c r="A26" s="30" t="s">
        <v>60</v>
      </c>
      <c r="B26" s="32" t="s">
        <v>23</v>
      </c>
      <c r="C26" s="31" t="s">
        <v>64</v>
      </c>
      <c r="D26" s="2"/>
      <c r="E26" s="2"/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2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  <c r="V26" s="51">
        <v>0</v>
      </c>
      <c r="W26" s="51">
        <v>0</v>
      </c>
      <c r="X26" s="55">
        <v>0</v>
      </c>
      <c r="Y26" s="59">
        <f t="shared" si="1"/>
        <v>0</v>
      </c>
      <c r="Z26" s="51">
        <f t="shared" si="2"/>
        <v>0</v>
      </c>
      <c r="AA26" s="51">
        <f t="shared" si="12"/>
        <v>0</v>
      </c>
    </row>
    <row r="27" spans="1:35" x14ac:dyDescent="0.25">
      <c r="A27" s="30" t="s">
        <v>60</v>
      </c>
      <c r="B27" s="32" t="s">
        <v>65</v>
      </c>
      <c r="C27" s="31" t="s">
        <v>66</v>
      </c>
      <c r="D27" s="2"/>
      <c r="E27" s="2">
        <f>4/18</f>
        <v>0.22222222222222221</v>
      </c>
      <c r="F27" s="51">
        <v>0</v>
      </c>
      <c r="G27" s="51">
        <v>0</v>
      </c>
      <c r="H27" s="51">
        <v>0</v>
      </c>
      <c r="I27" s="51">
        <v>0</v>
      </c>
      <c r="J27" s="81">
        <f>J72/J117</f>
        <v>17500</v>
      </c>
      <c r="K27" s="51">
        <v>0</v>
      </c>
      <c r="L27" s="52">
        <v>0</v>
      </c>
      <c r="M27" s="214">
        <f>420000*0.04</f>
        <v>16800</v>
      </c>
      <c r="N27" s="51">
        <v>0</v>
      </c>
      <c r="O27" s="51">
        <v>0</v>
      </c>
      <c r="P27" s="51">
        <v>0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51">
        <v>0</v>
      </c>
      <c r="X27" s="55">
        <v>0</v>
      </c>
      <c r="Y27" s="59">
        <f t="shared" si="1"/>
        <v>17500</v>
      </c>
      <c r="Z27" s="51">
        <f t="shared" si="2"/>
        <v>16800</v>
      </c>
      <c r="AA27" s="51">
        <f t="shared" si="12"/>
        <v>34300</v>
      </c>
    </row>
    <row r="28" spans="1:35" x14ac:dyDescent="0.25">
      <c r="A28" s="30" t="s">
        <v>60</v>
      </c>
      <c r="B28" s="32" t="s">
        <v>65</v>
      </c>
      <c r="C28" s="31" t="s">
        <v>67</v>
      </c>
      <c r="D28" s="2"/>
      <c r="E28" s="2"/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2">
        <v>0</v>
      </c>
      <c r="M28" s="51">
        <v>0</v>
      </c>
      <c r="N28" s="51">
        <v>0</v>
      </c>
      <c r="O28" s="51">
        <v>0</v>
      </c>
      <c r="P28" s="51">
        <v>0</v>
      </c>
      <c r="Q28" s="214">
        <f>72000*0.45</f>
        <v>32400</v>
      </c>
      <c r="R28" s="214">
        <f>72000*0.2</f>
        <v>14400</v>
      </c>
      <c r="S28" s="51">
        <v>0</v>
      </c>
      <c r="T28" s="214">
        <f>72000*0.18</f>
        <v>12960</v>
      </c>
      <c r="U28" s="214">
        <f>72000*0.17</f>
        <v>12240</v>
      </c>
      <c r="V28" s="214">
        <f>X28</f>
        <v>2520</v>
      </c>
      <c r="W28" s="214">
        <f>420000*0.01</f>
        <v>4200</v>
      </c>
      <c r="X28" s="214">
        <f>420000*0.006</f>
        <v>2520</v>
      </c>
      <c r="Y28" s="59">
        <f t="shared" si="1"/>
        <v>0</v>
      </c>
      <c r="Z28" s="51">
        <f t="shared" si="2"/>
        <v>81240</v>
      </c>
      <c r="AA28" s="51">
        <f t="shared" si="12"/>
        <v>81240</v>
      </c>
      <c r="AC28">
        <f>230*0.15</f>
        <v>34.5</v>
      </c>
    </row>
    <row r="29" spans="1:35" x14ac:dyDescent="0.25">
      <c r="A29" s="30" t="s">
        <v>60</v>
      </c>
      <c r="B29" s="32" t="s">
        <v>65</v>
      </c>
      <c r="C29" s="31" t="s">
        <v>68</v>
      </c>
      <c r="D29" s="2"/>
      <c r="E29" s="2"/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214">
        <f>410000*0.71</f>
        <v>291100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  <c r="R29" s="51">
        <v>0</v>
      </c>
      <c r="S29" s="51">
        <v>0</v>
      </c>
      <c r="T29" s="51">
        <v>0</v>
      </c>
      <c r="U29" s="51">
        <v>0</v>
      </c>
      <c r="V29" s="51">
        <v>0</v>
      </c>
      <c r="W29" s="51">
        <v>0</v>
      </c>
      <c r="X29" s="55">
        <v>0</v>
      </c>
      <c r="Y29" s="59">
        <f t="shared" si="1"/>
        <v>0</v>
      </c>
      <c r="Z29" s="51">
        <f t="shared" si="2"/>
        <v>0</v>
      </c>
      <c r="AA29" s="51">
        <f t="shared" si="12"/>
        <v>291100</v>
      </c>
      <c r="AC29">
        <f>230*0.69</f>
        <v>158.69999999999999</v>
      </c>
    </row>
    <row r="30" spans="1:35" x14ac:dyDescent="0.25">
      <c r="A30" s="30" t="s">
        <v>60</v>
      </c>
      <c r="B30" s="32" t="s">
        <v>9</v>
      </c>
      <c r="C30" s="31" t="s">
        <v>69</v>
      </c>
      <c r="D30" s="2"/>
      <c r="E30" s="2"/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2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  <c r="R30" s="51">
        <v>0</v>
      </c>
      <c r="S30" s="51">
        <v>0</v>
      </c>
      <c r="T30" s="51">
        <v>0</v>
      </c>
      <c r="U30" s="51">
        <v>0</v>
      </c>
      <c r="V30" s="96">
        <v>760</v>
      </c>
      <c r="W30" s="51">
        <v>0</v>
      </c>
      <c r="X30" s="81">
        <f>X75/X120</f>
        <v>1488.0952380952381</v>
      </c>
      <c r="Y30" s="59">
        <f t="shared" si="1"/>
        <v>0</v>
      </c>
      <c r="Z30" s="51">
        <f t="shared" si="2"/>
        <v>2248.0952380952381</v>
      </c>
      <c r="AA30" s="51">
        <f t="shared" si="12"/>
        <v>2248.0952380952381</v>
      </c>
    </row>
    <row r="31" spans="1:35" x14ac:dyDescent="0.25">
      <c r="A31" s="15" t="s">
        <v>51</v>
      </c>
      <c r="B31" s="16" t="s">
        <v>56</v>
      </c>
      <c r="C31" s="27" t="s">
        <v>57</v>
      </c>
      <c r="D31" s="16" t="s">
        <v>70</v>
      </c>
      <c r="E31" s="43"/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52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54">
        <v>0</v>
      </c>
      <c r="Y31" s="58">
        <f t="shared" si="1"/>
        <v>0</v>
      </c>
      <c r="Z31" s="1">
        <f t="shared" si="2"/>
        <v>0</v>
      </c>
      <c r="AA31" s="1">
        <f t="shared" si="12"/>
        <v>0</v>
      </c>
      <c r="AH31">
        <f>52/128*2000</f>
        <v>812.5</v>
      </c>
    </row>
    <row r="32" spans="1:35" x14ac:dyDescent="0.25">
      <c r="A32" s="15" t="s">
        <v>51</v>
      </c>
      <c r="B32" s="16" t="s">
        <v>56</v>
      </c>
      <c r="C32" s="27" t="s">
        <v>57</v>
      </c>
      <c r="D32" s="16" t="s">
        <v>71</v>
      </c>
      <c r="E32" s="43"/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52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54">
        <v>0</v>
      </c>
      <c r="Y32" s="58">
        <f t="shared" si="1"/>
        <v>0</v>
      </c>
      <c r="Z32" s="1">
        <f t="shared" si="2"/>
        <v>0</v>
      </c>
      <c r="AA32" s="1">
        <f t="shared" si="12"/>
        <v>0</v>
      </c>
    </row>
    <row r="33" spans="1:29" x14ac:dyDescent="0.25">
      <c r="A33" s="15" t="s">
        <v>51</v>
      </c>
      <c r="B33" s="16" t="s">
        <v>56</v>
      </c>
      <c r="C33" s="27" t="s">
        <v>27</v>
      </c>
      <c r="D33" s="16" t="s">
        <v>72</v>
      </c>
      <c r="E33" s="43"/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52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54">
        <v>0</v>
      </c>
      <c r="Y33" s="58">
        <f t="shared" si="1"/>
        <v>0</v>
      </c>
      <c r="Z33" s="1">
        <f t="shared" si="2"/>
        <v>0</v>
      </c>
      <c r="AA33" s="1">
        <f t="shared" si="12"/>
        <v>0</v>
      </c>
    </row>
    <row r="34" spans="1:29" x14ac:dyDescent="0.25">
      <c r="A34" s="15" t="s">
        <v>51</v>
      </c>
      <c r="B34" s="16" t="s">
        <v>56</v>
      </c>
      <c r="C34" s="27" t="s">
        <v>57</v>
      </c>
      <c r="D34" s="16" t="s">
        <v>73</v>
      </c>
      <c r="E34" s="43"/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52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54">
        <v>0</v>
      </c>
      <c r="Y34" s="58">
        <f t="shared" si="1"/>
        <v>0</v>
      </c>
      <c r="Z34" s="1">
        <f t="shared" si="2"/>
        <v>0</v>
      </c>
      <c r="AA34" s="1">
        <f t="shared" si="12"/>
        <v>0</v>
      </c>
    </row>
    <row r="35" spans="1:29" x14ac:dyDescent="0.25">
      <c r="A35" s="15" t="s">
        <v>51</v>
      </c>
      <c r="B35" s="16" t="s">
        <v>56</v>
      </c>
      <c r="C35" s="27" t="s">
        <v>57</v>
      </c>
      <c r="D35" s="16" t="s">
        <v>74</v>
      </c>
      <c r="E35" s="43"/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52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54">
        <v>0</v>
      </c>
      <c r="Y35" s="58">
        <f t="shared" si="1"/>
        <v>0</v>
      </c>
      <c r="Z35" s="1">
        <f t="shared" si="2"/>
        <v>0</v>
      </c>
      <c r="AA35" s="1">
        <f t="shared" si="12"/>
        <v>0</v>
      </c>
    </row>
    <row r="36" spans="1:29" x14ac:dyDescent="0.25">
      <c r="A36" s="30" t="s">
        <v>60</v>
      </c>
      <c r="B36" s="31" t="s">
        <v>13</v>
      </c>
      <c r="C36" s="32" t="s">
        <v>61</v>
      </c>
      <c r="D36" s="31" t="s">
        <v>75</v>
      </c>
      <c r="E36" s="72">
        <v>0.09</v>
      </c>
      <c r="F36" s="51">
        <f>F21*0.9</f>
        <v>4446</v>
      </c>
      <c r="G36" s="73"/>
      <c r="H36" s="51">
        <f>H21</f>
        <v>1317.12</v>
      </c>
      <c r="I36" s="51">
        <f>I21*0.9</f>
        <v>3704.4</v>
      </c>
      <c r="J36" s="51">
        <f>J21*0.3</f>
        <v>1170</v>
      </c>
      <c r="K36" s="51">
        <f>K21*0.8</f>
        <v>2400</v>
      </c>
      <c r="L36" s="52">
        <v>0</v>
      </c>
      <c r="M36" s="73">
        <f>M21*0.1</f>
        <v>600</v>
      </c>
      <c r="N36" s="73">
        <v>0</v>
      </c>
      <c r="O36" s="73">
        <v>0</v>
      </c>
      <c r="P36" s="73">
        <v>0</v>
      </c>
      <c r="Q36" s="73"/>
      <c r="R36" s="73"/>
      <c r="S36" s="51"/>
      <c r="T36" s="51"/>
      <c r="U36" s="51"/>
      <c r="V36" s="51"/>
      <c r="W36" s="51">
        <f>W21</f>
        <v>137.5</v>
      </c>
      <c r="X36" s="55">
        <f>X66*0.1</f>
        <v>300</v>
      </c>
      <c r="Y36" s="108">
        <f t="shared" si="1"/>
        <v>13037.52</v>
      </c>
      <c r="Z36" s="73">
        <f t="shared" si="2"/>
        <v>1037.5</v>
      </c>
      <c r="AA36" s="73">
        <f t="shared" si="12"/>
        <v>14075.02</v>
      </c>
      <c r="AB36">
        <f>AA36/AA$10</f>
        <v>6.0397905309828095E-2</v>
      </c>
      <c r="AC36" s="71"/>
    </row>
    <row r="37" spans="1:29" x14ac:dyDescent="0.25">
      <c r="A37" s="30" t="s">
        <v>60</v>
      </c>
      <c r="B37" s="31" t="s">
        <v>13</v>
      </c>
      <c r="C37" s="32" t="s">
        <v>61</v>
      </c>
      <c r="D37" s="31" t="s">
        <v>76</v>
      </c>
      <c r="E37" s="72">
        <v>0.66</v>
      </c>
      <c r="F37" s="51">
        <f>F21*0.1</f>
        <v>494</v>
      </c>
      <c r="G37" s="51">
        <v>0</v>
      </c>
      <c r="H37" s="51">
        <v>0</v>
      </c>
      <c r="I37" s="51">
        <f>I21*0.05</f>
        <v>205.8</v>
      </c>
      <c r="J37" s="51">
        <f>J21*0.7</f>
        <v>2730</v>
      </c>
      <c r="K37" s="51">
        <f>K21*0.05</f>
        <v>150</v>
      </c>
      <c r="L37" s="52">
        <v>0</v>
      </c>
      <c r="M37" s="73">
        <f>M21*0.5</f>
        <v>3000</v>
      </c>
      <c r="N37" s="73">
        <f>N21</f>
        <v>2420</v>
      </c>
      <c r="O37" s="73">
        <f>O21*0.5</f>
        <v>4036.5</v>
      </c>
      <c r="P37" s="73">
        <f>P21*0.49</f>
        <v>31360</v>
      </c>
      <c r="Q37" s="73"/>
      <c r="R37" s="73">
        <f>R21</f>
        <v>4666.666666666667</v>
      </c>
      <c r="S37" s="51"/>
      <c r="T37" s="51"/>
      <c r="U37" s="51"/>
      <c r="V37" s="51"/>
      <c r="W37" s="51"/>
      <c r="X37" s="55">
        <f>X66*0.1</f>
        <v>300</v>
      </c>
      <c r="Y37" s="108">
        <f t="shared" si="1"/>
        <v>3579.8</v>
      </c>
      <c r="Z37" s="73">
        <f t="shared" si="2"/>
        <v>45783.166666666664</v>
      </c>
      <c r="AA37" s="73">
        <f t="shared" si="12"/>
        <v>49362.966666666667</v>
      </c>
      <c r="AB37">
        <f t="shared" ref="AB37:AB44" si="13">AA37/AA$10</f>
        <v>0.21182348490769703</v>
      </c>
      <c r="AC37" s="71"/>
    </row>
    <row r="38" spans="1:29" x14ac:dyDescent="0.25">
      <c r="A38" s="30" t="s">
        <v>60</v>
      </c>
      <c r="B38" s="31" t="s">
        <v>13</v>
      </c>
      <c r="C38" s="32" t="s">
        <v>61</v>
      </c>
      <c r="D38" s="31" t="s">
        <v>77</v>
      </c>
      <c r="E38" s="72">
        <v>0.2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f>K21*0.1</f>
        <v>300</v>
      </c>
      <c r="L38" s="52">
        <v>0</v>
      </c>
      <c r="M38" s="73">
        <f>M21*0.4</f>
        <v>2400</v>
      </c>
      <c r="N38" s="73">
        <v>0</v>
      </c>
      <c r="O38" s="73">
        <f>O21*0.5</f>
        <v>4036.5</v>
      </c>
      <c r="P38" s="73">
        <f>P21*0.5</f>
        <v>32000</v>
      </c>
      <c r="Q38" s="73"/>
      <c r="R38" s="73"/>
      <c r="S38" s="51"/>
      <c r="T38" s="51">
        <f>T21</f>
        <v>1333.3333333333335</v>
      </c>
      <c r="U38" s="51">
        <f>U21</f>
        <v>3000</v>
      </c>
      <c r="V38" s="51"/>
      <c r="W38" s="51"/>
      <c r="X38" s="55">
        <f>X66*0.7</f>
        <v>2100</v>
      </c>
      <c r="Y38" s="108">
        <f t="shared" si="1"/>
        <v>300</v>
      </c>
      <c r="Z38" s="73">
        <f t="shared" si="2"/>
        <v>44869.833333333336</v>
      </c>
      <c r="AA38" s="73">
        <f t="shared" si="12"/>
        <v>45169.833333333336</v>
      </c>
      <c r="AB38">
        <f t="shared" si="13"/>
        <v>0.19383015558964631</v>
      </c>
      <c r="AC38" s="71"/>
    </row>
    <row r="39" spans="1:29" x14ac:dyDescent="0.25">
      <c r="A39" s="30" t="s">
        <v>60</v>
      </c>
      <c r="B39" s="31" t="s">
        <v>13</v>
      </c>
      <c r="C39" s="32" t="s">
        <v>61</v>
      </c>
      <c r="D39" s="31" t="s">
        <v>78</v>
      </c>
      <c r="E39" s="72">
        <v>0.03</v>
      </c>
      <c r="F39" s="51">
        <v>0</v>
      </c>
      <c r="G39" s="51">
        <v>0</v>
      </c>
      <c r="H39" s="51">
        <v>0</v>
      </c>
      <c r="I39" s="51">
        <f>I21*0.05</f>
        <v>205.8</v>
      </c>
      <c r="J39" s="51">
        <v>0</v>
      </c>
      <c r="K39" s="51">
        <f>K21*0.05</f>
        <v>150</v>
      </c>
      <c r="L39" s="52">
        <v>0</v>
      </c>
      <c r="M39" s="73">
        <f>M21*0</f>
        <v>0</v>
      </c>
      <c r="N39" s="73">
        <v>0</v>
      </c>
      <c r="O39" s="73">
        <f>O21*0</f>
        <v>0</v>
      </c>
      <c r="P39" s="73">
        <f>(P21)*0.01</f>
        <v>640</v>
      </c>
      <c r="Q39" s="73">
        <f>Q21</f>
        <v>5714.2857142857138</v>
      </c>
      <c r="R39" s="73"/>
      <c r="S39" s="51"/>
      <c r="T39" s="51"/>
      <c r="U39" s="51"/>
      <c r="V39" s="51"/>
      <c r="W39" s="51"/>
      <c r="X39" s="55">
        <f>X21*0.1</f>
        <v>857.14285714285734</v>
      </c>
      <c r="Y39" s="108">
        <f t="shared" si="1"/>
        <v>355.8</v>
      </c>
      <c r="Z39" s="73">
        <f t="shared" si="2"/>
        <v>7211.4285714285706</v>
      </c>
      <c r="AA39" s="73">
        <f t="shared" si="12"/>
        <v>7567.2285714285708</v>
      </c>
      <c r="AB39">
        <f t="shared" si="13"/>
        <v>3.2472050108274697E-2</v>
      </c>
      <c r="AC39" s="71"/>
    </row>
    <row r="40" spans="1:29" ht="15.75" thickBot="1" x14ac:dyDescent="0.3">
      <c r="A40" s="33" t="s">
        <v>60</v>
      </c>
      <c r="B40" s="34" t="s">
        <v>13</v>
      </c>
      <c r="C40" s="35" t="s">
        <v>61</v>
      </c>
      <c r="D40" s="34" t="s">
        <v>79</v>
      </c>
      <c r="E40" s="43"/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2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  <c r="V40" s="51">
        <v>0</v>
      </c>
      <c r="W40" s="51">
        <v>0</v>
      </c>
      <c r="X40" s="55">
        <v>0</v>
      </c>
      <c r="Y40" s="108">
        <f t="shared" si="1"/>
        <v>0</v>
      </c>
      <c r="Z40" s="73">
        <f t="shared" si="2"/>
        <v>0</v>
      </c>
      <c r="AA40" s="73">
        <f t="shared" si="12"/>
        <v>0</v>
      </c>
      <c r="AB40">
        <f t="shared" si="13"/>
        <v>0</v>
      </c>
    </row>
    <row r="41" spans="1:29" x14ac:dyDescent="0.25">
      <c r="A41" s="30" t="s">
        <v>60</v>
      </c>
      <c r="B41" s="31" t="s">
        <v>13</v>
      </c>
      <c r="C41" s="32" t="s">
        <v>62</v>
      </c>
      <c r="D41" s="31" t="s">
        <v>75</v>
      </c>
      <c r="E41" s="43"/>
      <c r="F41" s="51"/>
      <c r="G41" s="73">
        <f>G22</f>
        <v>3480</v>
      </c>
      <c r="H41" s="51">
        <f>H22*0.4</f>
        <v>3863.5519999999997</v>
      </c>
      <c r="I41" s="51">
        <v>0</v>
      </c>
      <c r="J41" s="51">
        <v>0</v>
      </c>
      <c r="K41" s="51">
        <v>0</v>
      </c>
      <c r="L41" s="52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  <c r="R41" s="51">
        <v>0</v>
      </c>
      <c r="S41" s="51">
        <v>0</v>
      </c>
      <c r="T41" s="51">
        <v>0</v>
      </c>
      <c r="U41" s="51">
        <v>0</v>
      </c>
      <c r="V41" s="51">
        <v>0</v>
      </c>
      <c r="W41" s="51">
        <v>0</v>
      </c>
      <c r="X41" s="55">
        <v>0</v>
      </c>
      <c r="Y41" s="108">
        <f t="shared" si="1"/>
        <v>7343.5519999999997</v>
      </c>
      <c r="Z41" s="73">
        <f t="shared" si="2"/>
        <v>0</v>
      </c>
      <c r="AA41" s="73">
        <f t="shared" si="12"/>
        <v>7343.5519999999997</v>
      </c>
      <c r="AB41">
        <f t="shared" si="13"/>
        <v>3.151222224435906E-2</v>
      </c>
    </row>
    <row r="42" spans="1:29" x14ac:dyDescent="0.25">
      <c r="A42" s="30" t="s">
        <v>60</v>
      </c>
      <c r="B42" s="31" t="s">
        <v>13</v>
      </c>
      <c r="C42" s="32" t="s">
        <v>62</v>
      </c>
      <c r="D42" s="31" t="s">
        <v>76</v>
      </c>
      <c r="E42" s="43"/>
      <c r="F42" s="51">
        <f>F22</f>
        <v>2660</v>
      </c>
      <c r="G42" s="51">
        <f>G22*0</f>
        <v>0</v>
      </c>
      <c r="H42" s="51">
        <f>H22*0.6</f>
        <v>5795.3279999999995</v>
      </c>
      <c r="I42" s="51">
        <v>0</v>
      </c>
      <c r="J42" s="51">
        <v>0</v>
      </c>
      <c r="K42" s="51">
        <v>0</v>
      </c>
      <c r="L42" s="52">
        <v>0</v>
      </c>
      <c r="M42" s="51">
        <v>0</v>
      </c>
      <c r="N42" s="51">
        <v>0</v>
      </c>
      <c r="O42" s="51">
        <v>0</v>
      </c>
      <c r="P42" s="51">
        <f>P22</f>
        <v>96000</v>
      </c>
      <c r="Q42" s="51">
        <v>0</v>
      </c>
      <c r="R42" s="51">
        <v>0</v>
      </c>
      <c r="S42" s="51">
        <v>0</v>
      </c>
      <c r="T42" s="51">
        <v>0</v>
      </c>
      <c r="U42" s="51">
        <v>0</v>
      </c>
      <c r="V42" s="51">
        <v>0</v>
      </c>
      <c r="W42" s="51">
        <v>0</v>
      </c>
      <c r="X42" s="55">
        <v>0</v>
      </c>
      <c r="Y42" s="108">
        <f t="shared" si="1"/>
        <v>8455.3279999999995</v>
      </c>
      <c r="Z42" s="73">
        <f t="shared" si="2"/>
        <v>96000</v>
      </c>
      <c r="AA42" s="73">
        <f t="shared" si="12"/>
        <v>104455.32799999999</v>
      </c>
      <c r="AB42">
        <f t="shared" si="13"/>
        <v>0.44823261420950272</v>
      </c>
    </row>
    <row r="43" spans="1:29" x14ac:dyDescent="0.25">
      <c r="A43" s="30" t="s">
        <v>60</v>
      </c>
      <c r="B43" s="31" t="s">
        <v>13</v>
      </c>
      <c r="C43" s="32" t="s">
        <v>62</v>
      </c>
      <c r="D43" s="31" t="s">
        <v>77</v>
      </c>
      <c r="E43" s="43"/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2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  <c r="R43" s="51">
        <v>0</v>
      </c>
      <c r="S43" s="51">
        <v>0</v>
      </c>
      <c r="T43" s="51">
        <v>0</v>
      </c>
      <c r="U43" s="51">
        <v>0</v>
      </c>
      <c r="V43" s="51">
        <v>0</v>
      </c>
      <c r="W43" s="51">
        <v>0</v>
      </c>
      <c r="X43" s="55">
        <v>0</v>
      </c>
      <c r="Y43" s="59">
        <f t="shared" si="1"/>
        <v>0</v>
      </c>
      <c r="Z43" s="51">
        <f t="shared" si="2"/>
        <v>0</v>
      </c>
      <c r="AA43" s="51">
        <f t="shared" si="12"/>
        <v>0</v>
      </c>
      <c r="AB43">
        <f t="shared" si="13"/>
        <v>0</v>
      </c>
    </row>
    <row r="44" spans="1:29" x14ac:dyDescent="0.25">
      <c r="A44" s="30" t="s">
        <v>60</v>
      </c>
      <c r="B44" s="31" t="s">
        <v>13</v>
      </c>
      <c r="C44" s="32" t="s">
        <v>62</v>
      </c>
      <c r="D44" s="31" t="s">
        <v>78</v>
      </c>
      <c r="E44" s="43"/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2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  <c r="R44" s="51">
        <v>0</v>
      </c>
      <c r="S44" s="51">
        <v>0</v>
      </c>
      <c r="T44" s="51">
        <v>0</v>
      </c>
      <c r="U44" s="51">
        <v>0</v>
      </c>
      <c r="V44" s="51">
        <v>0</v>
      </c>
      <c r="W44" s="51">
        <v>0</v>
      </c>
      <c r="X44" s="55">
        <v>0</v>
      </c>
      <c r="Y44" s="59">
        <f t="shared" si="1"/>
        <v>0</v>
      </c>
      <c r="Z44" s="51">
        <f t="shared" si="2"/>
        <v>0</v>
      </c>
      <c r="AA44" s="51">
        <f t="shared" si="12"/>
        <v>0</v>
      </c>
      <c r="AB44">
        <f t="shared" si="13"/>
        <v>0</v>
      </c>
    </row>
    <row r="45" spans="1:29" ht="15.75" thickBot="1" x14ac:dyDescent="0.3">
      <c r="A45" s="33" t="s">
        <v>60</v>
      </c>
      <c r="B45" s="34" t="s">
        <v>13</v>
      </c>
      <c r="C45" s="32" t="s">
        <v>62</v>
      </c>
      <c r="D45" s="34" t="s">
        <v>79</v>
      </c>
      <c r="E45" s="43"/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2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  <c r="R45" s="51">
        <v>0</v>
      </c>
      <c r="S45" s="51">
        <v>0</v>
      </c>
      <c r="T45" s="51">
        <v>0</v>
      </c>
      <c r="U45" s="51">
        <v>0</v>
      </c>
      <c r="V45" s="51">
        <v>0</v>
      </c>
      <c r="W45" s="51">
        <v>0</v>
      </c>
      <c r="X45" s="55">
        <v>0</v>
      </c>
      <c r="Y45" s="59">
        <f t="shared" si="1"/>
        <v>0</v>
      </c>
      <c r="Z45" s="51">
        <f t="shared" si="2"/>
        <v>0</v>
      </c>
      <c r="AA45" s="51">
        <f t="shared" si="12"/>
        <v>0</v>
      </c>
    </row>
    <row r="47" spans="1:29" x14ac:dyDescent="0.25">
      <c r="D47" s="41" t="s">
        <v>18</v>
      </c>
      <c r="E47" s="41"/>
      <c r="K47">
        <f>1900/27000</f>
        <v>7.0370370370370375E-2</v>
      </c>
      <c r="M47" s="24" t="s">
        <v>81</v>
      </c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  <row r="48" spans="1:29" x14ac:dyDescent="0.25">
      <c r="F48" s="23" t="s">
        <v>44</v>
      </c>
      <c r="G48" s="23"/>
      <c r="H48" s="23"/>
      <c r="I48" s="23"/>
      <c r="J48" s="23"/>
      <c r="K48" s="23"/>
      <c r="L48" s="7" t="s">
        <v>30</v>
      </c>
      <c r="M48" s="24" t="s">
        <v>46</v>
      </c>
      <c r="N48" s="24"/>
      <c r="O48" s="24"/>
      <c r="P48" s="24"/>
      <c r="Q48" s="24"/>
      <c r="R48" s="24" t="s">
        <v>47</v>
      </c>
      <c r="S48" s="24"/>
      <c r="T48" s="24"/>
      <c r="U48" s="24"/>
      <c r="V48" s="24"/>
      <c r="W48" s="24"/>
      <c r="X48" s="24"/>
      <c r="Y48" s="44" t="s">
        <v>85</v>
      </c>
      <c r="Z48" s="44" t="s">
        <v>48</v>
      </c>
      <c r="AA48" s="44" t="s">
        <v>3</v>
      </c>
    </row>
    <row r="49" spans="1:34" ht="63" x14ac:dyDescent="0.25">
      <c r="F49" s="38" t="s">
        <v>36</v>
      </c>
      <c r="G49" s="38" t="s">
        <v>37</v>
      </c>
      <c r="H49" s="38" t="s">
        <v>38</v>
      </c>
      <c r="I49" s="38" t="s">
        <v>80</v>
      </c>
      <c r="J49" s="38" t="s">
        <v>39</v>
      </c>
      <c r="K49" s="38" t="s">
        <v>45</v>
      </c>
      <c r="L49" s="39" t="s">
        <v>16</v>
      </c>
      <c r="M49" s="40" t="s">
        <v>34</v>
      </c>
      <c r="N49" s="40" t="s">
        <v>5</v>
      </c>
      <c r="O49" s="40" t="s">
        <v>7</v>
      </c>
      <c r="P49" s="40" t="s">
        <v>8</v>
      </c>
      <c r="Q49" s="40" t="s">
        <v>40</v>
      </c>
      <c r="R49" s="40" t="s">
        <v>41</v>
      </c>
      <c r="S49" s="40" t="s">
        <v>42</v>
      </c>
      <c r="T49" s="40" t="s">
        <v>31</v>
      </c>
      <c r="U49" s="40" t="s">
        <v>125</v>
      </c>
      <c r="V49" s="40" t="s">
        <v>82</v>
      </c>
      <c r="W49" s="40" t="s">
        <v>87</v>
      </c>
      <c r="X49" s="40" t="s">
        <v>83</v>
      </c>
      <c r="Y49" s="45" t="s">
        <v>3</v>
      </c>
      <c r="Z49" s="45" t="s">
        <v>3</v>
      </c>
      <c r="AA49" s="45" t="s">
        <v>3</v>
      </c>
      <c r="AG49" s="6">
        <v>2020</v>
      </c>
      <c r="AH49" s="6"/>
    </row>
    <row r="50" spans="1:34" x14ac:dyDescent="0.25">
      <c r="A50" s="15" t="s">
        <v>51</v>
      </c>
      <c r="B50" s="2"/>
      <c r="C50" s="2"/>
      <c r="F50" s="1">
        <f t="shared" ref="F50:X50" si="14">F52+F53+F54</f>
        <v>0</v>
      </c>
      <c r="G50" s="1">
        <f t="shared" si="14"/>
        <v>0</v>
      </c>
      <c r="H50" s="1">
        <f t="shared" si="14"/>
        <v>0</v>
      </c>
      <c r="I50" s="1">
        <f t="shared" si="14"/>
        <v>0</v>
      </c>
      <c r="J50" s="1">
        <f t="shared" si="14"/>
        <v>0</v>
      </c>
      <c r="K50" s="1">
        <f t="shared" si="14"/>
        <v>14500</v>
      </c>
      <c r="L50" s="52">
        <f t="shared" si="14"/>
        <v>0</v>
      </c>
      <c r="M50" s="1">
        <f t="shared" si="14"/>
        <v>0</v>
      </c>
      <c r="N50" s="1">
        <f t="shared" si="14"/>
        <v>0</v>
      </c>
      <c r="O50" s="1">
        <f t="shared" si="14"/>
        <v>0</v>
      </c>
      <c r="P50" s="1">
        <f t="shared" si="14"/>
        <v>0</v>
      </c>
      <c r="Q50" s="1">
        <f t="shared" si="14"/>
        <v>0</v>
      </c>
      <c r="R50" s="1">
        <f t="shared" si="14"/>
        <v>0</v>
      </c>
      <c r="S50" s="1">
        <f t="shared" si="14"/>
        <v>0</v>
      </c>
      <c r="T50" s="1">
        <f t="shared" si="14"/>
        <v>0</v>
      </c>
      <c r="U50" s="1">
        <f t="shared" si="14"/>
        <v>0</v>
      </c>
      <c r="V50" s="1">
        <f t="shared" si="14"/>
        <v>0</v>
      </c>
      <c r="W50" s="1">
        <f t="shared" si="14"/>
        <v>0</v>
      </c>
      <c r="X50" s="1">
        <f t="shared" si="14"/>
        <v>0</v>
      </c>
      <c r="Y50" s="58">
        <f>SUM(F50:K50)</f>
        <v>14500</v>
      </c>
      <c r="Z50" s="1">
        <f t="shared" ref="Z50:Z90" si="15">SUM(M50:X50)</f>
        <v>0</v>
      </c>
      <c r="AA50" s="1">
        <f>L50+Y50+Z50</f>
        <v>14500</v>
      </c>
      <c r="AB50" s="44" t="s">
        <v>85</v>
      </c>
      <c r="AC50" s="44" t="s">
        <v>48</v>
      </c>
      <c r="AD50" t="s">
        <v>30</v>
      </c>
      <c r="AG50" s="6" t="s">
        <v>51</v>
      </c>
      <c r="AH50" s="6">
        <v>14800</v>
      </c>
    </row>
    <row r="51" spans="1:34" x14ac:dyDescent="0.25">
      <c r="A51" s="30" t="s">
        <v>60</v>
      </c>
      <c r="B51" s="2"/>
      <c r="C51" s="2"/>
      <c r="F51" s="1">
        <f>F55+F56+F57+F58</f>
        <v>1505.7328400000001</v>
      </c>
      <c r="G51" s="1">
        <f t="shared" ref="G51:X51" si="16">G55+G56+G57+G58</f>
        <v>837.59633363886337</v>
      </c>
      <c r="H51" s="1">
        <f t="shared" si="16"/>
        <v>2668.05</v>
      </c>
      <c r="I51" s="1">
        <f t="shared" si="16"/>
        <v>776</v>
      </c>
      <c r="J51" s="1">
        <f t="shared" si="16"/>
        <v>3805.85</v>
      </c>
      <c r="K51" s="1">
        <f t="shared" si="16"/>
        <v>566.15</v>
      </c>
      <c r="L51" s="52">
        <f t="shared" si="16"/>
        <v>24161.300000000003</v>
      </c>
      <c r="M51" s="1">
        <f t="shared" si="16"/>
        <v>3694</v>
      </c>
      <c r="N51" s="1">
        <f t="shared" si="16"/>
        <v>1395</v>
      </c>
      <c r="O51" s="1">
        <f t="shared" si="16"/>
        <v>1800</v>
      </c>
      <c r="P51" s="1">
        <f t="shared" si="16"/>
        <v>20000</v>
      </c>
      <c r="Q51" s="1">
        <f>Q55+Q56+Q57+Q58</f>
        <v>4516</v>
      </c>
      <c r="R51" s="1">
        <f t="shared" si="16"/>
        <v>2840</v>
      </c>
      <c r="S51" s="1">
        <f t="shared" si="16"/>
        <v>60</v>
      </c>
      <c r="T51" s="1">
        <f t="shared" si="16"/>
        <v>2195.1999999999998</v>
      </c>
      <c r="U51" s="1">
        <f t="shared" si="16"/>
        <v>2124</v>
      </c>
      <c r="V51" s="1">
        <f t="shared" si="16"/>
        <v>1198</v>
      </c>
      <c r="W51" s="1">
        <f t="shared" si="16"/>
        <v>530</v>
      </c>
      <c r="X51" s="54">
        <f t="shared" si="16"/>
        <v>3967</v>
      </c>
      <c r="Y51" s="58">
        <f t="shared" ref="Y51:Y90" si="17">SUM(F51:K51)</f>
        <v>10159.379173638863</v>
      </c>
      <c r="Z51" s="1">
        <f t="shared" si="15"/>
        <v>44319.199999999997</v>
      </c>
      <c r="AA51" s="1">
        <f t="shared" ref="AA51:AA56" si="18">L51+Y51+Z51</f>
        <v>78639.879173638867</v>
      </c>
      <c r="AB51" s="220"/>
      <c r="AC51" s="215"/>
      <c r="AD51" s="6"/>
      <c r="AG51" s="6" t="s">
        <v>371</v>
      </c>
      <c r="AH51" s="6">
        <v>90000</v>
      </c>
    </row>
    <row r="52" spans="1:34" x14ac:dyDescent="0.25">
      <c r="A52" s="15" t="s">
        <v>51</v>
      </c>
      <c r="B52" s="16" t="s">
        <v>52</v>
      </c>
      <c r="C52" s="2"/>
      <c r="F52" s="1">
        <f>F59+F60+F61</f>
        <v>0</v>
      </c>
      <c r="G52" s="1">
        <f t="shared" ref="G52:X52" si="19">G59+G60+G61</f>
        <v>0</v>
      </c>
      <c r="H52" s="1">
        <f t="shared" si="19"/>
        <v>0</v>
      </c>
      <c r="I52" s="1">
        <f t="shared" si="19"/>
        <v>0</v>
      </c>
      <c r="J52" s="1">
        <f t="shared" si="19"/>
        <v>0</v>
      </c>
      <c r="K52" s="1">
        <f t="shared" si="19"/>
        <v>13000</v>
      </c>
      <c r="L52" s="52">
        <f t="shared" si="19"/>
        <v>0</v>
      </c>
      <c r="M52" s="1">
        <f t="shared" si="19"/>
        <v>0</v>
      </c>
      <c r="N52" s="1">
        <f t="shared" si="19"/>
        <v>0</v>
      </c>
      <c r="O52" s="1">
        <f t="shared" si="19"/>
        <v>0</v>
      </c>
      <c r="P52" s="1">
        <f t="shared" si="19"/>
        <v>0</v>
      </c>
      <c r="Q52" s="1">
        <f t="shared" si="19"/>
        <v>0</v>
      </c>
      <c r="R52" s="1">
        <f t="shared" si="19"/>
        <v>0</v>
      </c>
      <c r="S52" s="1">
        <f t="shared" si="19"/>
        <v>0</v>
      </c>
      <c r="T52" s="1">
        <f t="shared" si="19"/>
        <v>0</v>
      </c>
      <c r="U52" s="1">
        <f t="shared" si="19"/>
        <v>0</v>
      </c>
      <c r="V52" s="1">
        <f t="shared" si="19"/>
        <v>0</v>
      </c>
      <c r="W52" s="1">
        <f t="shared" si="19"/>
        <v>0</v>
      </c>
      <c r="X52" s="54">
        <f t="shared" si="19"/>
        <v>0</v>
      </c>
      <c r="Y52" s="58">
        <f t="shared" si="17"/>
        <v>13000</v>
      </c>
      <c r="Z52" s="1">
        <f t="shared" si="15"/>
        <v>0</v>
      </c>
      <c r="AA52" s="1">
        <f t="shared" si="18"/>
        <v>13000</v>
      </c>
      <c r="AB52" s="10" t="s">
        <v>88</v>
      </c>
    </row>
    <row r="53" spans="1:34" x14ac:dyDescent="0.25">
      <c r="A53" s="15" t="s">
        <v>51</v>
      </c>
      <c r="B53" s="16" t="s">
        <v>56</v>
      </c>
      <c r="C53" s="2"/>
      <c r="F53" s="1">
        <f>F62+F63+F64</f>
        <v>0</v>
      </c>
      <c r="G53" s="1">
        <f t="shared" ref="G53:X53" si="20">G62+G63+G64</f>
        <v>0</v>
      </c>
      <c r="H53" s="1">
        <f t="shared" si="20"/>
        <v>0</v>
      </c>
      <c r="I53" s="1">
        <f t="shared" si="20"/>
        <v>0</v>
      </c>
      <c r="J53" s="1">
        <f t="shared" si="20"/>
        <v>0</v>
      </c>
      <c r="K53" s="1">
        <f t="shared" si="20"/>
        <v>1500</v>
      </c>
      <c r="L53" s="52">
        <f t="shared" si="20"/>
        <v>0</v>
      </c>
      <c r="M53" s="1">
        <f t="shared" si="20"/>
        <v>0</v>
      </c>
      <c r="N53" s="1">
        <f t="shared" si="20"/>
        <v>0</v>
      </c>
      <c r="O53" s="1">
        <f t="shared" si="20"/>
        <v>0</v>
      </c>
      <c r="P53" s="1">
        <f t="shared" si="20"/>
        <v>0</v>
      </c>
      <c r="Q53" s="1">
        <f t="shared" si="20"/>
        <v>0</v>
      </c>
      <c r="R53" s="1">
        <f t="shared" si="20"/>
        <v>0</v>
      </c>
      <c r="S53" s="1">
        <f t="shared" si="20"/>
        <v>0</v>
      </c>
      <c r="T53" s="1">
        <f t="shared" si="20"/>
        <v>0</v>
      </c>
      <c r="U53" s="1">
        <f t="shared" si="20"/>
        <v>0</v>
      </c>
      <c r="V53" s="1">
        <f t="shared" si="20"/>
        <v>0</v>
      </c>
      <c r="W53" s="1">
        <f t="shared" si="20"/>
        <v>0</v>
      </c>
      <c r="X53" s="54">
        <f t="shared" si="20"/>
        <v>0</v>
      </c>
      <c r="Y53" s="58">
        <f t="shared" si="17"/>
        <v>1500</v>
      </c>
      <c r="Z53" s="1">
        <f t="shared" si="15"/>
        <v>0</v>
      </c>
      <c r="AA53" s="1">
        <f t="shared" si="18"/>
        <v>1500</v>
      </c>
      <c r="AB53" t="s">
        <v>97</v>
      </c>
    </row>
    <row r="54" spans="1:34" x14ac:dyDescent="0.25">
      <c r="A54" s="15" t="s">
        <v>51</v>
      </c>
      <c r="B54" s="16" t="s">
        <v>9</v>
      </c>
      <c r="C54" s="2"/>
      <c r="F54" s="1">
        <f>F65</f>
        <v>0</v>
      </c>
      <c r="G54" s="1">
        <f t="shared" ref="G54:X54" si="21">G65</f>
        <v>0</v>
      </c>
      <c r="H54" s="1">
        <f t="shared" si="21"/>
        <v>0</v>
      </c>
      <c r="I54" s="1">
        <f t="shared" si="21"/>
        <v>0</v>
      </c>
      <c r="J54" s="1">
        <f t="shared" si="21"/>
        <v>0</v>
      </c>
      <c r="K54" s="1">
        <f t="shared" si="21"/>
        <v>0</v>
      </c>
      <c r="L54" s="52">
        <f t="shared" si="21"/>
        <v>0</v>
      </c>
      <c r="M54" s="1">
        <f t="shared" si="21"/>
        <v>0</v>
      </c>
      <c r="N54" s="1">
        <f t="shared" si="21"/>
        <v>0</v>
      </c>
      <c r="O54" s="1">
        <f t="shared" si="21"/>
        <v>0</v>
      </c>
      <c r="P54" s="1">
        <f t="shared" si="21"/>
        <v>0</v>
      </c>
      <c r="Q54" s="1">
        <f t="shared" si="21"/>
        <v>0</v>
      </c>
      <c r="R54" s="1">
        <f t="shared" si="21"/>
        <v>0</v>
      </c>
      <c r="S54" s="1">
        <f t="shared" si="21"/>
        <v>0</v>
      </c>
      <c r="T54" s="1">
        <f t="shared" si="21"/>
        <v>0</v>
      </c>
      <c r="U54" s="1">
        <f t="shared" si="21"/>
        <v>0</v>
      </c>
      <c r="V54" s="1">
        <f t="shared" si="21"/>
        <v>0</v>
      </c>
      <c r="W54" s="1">
        <f t="shared" si="21"/>
        <v>0</v>
      </c>
      <c r="X54" s="54">
        <f t="shared" si="21"/>
        <v>0</v>
      </c>
      <c r="Y54" s="58">
        <f t="shared" si="17"/>
        <v>0</v>
      </c>
      <c r="Z54" s="1">
        <f t="shared" si="15"/>
        <v>0</v>
      </c>
      <c r="AA54" s="1">
        <f t="shared" si="18"/>
        <v>0</v>
      </c>
    </row>
    <row r="55" spans="1:34" x14ac:dyDescent="0.25">
      <c r="A55" s="30" t="s">
        <v>60</v>
      </c>
      <c r="B55" s="32" t="s">
        <v>13</v>
      </c>
      <c r="C55" s="2"/>
      <c r="F55" s="51">
        <f>F66+F67+F68</f>
        <v>1505.7328400000001</v>
      </c>
      <c r="G55" s="51">
        <f t="shared" ref="G55:X55" si="22">G66+G67+G68</f>
        <v>837.59633363886337</v>
      </c>
      <c r="H55" s="51">
        <f t="shared" si="22"/>
        <v>2668.05</v>
      </c>
      <c r="I55" s="51">
        <f t="shared" si="22"/>
        <v>776</v>
      </c>
      <c r="J55" s="51">
        <f t="shared" si="22"/>
        <v>1400</v>
      </c>
      <c r="K55" s="51">
        <f t="shared" si="22"/>
        <v>437</v>
      </c>
      <c r="L55" s="52">
        <f t="shared" si="22"/>
        <v>0</v>
      </c>
      <c r="M55" s="51">
        <f t="shared" si="22"/>
        <v>2350</v>
      </c>
      <c r="N55" s="51">
        <f t="shared" si="22"/>
        <v>630</v>
      </c>
      <c r="O55" s="51">
        <f t="shared" si="22"/>
        <v>1800</v>
      </c>
      <c r="P55" s="51">
        <f t="shared" si="22"/>
        <v>20000</v>
      </c>
      <c r="Q55" s="51">
        <f t="shared" si="22"/>
        <v>1600</v>
      </c>
      <c r="R55" s="51">
        <f t="shared" si="22"/>
        <v>1400</v>
      </c>
      <c r="S55" s="51">
        <f t="shared" si="22"/>
        <v>0</v>
      </c>
      <c r="T55" s="51">
        <f t="shared" si="22"/>
        <v>400</v>
      </c>
      <c r="U55" s="51">
        <f t="shared" si="22"/>
        <v>900</v>
      </c>
      <c r="V55" s="51">
        <f t="shared" si="22"/>
        <v>60</v>
      </c>
      <c r="W55" s="51">
        <f t="shared" si="22"/>
        <v>110</v>
      </c>
      <c r="X55" s="55">
        <f t="shared" si="22"/>
        <v>3000</v>
      </c>
      <c r="Y55" s="59">
        <f t="shared" si="17"/>
        <v>7624.3791736388639</v>
      </c>
      <c r="Z55" s="51">
        <f t="shared" si="15"/>
        <v>32250</v>
      </c>
      <c r="AA55" s="1">
        <f t="shared" si="18"/>
        <v>39874.379173638867</v>
      </c>
      <c r="AB55" s="215">
        <v>39000</v>
      </c>
    </row>
    <row r="56" spans="1:34" x14ac:dyDescent="0.25">
      <c r="A56" s="30" t="s">
        <v>60</v>
      </c>
      <c r="B56" s="31" t="s">
        <v>23</v>
      </c>
      <c r="C56" s="2"/>
      <c r="F56" s="51">
        <f>F69+F70+F71</f>
        <v>0</v>
      </c>
      <c r="G56" s="51">
        <f t="shared" ref="G56:X56" si="23">G69+G70+G71</f>
        <v>0</v>
      </c>
      <c r="H56" s="51">
        <f t="shared" si="23"/>
        <v>0</v>
      </c>
      <c r="I56" s="51">
        <f t="shared" si="23"/>
        <v>0</v>
      </c>
      <c r="J56" s="51">
        <f t="shared" si="23"/>
        <v>305.85000000000002</v>
      </c>
      <c r="K56" s="51">
        <f t="shared" si="23"/>
        <v>129.15</v>
      </c>
      <c r="L56" s="52">
        <f t="shared" si="23"/>
        <v>0</v>
      </c>
      <c r="M56" s="51">
        <f t="shared" si="23"/>
        <v>0</v>
      </c>
      <c r="N56" s="51">
        <f t="shared" si="23"/>
        <v>765</v>
      </c>
      <c r="O56" s="51">
        <f t="shared" si="23"/>
        <v>0</v>
      </c>
      <c r="P56" s="51">
        <f t="shared" si="23"/>
        <v>0</v>
      </c>
      <c r="Q56" s="51">
        <f t="shared" si="23"/>
        <v>0</v>
      </c>
      <c r="R56" s="51">
        <f t="shared" si="23"/>
        <v>0</v>
      </c>
      <c r="S56" s="51">
        <f t="shared" si="23"/>
        <v>60</v>
      </c>
      <c r="T56" s="51">
        <f t="shared" si="23"/>
        <v>240</v>
      </c>
      <c r="U56" s="51">
        <f t="shared" si="23"/>
        <v>0</v>
      </c>
      <c r="V56" s="51">
        <f t="shared" si="23"/>
        <v>0</v>
      </c>
      <c r="W56" s="51">
        <f t="shared" si="23"/>
        <v>0</v>
      </c>
      <c r="X56" s="55">
        <f t="shared" si="23"/>
        <v>90</v>
      </c>
      <c r="Y56" s="59">
        <f t="shared" si="17"/>
        <v>435</v>
      </c>
      <c r="Z56" s="51">
        <f t="shared" si="15"/>
        <v>1155</v>
      </c>
      <c r="AA56" s="51">
        <f t="shared" si="18"/>
        <v>1590</v>
      </c>
      <c r="AB56" s="215">
        <v>1800</v>
      </c>
    </row>
    <row r="57" spans="1:34" x14ac:dyDescent="0.25">
      <c r="A57" s="30" t="s">
        <v>60</v>
      </c>
      <c r="B57" s="31" t="s">
        <v>65</v>
      </c>
      <c r="C57" s="46"/>
      <c r="F57" s="51">
        <f>F72+F73+F74</f>
        <v>0</v>
      </c>
      <c r="G57" s="51">
        <f t="shared" ref="G57:X57" si="24">G72+G73+G74</f>
        <v>0</v>
      </c>
      <c r="H57" s="51">
        <f t="shared" si="24"/>
        <v>0</v>
      </c>
      <c r="I57" s="51">
        <f t="shared" si="24"/>
        <v>0</v>
      </c>
      <c r="J57" s="51">
        <f t="shared" si="24"/>
        <v>2100</v>
      </c>
      <c r="K57" s="51">
        <f t="shared" si="24"/>
        <v>0</v>
      </c>
      <c r="L57" s="52">
        <f t="shared" si="24"/>
        <v>24161.300000000003</v>
      </c>
      <c r="M57" s="51">
        <f t="shared" si="24"/>
        <v>1344</v>
      </c>
      <c r="N57" s="51">
        <f t="shared" si="24"/>
        <v>0</v>
      </c>
      <c r="O57" s="51">
        <f t="shared" si="24"/>
        <v>0</v>
      </c>
      <c r="P57" s="51">
        <f t="shared" si="24"/>
        <v>0</v>
      </c>
      <c r="Q57" s="51">
        <f t="shared" si="24"/>
        <v>2916</v>
      </c>
      <c r="R57" s="51">
        <f t="shared" si="24"/>
        <v>1440</v>
      </c>
      <c r="S57" s="51">
        <f t="shared" si="24"/>
        <v>0</v>
      </c>
      <c r="T57" s="51">
        <f t="shared" si="24"/>
        <v>1555.2</v>
      </c>
      <c r="U57" s="51">
        <f t="shared" si="24"/>
        <v>1224</v>
      </c>
      <c r="V57" s="51">
        <f t="shared" si="24"/>
        <v>378</v>
      </c>
      <c r="W57" s="51">
        <f t="shared" si="24"/>
        <v>420</v>
      </c>
      <c r="X57" s="55">
        <f t="shared" si="24"/>
        <v>252</v>
      </c>
      <c r="Y57" s="59">
        <f t="shared" si="17"/>
        <v>2100</v>
      </c>
      <c r="Z57" s="51">
        <f t="shared" si="15"/>
        <v>9529.2000000000007</v>
      </c>
      <c r="AA57" s="103">
        <f>245/270*40000</f>
        <v>36296.296296296299</v>
      </c>
      <c r="AB57" s="6">
        <v>39000</v>
      </c>
    </row>
    <row r="58" spans="1:34" ht="15.75" thickBot="1" x14ac:dyDescent="0.3">
      <c r="A58" s="48" t="s">
        <v>60</v>
      </c>
      <c r="B58" s="49" t="s">
        <v>9</v>
      </c>
      <c r="C58" s="50"/>
      <c r="D58" s="50"/>
      <c r="E58" s="50"/>
      <c r="F58" s="53">
        <f>F75</f>
        <v>0</v>
      </c>
      <c r="G58" s="53">
        <f t="shared" ref="G58:X58" si="25">G75</f>
        <v>0</v>
      </c>
      <c r="H58" s="53">
        <f t="shared" si="25"/>
        <v>0</v>
      </c>
      <c r="I58" s="53">
        <f t="shared" si="25"/>
        <v>0</v>
      </c>
      <c r="J58" s="53">
        <f t="shared" si="25"/>
        <v>0</v>
      </c>
      <c r="K58" s="53">
        <f t="shared" si="25"/>
        <v>0</v>
      </c>
      <c r="L58" s="62">
        <f t="shared" si="25"/>
        <v>0</v>
      </c>
      <c r="M58" s="53">
        <f t="shared" si="25"/>
        <v>0</v>
      </c>
      <c r="N58" s="53">
        <f t="shared" si="25"/>
        <v>0</v>
      </c>
      <c r="O58" s="53">
        <f t="shared" si="25"/>
        <v>0</v>
      </c>
      <c r="P58" s="53">
        <f t="shared" si="25"/>
        <v>0</v>
      </c>
      <c r="Q58" s="53">
        <f t="shared" si="25"/>
        <v>0</v>
      </c>
      <c r="R58" s="53">
        <f t="shared" si="25"/>
        <v>0</v>
      </c>
      <c r="S58" s="53">
        <f t="shared" si="25"/>
        <v>0</v>
      </c>
      <c r="T58" s="53">
        <f t="shared" si="25"/>
        <v>0</v>
      </c>
      <c r="U58" s="53">
        <f t="shared" si="25"/>
        <v>0</v>
      </c>
      <c r="V58" s="53">
        <f t="shared" si="25"/>
        <v>760</v>
      </c>
      <c r="W58" s="53">
        <f t="shared" si="25"/>
        <v>0</v>
      </c>
      <c r="X58" s="53">
        <f t="shared" si="25"/>
        <v>625</v>
      </c>
      <c r="Y58" s="60">
        <f t="shared" si="17"/>
        <v>0</v>
      </c>
      <c r="Z58" s="53">
        <f t="shared" si="15"/>
        <v>1385</v>
      </c>
      <c r="AA58" s="104">
        <v>1100</v>
      </c>
    </row>
    <row r="59" spans="1:34" ht="15.75" thickTop="1" x14ac:dyDescent="0.25">
      <c r="A59" s="15" t="s">
        <v>51</v>
      </c>
      <c r="B59" s="16" t="s">
        <v>52</v>
      </c>
      <c r="C59" s="16" t="s">
        <v>53</v>
      </c>
      <c r="D59" s="2"/>
      <c r="E59" s="2"/>
      <c r="F59" s="47"/>
      <c r="G59" s="47"/>
      <c r="H59" s="47"/>
      <c r="I59" s="47"/>
      <c r="J59" s="47"/>
      <c r="K59" s="47">
        <v>3000</v>
      </c>
      <c r="L59" s="6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57"/>
      <c r="Y59" s="61">
        <f t="shared" si="17"/>
        <v>3000</v>
      </c>
      <c r="Z59" s="47">
        <f t="shared" si="15"/>
        <v>0</v>
      </c>
      <c r="AA59" s="47">
        <f t="shared" ref="AA59:AA68" si="26">L59+Y59+Z59</f>
        <v>3000</v>
      </c>
    </row>
    <row r="60" spans="1:34" x14ac:dyDescent="0.25">
      <c r="A60" s="15" t="s">
        <v>51</v>
      </c>
      <c r="B60" s="16" t="s">
        <v>52</v>
      </c>
      <c r="C60" s="16" t="s">
        <v>54</v>
      </c>
      <c r="D60" s="2"/>
      <c r="E60" s="2"/>
      <c r="F60" s="1"/>
      <c r="G60" s="1"/>
      <c r="H60" s="1"/>
      <c r="I60" s="1"/>
      <c r="J60" s="1"/>
      <c r="K60" s="1">
        <v>10000</v>
      </c>
      <c r="L60" s="5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54"/>
      <c r="Y60" s="58">
        <f t="shared" si="17"/>
        <v>10000</v>
      </c>
      <c r="Z60" s="1">
        <f t="shared" si="15"/>
        <v>0</v>
      </c>
      <c r="AA60" s="1">
        <f t="shared" si="26"/>
        <v>10000</v>
      </c>
    </row>
    <row r="61" spans="1:34" x14ac:dyDescent="0.25">
      <c r="A61" s="15" t="s">
        <v>51</v>
      </c>
      <c r="B61" s="16" t="s">
        <v>52</v>
      </c>
      <c r="C61" s="16" t="s">
        <v>55</v>
      </c>
      <c r="D61" s="2"/>
      <c r="E61" s="2"/>
      <c r="F61" s="1"/>
      <c r="G61" s="1"/>
      <c r="H61" s="1"/>
      <c r="I61" s="1"/>
      <c r="J61" s="1"/>
      <c r="K61" s="1"/>
      <c r="L61" s="5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54"/>
      <c r="Y61" s="58">
        <f t="shared" si="17"/>
        <v>0</v>
      </c>
      <c r="Z61" s="1">
        <f t="shared" si="15"/>
        <v>0</v>
      </c>
      <c r="AA61" s="1">
        <f t="shared" si="26"/>
        <v>0</v>
      </c>
    </row>
    <row r="62" spans="1:34" x14ac:dyDescent="0.25">
      <c r="A62" s="25" t="s">
        <v>51</v>
      </c>
      <c r="B62" s="26" t="s">
        <v>56</v>
      </c>
      <c r="C62" s="26" t="s">
        <v>57</v>
      </c>
      <c r="D62" s="2"/>
      <c r="E62" s="2"/>
      <c r="F62" s="1"/>
      <c r="G62" s="1"/>
      <c r="H62" s="1"/>
      <c r="I62" s="1"/>
      <c r="J62" s="1"/>
      <c r="K62" s="1">
        <v>1000</v>
      </c>
      <c r="L62" s="5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54"/>
      <c r="Y62" s="58">
        <f t="shared" si="17"/>
        <v>1000</v>
      </c>
      <c r="Z62" s="1">
        <f t="shared" si="15"/>
        <v>0</v>
      </c>
      <c r="AA62" s="1">
        <f t="shared" si="26"/>
        <v>1000</v>
      </c>
    </row>
    <row r="63" spans="1:34" x14ac:dyDescent="0.25">
      <c r="A63" s="15" t="s">
        <v>51</v>
      </c>
      <c r="B63" s="16" t="s">
        <v>56</v>
      </c>
      <c r="C63" s="27" t="s">
        <v>58</v>
      </c>
      <c r="D63" s="2"/>
      <c r="E63" s="2"/>
      <c r="F63" s="1"/>
      <c r="G63" s="1"/>
      <c r="H63" s="1"/>
      <c r="I63" s="1"/>
      <c r="J63" s="1"/>
      <c r="K63" s="1">
        <v>500</v>
      </c>
      <c r="L63" s="5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54"/>
      <c r="Y63" s="58">
        <f t="shared" si="17"/>
        <v>500</v>
      </c>
      <c r="Z63" s="1">
        <f t="shared" si="15"/>
        <v>0</v>
      </c>
      <c r="AA63" s="1">
        <f t="shared" si="26"/>
        <v>500</v>
      </c>
    </row>
    <row r="64" spans="1:34" x14ac:dyDescent="0.25">
      <c r="A64" s="15" t="s">
        <v>51</v>
      </c>
      <c r="B64" s="16" t="s">
        <v>9</v>
      </c>
      <c r="C64" s="27" t="s">
        <v>59</v>
      </c>
      <c r="D64" s="2"/>
      <c r="E64" s="2"/>
      <c r="F64" s="1"/>
      <c r="G64" s="1"/>
      <c r="H64" s="1"/>
      <c r="I64" s="1"/>
      <c r="J64" s="1"/>
      <c r="K64" s="1"/>
      <c r="L64" s="5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54"/>
      <c r="Y64" s="58">
        <f t="shared" si="17"/>
        <v>0</v>
      </c>
      <c r="Z64" s="1">
        <f t="shared" si="15"/>
        <v>0</v>
      </c>
      <c r="AA64" s="1">
        <f t="shared" si="26"/>
        <v>0</v>
      </c>
      <c r="AE64" s="6" t="s">
        <v>370</v>
      </c>
      <c r="AF64" s="6"/>
    </row>
    <row r="65" spans="1:35" x14ac:dyDescent="0.25">
      <c r="A65" s="15" t="s">
        <v>51</v>
      </c>
      <c r="B65" s="16" t="s">
        <v>9</v>
      </c>
      <c r="C65" s="27" t="s">
        <v>9</v>
      </c>
      <c r="D65" s="2"/>
      <c r="E65" s="2"/>
      <c r="F65" s="1"/>
      <c r="G65" s="1"/>
      <c r="H65" s="1"/>
      <c r="I65" s="1"/>
      <c r="J65" s="1"/>
      <c r="K65" s="1"/>
      <c r="L65" s="5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54"/>
      <c r="Y65" s="58">
        <f t="shared" si="17"/>
        <v>0</v>
      </c>
      <c r="Z65" s="1">
        <f t="shared" si="15"/>
        <v>0</v>
      </c>
      <c r="AA65" s="1">
        <f t="shared" si="26"/>
        <v>0</v>
      </c>
      <c r="AE65" s="6"/>
      <c r="AF65" s="6" t="s">
        <v>365</v>
      </c>
    </row>
    <row r="66" spans="1:35" x14ac:dyDescent="0.25">
      <c r="A66" s="28" t="s">
        <v>60</v>
      </c>
      <c r="B66" s="29" t="s">
        <v>13</v>
      </c>
      <c r="C66" s="29" t="s">
        <v>61</v>
      </c>
      <c r="D66" s="2"/>
      <c r="E66" s="2"/>
      <c r="F66" s="103">
        <f>2164*0.65/200*170*0.82</f>
        <v>980.40020000000004</v>
      </c>
      <c r="G66" s="73"/>
      <c r="H66" s="103">
        <f>3300*0.12*0.8</f>
        <v>316.8</v>
      </c>
      <c r="I66" s="91">
        <f>800*0.97</f>
        <v>776</v>
      </c>
      <c r="J66" s="215">
        <f>2000*0.7</f>
        <v>1400</v>
      </c>
      <c r="K66" s="91">
        <f>230*2*0.95</f>
        <v>437</v>
      </c>
      <c r="L66" s="52"/>
      <c r="M66" s="91">
        <v>2350</v>
      </c>
      <c r="N66" s="91">
        <v>630</v>
      </c>
      <c r="O66" s="215">
        <f>1500*1.2</f>
        <v>1800</v>
      </c>
      <c r="P66" s="215">
        <v>8000</v>
      </c>
      <c r="Q66" s="215">
        <v>1600</v>
      </c>
      <c r="R66" s="215">
        <v>1400</v>
      </c>
      <c r="S66" s="215"/>
      <c r="T66" s="215">
        <v>400</v>
      </c>
      <c r="U66" s="215">
        <f>900</f>
        <v>900</v>
      </c>
      <c r="V66" s="77">
        <f>V21*V111</f>
        <v>60</v>
      </c>
      <c r="W66" s="91">
        <v>110</v>
      </c>
      <c r="X66" s="106">
        <v>3000</v>
      </c>
      <c r="Y66" s="59">
        <f t="shared" si="17"/>
        <v>3910.2002000000002</v>
      </c>
      <c r="Z66" s="51">
        <f t="shared" si="15"/>
        <v>20250</v>
      </c>
      <c r="AA66" s="51">
        <f t="shared" si="26"/>
        <v>24160.200199999999</v>
      </c>
      <c r="AE66" s="6"/>
      <c r="AF66" s="6" t="s">
        <v>366</v>
      </c>
    </row>
    <row r="67" spans="1:35" x14ac:dyDescent="0.25">
      <c r="A67" s="36" t="s">
        <v>60</v>
      </c>
      <c r="B67" s="37" t="s">
        <v>13</v>
      </c>
      <c r="C67" s="29" t="s">
        <v>62</v>
      </c>
      <c r="D67" s="2"/>
      <c r="E67" s="2"/>
      <c r="F67" s="103">
        <f>2164*0.35/200*170*0.8*1.02</f>
        <v>525.33264000000008</v>
      </c>
      <c r="G67" s="103">
        <f>1280*230/210*5600/5455*0.97*0.6</f>
        <v>837.59633363886337</v>
      </c>
      <c r="H67" s="103">
        <f>3300*0.75*0.95</f>
        <v>2351.25</v>
      </c>
      <c r="I67" s="51"/>
      <c r="J67" s="51"/>
      <c r="K67" s="51"/>
      <c r="L67" s="52"/>
      <c r="M67" s="51"/>
      <c r="N67" s="51"/>
      <c r="O67" s="215"/>
      <c r="P67" s="215">
        <v>12000</v>
      </c>
      <c r="Q67" s="51"/>
      <c r="R67" s="51"/>
      <c r="S67" s="51"/>
      <c r="T67" s="51"/>
      <c r="U67" s="51"/>
      <c r="V67" s="51"/>
      <c r="W67" s="51"/>
      <c r="X67" s="55"/>
      <c r="Y67" s="59">
        <f t="shared" si="17"/>
        <v>3714.1789736388637</v>
      </c>
      <c r="Z67" s="51">
        <f t="shared" si="15"/>
        <v>12000</v>
      </c>
      <c r="AA67" s="51">
        <f t="shared" si="26"/>
        <v>15714.178973638864</v>
      </c>
      <c r="AE67" s="6" t="s">
        <v>367</v>
      </c>
      <c r="AF67" s="6">
        <v>36</v>
      </c>
    </row>
    <row r="68" spans="1:35" x14ac:dyDescent="0.25">
      <c r="A68" s="30" t="s">
        <v>60</v>
      </c>
      <c r="B68" s="31" t="s">
        <v>13</v>
      </c>
      <c r="C68" s="32" t="s">
        <v>63</v>
      </c>
      <c r="D68" s="2"/>
      <c r="E68" s="2"/>
      <c r="F68" s="51"/>
      <c r="G68" s="51"/>
      <c r="H68" s="51"/>
      <c r="I68" s="51"/>
      <c r="J68" s="51"/>
      <c r="K68" s="51"/>
      <c r="L68" s="52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5"/>
      <c r="Y68" s="59">
        <f t="shared" si="17"/>
        <v>0</v>
      </c>
      <c r="Z68" s="51">
        <f t="shared" si="15"/>
        <v>0</v>
      </c>
      <c r="AA68" s="51">
        <f t="shared" si="26"/>
        <v>0</v>
      </c>
      <c r="AE68" s="6" t="s">
        <v>30</v>
      </c>
      <c r="AF68" s="6">
        <v>24</v>
      </c>
    </row>
    <row r="69" spans="1:35" x14ac:dyDescent="0.25">
      <c r="A69" s="30" t="s">
        <v>60</v>
      </c>
      <c r="B69" s="32" t="s">
        <v>23</v>
      </c>
      <c r="C69" s="31" t="s">
        <v>50</v>
      </c>
      <c r="D69" s="2"/>
      <c r="E69" s="2"/>
      <c r="F69" s="77">
        <f>F24*F114</f>
        <v>0</v>
      </c>
      <c r="G69" s="51"/>
      <c r="H69" s="51"/>
      <c r="I69" s="51"/>
      <c r="J69" s="77">
        <f>J24*J114</f>
        <v>5.85</v>
      </c>
      <c r="K69" s="215">
        <f>900*0.15-J69</f>
        <v>129.15</v>
      </c>
      <c r="L69" s="52"/>
      <c r="M69" s="51"/>
      <c r="N69" s="215">
        <f>900*0.85</f>
        <v>765</v>
      </c>
      <c r="O69" s="51"/>
      <c r="P69" s="51"/>
      <c r="Q69" s="51"/>
      <c r="R69" s="51"/>
      <c r="S69" s="51"/>
      <c r="T69" s="51"/>
      <c r="U69" s="51"/>
      <c r="V69" s="51"/>
      <c r="W69" s="51"/>
      <c r="X69" s="55"/>
      <c r="Y69" s="59">
        <f t="shared" si="17"/>
        <v>135</v>
      </c>
      <c r="Z69" s="51">
        <f t="shared" si="15"/>
        <v>765</v>
      </c>
      <c r="AA69" s="215">
        <v>900</v>
      </c>
      <c r="AE69" s="6" t="s">
        <v>368</v>
      </c>
      <c r="AF69" s="6">
        <v>3.2</v>
      </c>
    </row>
    <row r="70" spans="1:35" x14ac:dyDescent="0.25">
      <c r="A70" s="30" t="s">
        <v>60</v>
      </c>
      <c r="B70" s="32" t="s">
        <v>23</v>
      </c>
      <c r="C70" s="31" t="s">
        <v>49</v>
      </c>
      <c r="D70" s="2"/>
      <c r="E70" s="2"/>
      <c r="F70" s="51"/>
      <c r="G70" s="51"/>
      <c r="H70" s="51"/>
      <c r="I70" s="51"/>
      <c r="J70" s="215">
        <v>300</v>
      </c>
      <c r="K70" s="215"/>
      <c r="L70" s="52"/>
      <c r="M70" s="51"/>
      <c r="N70" s="51"/>
      <c r="O70" s="51"/>
      <c r="P70" s="51"/>
      <c r="Q70" s="51"/>
      <c r="R70" s="51"/>
      <c r="S70" s="64">
        <v>60</v>
      </c>
      <c r="T70" s="77">
        <f>T25*T115</f>
        <v>240</v>
      </c>
      <c r="U70" s="51"/>
      <c r="V70" s="77">
        <f>V25*V115</f>
        <v>0</v>
      </c>
      <c r="W70" s="51"/>
      <c r="X70" s="77">
        <f>X25*X115</f>
        <v>90</v>
      </c>
      <c r="Y70" s="59">
        <f t="shared" si="17"/>
        <v>300</v>
      </c>
      <c r="Z70" s="51">
        <f t="shared" si="15"/>
        <v>390</v>
      </c>
      <c r="AA70" s="215">
        <v>310</v>
      </c>
      <c r="AE70" s="6" t="s">
        <v>31</v>
      </c>
      <c r="AF70" s="6">
        <v>2.7</v>
      </c>
    </row>
    <row r="71" spans="1:35" x14ac:dyDescent="0.25">
      <c r="A71" s="30" t="s">
        <v>60</v>
      </c>
      <c r="B71" s="32" t="s">
        <v>23</v>
      </c>
      <c r="C71" s="31" t="s">
        <v>64</v>
      </c>
      <c r="D71" s="2"/>
      <c r="E71" s="2"/>
      <c r="F71" s="51"/>
      <c r="G71" s="51"/>
      <c r="H71" s="51"/>
      <c r="I71" s="51"/>
      <c r="J71" s="51"/>
      <c r="K71" s="51"/>
      <c r="L71" s="52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5"/>
      <c r="Y71" s="59">
        <f t="shared" si="17"/>
        <v>0</v>
      </c>
      <c r="Z71" s="51">
        <f t="shared" si="15"/>
        <v>0</v>
      </c>
      <c r="AA71" s="51">
        <f t="shared" ref="AA71:AA90" si="27">L71+Y71+Z71</f>
        <v>0</v>
      </c>
      <c r="AE71" s="6" t="s">
        <v>369</v>
      </c>
      <c r="AF71" s="6">
        <v>2.4</v>
      </c>
    </row>
    <row r="72" spans="1:35" x14ac:dyDescent="0.25">
      <c r="A72" s="30" t="s">
        <v>60</v>
      </c>
      <c r="B72" s="32" t="s">
        <v>65</v>
      </c>
      <c r="C72" s="31" t="s">
        <v>66</v>
      </c>
      <c r="D72" s="2"/>
      <c r="E72" s="2"/>
      <c r="F72" s="51"/>
      <c r="G72" s="51"/>
      <c r="H72" s="51"/>
      <c r="I72" s="51"/>
      <c r="J72" s="91">
        <v>2100</v>
      </c>
      <c r="K72" s="51"/>
      <c r="L72" s="52"/>
      <c r="M72" s="215">
        <f>M27*M117</f>
        <v>1344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5"/>
      <c r="Y72" s="59">
        <f t="shared" si="17"/>
        <v>2100</v>
      </c>
      <c r="Z72" s="51">
        <f t="shared" si="15"/>
        <v>1344</v>
      </c>
      <c r="AA72" s="51">
        <f t="shared" si="27"/>
        <v>3444</v>
      </c>
    </row>
    <row r="73" spans="1:35" x14ac:dyDescent="0.25">
      <c r="A73" s="30" t="s">
        <v>60</v>
      </c>
      <c r="B73" s="32" t="s">
        <v>65</v>
      </c>
      <c r="C73" s="31" t="s">
        <v>67</v>
      </c>
      <c r="D73" s="2"/>
      <c r="E73" s="2"/>
      <c r="F73" s="51"/>
      <c r="G73" s="51"/>
      <c r="H73" s="51"/>
      <c r="I73" s="51"/>
      <c r="J73" s="51"/>
      <c r="K73" s="51"/>
      <c r="L73" s="52"/>
      <c r="M73" s="51"/>
      <c r="N73" s="51"/>
      <c r="O73" s="51"/>
      <c r="P73" s="51"/>
      <c r="Q73" s="215">
        <f>Q28*Q118</f>
        <v>2916</v>
      </c>
      <c r="R73" s="215">
        <f>R28*R118</f>
        <v>1440</v>
      </c>
      <c r="S73" s="51"/>
      <c r="T73" s="215">
        <f>T28*T118</f>
        <v>1555.2</v>
      </c>
      <c r="U73" s="215">
        <f>U28*U118</f>
        <v>1224</v>
      </c>
      <c r="V73" s="215">
        <f>V28*V118</f>
        <v>378</v>
      </c>
      <c r="W73" s="215">
        <f>W28*W118</f>
        <v>420</v>
      </c>
      <c r="X73" s="215">
        <f>X28*X118</f>
        <v>252</v>
      </c>
      <c r="Y73" s="59">
        <f t="shared" si="17"/>
        <v>0</v>
      </c>
      <c r="Z73" s="51">
        <f t="shared" si="15"/>
        <v>8185.2</v>
      </c>
      <c r="AA73" s="51">
        <f t="shared" si="27"/>
        <v>8185.2</v>
      </c>
      <c r="AB73">
        <f>38*0.17*0.18</f>
        <v>1.1628000000000001</v>
      </c>
    </row>
    <row r="74" spans="1:35" x14ac:dyDescent="0.25">
      <c r="A74" s="30" t="s">
        <v>60</v>
      </c>
      <c r="B74" s="32" t="s">
        <v>65</v>
      </c>
      <c r="C74" s="31" t="s">
        <v>68</v>
      </c>
      <c r="D74" s="2"/>
      <c r="E74" s="2"/>
      <c r="F74" s="51"/>
      <c r="G74" s="51"/>
      <c r="H74" s="51"/>
      <c r="I74" s="51"/>
      <c r="J74" s="51"/>
      <c r="K74" s="51"/>
      <c r="L74" s="215">
        <f>L29*L119</f>
        <v>24161.300000000003</v>
      </c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5"/>
      <c r="Y74" s="59">
        <f t="shared" si="17"/>
        <v>0</v>
      </c>
      <c r="Z74" s="51">
        <f t="shared" si="15"/>
        <v>0</v>
      </c>
      <c r="AA74" s="51">
        <f t="shared" si="27"/>
        <v>24161.300000000003</v>
      </c>
    </row>
    <row r="75" spans="1:35" x14ac:dyDescent="0.25">
      <c r="A75" s="30" t="s">
        <v>60</v>
      </c>
      <c r="B75" s="32" t="s">
        <v>9</v>
      </c>
      <c r="C75" s="31" t="s">
        <v>69</v>
      </c>
      <c r="D75" s="2"/>
      <c r="E75" s="2"/>
      <c r="F75" s="51"/>
      <c r="G75" s="51"/>
      <c r="H75" s="51"/>
      <c r="I75" s="51"/>
      <c r="J75" s="51"/>
      <c r="K75" s="51"/>
      <c r="L75" s="52"/>
      <c r="M75" s="51"/>
      <c r="N75" s="51"/>
      <c r="O75" s="51"/>
      <c r="P75" s="51"/>
      <c r="Q75" s="51"/>
      <c r="R75" s="51"/>
      <c r="S75" s="51"/>
      <c r="T75" s="51"/>
      <c r="U75" s="51"/>
      <c r="V75" s="96">
        <v>760</v>
      </c>
      <c r="W75" s="51"/>
      <c r="X75" s="55">
        <v>625</v>
      </c>
      <c r="Y75" s="59">
        <f t="shared" si="17"/>
        <v>0</v>
      </c>
      <c r="Z75" s="51">
        <f t="shared" si="15"/>
        <v>1385</v>
      </c>
      <c r="AA75" s="51">
        <f t="shared" si="27"/>
        <v>1385</v>
      </c>
    </row>
    <row r="76" spans="1:35" x14ac:dyDescent="0.25">
      <c r="A76" s="15" t="s">
        <v>51</v>
      </c>
      <c r="B76" s="16" t="s">
        <v>56</v>
      </c>
      <c r="C76" s="27" t="s">
        <v>57</v>
      </c>
      <c r="D76" s="16" t="s">
        <v>70</v>
      </c>
      <c r="E76" s="16"/>
      <c r="F76" s="1"/>
      <c r="G76" s="1"/>
      <c r="H76" s="1"/>
      <c r="I76" s="1"/>
      <c r="J76" s="1"/>
      <c r="K76" s="1"/>
      <c r="L76" s="5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54"/>
      <c r="Y76" s="58">
        <f t="shared" si="17"/>
        <v>0</v>
      </c>
      <c r="Z76" s="1">
        <f t="shared" si="15"/>
        <v>0</v>
      </c>
      <c r="AA76" s="1">
        <f t="shared" si="27"/>
        <v>0</v>
      </c>
    </row>
    <row r="77" spans="1:35" x14ac:dyDescent="0.25">
      <c r="A77" s="15" t="s">
        <v>51</v>
      </c>
      <c r="B77" s="16" t="s">
        <v>56</v>
      </c>
      <c r="C77" s="27" t="s">
        <v>57</v>
      </c>
      <c r="D77" s="16" t="s">
        <v>71</v>
      </c>
      <c r="E77" s="16"/>
      <c r="F77" s="1"/>
      <c r="G77" s="1"/>
      <c r="H77" s="1"/>
      <c r="I77" s="1"/>
      <c r="J77" s="1"/>
      <c r="K77" s="1"/>
      <c r="L77" s="5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54"/>
      <c r="Y77" s="58">
        <f t="shared" si="17"/>
        <v>0</v>
      </c>
      <c r="Z77" s="1">
        <f t="shared" si="15"/>
        <v>0</v>
      </c>
      <c r="AA77" s="1">
        <f t="shared" si="27"/>
        <v>0</v>
      </c>
    </row>
    <row r="78" spans="1:35" x14ac:dyDescent="0.25">
      <c r="A78" s="15" t="s">
        <v>51</v>
      </c>
      <c r="B78" s="16" t="s">
        <v>56</v>
      </c>
      <c r="C78" s="27" t="s">
        <v>27</v>
      </c>
      <c r="D78" s="16" t="s">
        <v>72</v>
      </c>
      <c r="E78" s="16"/>
      <c r="F78" s="1"/>
      <c r="G78" s="1"/>
      <c r="H78" s="1"/>
      <c r="I78" s="1"/>
      <c r="J78" s="1"/>
      <c r="K78" s="1"/>
      <c r="L78" s="5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54"/>
      <c r="Y78" s="58">
        <f t="shared" si="17"/>
        <v>0</v>
      </c>
      <c r="Z78" s="1">
        <f t="shared" si="15"/>
        <v>0</v>
      </c>
      <c r="AA78" s="1">
        <f t="shared" si="27"/>
        <v>0</v>
      </c>
      <c r="AH78" t="s">
        <v>1</v>
      </c>
      <c r="AI78" t="s">
        <v>6</v>
      </c>
    </row>
    <row r="79" spans="1:35" x14ac:dyDescent="0.25">
      <c r="A79" s="15" t="s">
        <v>51</v>
      </c>
      <c r="B79" s="16" t="s">
        <v>56</v>
      </c>
      <c r="C79" s="27" t="s">
        <v>57</v>
      </c>
      <c r="D79" s="16" t="s">
        <v>73</v>
      </c>
      <c r="E79" s="16"/>
      <c r="F79" s="1"/>
      <c r="G79" s="1"/>
      <c r="H79" s="1"/>
      <c r="I79" s="1"/>
      <c r="J79" s="1"/>
      <c r="K79" s="1"/>
      <c r="L79" s="5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54"/>
      <c r="Y79" s="58">
        <f t="shared" si="17"/>
        <v>0</v>
      </c>
      <c r="Z79" s="1">
        <f t="shared" si="15"/>
        <v>0</v>
      </c>
      <c r="AA79" s="1">
        <f t="shared" si="27"/>
        <v>0</v>
      </c>
      <c r="AF79" t="s">
        <v>11</v>
      </c>
      <c r="AG79">
        <f>14/180</f>
        <v>7.7777777777777779E-2</v>
      </c>
      <c r="AH79">
        <f>AG79*20000</f>
        <v>1555.5555555555557</v>
      </c>
    </row>
    <row r="80" spans="1:35" x14ac:dyDescent="0.25">
      <c r="A80" s="15" t="s">
        <v>51</v>
      </c>
      <c r="B80" s="16" t="s">
        <v>56</v>
      </c>
      <c r="C80" s="27" t="s">
        <v>57</v>
      </c>
      <c r="D80" s="16" t="s">
        <v>74</v>
      </c>
      <c r="E80" s="16"/>
      <c r="F80" s="1"/>
      <c r="G80" s="1"/>
      <c r="H80" s="1"/>
      <c r="I80" s="1"/>
      <c r="J80" s="1"/>
      <c r="K80" s="1"/>
      <c r="L80" s="5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54"/>
      <c r="Y80" s="58">
        <f t="shared" si="17"/>
        <v>0</v>
      </c>
      <c r="Z80" s="1">
        <f t="shared" si="15"/>
        <v>0</v>
      </c>
      <c r="AA80" s="1">
        <f t="shared" si="27"/>
        <v>0</v>
      </c>
      <c r="AF80" t="s">
        <v>5</v>
      </c>
      <c r="AG80">
        <f>2/180</f>
        <v>1.1111111111111112E-2</v>
      </c>
      <c r="AH80">
        <f>AG80*20000</f>
        <v>222.22222222222223</v>
      </c>
      <c r="AI80">
        <f>AH80/5000</f>
        <v>4.4444444444444446E-2</v>
      </c>
    </row>
    <row r="81" spans="1:36" x14ac:dyDescent="0.25">
      <c r="A81" s="30" t="s">
        <v>60</v>
      </c>
      <c r="B81" s="31" t="s">
        <v>13</v>
      </c>
      <c r="C81" s="32" t="s">
        <v>61</v>
      </c>
      <c r="D81" s="31" t="s">
        <v>75</v>
      </c>
      <c r="E81" s="31"/>
      <c r="F81" s="51">
        <f>F66*0.9</f>
        <v>882.36018000000001</v>
      </c>
      <c r="G81" s="73"/>
      <c r="H81" s="51">
        <f>H66</f>
        <v>316.8</v>
      </c>
      <c r="I81" s="51">
        <f>I66*0.9</f>
        <v>698.4</v>
      </c>
      <c r="J81" s="51">
        <f>J66*0.3</f>
        <v>420</v>
      </c>
      <c r="K81" s="51">
        <f>K66*0.8</f>
        <v>349.6</v>
      </c>
      <c r="L81" s="52">
        <v>0</v>
      </c>
      <c r="M81" s="73">
        <f>M66*0.1</f>
        <v>235</v>
      </c>
      <c r="N81" s="73">
        <v>0</v>
      </c>
      <c r="O81" s="73">
        <v>0</v>
      </c>
      <c r="P81" s="73">
        <v>0</v>
      </c>
      <c r="Q81" s="73"/>
      <c r="R81" s="73"/>
      <c r="S81" s="51"/>
      <c r="T81" s="51"/>
      <c r="U81" s="51"/>
      <c r="V81" s="51"/>
      <c r="W81" s="51">
        <f>W66</f>
        <v>110</v>
      </c>
      <c r="X81" s="55">
        <f>X111*0.1</f>
        <v>3.4999999999999996E-2</v>
      </c>
      <c r="Y81" s="59">
        <f t="shared" si="17"/>
        <v>2667.1601799999999</v>
      </c>
      <c r="Z81" s="51">
        <f t="shared" si="15"/>
        <v>345.03500000000003</v>
      </c>
      <c r="AA81" s="51">
        <f t="shared" si="27"/>
        <v>3012.1951799999997</v>
      </c>
      <c r="AF81" t="s">
        <v>7</v>
      </c>
      <c r="AG81">
        <f>7/180</f>
        <v>3.888888888888889E-2</v>
      </c>
      <c r="AH81">
        <f>AG81*20000</f>
        <v>777.77777777777783</v>
      </c>
      <c r="AI81">
        <f>AH81/5000</f>
        <v>0.15555555555555556</v>
      </c>
      <c r="AJ81">
        <f>AH81/4777</f>
        <v>0.16281720280045589</v>
      </c>
    </row>
    <row r="82" spans="1:36" x14ac:dyDescent="0.25">
      <c r="A82" s="30" t="s">
        <v>60</v>
      </c>
      <c r="B82" s="31" t="s">
        <v>13</v>
      </c>
      <c r="C82" s="32" t="s">
        <v>61</v>
      </c>
      <c r="D82" s="31" t="s">
        <v>76</v>
      </c>
      <c r="E82" s="31"/>
      <c r="F82" s="51">
        <f>F66*0.1</f>
        <v>98.040020000000013</v>
      </c>
      <c r="G82" s="51">
        <v>0</v>
      </c>
      <c r="H82" s="51">
        <v>0</v>
      </c>
      <c r="I82" s="51">
        <f>I66*0.05</f>
        <v>38.800000000000004</v>
      </c>
      <c r="J82" s="51">
        <f>J66*0.7</f>
        <v>979.99999999999989</v>
      </c>
      <c r="K82" s="51">
        <f>K66*0.05</f>
        <v>21.85</v>
      </c>
      <c r="L82" s="52">
        <v>0</v>
      </c>
      <c r="M82" s="73">
        <f>M66*0.5</f>
        <v>1175</v>
      </c>
      <c r="N82" s="73">
        <f>N66</f>
        <v>630</v>
      </c>
      <c r="O82" s="73">
        <f>O66*0.5</f>
        <v>900</v>
      </c>
      <c r="P82" s="73">
        <f>P66*0.49</f>
        <v>3920</v>
      </c>
      <c r="Q82" s="73"/>
      <c r="R82" s="73">
        <f>R66</f>
        <v>1400</v>
      </c>
      <c r="S82" s="51"/>
      <c r="T82" s="51"/>
      <c r="U82" s="51"/>
      <c r="V82" s="51"/>
      <c r="W82" s="51"/>
      <c r="X82" s="55">
        <f>X111*0.1</f>
        <v>3.4999999999999996E-2</v>
      </c>
      <c r="Y82" s="59">
        <f t="shared" si="17"/>
        <v>1138.6900199999998</v>
      </c>
      <c r="Z82" s="51">
        <f t="shared" si="15"/>
        <v>8025.0349999999999</v>
      </c>
      <c r="AA82" s="51">
        <f t="shared" si="27"/>
        <v>9163.7250199999999</v>
      </c>
      <c r="AF82" t="s">
        <v>8</v>
      </c>
      <c r="AG82">
        <f>36/180</f>
        <v>0.2</v>
      </c>
      <c r="AH82">
        <f>AG82*20000</f>
        <v>4000</v>
      </c>
      <c r="AI82">
        <f>AH82/5000</f>
        <v>0.8</v>
      </c>
      <c r="AJ82">
        <f>AH82/4777</f>
        <v>0.83734561440234456</v>
      </c>
    </row>
    <row r="83" spans="1:36" x14ac:dyDescent="0.25">
      <c r="A83" s="30" t="s">
        <v>60</v>
      </c>
      <c r="B83" s="31" t="s">
        <v>13</v>
      </c>
      <c r="C83" s="32" t="s">
        <v>61</v>
      </c>
      <c r="D83" s="31" t="s">
        <v>77</v>
      </c>
      <c r="E83" s="31"/>
      <c r="F83" s="51">
        <v>0</v>
      </c>
      <c r="G83" s="51">
        <v>0</v>
      </c>
      <c r="H83" s="51">
        <v>0</v>
      </c>
      <c r="I83" s="51">
        <v>0</v>
      </c>
      <c r="J83" s="51">
        <v>0</v>
      </c>
      <c r="K83" s="51">
        <f>K66*0.1</f>
        <v>43.7</v>
      </c>
      <c r="L83" s="52">
        <v>0</v>
      </c>
      <c r="M83" s="73">
        <f>M66*0.4</f>
        <v>940</v>
      </c>
      <c r="N83" s="73">
        <v>0</v>
      </c>
      <c r="O83" s="73">
        <f>O66*0.5</f>
        <v>900</v>
      </c>
      <c r="P83" s="73">
        <f>P66*0.5</f>
        <v>4000</v>
      </c>
      <c r="Q83" s="73"/>
      <c r="R83" s="73"/>
      <c r="S83" s="51"/>
      <c r="T83" s="51">
        <f>T66</f>
        <v>400</v>
      </c>
      <c r="U83" s="51">
        <f>U66</f>
        <v>900</v>
      </c>
      <c r="V83" s="51"/>
      <c r="W83" s="51"/>
      <c r="X83" s="55">
        <f>X111*0.7</f>
        <v>0.24499999999999997</v>
      </c>
      <c r="Y83" s="59">
        <f t="shared" si="17"/>
        <v>43.7</v>
      </c>
      <c r="Z83" s="51">
        <f t="shared" si="15"/>
        <v>7140.2449999999999</v>
      </c>
      <c r="AA83" s="51">
        <f t="shared" si="27"/>
        <v>7183.9449999999997</v>
      </c>
    </row>
    <row r="84" spans="1:36" x14ac:dyDescent="0.25">
      <c r="A84" s="30" t="s">
        <v>60</v>
      </c>
      <c r="B84" s="31" t="s">
        <v>13</v>
      </c>
      <c r="C84" s="32" t="s">
        <v>61</v>
      </c>
      <c r="D84" s="31" t="s">
        <v>78</v>
      </c>
      <c r="E84" s="31"/>
      <c r="F84" s="51">
        <v>0</v>
      </c>
      <c r="G84" s="51">
        <v>0</v>
      </c>
      <c r="H84" s="51">
        <v>0</v>
      </c>
      <c r="I84" s="51">
        <f>I66*0.05</f>
        <v>38.800000000000004</v>
      </c>
      <c r="J84" s="51">
        <v>0</v>
      </c>
      <c r="K84" s="51">
        <f>K66*0.05</f>
        <v>21.85</v>
      </c>
      <c r="L84" s="52">
        <v>0</v>
      </c>
      <c r="M84" s="73">
        <f>M66*0</f>
        <v>0</v>
      </c>
      <c r="N84" s="73">
        <v>0</v>
      </c>
      <c r="O84" s="73">
        <f>O66*0</f>
        <v>0</v>
      </c>
      <c r="P84" s="73">
        <f>(P66)*0.01</f>
        <v>80</v>
      </c>
      <c r="Q84" s="73">
        <f>Q66</f>
        <v>1600</v>
      </c>
      <c r="R84" s="73"/>
      <c r="S84" s="51"/>
      <c r="T84" s="51"/>
      <c r="U84" s="51"/>
      <c r="V84" s="51"/>
      <c r="W84" s="51"/>
      <c r="X84" s="55">
        <f>X66*0.1</f>
        <v>300</v>
      </c>
      <c r="Y84" s="59">
        <f t="shared" si="17"/>
        <v>60.650000000000006</v>
      </c>
      <c r="Z84" s="51">
        <f t="shared" si="15"/>
        <v>1980</v>
      </c>
      <c r="AA84" s="51">
        <f t="shared" si="27"/>
        <v>2040.65</v>
      </c>
    </row>
    <row r="85" spans="1:36" ht="15.75" thickBot="1" x14ac:dyDescent="0.3">
      <c r="A85" s="33" t="s">
        <v>60</v>
      </c>
      <c r="B85" s="34" t="s">
        <v>13</v>
      </c>
      <c r="C85" s="35" t="s">
        <v>61</v>
      </c>
      <c r="D85" s="34" t="s">
        <v>79</v>
      </c>
      <c r="E85" s="31"/>
      <c r="F85" s="51">
        <v>0</v>
      </c>
      <c r="G85" s="51">
        <v>0</v>
      </c>
      <c r="H85" s="51">
        <v>0</v>
      </c>
      <c r="I85" s="51">
        <v>0</v>
      </c>
      <c r="J85" s="51">
        <v>0</v>
      </c>
      <c r="K85" s="51">
        <v>0</v>
      </c>
      <c r="L85" s="52">
        <v>0</v>
      </c>
      <c r="M85" s="51">
        <v>0</v>
      </c>
      <c r="N85" s="51">
        <v>0</v>
      </c>
      <c r="O85" s="51">
        <v>0</v>
      </c>
      <c r="P85" s="51">
        <v>0</v>
      </c>
      <c r="Q85" s="51">
        <v>0</v>
      </c>
      <c r="R85" s="51">
        <v>0</v>
      </c>
      <c r="S85" s="51">
        <v>0</v>
      </c>
      <c r="T85" s="51">
        <v>0</v>
      </c>
      <c r="U85" s="51">
        <v>0</v>
      </c>
      <c r="V85" s="51">
        <v>0</v>
      </c>
      <c r="W85" s="51">
        <v>0</v>
      </c>
      <c r="X85" s="55">
        <v>0</v>
      </c>
      <c r="Y85" s="59">
        <f t="shared" si="17"/>
        <v>0</v>
      </c>
      <c r="Z85" s="51">
        <f t="shared" si="15"/>
        <v>0</v>
      </c>
      <c r="AA85" s="51">
        <f t="shared" si="27"/>
        <v>0</v>
      </c>
    </row>
    <row r="86" spans="1:36" x14ac:dyDescent="0.25">
      <c r="A86" s="30" t="s">
        <v>60</v>
      </c>
      <c r="B86" s="31" t="s">
        <v>13</v>
      </c>
      <c r="C86" s="32" t="s">
        <v>62</v>
      </c>
      <c r="D86" s="31" t="s">
        <v>75</v>
      </c>
      <c r="E86" s="31"/>
      <c r="F86" s="51"/>
      <c r="G86" s="73">
        <f>G67</f>
        <v>837.59633363886337</v>
      </c>
      <c r="H86" s="51">
        <f>H67*0.4</f>
        <v>940.5</v>
      </c>
      <c r="I86" s="51">
        <v>0</v>
      </c>
      <c r="J86" s="51">
        <v>0</v>
      </c>
      <c r="K86" s="51">
        <v>0</v>
      </c>
      <c r="L86" s="52">
        <v>0</v>
      </c>
      <c r="M86" s="51">
        <v>0</v>
      </c>
      <c r="N86" s="51">
        <v>0</v>
      </c>
      <c r="O86" s="51">
        <v>0</v>
      </c>
      <c r="P86" s="51">
        <v>0</v>
      </c>
      <c r="Q86" s="51">
        <v>0</v>
      </c>
      <c r="R86" s="51">
        <v>0</v>
      </c>
      <c r="S86" s="51">
        <v>0</v>
      </c>
      <c r="T86" s="51">
        <v>0</v>
      </c>
      <c r="U86" s="51">
        <v>0</v>
      </c>
      <c r="V86" s="51">
        <v>0</v>
      </c>
      <c r="W86" s="51">
        <v>0</v>
      </c>
      <c r="X86" s="55">
        <v>0</v>
      </c>
      <c r="Y86" s="59">
        <f t="shared" si="17"/>
        <v>1778.0963336388634</v>
      </c>
      <c r="Z86" s="51">
        <f t="shared" si="15"/>
        <v>0</v>
      </c>
      <c r="AA86" s="51">
        <f t="shared" si="27"/>
        <v>1778.0963336388634</v>
      </c>
    </row>
    <row r="87" spans="1:36" x14ac:dyDescent="0.25">
      <c r="A87" s="30" t="s">
        <v>60</v>
      </c>
      <c r="B87" s="31" t="s">
        <v>13</v>
      </c>
      <c r="C87" s="32" t="s">
        <v>62</v>
      </c>
      <c r="D87" s="31" t="s">
        <v>76</v>
      </c>
      <c r="E87" s="31"/>
      <c r="F87" s="51">
        <f>F67</f>
        <v>525.33264000000008</v>
      </c>
      <c r="G87" s="51">
        <f>G67*0</f>
        <v>0</v>
      </c>
      <c r="H87" s="51">
        <f>H67*0.6</f>
        <v>1410.75</v>
      </c>
      <c r="I87" s="51">
        <v>0</v>
      </c>
      <c r="J87" s="51">
        <v>0</v>
      </c>
      <c r="K87" s="51">
        <v>0</v>
      </c>
      <c r="L87" s="52">
        <v>0</v>
      </c>
      <c r="M87" s="51">
        <v>0</v>
      </c>
      <c r="N87" s="51">
        <v>0</v>
      </c>
      <c r="O87" s="51">
        <v>0</v>
      </c>
      <c r="P87" s="51">
        <f>P67</f>
        <v>12000</v>
      </c>
      <c r="Q87" s="51">
        <v>0</v>
      </c>
      <c r="R87" s="51">
        <v>0</v>
      </c>
      <c r="S87" s="51">
        <v>0</v>
      </c>
      <c r="T87" s="51">
        <v>0</v>
      </c>
      <c r="U87" s="51">
        <v>0</v>
      </c>
      <c r="V87" s="51">
        <v>0</v>
      </c>
      <c r="W87" s="51">
        <v>0</v>
      </c>
      <c r="X87" s="55">
        <v>0</v>
      </c>
      <c r="Y87" s="59">
        <f t="shared" si="17"/>
        <v>1936.0826400000001</v>
      </c>
      <c r="Z87" s="51">
        <f t="shared" si="15"/>
        <v>12000</v>
      </c>
      <c r="AA87" s="51">
        <f t="shared" si="27"/>
        <v>13936.082640000001</v>
      </c>
    </row>
    <row r="88" spans="1:36" x14ac:dyDescent="0.25">
      <c r="A88" s="30" t="s">
        <v>60</v>
      </c>
      <c r="B88" s="31" t="s">
        <v>13</v>
      </c>
      <c r="C88" s="32" t="s">
        <v>62</v>
      </c>
      <c r="D88" s="31" t="s">
        <v>77</v>
      </c>
      <c r="E88" s="31"/>
      <c r="F88" s="51">
        <v>0</v>
      </c>
      <c r="G88" s="51">
        <v>0</v>
      </c>
      <c r="H88" s="51">
        <v>0</v>
      </c>
      <c r="I88" s="51">
        <v>0</v>
      </c>
      <c r="J88" s="51">
        <v>0</v>
      </c>
      <c r="K88" s="51">
        <v>0</v>
      </c>
      <c r="L88" s="52">
        <v>0</v>
      </c>
      <c r="M88" s="51">
        <v>0</v>
      </c>
      <c r="N88" s="51">
        <v>0</v>
      </c>
      <c r="O88" s="51">
        <v>0</v>
      </c>
      <c r="P88" s="51">
        <v>0</v>
      </c>
      <c r="Q88" s="51">
        <v>0</v>
      </c>
      <c r="R88" s="51">
        <v>0</v>
      </c>
      <c r="S88" s="51">
        <v>0</v>
      </c>
      <c r="T88" s="51">
        <v>0</v>
      </c>
      <c r="U88" s="51">
        <v>0</v>
      </c>
      <c r="V88" s="51">
        <v>0</v>
      </c>
      <c r="W88" s="51">
        <v>0</v>
      </c>
      <c r="X88" s="55">
        <v>0</v>
      </c>
      <c r="Y88" s="59">
        <f t="shared" si="17"/>
        <v>0</v>
      </c>
      <c r="Z88" s="51">
        <f t="shared" si="15"/>
        <v>0</v>
      </c>
      <c r="AA88" s="51">
        <f t="shared" si="27"/>
        <v>0</v>
      </c>
    </row>
    <row r="89" spans="1:36" x14ac:dyDescent="0.25">
      <c r="A89" s="30" t="s">
        <v>60</v>
      </c>
      <c r="B89" s="31" t="s">
        <v>13</v>
      </c>
      <c r="C89" s="32" t="s">
        <v>62</v>
      </c>
      <c r="D89" s="31" t="s">
        <v>78</v>
      </c>
      <c r="E89" s="31"/>
      <c r="F89" s="51">
        <v>0</v>
      </c>
      <c r="G89" s="51">
        <v>0</v>
      </c>
      <c r="H89" s="51">
        <v>0</v>
      </c>
      <c r="I89" s="51">
        <v>0</v>
      </c>
      <c r="J89" s="51">
        <v>0</v>
      </c>
      <c r="K89" s="51">
        <v>0</v>
      </c>
      <c r="L89" s="52">
        <v>0</v>
      </c>
      <c r="M89" s="51">
        <v>0</v>
      </c>
      <c r="N89" s="51">
        <v>0</v>
      </c>
      <c r="O89" s="51">
        <v>0</v>
      </c>
      <c r="P89" s="51">
        <v>0</v>
      </c>
      <c r="Q89" s="51">
        <v>0</v>
      </c>
      <c r="R89" s="51">
        <v>0</v>
      </c>
      <c r="S89" s="51">
        <v>0</v>
      </c>
      <c r="T89" s="51">
        <v>0</v>
      </c>
      <c r="U89" s="51">
        <v>0</v>
      </c>
      <c r="V89" s="51">
        <v>0</v>
      </c>
      <c r="W89" s="51">
        <v>0</v>
      </c>
      <c r="X89" s="55">
        <v>0</v>
      </c>
      <c r="Y89" s="59">
        <f t="shared" si="17"/>
        <v>0</v>
      </c>
      <c r="Z89" s="51">
        <f t="shared" si="15"/>
        <v>0</v>
      </c>
      <c r="AA89" s="51">
        <f t="shared" si="27"/>
        <v>0</v>
      </c>
    </row>
    <row r="90" spans="1:36" ht="15.75" thickBot="1" x14ac:dyDescent="0.3">
      <c r="A90" s="33" t="s">
        <v>60</v>
      </c>
      <c r="B90" s="34" t="s">
        <v>13</v>
      </c>
      <c r="C90" s="32" t="s">
        <v>62</v>
      </c>
      <c r="D90" s="34" t="s">
        <v>79</v>
      </c>
      <c r="E90" s="31"/>
      <c r="F90" s="51">
        <v>0</v>
      </c>
      <c r="G90" s="51">
        <v>0</v>
      </c>
      <c r="H90" s="51">
        <v>0</v>
      </c>
      <c r="I90" s="51">
        <v>0</v>
      </c>
      <c r="J90" s="51">
        <v>0</v>
      </c>
      <c r="K90" s="51">
        <v>0</v>
      </c>
      <c r="L90" s="52">
        <v>0</v>
      </c>
      <c r="M90" s="51">
        <v>0</v>
      </c>
      <c r="N90" s="51">
        <v>0</v>
      </c>
      <c r="O90" s="51">
        <v>0</v>
      </c>
      <c r="P90" s="51">
        <v>0</v>
      </c>
      <c r="Q90" s="51">
        <v>0</v>
      </c>
      <c r="R90" s="51">
        <v>0</v>
      </c>
      <c r="S90" s="51">
        <v>0</v>
      </c>
      <c r="T90" s="51">
        <v>0</v>
      </c>
      <c r="U90" s="51">
        <v>0</v>
      </c>
      <c r="V90" s="51">
        <v>0</v>
      </c>
      <c r="W90" s="51">
        <v>0</v>
      </c>
      <c r="X90" s="55">
        <v>0</v>
      </c>
      <c r="Y90" s="59">
        <f t="shared" si="17"/>
        <v>0</v>
      </c>
      <c r="Z90" s="51">
        <f t="shared" si="15"/>
        <v>0</v>
      </c>
      <c r="AA90" s="51">
        <f t="shared" si="27"/>
        <v>0</v>
      </c>
    </row>
    <row r="92" spans="1:36" x14ac:dyDescent="0.25">
      <c r="D92" s="41" t="s">
        <v>19</v>
      </c>
      <c r="E92" s="41"/>
      <c r="M92" s="24" t="s">
        <v>81</v>
      </c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</row>
    <row r="93" spans="1:36" x14ac:dyDescent="0.25">
      <c r="F93" s="23" t="s">
        <v>44</v>
      </c>
      <c r="G93" s="23"/>
      <c r="H93" s="23"/>
      <c r="I93" s="23"/>
      <c r="J93" s="23"/>
      <c r="K93" s="23"/>
      <c r="L93" s="7" t="s">
        <v>30</v>
      </c>
      <c r="M93" s="24" t="s">
        <v>46</v>
      </c>
      <c r="N93" s="24"/>
      <c r="O93" s="24"/>
      <c r="P93" s="24"/>
      <c r="Q93" s="24"/>
      <c r="R93" s="24" t="s">
        <v>47</v>
      </c>
      <c r="S93" s="24"/>
      <c r="T93" s="24"/>
      <c r="U93" s="24"/>
      <c r="V93" s="24"/>
      <c r="W93" s="24"/>
      <c r="X93" s="24"/>
      <c r="Y93" s="44" t="s">
        <v>85</v>
      </c>
      <c r="Z93" s="44" t="s">
        <v>48</v>
      </c>
      <c r="AA93" s="44" t="s">
        <v>3</v>
      </c>
    </row>
    <row r="94" spans="1:36" ht="63" x14ac:dyDescent="0.25">
      <c r="F94" s="38" t="s">
        <v>36</v>
      </c>
      <c r="G94" s="38" t="s">
        <v>37</v>
      </c>
      <c r="H94" s="38" t="s">
        <v>38</v>
      </c>
      <c r="I94" s="38" t="s">
        <v>80</v>
      </c>
      <c r="J94" s="38" t="s">
        <v>39</v>
      </c>
      <c r="K94" s="38" t="s">
        <v>45</v>
      </c>
      <c r="L94" s="39" t="s">
        <v>16</v>
      </c>
      <c r="M94" s="40" t="s">
        <v>34</v>
      </c>
      <c r="N94" s="40" t="s">
        <v>5</v>
      </c>
      <c r="O94" s="40" t="s">
        <v>7</v>
      </c>
      <c r="P94" s="40" t="s">
        <v>8</v>
      </c>
      <c r="Q94" s="40" t="s">
        <v>40</v>
      </c>
      <c r="R94" s="40" t="s">
        <v>41</v>
      </c>
      <c r="S94" s="40" t="s">
        <v>42</v>
      </c>
      <c r="T94" s="40" t="s">
        <v>31</v>
      </c>
      <c r="U94" s="40" t="s">
        <v>43</v>
      </c>
      <c r="V94" s="40" t="s">
        <v>82</v>
      </c>
      <c r="W94" s="40" t="s">
        <v>87</v>
      </c>
      <c r="X94" s="40" t="s">
        <v>83</v>
      </c>
      <c r="Y94" s="45" t="s">
        <v>3</v>
      </c>
      <c r="Z94" s="45" t="s">
        <v>3</v>
      </c>
      <c r="AA94" s="45" t="s">
        <v>3</v>
      </c>
    </row>
    <row r="95" spans="1:36" x14ac:dyDescent="0.25">
      <c r="A95" s="15" t="s">
        <v>51</v>
      </c>
      <c r="B95" s="2"/>
      <c r="C95" s="2"/>
      <c r="F95" s="1">
        <f t="shared" ref="F95:AA106" si="28">IF(F5&gt;0,F50/F5,0)</f>
        <v>0</v>
      </c>
      <c r="G95" s="1">
        <f t="shared" si="28"/>
        <v>0</v>
      </c>
      <c r="H95" s="1">
        <f t="shared" si="28"/>
        <v>0</v>
      </c>
      <c r="I95" s="1">
        <f t="shared" si="28"/>
        <v>0</v>
      </c>
      <c r="J95" s="1">
        <f t="shared" si="28"/>
        <v>0</v>
      </c>
      <c r="K95" s="1">
        <f t="shared" si="28"/>
        <v>0</v>
      </c>
      <c r="L95" s="52">
        <f t="shared" si="28"/>
        <v>0</v>
      </c>
      <c r="M95" s="1">
        <f t="shared" si="28"/>
        <v>0</v>
      </c>
      <c r="N95" s="1">
        <f t="shared" si="28"/>
        <v>0</v>
      </c>
      <c r="O95" s="1">
        <f t="shared" si="28"/>
        <v>0</v>
      </c>
      <c r="P95" s="1">
        <f t="shared" si="28"/>
        <v>0</v>
      </c>
      <c r="Q95" s="1">
        <f t="shared" si="28"/>
        <v>0</v>
      </c>
      <c r="R95" s="1">
        <f t="shared" si="28"/>
        <v>0</v>
      </c>
      <c r="S95" s="1">
        <f t="shared" si="28"/>
        <v>0</v>
      </c>
      <c r="T95" s="1">
        <f t="shared" si="28"/>
        <v>0</v>
      </c>
      <c r="U95" s="1">
        <f t="shared" si="28"/>
        <v>0</v>
      </c>
      <c r="V95" s="1">
        <f t="shared" si="28"/>
        <v>0</v>
      </c>
      <c r="W95" s="1">
        <f t="shared" si="28"/>
        <v>0</v>
      </c>
      <c r="X95" s="54">
        <f t="shared" si="28"/>
        <v>0</v>
      </c>
      <c r="Y95" s="58">
        <f t="shared" si="28"/>
        <v>0</v>
      </c>
      <c r="Z95" s="1">
        <f t="shared" si="28"/>
        <v>0</v>
      </c>
      <c r="AA95" s="1">
        <f t="shared" si="28"/>
        <v>0</v>
      </c>
    </row>
    <row r="96" spans="1:36" x14ac:dyDescent="0.25">
      <c r="A96" s="30" t="s">
        <v>60</v>
      </c>
      <c r="B96" s="2"/>
      <c r="C96" s="2"/>
      <c r="F96" s="1">
        <f t="shared" si="28"/>
        <v>0.19812274210526318</v>
      </c>
      <c r="G96" s="1">
        <f t="shared" si="28"/>
        <v>0.24068860162036304</v>
      </c>
      <c r="H96" s="1">
        <f t="shared" si="28"/>
        <v>0.24308035714285717</v>
      </c>
      <c r="I96" s="1">
        <f t="shared" si="28"/>
        <v>0.18853255587949466</v>
      </c>
      <c r="J96" s="1">
        <f t="shared" si="28"/>
        <v>0.17089966097128359</v>
      </c>
      <c r="K96" s="1">
        <f t="shared" si="28"/>
        <v>0.16631903642773208</v>
      </c>
      <c r="L96" s="52">
        <f t="shared" si="28"/>
        <v>8.3000000000000004E-2</v>
      </c>
      <c r="M96" s="1">
        <f t="shared" si="28"/>
        <v>0.16201754385964912</v>
      </c>
      <c r="N96" s="1">
        <f t="shared" si="28"/>
        <v>0.29086738949124269</v>
      </c>
      <c r="O96" s="1">
        <f t="shared" si="28"/>
        <v>0.2229654403567447</v>
      </c>
      <c r="P96" s="1">
        <f t="shared" si="28"/>
        <v>0.125</v>
      </c>
      <c r="Q96" s="1">
        <f t="shared" si="28"/>
        <v>0.1184857571214393</v>
      </c>
      <c r="R96" s="1">
        <f t="shared" si="28"/>
        <v>0.14895104895104894</v>
      </c>
      <c r="S96" s="1">
        <f t="shared" si="28"/>
        <v>0.5357142857142857</v>
      </c>
      <c r="T96" s="1">
        <f t="shared" si="28"/>
        <v>0.14739480752014322</v>
      </c>
      <c r="U96" s="1">
        <f t="shared" si="28"/>
        <v>0.13937007874015747</v>
      </c>
      <c r="V96" s="1">
        <f t="shared" si="28"/>
        <v>0.35975975975975977</v>
      </c>
      <c r="W96" s="1">
        <f t="shared" si="28"/>
        <v>0.12219020172910663</v>
      </c>
      <c r="X96" s="54">
        <f t="shared" si="28"/>
        <v>0.31286663912569945</v>
      </c>
      <c r="Y96" s="58">
        <f t="shared" si="28"/>
        <v>0.19595488853688098</v>
      </c>
      <c r="Z96" s="1">
        <f t="shared" si="28"/>
        <v>0.14605478079029224</v>
      </c>
      <c r="AA96" s="1">
        <f t="shared" si="28"/>
        <v>0.12166052331892283</v>
      </c>
    </row>
    <row r="97" spans="1:28" x14ac:dyDescent="0.25">
      <c r="A97" s="15" t="s">
        <v>51</v>
      </c>
      <c r="B97" s="16" t="s">
        <v>52</v>
      </c>
      <c r="C97" s="2"/>
      <c r="F97" s="1">
        <f t="shared" si="28"/>
        <v>0</v>
      </c>
      <c r="G97" s="1">
        <f t="shared" si="28"/>
        <v>0</v>
      </c>
      <c r="H97" s="1">
        <f t="shared" si="28"/>
        <v>0</v>
      </c>
      <c r="I97" s="1">
        <f t="shared" si="28"/>
        <v>0</v>
      </c>
      <c r="J97" s="1">
        <f t="shared" si="28"/>
        <v>0</v>
      </c>
      <c r="K97" s="1">
        <f t="shared" si="28"/>
        <v>0</v>
      </c>
      <c r="L97" s="52">
        <f t="shared" si="28"/>
        <v>0</v>
      </c>
      <c r="M97" s="1">
        <f t="shared" si="28"/>
        <v>0</v>
      </c>
      <c r="N97" s="1">
        <f t="shared" si="28"/>
        <v>0</v>
      </c>
      <c r="O97" s="1">
        <f t="shared" si="28"/>
        <v>0</v>
      </c>
      <c r="P97" s="1">
        <f t="shared" si="28"/>
        <v>0</v>
      </c>
      <c r="Q97" s="1">
        <f t="shared" si="28"/>
        <v>0</v>
      </c>
      <c r="R97" s="1">
        <f t="shared" si="28"/>
        <v>0</v>
      </c>
      <c r="S97" s="1">
        <f t="shared" si="28"/>
        <v>0</v>
      </c>
      <c r="T97" s="1">
        <f t="shared" si="28"/>
        <v>0</v>
      </c>
      <c r="U97" s="1">
        <f t="shared" si="28"/>
        <v>0</v>
      </c>
      <c r="V97" s="1">
        <f t="shared" si="28"/>
        <v>0</v>
      </c>
      <c r="W97" s="1">
        <f t="shared" si="28"/>
        <v>0</v>
      </c>
      <c r="X97" s="54">
        <f t="shared" si="28"/>
        <v>0</v>
      </c>
      <c r="Y97" s="58">
        <f t="shared" si="28"/>
        <v>0</v>
      </c>
      <c r="Z97" s="1">
        <f t="shared" si="28"/>
        <v>0</v>
      </c>
      <c r="AA97" s="1">
        <f t="shared" si="28"/>
        <v>0</v>
      </c>
    </row>
    <row r="98" spans="1:28" x14ac:dyDescent="0.25">
      <c r="A98" s="15" t="s">
        <v>51</v>
      </c>
      <c r="B98" s="16" t="s">
        <v>56</v>
      </c>
      <c r="C98" s="2"/>
      <c r="F98" s="1">
        <f t="shared" si="28"/>
        <v>0</v>
      </c>
      <c r="G98" s="1">
        <f t="shared" si="28"/>
        <v>0</v>
      </c>
      <c r="H98" s="1">
        <f t="shared" si="28"/>
        <v>0</v>
      </c>
      <c r="I98" s="1">
        <f t="shared" si="28"/>
        <v>0</v>
      </c>
      <c r="J98" s="1">
        <f t="shared" si="28"/>
        <v>0</v>
      </c>
      <c r="K98" s="1">
        <f t="shared" si="28"/>
        <v>0</v>
      </c>
      <c r="L98" s="52">
        <f t="shared" si="28"/>
        <v>0</v>
      </c>
      <c r="M98" s="1">
        <f t="shared" si="28"/>
        <v>0</v>
      </c>
      <c r="N98" s="1">
        <f t="shared" si="28"/>
        <v>0</v>
      </c>
      <c r="O98" s="1">
        <f t="shared" si="28"/>
        <v>0</v>
      </c>
      <c r="P98" s="1">
        <f t="shared" si="28"/>
        <v>0</v>
      </c>
      <c r="Q98" s="1">
        <f t="shared" si="28"/>
        <v>0</v>
      </c>
      <c r="R98" s="1">
        <f t="shared" si="28"/>
        <v>0</v>
      </c>
      <c r="S98" s="1">
        <f t="shared" si="28"/>
        <v>0</v>
      </c>
      <c r="T98" s="1">
        <f t="shared" si="28"/>
        <v>0</v>
      </c>
      <c r="U98" s="1">
        <f t="shared" si="28"/>
        <v>0</v>
      </c>
      <c r="V98" s="1">
        <f t="shared" si="28"/>
        <v>0</v>
      </c>
      <c r="W98" s="1">
        <f t="shared" si="28"/>
        <v>0</v>
      </c>
      <c r="X98" s="54">
        <f t="shared" si="28"/>
        <v>0</v>
      </c>
      <c r="Y98" s="58">
        <f t="shared" si="28"/>
        <v>0</v>
      </c>
      <c r="Z98" s="1">
        <f t="shared" si="28"/>
        <v>0</v>
      </c>
      <c r="AA98" s="1">
        <f t="shared" si="28"/>
        <v>0</v>
      </c>
    </row>
    <row r="99" spans="1:28" x14ac:dyDescent="0.25">
      <c r="A99" s="15" t="s">
        <v>51</v>
      </c>
      <c r="B99" s="16" t="s">
        <v>9</v>
      </c>
      <c r="C99" s="2"/>
      <c r="F99" s="1">
        <f t="shared" si="28"/>
        <v>0</v>
      </c>
      <c r="G99" s="1">
        <f t="shared" si="28"/>
        <v>0</v>
      </c>
      <c r="H99" s="1">
        <f t="shared" si="28"/>
        <v>0</v>
      </c>
      <c r="I99" s="1">
        <f t="shared" si="28"/>
        <v>0</v>
      </c>
      <c r="J99" s="1">
        <f t="shared" si="28"/>
        <v>0</v>
      </c>
      <c r="K99" s="1">
        <f t="shared" si="28"/>
        <v>0</v>
      </c>
      <c r="L99" s="52">
        <f t="shared" si="28"/>
        <v>0</v>
      </c>
      <c r="M99" s="1">
        <f t="shared" si="28"/>
        <v>0</v>
      </c>
      <c r="N99" s="1">
        <f t="shared" si="28"/>
        <v>0</v>
      </c>
      <c r="O99" s="1">
        <f t="shared" si="28"/>
        <v>0</v>
      </c>
      <c r="P99" s="1">
        <f t="shared" si="28"/>
        <v>0</v>
      </c>
      <c r="Q99" s="1">
        <f t="shared" si="28"/>
        <v>0</v>
      </c>
      <c r="R99" s="1">
        <f t="shared" si="28"/>
        <v>0</v>
      </c>
      <c r="S99" s="1">
        <f t="shared" si="28"/>
        <v>0</v>
      </c>
      <c r="T99" s="1">
        <f t="shared" si="28"/>
        <v>0</v>
      </c>
      <c r="U99" s="1">
        <f t="shared" si="28"/>
        <v>0</v>
      </c>
      <c r="V99" s="1">
        <f t="shared" si="28"/>
        <v>0</v>
      </c>
      <c r="W99" s="1">
        <f t="shared" si="28"/>
        <v>0</v>
      </c>
      <c r="X99" s="54">
        <f t="shared" si="28"/>
        <v>0</v>
      </c>
      <c r="Y99" s="58">
        <f t="shared" si="28"/>
        <v>0</v>
      </c>
      <c r="Z99" s="1">
        <f t="shared" si="28"/>
        <v>0</v>
      </c>
      <c r="AA99" s="1">
        <f t="shared" si="28"/>
        <v>0</v>
      </c>
    </row>
    <row r="100" spans="1:28" x14ac:dyDescent="0.25">
      <c r="A100" s="30" t="s">
        <v>60</v>
      </c>
      <c r="B100" s="32" t="s">
        <v>13</v>
      </c>
      <c r="C100" s="2"/>
      <c r="F100" s="51">
        <f t="shared" si="28"/>
        <v>0.19812274210526318</v>
      </c>
      <c r="G100" s="51">
        <f t="shared" si="28"/>
        <v>0.24068860162036304</v>
      </c>
      <c r="H100" s="51">
        <f t="shared" si="28"/>
        <v>0.24308035714285717</v>
      </c>
      <c r="I100" s="51">
        <f t="shared" si="28"/>
        <v>0.18853255587949466</v>
      </c>
      <c r="J100" s="51">
        <f t="shared" si="28"/>
        <v>0.35897435897435898</v>
      </c>
      <c r="K100" s="51">
        <f t="shared" si="28"/>
        <v>0.14566666666666667</v>
      </c>
      <c r="L100" s="52">
        <f t="shared" si="28"/>
        <v>0</v>
      </c>
      <c r="M100" s="51">
        <f t="shared" si="28"/>
        <v>0.39166666666666666</v>
      </c>
      <c r="N100" s="51">
        <f t="shared" si="28"/>
        <v>0.26033057851239672</v>
      </c>
      <c r="O100" s="51">
        <f t="shared" si="28"/>
        <v>0.2229654403567447</v>
      </c>
      <c r="P100" s="51">
        <f t="shared" si="28"/>
        <v>0.125</v>
      </c>
      <c r="Q100" s="51">
        <f t="shared" si="28"/>
        <v>0.28000000000000003</v>
      </c>
      <c r="R100" s="51">
        <f t="shared" si="28"/>
        <v>0.3</v>
      </c>
      <c r="S100" s="51">
        <f t="shared" si="28"/>
        <v>0</v>
      </c>
      <c r="T100" s="51">
        <f t="shared" si="28"/>
        <v>0.3</v>
      </c>
      <c r="U100" s="51">
        <f t="shared" si="28"/>
        <v>0.3</v>
      </c>
      <c r="V100" s="51">
        <f t="shared" si="28"/>
        <v>1.2</v>
      </c>
      <c r="W100" s="51">
        <f t="shared" si="28"/>
        <v>0.8</v>
      </c>
      <c r="X100" s="55">
        <f t="shared" si="28"/>
        <v>0.35</v>
      </c>
      <c r="Y100" s="59">
        <f t="shared" si="28"/>
        <v>0.23053879939643396</v>
      </c>
      <c r="Z100" s="51">
        <f t="shared" si="28"/>
        <v>0.16127724433448937</v>
      </c>
      <c r="AA100" s="51">
        <f>IF(AA10&gt;0,AB55/AA10,0)</f>
        <v>0.16735452646485019</v>
      </c>
    </row>
    <row r="101" spans="1:28" x14ac:dyDescent="0.25">
      <c r="A101" s="30" t="s">
        <v>60</v>
      </c>
      <c r="B101" s="31" t="s">
        <v>23</v>
      </c>
      <c r="C101" s="2"/>
      <c r="F101" s="51">
        <f t="shared" si="28"/>
        <v>0</v>
      </c>
      <c r="G101" s="51">
        <f t="shared" si="28"/>
        <v>0</v>
      </c>
      <c r="H101" s="51">
        <f t="shared" si="28"/>
        <v>0</v>
      </c>
      <c r="I101" s="51">
        <f t="shared" si="28"/>
        <v>0</v>
      </c>
      <c r="J101" s="51">
        <f t="shared" si="28"/>
        <v>0.35175388154111559</v>
      </c>
      <c r="K101" s="51">
        <f t="shared" si="28"/>
        <v>0.31967821782178218</v>
      </c>
      <c r="L101" s="52">
        <f t="shared" si="28"/>
        <v>0</v>
      </c>
      <c r="M101" s="51">
        <f t="shared" si="28"/>
        <v>0</v>
      </c>
      <c r="N101" s="51">
        <f t="shared" si="28"/>
        <v>0.32196969696969696</v>
      </c>
      <c r="O101" s="51">
        <f t="shared" si="28"/>
        <v>0</v>
      </c>
      <c r="P101" s="51">
        <f t="shared" si="28"/>
        <v>0</v>
      </c>
      <c r="Q101" s="51">
        <f t="shared" si="28"/>
        <v>0</v>
      </c>
      <c r="R101" s="51">
        <f t="shared" si="28"/>
        <v>0</v>
      </c>
      <c r="S101" s="51">
        <f t="shared" si="28"/>
        <v>0.5357142857142857</v>
      </c>
      <c r="T101" s="51">
        <f t="shared" si="28"/>
        <v>0.4</v>
      </c>
      <c r="U101" s="51">
        <f t="shared" si="28"/>
        <v>0</v>
      </c>
      <c r="V101" s="51">
        <f t="shared" si="28"/>
        <v>0</v>
      </c>
      <c r="W101" s="51">
        <f t="shared" si="28"/>
        <v>0</v>
      </c>
      <c r="X101" s="55">
        <f t="shared" si="28"/>
        <v>0.9</v>
      </c>
      <c r="Y101" s="59">
        <f t="shared" si="28"/>
        <v>0.34157832744405181</v>
      </c>
      <c r="Z101" s="51">
        <f t="shared" si="28"/>
        <v>0.36229611041405269</v>
      </c>
      <c r="AA101" s="51">
        <f t="shared" si="28"/>
        <v>0.35638238260674659</v>
      </c>
    </row>
    <row r="102" spans="1:28" x14ac:dyDescent="0.25">
      <c r="A102" s="30" t="s">
        <v>60</v>
      </c>
      <c r="B102" s="31" t="s">
        <v>65</v>
      </c>
      <c r="C102" s="46"/>
      <c r="F102" s="51">
        <f t="shared" si="28"/>
        <v>0</v>
      </c>
      <c r="G102" s="51">
        <f t="shared" si="28"/>
        <v>0</v>
      </c>
      <c r="H102" s="51">
        <f t="shared" si="28"/>
        <v>0</v>
      </c>
      <c r="I102" s="51">
        <f t="shared" si="28"/>
        <v>0</v>
      </c>
      <c r="J102" s="51">
        <f t="shared" si="28"/>
        <v>0.12</v>
      </c>
      <c r="K102" s="51">
        <f t="shared" si="28"/>
        <v>0</v>
      </c>
      <c r="L102" s="52">
        <f t="shared" si="28"/>
        <v>8.3000000000000004E-2</v>
      </c>
      <c r="M102" s="51">
        <f t="shared" si="28"/>
        <v>0.08</v>
      </c>
      <c r="N102" s="51">
        <f t="shared" si="28"/>
        <v>0</v>
      </c>
      <c r="O102" s="51">
        <f t="shared" si="28"/>
        <v>0</v>
      </c>
      <c r="P102" s="51">
        <f t="shared" si="28"/>
        <v>0</v>
      </c>
      <c r="Q102" s="51">
        <f t="shared" si="28"/>
        <v>0.09</v>
      </c>
      <c r="R102" s="51">
        <f t="shared" si="28"/>
        <v>0.1</v>
      </c>
      <c r="S102" s="51">
        <f t="shared" si="28"/>
        <v>0</v>
      </c>
      <c r="T102" s="51">
        <f t="shared" si="28"/>
        <v>0.12000000000000001</v>
      </c>
      <c r="U102" s="51">
        <f t="shared" si="28"/>
        <v>0.1</v>
      </c>
      <c r="V102" s="51">
        <f t="shared" si="28"/>
        <v>0.15</v>
      </c>
      <c r="W102" s="51">
        <f t="shared" si="28"/>
        <v>0.1</v>
      </c>
      <c r="X102" s="55">
        <f t="shared" si="28"/>
        <v>0.1</v>
      </c>
      <c r="Y102" s="59">
        <f t="shared" si="28"/>
        <v>0.12</v>
      </c>
      <c r="Z102" s="51">
        <f t="shared" si="28"/>
        <v>9.7197062423500624E-2</v>
      </c>
      <c r="AA102" s="51">
        <f>IF(AB12&gt;0,AA57/AB12,0)</f>
        <v>8.8527551942186089E-2</v>
      </c>
    </row>
    <row r="103" spans="1:28" ht="15.75" thickBot="1" x14ac:dyDescent="0.3">
      <c r="A103" s="48" t="s">
        <v>60</v>
      </c>
      <c r="B103" s="49" t="s">
        <v>9</v>
      </c>
      <c r="C103" s="50"/>
      <c r="D103" s="50"/>
      <c r="E103" s="50"/>
      <c r="F103" s="53">
        <f t="shared" si="28"/>
        <v>0</v>
      </c>
      <c r="G103" s="53">
        <f t="shared" si="28"/>
        <v>0</v>
      </c>
      <c r="H103" s="53">
        <f t="shared" si="28"/>
        <v>0</v>
      </c>
      <c r="I103" s="53">
        <f t="shared" si="28"/>
        <v>0</v>
      </c>
      <c r="J103" s="53">
        <f t="shared" si="28"/>
        <v>0</v>
      </c>
      <c r="K103" s="53">
        <f t="shared" si="28"/>
        <v>0</v>
      </c>
      <c r="L103" s="62">
        <f t="shared" si="28"/>
        <v>0</v>
      </c>
      <c r="M103" s="53">
        <f t="shared" si="28"/>
        <v>0</v>
      </c>
      <c r="N103" s="53">
        <f t="shared" si="28"/>
        <v>0</v>
      </c>
      <c r="O103" s="53">
        <f t="shared" si="28"/>
        <v>0</v>
      </c>
      <c r="P103" s="53">
        <f t="shared" si="28"/>
        <v>0</v>
      </c>
      <c r="Q103" s="53">
        <f t="shared" si="28"/>
        <v>0</v>
      </c>
      <c r="R103" s="53">
        <f t="shared" si="28"/>
        <v>0</v>
      </c>
      <c r="S103" s="53">
        <f t="shared" si="28"/>
        <v>0</v>
      </c>
      <c r="T103" s="53">
        <f t="shared" si="28"/>
        <v>0</v>
      </c>
      <c r="U103" s="53">
        <f t="shared" si="28"/>
        <v>0</v>
      </c>
      <c r="V103" s="53">
        <f t="shared" si="28"/>
        <v>1</v>
      </c>
      <c r="W103" s="53">
        <f t="shared" si="28"/>
        <v>0</v>
      </c>
      <c r="X103" s="56">
        <f t="shared" si="28"/>
        <v>0.42</v>
      </c>
      <c r="Y103" s="60">
        <f t="shared" si="28"/>
        <v>0</v>
      </c>
      <c r="Z103" s="53">
        <f t="shared" si="28"/>
        <v>0.61607710230883284</v>
      </c>
      <c r="AA103" s="53">
        <f t="shared" si="28"/>
        <v>0.5</v>
      </c>
    </row>
    <row r="104" spans="1:28" ht="15.75" thickTop="1" x14ac:dyDescent="0.25">
      <c r="A104" s="15" t="s">
        <v>51</v>
      </c>
      <c r="B104" s="16" t="s">
        <v>52</v>
      </c>
      <c r="C104" s="16" t="s">
        <v>53</v>
      </c>
      <c r="D104" s="2"/>
      <c r="E104" s="2"/>
      <c r="F104" s="47">
        <f t="shared" si="28"/>
        <v>0</v>
      </c>
      <c r="G104" s="47">
        <f t="shared" si="28"/>
        <v>0</v>
      </c>
      <c r="H104" s="47">
        <f t="shared" si="28"/>
        <v>0</v>
      </c>
      <c r="I104" s="47">
        <f t="shared" si="28"/>
        <v>0</v>
      </c>
      <c r="J104" s="47">
        <f t="shared" si="28"/>
        <v>0</v>
      </c>
      <c r="K104" s="47">
        <f t="shared" si="28"/>
        <v>0</v>
      </c>
      <c r="L104" s="63">
        <f t="shared" si="28"/>
        <v>0</v>
      </c>
      <c r="M104" s="47">
        <f t="shared" si="28"/>
        <v>0</v>
      </c>
      <c r="N104" s="47">
        <f t="shared" si="28"/>
        <v>0</v>
      </c>
      <c r="O104" s="47">
        <f t="shared" si="28"/>
        <v>0</v>
      </c>
      <c r="P104" s="47">
        <f t="shared" si="28"/>
        <v>0</v>
      </c>
      <c r="Q104" s="47">
        <f t="shared" si="28"/>
        <v>0</v>
      </c>
      <c r="R104" s="47">
        <f t="shared" si="28"/>
        <v>0</v>
      </c>
      <c r="S104" s="47">
        <f t="shared" si="28"/>
        <v>0</v>
      </c>
      <c r="T104" s="47">
        <f t="shared" si="28"/>
        <v>0</v>
      </c>
      <c r="U104" s="47">
        <f t="shared" si="28"/>
        <v>0</v>
      </c>
      <c r="V104" s="47">
        <f t="shared" si="28"/>
        <v>0</v>
      </c>
      <c r="W104" s="47">
        <f t="shared" si="28"/>
        <v>0</v>
      </c>
      <c r="X104" s="57">
        <f t="shared" si="28"/>
        <v>0</v>
      </c>
      <c r="Y104" s="61">
        <f t="shared" si="28"/>
        <v>0</v>
      </c>
      <c r="Z104" s="47">
        <f t="shared" si="28"/>
        <v>0</v>
      </c>
      <c r="AA104" s="47">
        <f t="shared" si="28"/>
        <v>0</v>
      </c>
    </row>
    <row r="105" spans="1:28" x14ac:dyDescent="0.25">
      <c r="A105" s="15" t="s">
        <v>51</v>
      </c>
      <c r="B105" s="16" t="s">
        <v>52</v>
      </c>
      <c r="C105" s="16" t="s">
        <v>54</v>
      </c>
      <c r="D105" s="2"/>
      <c r="E105" s="2"/>
      <c r="F105" s="1">
        <f t="shared" si="28"/>
        <v>0</v>
      </c>
      <c r="G105" s="1">
        <f t="shared" si="28"/>
        <v>0</v>
      </c>
      <c r="H105" s="1">
        <f t="shared" si="28"/>
        <v>0</v>
      </c>
      <c r="I105" s="1">
        <f t="shared" si="28"/>
        <v>0</v>
      </c>
      <c r="J105" s="1">
        <f t="shared" si="28"/>
        <v>0</v>
      </c>
      <c r="K105" s="1">
        <f t="shared" si="28"/>
        <v>0</v>
      </c>
      <c r="L105" s="52">
        <f t="shared" si="28"/>
        <v>0</v>
      </c>
      <c r="M105" s="1">
        <f t="shared" si="28"/>
        <v>0</v>
      </c>
      <c r="N105" s="1">
        <f t="shared" si="28"/>
        <v>0</v>
      </c>
      <c r="O105" s="1">
        <f t="shared" si="28"/>
        <v>0</v>
      </c>
      <c r="P105" s="1">
        <f t="shared" si="28"/>
        <v>0</v>
      </c>
      <c r="Q105" s="1">
        <f t="shared" si="28"/>
        <v>0</v>
      </c>
      <c r="R105" s="1">
        <f t="shared" si="28"/>
        <v>0</v>
      </c>
      <c r="S105" s="1">
        <f t="shared" si="28"/>
        <v>0</v>
      </c>
      <c r="T105" s="1">
        <f t="shared" si="28"/>
        <v>0</v>
      </c>
      <c r="U105" s="1">
        <f t="shared" si="28"/>
        <v>0</v>
      </c>
      <c r="V105" s="1">
        <f t="shared" si="28"/>
        <v>0</v>
      </c>
      <c r="W105" s="1">
        <f t="shared" si="28"/>
        <v>0</v>
      </c>
      <c r="X105" s="54">
        <f t="shared" si="28"/>
        <v>0</v>
      </c>
      <c r="Y105" s="58">
        <f t="shared" si="28"/>
        <v>0</v>
      </c>
      <c r="Z105" s="1">
        <f t="shared" si="28"/>
        <v>0</v>
      </c>
      <c r="AA105" s="1">
        <f t="shared" si="28"/>
        <v>0</v>
      </c>
    </row>
    <row r="106" spans="1:28" x14ac:dyDescent="0.25">
      <c r="A106" s="15" t="s">
        <v>51</v>
      </c>
      <c r="B106" s="16" t="s">
        <v>52</v>
      </c>
      <c r="C106" s="16" t="s">
        <v>55</v>
      </c>
      <c r="D106" s="2"/>
      <c r="E106" s="2"/>
      <c r="F106" s="1">
        <f t="shared" si="28"/>
        <v>0</v>
      </c>
      <c r="G106" s="1">
        <f t="shared" si="28"/>
        <v>0</v>
      </c>
      <c r="H106" s="1">
        <f t="shared" si="28"/>
        <v>0</v>
      </c>
      <c r="I106" s="1">
        <f t="shared" si="28"/>
        <v>0</v>
      </c>
      <c r="J106" s="1">
        <f t="shared" si="28"/>
        <v>0</v>
      </c>
      <c r="K106" s="1">
        <f t="shared" si="28"/>
        <v>0</v>
      </c>
      <c r="L106" s="52">
        <f t="shared" si="28"/>
        <v>0</v>
      </c>
      <c r="M106" s="1">
        <f t="shared" si="28"/>
        <v>0</v>
      </c>
      <c r="N106" s="1">
        <f t="shared" si="28"/>
        <v>0</v>
      </c>
      <c r="O106" s="1">
        <f t="shared" si="28"/>
        <v>0</v>
      </c>
      <c r="P106" s="1">
        <f t="shared" si="28"/>
        <v>0</v>
      </c>
      <c r="Q106" s="1">
        <f t="shared" si="28"/>
        <v>0</v>
      </c>
      <c r="R106" s="1">
        <f t="shared" si="28"/>
        <v>0</v>
      </c>
      <c r="S106" s="1">
        <f t="shared" si="28"/>
        <v>0</v>
      </c>
      <c r="T106" s="1">
        <f t="shared" si="28"/>
        <v>0</v>
      </c>
      <c r="U106" s="1">
        <f t="shared" ref="F106:AA117" si="29">IF(U16&gt;0,U61/U16,0)</f>
        <v>0</v>
      </c>
      <c r="V106" s="1">
        <f t="shared" si="29"/>
        <v>0</v>
      </c>
      <c r="W106" s="1">
        <f t="shared" si="29"/>
        <v>0</v>
      </c>
      <c r="X106" s="54">
        <f t="shared" si="29"/>
        <v>0</v>
      </c>
      <c r="Y106" s="58">
        <f t="shared" si="29"/>
        <v>0</v>
      </c>
      <c r="Z106" s="1">
        <f t="shared" si="29"/>
        <v>0</v>
      </c>
      <c r="AA106" s="1">
        <f t="shared" si="29"/>
        <v>0</v>
      </c>
    </row>
    <row r="107" spans="1:28" x14ac:dyDescent="0.25">
      <c r="A107" s="25" t="s">
        <v>51</v>
      </c>
      <c r="B107" s="26" t="s">
        <v>56</v>
      </c>
      <c r="C107" s="26" t="s">
        <v>57</v>
      </c>
      <c r="D107" s="2"/>
      <c r="E107" s="2"/>
      <c r="F107" s="1">
        <f t="shared" si="29"/>
        <v>0</v>
      </c>
      <c r="G107" s="1">
        <f t="shared" si="29"/>
        <v>0</v>
      </c>
      <c r="H107" s="1">
        <f t="shared" si="29"/>
        <v>0</v>
      </c>
      <c r="I107" s="1">
        <f t="shared" si="29"/>
        <v>0</v>
      </c>
      <c r="J107" s="1">
        <f t="shared" si="29"/>
        <v>0</v>
      </c>
      <c r="K107" s="1">
        <f t="shared" si="29"/>
        <v>0</v>
      </c>
      <c r="L107" s="52">
        <f t="shared" si="29"/>
        <v>0</v>
      </c>
      <c r="M107" s="1">
        <f t="shared" si="29"/>
        <v>0</v>
      </c>
      <c r="N107" s="1">
        <f t="shared" si="29"/>
        <v>0</v>
      </c>
      <c r="O107" s="1">
        <f t="shared" si="29"/>
        <v>0</v>
      </c>
      <c r="P107" s="1">
        <f t="shared" si="29"/>
        <v>0</v>
      </c>
      <c r="Q107" s="1">
        <f t="shared" si="29"/>
        <v>0</v>
      </c>
      <c r="R107" s="1">
        <f t="shared" si="29"/>
        <v>0</v>
      </c>
      <c r="S107" s="1">
        <f t="shared" si="29"/>
        <v>0</v>
      </c>
      <c r="T107" s="1">
        <f t="shared" si="29"/>
        <v>0</v>
      </c>
      <c r="U107" s="1">
        <f t="shared" si="29"/>
        <v>0</v>
      </c>
      <c r="V107" s="1">
        <f t="shared" si="29"/>
        <v>0</v>
      </c>
      <c r="W107" s="1">
        <f t="shared" si="29"/>
        <v>0</v>
      </c>
      <c r="X107" s="54">
        <f t="shared" si="29"/>
        <v>0</v>
      </c>
      <c r="Y107" s="58">
        <f t="shared" si="29"/>
        <v>0</v>
      </c>
      <c r="Z107" s="1">
        <f t="shared" si="29"/>
        <v>0</v>
      </c>
      <c r="AA107" s="1">
        <f t="shared" si="29"/>
        <v>0</v>
      </c>
    </row>
    <row r="108" spans="1:28" x14ac:dyDescent="0.25">
      <c r="A108" s="15" t="s">
        <v>51</v>
      </c>
      <c r="B108" s="16" t="s">
        <v>56</v>
      </c>
      <c r="C108" s="27" t="s">
        <v>58</v>
      </c>
      <c r="D108" s="2"/>
      <c r="E108" s="2"/>
      <c r="F108" s="1">
        <f t="shared" si="29"/>
        <v>0</v>
      </c>
      <c r="G108" s="1">
        <f t="shared" si="29"/>
        <v>0</v>
      </c>
      <c r="H108" s="1">
        <f t="shared" si="29"/>
        <v>0</v>
      </c>
      <c r="I108" s="1">
        <f t="shared" si="29"/>
        <v>0</v>
      </c>
      <c r="J108" s="1">
        <f t="shared" si="29"/>
        <v>0</v>
      </c>
      <c r="K108" s="1">
        <f t="shared" si="29"/>
        <v>0</v>
      </c>
      <c r="L108" s="52">
        <f t="shared" si="29"/>
        <v>0</v>
      </c>
      <c r="M108" s="1">
        <f t="shared" si="29"/>
        <v>0</v>
      </c>
      <c r="N108" s="1">
        <f t="shared" si="29"/>
        <v>0</v>
      </c>
      <c r="O108" s="1">
        <f t="shared" si="29"/>
        <v>0</v>
      </c>
      <c r="P108" s="1">
        <f t="shared" si="29"/>
        <v>0</v>
      </c>
      <c r="Q108" s="1">
        <f t="shared" si="29"/>
        <v>0</v>
      </c>
      <c r="R108" s="1">
        <f t="shared" si="29"/>
        <v>0</v>
      </c>
      <c r="S108" s="1">
        <f t="shared" si="29"/>
        <v>0</v>
      </c>
      <c r="T108" s="1">
        <f t="shared" si="29"/>
        <v>0</v>
      </c>
      <c r="U108" s="1">
        <f t="shared" si="29"/>
        <v>0</v>
      </c>
      <c r="V108" s="1">
        <f t="shared" si="29"/>
        <v>0</v>
      </c>
      <c r="W108" s="1">
        <f t="shared" si="29"/>
        <v>0</v>
      </c>
      <c r="X108" s="54">
        <f t="shared" si="29"/>
        <v>0</v>
      </c>
      <c r="Y108" s="58">
        <f t="shared" si="29"/>
        <v>0</v>
      </c>
      <c r="Z108" s="1">
        <f t="shared" si="29"/>
        <v>0</v>
      </c>
      <c r="AA108" s="1">
        <f t="shared" si="29"/>
        <v>0</v>
      </c>
    </row>
    <row r="109" spans="1:28" x14ac:dyDescent="0.25">
      <c r="A109" s="15" t="s">
        <v>51</v>
      </c>
      <c r="B109" s="16" t="s">
        <v>9</v>
      </c>
      <c r="C109" s="27" t="s">
        <v>59</v>
      </c>
      <c r="D109" s="2"/>
      <c r="E109" s="2"/>
      <c r="F109" s="1">
        <f t="shared" si="29"/>
        <v>0</v>
      </c>
      <c r="G109" s="1">
        <f t="shared" si="29"/>
        <v>0</v>
      </c>
      <c r="H109" s="1">
        <f t="shared" si="29"/>
        <v>0</v>
      </c>
      <c r="I109" s="1">
        <f t="shared" si="29"/>
        <v>0</v>
      </c>
      <c r="J109" s="1">
        <f t="shared" si="29"/>
        <v>0</v>
      </c>
      <c r="K109" s="1">
        <f t="shared" si="29"/>
        <v>0</v>
      </c>
      <c r="L109" s="52">
        <f t="shared" si="29"/>
        <v>0</v>
      </c>
      <c r="M109" s="1">
        <f t="shared" si="29"/>
        <v>0</v>
      </c>
      <c r="N109" s="1">
        <f t="shared" si="29"/>
        <v>0</v>
      </c>
      <c r="O109" s="1">
        <f t="shared" si="29"/>
        <v>0</v>
      </c>
      <c r="P109" s="1">
        <f t="shared" si="29"/>
        <v>0</v>
      </c>
      <c r="Q109" s="1">
        <f t="shared" si="29"/>
        <v>0</v>
      </c>
      <c r="R109" s="1">
        <f t="shared" si="29"/>
        <v>0</v>
      </c>
      <c r="S109" s="1">
        <f t="shared" si="29"/>
        <v>0</v>
      </c>
      <c r="T109" s="1">
        <f t="shared" si="29"/>
        <v>0</v>
      </c>
      <c r="U109" s="1">
        <f t="shared" si="29"/>
        <v>0</v>
      </c>
      <c r="V109" s="1">
        <f t="shared" si="29"/>
        <v>0</v>
      </c>
      <c r="W109" s="1">
        <f t="shared" si="29"/>
        <v>0</v>
      </c>
      <c r="X109" s="54">
        <f t="shared" si="29"/>
        <v>0</v>
      </c>
      <c r="Y109" s="58">
        <f t="shared" si="29"/>
        <v>0</v>
      </c>
      <c r="Z109" s="1">
        <f t="shared" si="29"/>
        <v>0</v>
      </c>
      <c r="AA109" s="1">
        <f t="shared" si="29"/>
        <v>0</v>
      </c>
    </row>
    <row r="110" spans="1:28" x14ac:dyDescent="0.25">
      <c r="A110" s="15" t="s">
        <v>51</v>
      </c>
      <c r="B110" s="16" t="s">
        <v>9</v>
      </c>
      <c r="C110" s="27" t="s">
        <v>9</v>
      </c>
      <c r="D110" s="2"/>
      <c r="E110" s="2"/>
      <c r="F110" s="1">
        <f t="shared" si="29"/>
        <v>0</v>
      </c>
      <c r="G110" s="1">
        <f t="shared" si="29"/>
        <v>0</v>
      </c>
      <c r="H110" s="1">
        <f t="shared" si="29"/>
        <v>0</v>
      </c>
      <c r="I110" s="1">
        <f t="shared" si="29"/>
        <v>0</v>
      </c>
      <c r="J110" s="1">
        <f t="shared" si="29"/>
        <v>0</v>
      </c>
      <c r="K110" s="1">
        <f t="shared" si="29"/>
        <v>0</v>
      </c>
      <c r="L110" s="52">
        <f t="shared" si="29"/>
        <v>0</v>
      </c>
      <c r="M110" s="1">
        <f t="shared" si="29"/>
        <v>0</v>
      </c>
      <c r="N110" s="1">
        <f t="shared" si="29"/>
        <v>0</v>
      </c>
      <c r="O110" s="1">
        <f t="shared" si="29"/>
        <v>0</v>
      </c>
      <c r="P110" s="1">
        <f t="shared" si="29"/>
        <v>0</v>
      </c>
      <c r="Q110" s="1">
        <f t="shared" si="29"/>
        <v>0</v>
      </c>
      <c r="R110" s="1">
        <f t="shared" si="29"/>
        <v>0</v>
      </c>
      <c r="S110" s="1">
        <f t="shared" si="29"/>
        <v>0</v>
      </c>
      <c r="T110" s="1">
        <f t="shared" si="29"/>
        <v>0</v>
      </c>
      <c r="U110" s="1">
        <f t="shared" si="29"/>
        <v>0</v>
      </c>
      <c r="V110" s="1">
        <f t="shared" si="29"/>
        <v>0</v>
      </c>
      <c r="W110" s="1">
        <f t="shared" si="29"/>
        <v>0</v>
      </c>
      <c r="X110" s="54">
        <f t="shared" si="29"/>
        <v>0</v>
      </c>
      <c r="Y110" s="58">
        <f t="shared" si="29"/>
        <v>0</v>
      </c>
      <c r="Z110" s="1">
        <f t="shared" si="29"/>
        <v>0</v>
      </c>
      <c r="AA110" s="1">
        <f t="shared" si="29"/>
        <v>0</v>
      </c>
    </row>
    <row r="111" spans="1:28" x14ac:dyDescent="0.25">
      <c r="A111" s="28" t="s">
        <v>60</v>
      </c>
      <c r="B111" s="29" t="s">
        <v>13</v>
      </c>
      <c r="C111" s="29" t="s">
        <v>61</v>
      </c>
      <c r="D111" s="2"/>
      <c r="F111" s="51">
        <f t="shared" si="29"/>
        <v>0.19846157894736843</v>
      </c>
      <c r="G111" s="51">
        <f t="shared" si="29"/>
        <v>0</v>
      </c>
      <c r="H111" s="51">
        <f t="shared" si="29"/>
        <v>0.24052478134110791</v>
      </c>
      <c r="I111" s="51">
        <f t="shared" si="29"/>
        <v>0.18853255587949466</v>
      </c>
      <c r="J111" s="51">
        <f t="shared" si="29"/>
        <v>0.35897435897435898</v>
      </c>
      <c r="K111" s="51">
        <f t="shared" si="29"/>
        <v>0.14566666666666667</v>
      </c>
      <c r="L111" s="52">
        <f t="shared" si="29"/>
        <v>0</v>
      </c>
      <c r="M111" s="51">
        <f t="shared" si="29"/>
        <v>0.39166666666666666</v>
      </c>
      <c r="N111" s="51">
        <f t="shared" si="29"/>
        <v>0.26033057851239672</v>
      </c>
      <c r="O111" s="51">
        <f t="shared" si="29"/>
        <v>0.2229654403567447</v>
      </c>
      <c r="P111" s="118">
        <f t="shared" si="29"/>
        <v>0.125</v>
      </c>
      <c r="Q111" s="69">
        <v>0.28000000000000003</v>
      </c>
      <c r="R111" s="69">
        <v>0.3</v>
      </c>
      <c r="S111" s="51">
        <f t="shared" si="29"/>
        <v>0</v>
      </c>
      <c r="T111" s="69">
        <v>0.3</v>
      </c>
      <c r="U111" s="69">
        <v>0.3</v>
      </c>
      <c r="V111" s="77">
        <v>1.2</v>
      </c>
      <c r="W111" s="69">
        <v>0.8</v>
      </c>
      <c r="X111" s="76">
        <v>0.35</v>
      </c>
      <c r="Y111" s="59">
        <f t="shared" si="29"/>
        <v>0.22637486452939598</v>
      </c>
      <c r="Z111" s="51">
        <f>IF(Z21&gt;0,Z66/Z21,0)</f>
        <v>0.19477481352115075</v>
      </c>
      <c r="AA111" s="51">
        <f t="shared" si="29"/>
        <v>0.1992769124174151</v>
      </c>
      <c r="AB111" s="5" t="s">
        <v>133</v>
      </c>
    </row>
    <row r="112" spans="1:28" x14ac:dyDescent="0.25">
      <c r="A112" s="36" t="s">
        <v>60</v>
      </c>
      <c r="B112" s="37" t="s">
        <v>13</v>
      </c>
      <c r="C112" s="29" t="s">
        <v>62</v>
      </c>
      <c r="D112" s="2"/>
      <c r="E112" s="2"/>
      <c r="F112" s="51">
        <f t="shared" si="29"/>
        <v>0.19749347368421055</v>
      </c>
      <c r="G112" s="51">
        <f t="shared" si="29"/>
        <v>0.24068860162036304</v>
      </c>
      <c r="H112" s="51">
        <f t="shared" si="29"/>
        <v>0.2434288447521866</v>
      </c>
      <c r="I112" s="51">
        <f t="shared" si="29"/>
        <v>0</v>
      </c>
      <c r="J112" s="51">
        <f t="shared" si="29"/>
        <v>0</v>
      </c>
      <c r="K112" s="51">
        <f t="shared" si="29"/>
        <v>0</v>
      </c>
      <c r="L112" s="52">
        <f t="shared" si="29"/>
        <v>0</v>
      </c>
      <c r="M112" s="51">
        <f t="shared" si="29"/>
        <v>0</v>
      </c>
      <c r="N112" s="51">
        <f t="shared" si="29"/>
        <v>0</v>
      </c>
      <c r="O112" s="51">
        <f t="shared" si="29"/>
        <v>0</v>
      </c>
      <c r="P112" s="51">
        <f t="shared" si="29"/>
        <v>0.125</v>
      </c>
      <c r="Q112" s="51">
        <f t="shared" si="29"/>
        <v>0</v>
      </c>
      <c r="R112" s="51">
        <f t="shared" si="29"/>
        <v>0</v>
      </c>
      <c r="S112" s="51">
        <f t="shared" si="29"/>
        <v>0</v>
      </c>
      <c r="T112" s="51">
        <f t="shared" si="29"/>
        <v>0</v>
      </c>
      <c r="U112" s="51">
        <f t="shared" si="29"/>
        <v>0</v>
      </c>
      <c r="V112" s="51">
        <f t="shared" si="29"/>
        <v>0</v>
      </c>
      <c r="W112" s="51">
        <f t="shared" si="29"/>
        <v>0</v>
      </c>
      <c r="X112" s="55">
        <f t="shared" si="29"/>
        <v>0</v>
      </c>
      <c r="Y112" s="59">
        <f t="shared" si="29"/>
        <v>0.23509128328330006</v>
      </c>
      <c r="Z112" s="51">
        <f t="shared" si="29"/>
        <v>0.125</v>
      </c>
      <c r="AA112" s="51">
        <f t="shared" si="29"/>
        <v>0.14055757064506247</v>
      </c>
      <c r="AB112" s="5" t="s">
        <v>134</v>
      </c>
    </row>
    <row r="113" spans="1:27" x14ac:dyDescent="0.25">
      <c r="A113" s="30" t="s">
        <v>60</v>
      </c>
      <c r="B113" s="31" t="s">
        <v>13</v>
      </c>
      <c r="C113" s="32" t="s">
        <v>63</v>
      </c>
      <c r="D113" s="2"/>
      <c r="E113" s="2"/>
      <c r="F113" s="51">
        <f t="shared" si="29"/>
        <v>0</v>
      </c>
      <c r="G113" s="51">
        <f t="shared" si="29"/>
        <v>0</v>
      </c>
      <c r="H113" s="51">
        <f t="shared" si="29"/>
        <v>0</v>
      </c>
      <c r="I113" s="51">
        <f t="shared" si="29"/>
        <v>0</v>
      </c>
      <c r="J113" s="51">
        <f t="shared" si="29"/>
        <v>0</v>
      </c>
      <c r="K113" s="51">
        <f t="shared" si="29"/>
        <v>0</v>
      </c>
      <c r="L113" s="52">
        <f t="shared" si="29"/>
        <v>0</v>
      </c>
      <c r="M113" s="51">
        <f t="shared" si="29"/>
        <v>0</v>
      </c>
      <c r="N113" s="51">
        <f t="shared" si="29"/>
        <v>0</v>
      </c>
      <c r="O113" s="51">
        <f t="shared" si="29"/>
        <v>0</v>
      </c>
      <c r="P113" s="51">
        <f t="shared" si="29"/>
        <v>0</v>
      </c>
      <c r="Q113" s="51">
        <f t="shared" si="29"/>
        <v>0</v>
      </c>
      <c r="R113" s="51">
        <f t="shared" si="29"/>
        <v>0</v>
      </c>
      <c r="S113" s="51">
        <f t="shared" si="29"/>
        <v>0</v>
      </c>
      <c r="T113" s="51">
        <f t="shared" si="29"/>
        <v>0</v>
      </c>
      <c r="U113" s="51">
        <f t="shared" si="29"/>
        <v>0</v>
      </c>
      <c r="V113" s="51">
        <f t="shared" si="29"/>
        <v>0</v>
      </c>
      <c r="W113" s="51">
        <f t="shared" si="29"/>
        <v>0</v>
      </c>
      <c r="X113" s="55">
        <f t="shared" si="29"/>
        <v>0</v>
      </c>
      <c r="Y113" s="59">
        <f t="shared" si="29"/>
        <v>0</v>
      </c>
      <c r="Z113" s="51">
        <f t="shared" si="29"/>
        <v>0</v>
      </c>
      <c r="AA113" s="51">
        <f t="shared" si="29"/>
        <v>0</v>
      </c>
    </row>
    <row r="114" spans="1:27" x14ac:dyDescent="0.25">
      <c r="A114" s="30" t="s">
        <v>60</v>
      </c>
      <c r="B114" s="32" t="s">
        <v>23</v>
      </c>
      <c r="C114" s="31" t="s">
        <v>50</v>
      </c>
      <c r="D114" s="2"/>
      <c r="E114" s="2"/>
      <c r="F114" s="77">
        <v>0.32</v>
      </c>
      <c r="G114" s="51">
        <f t="shared" si="29"/>
        <v>0</v>
      </c>
      <c r="H114" s="51">
        <f t="shared" si="29"/>
        <v>0</v>
      </c>
      <c r="I114" s="51">
        <f t="shared" si="29"/>
        <v>0</v>
      </c>
      <c r="J114" s="77">
        <v>0.3</v>
      </c>
      <c r="K114" s="51">
        <f t="shared" si="29"/>
        <v>0.39861111111111114</v>
      </c>
      <c r="L114" s="52">
        <f t="shared" si="29"/>
        <v>0</v>
      </c>
      <c r="M114" s="51">
        <f t="shared" si="29"/>
        <v>0</v>
      </c>
      <c r="N114" s="51">
        <f t="shared" si="29"/>
        <v>0.32196969696969696</v>
      </c>
      <c r="O114" s="51">
        <f t="shared" si="29"/>
        <v>0</v>
      </c>
      <c r="P114" s="51">
        <f t="shared" si="29"/>
        <v>0</v>
      </c>
      <c r="Q114" s="51">
        <f t="shared" si="29"/>
        <v>0</v>
      </c>
      <c r="R114" s="51">
        <f t="shared" si="29"/>
        <v>0</v>
      </c>
      <c r="S114" s="51">
        <f t="shared" si="29"/>
        <v>0</v>
      </c>
      <c r="T114" s="51">
        <f t="shared" si="29"/>
        <v>0</v>
      </c>
      <c r="U114" s="51">
        <f t="shared" si="29"/>
        <v>0</v>
      </c>
      <c r="V114" s="51">
        <f t="shared" si="29"/>
        <v>0</v>
      </c>
      <c r="W114" s="51">
        <f t="shared" si="29"/>
        <v>0</v>
      </c>
      <c r="X114" s="55">
        <f t="shared" si="29"/>
        <v>0</v>
      </c>
      <c r="Y114" s="59">
        <f t="shared" si="29"/>
        <v>0.3930131004366812</v>
      </c>
      <c r="Z114" s="51">
        <f t="shared" si="29"/>
        <v>0.32196969696969696</v>
      </c>
      <c r="AA114" s="51">
        <f t="shared" si="29"/>
        <v>0.33094318808604523</v>
      </c>
    </row>
    <row r="115" spans="1:27" x14ac:dyDescent="0.25">
      <c r="A115" s="30" t="s">
        <v>60</v>
      </c>
      <c r="B115" s="32" t="s">
        <v>23</v>
      </c>
      <c r="C115" s="31" t="s">
        <v>49</v>
      </c>
      <c r="D115" s="2"/>
      <c r="E115" s="2"/>
      <c r="F115" s="51">
        <f t="shared" ref="F115:AA126" si="30">IF(F25&gt;0,F70/F25,0)</f>
        <v>0</v>
      </c>
      <c r="G115" s="51">
        <f t="shared" si="30"/>
        <v>0</v>
      </c>
      <c r="H115" s="51">
        <f t="shared" si="30"/>
        <v>0</v>
      </c>
      <c r="I115" s="51">
        <f t="shared" si="30"/>
        <v>0</v>
      </c>
      <c r="J115" s="51">
        <f>IF(J25&gt;0,J70/J25,0)</f>
        <v>0.35294117647058826</v>
      </c>
      <c r="K115" s="51">
        <f t="shared" si="30"/>
        <v>0</v>
      </c>
      <c r="L115" s="52">
        <f t="shared" si="30"/>
        <v>0</v>
      </c>
      <c r="M115" s="51">
        <f t="shared" si="30"/>
        <v>0</v>
      </c>
      <c r="N115" s="51">
        <f t="shared" si="30"/>
        <v>0</v>
      </c>
      <c r="O115" s="51">
        <f t="shared" si="30"/>
        <v>0</v>
      </c>
      <c r="P115" s="51">
        <f t="shared" si="30"/>
        <v>0</v>
      </c>
      <c r="Q115" s="51">
        <f t="shared" si="30"/>
        <v>0</v>
      </c>
      <c r="R115" s="51">
        <f t="shared" si="30"/>
        <v>0</v>
      </c>
      <c r="S115" s="51">
        <f t="shared" si="29"/>
        <v>0.5357142857142857</v>
      </c>
      <c r="T115" s="51">
        <v>0.4</v>
      </c>
      <c r="U115" s="51">
        <f t="shared" si="29"/>
        <v>0</v>
      </c>
      <c r="V115" s="51">
        <v>0.9</v>
      </c>
      <c r="W115" s="51">
        <f t="shared" si="29"/>
        <v>0</v>
      </c>
      <c r="X115" s="51">
        <v>0.9</v>
      </c>
      <c r="Y115" s="59">
        <f t="shared" si="30"/>
        <v>0.32258064516129031</v>
      </c>
      <c r="Z115" s="51">
        <f t="shared" si="30"/>
        <v>0.48029556650246308</v>
      </c>
      <c r="AA115" s="51">
        <f t="shared" si="30"/>
        <v>0.17795637198622274</v>
      </c>
    </row>
    <row r="116" spans="1:27" x14ac:dyDescent="0.25">
      <c r="A116" s="30" t="s">
        <v>60</v>
      </c>
      <c r="B116" s="32" t="s">
        <v>23</v>
      </c>
      <c r="C116" s="31" t="s">
        <v>64</v>
      </c>
      <c r="D116" s="2"/>
      <c r="E116" s="2"/>
      <c r="F116" s="51">
        <f t="shared" si="30"/>
        <v>0</v>
      </c>
      <c r="G116" s="51">
        <f t="shared" si="30"/>
        <v>0</v>
      </c>
      <c r="H116" s="51">
        <f t="shared" si="30"/>
        <v>0</v>
      </c>
      <c r="I116" s="51">
        <f t="shared" si="30"/>
        <v>0</v>
      </c>
      <c r="J116" s="51">
        <f t="shared" si="30"/>
        <v>0</v>
      </c>
      <c r="K116" s="51">
        <f t="shared" si="30"/>
        <v>0</v>
      </c>
      <c r="L116" s="52">
        <f t="shared" si="30"/>
        <v>0</v>
      </c>
      <c r="M116" s="51">
        <f t="shared" si="30"/>
        <v>0</v>
      </c>
      <c r="N116" s="51">
        <f t="shared" si="30"/>
        <v>0</v>
      </c>
      <c r="O116" s="51">
        <f t="shared" si="30"/>
        <v>0</v>
      </c>
      <c r="P116" s="51">
        <f t="shared" si="30"/>
        <v>0</v>
      </c>
      <c r="Q116" s="51">
        <f t="shared" si="30"/>
        <v>0</v>
      </c>
      <c r="R116" s="51">
        <f t="shared" si="30"/>
        <v>0</v>
      </c>
      <c r="S116" s="51">
        <f t="shared" si="30"/>
        <v>0</v>
      </c>
      <c r="T116" s="51">
        <f t="shared" si="30"/>
        <v>0</v>
      </c>
      <c r="U116" s="51">
        <f t="shared" si="30"/>
        <v>0</v>
      </c>
      <c r="V116" s="51">
        <f t="shared" si="30"/>
        <v>0</v>
      </c>
      <c r="W116" s="51">
        <f t="shared" si="29"/>
        <v>0</v>
      </c>
      <c r="X116" s="55">
        <f t="shared" si="30"/>
        <v>0</v>
      </c>
      <c r="Y116" s="59">
        <f t="shared" si="30"/>
        <v>0</v>
      </c>
      <c r="Z116" s="51">
        <f t="shared" si="30"/>
        <v>0</v>
      </c>
      <c r="AA116" s="51">
        <f t="shared" si="30"/>
        <v>0</v>
      </c>
    </row>
    <row r="117" spans="1:27" x14ac:dyDescent="0.25">
      <c r="A117" s="30" t="s">
        <v>60</v>
      </c>
      <c r="B117" s="32" t="s">
        <v>65</v>
      </c>
      <c r="C117" s="31" t="s">
        <v>66</v>
      </c>
      <c r="D117" s="2"/>
      <c r="E117" s="2"/>
      <c r="F117" s="51">
        <f t="shared" si="30"/>
        <v>0</v>
      </c>
      <c r="G117" s="51">
        <f t="shared" si="30"/>
        <v>0</v>
      </c>
      <c r="H117" s="51">
        <f t="shared" si="30"/>
        <v>0</v>
      </c>
      <c r="I117" s="51">
        <f t="shared" si="30"/>
        <v>0</v>
      </c>
      <c r="J117" s="77">
        <v>0.12</v>
      </c>
      <c r="K117" s="51">
        <f t="shared" si="30"/>
        <v>0</v>
      </c>
      <c r="L117" s="52">
        <f t="shared" si="30"/>
        <v>0</v>
      </c>
      <c r="M117" s="215">
        <v>0.08</v>
      </c>
      <c r="N117" s="51">
        <f t="shared" si="30"/>
        <v>0</v>
      </c>
      <c r="O117" s="51">
        <f t="shared" si="30"/>
        <v>0</v>
      </c>
      <c r="P117" s="51">
        <f t="shared" si="30"/>
        <v>0</v>
      </c>
      <c r="Q117" s="51">
        <f t="shared" si="30"/>
        <v>0</v>
      </c>
      <c r="R117" s="51">
        <f t="shared" si="30"/>
        <v>0</v>
      </c>
      <c r="S117" s="51">
        <f t="shared" si="30"/>
        <v>0</v>
      </c>
      <c r="T117" s="51">
        <f t="shared" si="30"/>
        <v>0</v>
      </c>
      <c r="U117" s="51">
        <f t="shared" si="30"/>
        <v>0</v>
      </c>
      <c r="V117" s="51">
        <f t="shared" si="30"/>
        <v>0</v>
      </c>
      <c r="W117" s="51">
        <f t="shared" si="29"/>
        <v>0</v>
      </c>
      <c r="X117" s="55">
        <f t="shared" si="30"/>
        <v>0</v>
      </c>
      <c r="Y117" s="59">
        <f t="shared" si="30"/>
        <v>0.12</v>
      </c>
      <c r="Z117" s="51">
        <f t="shared" si="30"/>
        <v>0.08</v>
      </c>
      <c r="AA117" s="51">
        <f t="shared" si="30"/>
        <v>0.10040816326530612</v>
      </c>
    </row>
    <row r="118" spans="1:27" x14ac:dyDescent="0.25">
      <c r="A118" s="30" t="s">
        <v>60</v>
      </c>
      <c r="B118" s="32" t="s">
        <v>65</v>
      </c>
      <c r="C118" s="31" t="s">
        <v>67</v>
      </c>
      <c r="D118" s="2"/>
      <c r="E118" s="2"/>
      <c r="F118" s="51">
        <f t="shared" si="30"/>
        <v>0</v>
      </c>
      <c r="G118" s="51">
        <f t="shared" si="30"/>
        <v>0</v>
      </c>
      <c r="H118" s="51">
        <f t="shared" si="30"/>
        <v>0</v>
      </c>
      <c r="I118" s="51">
        <f t="shared" si="30"/>
        <v>0</v>
      </c>
      <c r="J118" s="51">
        <f t="shared" si="30"/>
        <v>0</v>
      </c>
      <c r="K118" s="51">
        <f t="shared" si="30"/>
        <v>0</v>
      </c>
      <c r="L118" s="52">
        <f t="shared" si="30"/>
        <v>0</v>
      </c>
      <c r="M118" s="51">
        <f t="shared" si="30"/>
        <v>0</v>
      </c>
      <c r="N118" s="51">
        <f t="shared" si="30"/>
        <v>0</v>
      </c>
      <c r="O118" s="51">
        <f t="shared" si="30"/>
        <v>0</v>
      </c>
      <c r="P118" s="51">
        <f t="shared" si="30"/>
        <v>0</v>
      </c>
      <c r="Q118" s="215">
        <v>0.09</v>
      </c>
      <c r="R118" s="215">
        <v>0.1</v>
      </c>
      <c r="S118" s="51">
        <f t="shared" si="30"/>
        <v>0</v>
      </c>
      <c r="T118" s="215">
        <v>0.12</v>
      </c>
      <c r="U118" s="215">
        <v>0.1</v>
      </c>
      <c r="V118" s="215">
        <v>0.15</v>
      </c>
      <c r="W118" s="215">
        <v>0.1</v>
      </c>
      <c r="X118" s="215">
        <v>0.1</v>
      </c>
      <c r="Y118" s="59">
        <f t="shared" si="30"/>
        <v>0</v>
      </c>
      <c r="Z118" s="51">
        <f t="shared" si="30"/>
        <v>0.10075332348596751</v>
      </c>
      <c r="AA118" s="51">
        <f t="shared" si="30"/>
        <v>0.10075332348596751</v>
      </c>
    </row>
    <row r="119" spans="1:27" x14ac:dyDescent="0.25">
      <c r="A119" s="30" t="s">
        <v>60</v>
      </c>
      <c r="B119" s="32" t="s">
        <v>65</v>
      </c>
      <c r="C119" s="31" t="s">
        <v>68</v>
      </c>
      <c r="D119" s="2"/>
      <c r="E119" s="2"/>
      <c r="F119" s="51">
        <f t="shared" si="30"/>
        <v>0</v>
      </c>
      <c r="G119" s="51">
        <f t="shared" si="30"/>
        <v>0</v>
      </c>
      <c r="H119" s="51">
        <f t="shared" si="30"/>
        <v>0</v>
      </c>
      <c r="I119" s="51">
        <f t="shared" si="30"/>
        <v>0</v>
      </c>
      <c r="J119" s="51">
        <f t="shared" si="30"/>
        <v>0</v>
      </c>
      <c r="K119" s="51">
        <f t="shared" si="30"/>
        <v>0</v>
      </c>
      <c r="L119" s="215">
        <v>8.3000000000000004E-2</v>
      </c>
      <c r="M119" s="51">
        <f t="shared" si="30"/>
        <v>0</v>
      </c>
      <c r="N119" s="51">
        <f t="shared" si="30"/>
        <v>0</v>
      </c>
      <c r="O119" s="51">
        <f t="shared" si="30"/>
        <v>0</v>
      </c>
      <c r="P119" s="51">
        <f t="shared" si="30"/>
        <v>0</v>
      </c>
      <c r="Q119" s="51">
        <f t="shared" si="30"/>
        <v>0</v>
      </c>
      <c r="R119" s="51">
        <f t="shared" si="30"/>
        <v>0</v>
      </c>
      <c r="S119" s="51">
        <f t="shared" si="30"/>
        <v>0</v>
      </c>
      <c r="T119" s="51">
        <f t="shared" si="30"/>
        <v>0</v>
      </c>
      <c r="U119" s="51">
        <f t="shared" si="30"/>
        <v>0</v>
      </c>
      <c r="V119" s="51">
        <f t="shared" si="30"/>
        <v>0</v>
      </c>
      <c r="W119" s="51">
        <f t="shared" si="30"/>
        <v>0</v>
      </c>
      <c r="X119" s="55">
        <f t="shared" si="30"/>
        <v>0</v>
      </c>
      <c r="Y119" s="59">
        <f t="shared" si="30"/>
        <v>0</v>
      </c>
      <c r="Z119" s="51">
        <f t="shared" si="30"/>
        <v>0</v>
      </c>
      <c r="AA119" s="51">
        <f t="shared" si="30"/>
        <v>8.3000000000000004E-2</v>
      </c>
    </row>
    <row r="120" spans="1:27" x14ac:dyDescent="0.25">
      <c r="A120" s="30" t="s">
        <v>60</v>
      </c>
      <c r="B120" s="32" t="s">
        <v>9</v>
      </c>
      <c r="C120" s="31" t="s">
        <v>69</v>
      </c>
      <c r="D120" s="2"/>
      <c r="E120" s="2"/>
      <c r="F120" s="51">
        <f t="shared" si="30"/>
        <v>0</v>
      </c>
      <c r="G120" s="51">
        <f t="shared" si="30"/>
        <v>0</v>
      </c>
      <c r="H120" s="51">
        <f t="shared" si="30"/>
        <v>0</v>
      </c>
      <c r="I120" s="51">
        <f t="shared" si="30"/>
        <v>0</v>
      </c>
      <c r="J120" s="51">
        <f t="shared" si="30"/>
        <v>0</v>
      </c>
      <c r="K120" s="51">
        <f t="shared" si="30"/>
        <v>0</v>
      </c>
      <c r="L120" s="52">
        <f t="shared" si="30"/>
        <v>0</v>
      </c>
      <c r="M120" s="51">
        <f t="shared" si="30"/>
        <v>0</v>
      </c>
      <c r="N120" s="51">
        <f t="shared" si="30"/>
        <v>0</v>
      </c>
      <c r="O120" s="51">
        <f t="shared" si="30"/>
        <v>0</v>
      </c>
      <c r="P120" s="51">
        <f t="shared" si="30"/>
        <v>0</v>
      </c>
      <c r="Q120" s="51">
        <f t="shared" si="30"/>
        <v>0</v>
      </c>
      <c r="R120" s="51">
        <f t="shared" si="30"/>
        <v>0</v>
      </c>
      <c r="S120" s="51">
        <f t="shared" si="30"/>
        <v>0</v>
      </c>
      <c r="T120" s="51">
        <f t="shared" si="30"/>
        <v>0</v>
      </c>
      <c r="U120" s="51">
        <f t="shared" si="30"/>
        <v>0</v>
      </c>
      <c r="V120" s="51">
        <f t="shared" si="30"/>
        <v>1</v>
      </c>
      <c r="W120" s="51">
        <f t="shared" si="30"/>
        <v>0</v>
      </c>
      <c r="X120" s="79">
        <v>0.42</v>
      </c>
      <c r="Y120" s="59">
        <f t="shared" si="30"/>
        <v>0</v>
      </c>
      <c r="Z120" s="51">
        <f t="shared" si="30"/>
        <v>0.61607710230883284</v>
      </c>
      <c r="AA120" s="51">
        <f t="shared" si="30"/>
        <v>0.61607710230883284</v>
      </c>
    </row>
    <row r="121" spans="1:27" x14ac:dyDescent="0.25">
      <c r="A121" s="15" t="s">
        <v>51</v>
      </c>
      <c r="B121" s="16" t="s">
        <v>56</v>
      </c>
      <c r="C121" s="27" t="s">
        <v>57</v>
      </c>
      <c r="D121" s="16" t="s">
        <v>70</v>
      </c>
      <c r="E121" s="16"/>
      <c r="F121" s="1">
        <f t="shared" si="30"/>
        <v>0</v>
      </c>
      <c r="G121" s="1">
        <f t="shared" si="30"/>
        <v>0</v>
      </c>
      <c r="H121" s="1">
        <f t="shared" si="30"/>
        <v>0</v>
      </c>
      <c r="I121" s="1">
        <f t="shared" si="30"/>
        <v>0</v>
      </c>
      <c r="J121" s="1">
        <f t="shared" si="30"/>
        <v>0</v>
      </c>
      <c r="K121" s="1">
        <f t="shared" si="30"/>
        <v>0</v>
      </c>
      <c r="L121" s="52">
        <f t="shared" si="30"/>
        <v>0</v>
      </c>
      <c r="M121" s="1">
        <f t="shared" si="30"/>
        <v>0</v>
      </c>
      <c r="N121" s="1">
        <f t="shared" si="30"/>
        <v>0</v>
      </c>
      <c r="O121" s="1">
        <f t="shared" si="30"/>
        <v>0</v>
      </c>
      <c r="P121" s="1">
        <f t="shared" si="30"/>
        <v>0</v>
      </c>
      <c r="Q121" s="1">
        <f t="shared" si="30"/>
        <v>0</v>
      </c>
      <c r="R121" s="1">
        <f t="shared" si="30"/>
        <v>0</v>
      </c>
      <c r="S121" s="1">
        <f t="shared" si="30"/>
        <v>0</v>
      </c>
      <c r="T121" s="1">
        <f t="shared" si="30"/>
        <v>0</v>
      </c>
      <c r="U121" s="1">
        <f t="shared" si="30"/>
        <v>0</v>
      </c>
      <c r="V121" s="1">
        <f t="shared" si="30"/>
        <v>0</v>
      </c>
      <c r="W121" s="1">
        <f t="shared" si="30"/>
        <v>0</v>
      </c>
      <c r="X121" s="54">
        <f t="shared" si="30"/>
        <v>0</v>
      </c>
      <c r="Y121" s="58">
        <f t="shared" si="30"/>
        <v>0</v>
      </c>
      <c r="Z121" s="1">
        <f t="shared" si="30"/>
        <v>0</v>
      </c>
      <c r="AA121" s="1">
        <f t="shared" si="30"/>
        <v>0</v>
      </c>
    </row>
    <row r="122" spans="1:27" x14ac:dyDescent="0.25">
      <c r="A122" s="15" t="s">
        <v>51</v>
      </c>
      <c r="B122" s="16" t="s">
        <v>56</v>
      </c>
      <c r="C122" s="27" t="s">
        <v>57</v>
      </c>
      <c r="D122" s="16" t="s">
        <v>71</v>
      </c>
      <c r="E122" s="16"/>
      <c r="F122" s="1">
        <f t="shared" si="30"/>
        <v>0</v>
      </c>
      <c r="G122" s="1">
        <f t="shared" si="30"/>
        <v>0</v>
      </c>
      <c r="H122" s="1">
        <f t="shared" si="30"/>
        <v>0</v>
      </c>
      <c r="I122" s="1">
        <f t="shared" si="30"/>
        <v>0</v>
      </c>
      <c r="J122" s="1">
        <f t="shared" si="30"/>
        <v>0</v>
      </c>
      <c r="K122" s="1">
        <f t="shared" si="30"/>
        <v>0</v>
      </c>
      <c r="L122" s="52">
        <f t="shared" si="30"/>
        <v>0</v>
      </c>
      <c r="M122" s="1">
        <f t="shared" si="30"/>
        <v>0</v>
      </c>
      <c r="N122" s="1">
        <f t="shared" si="30"/>
        <v>0</v>
      </c>
      <c r="O122" s="1">
        <f t="shared" si="30"/>
        <v>0</v>
      </c>
      <c r="P122" s="1">
        <f t="shared" si="30"/>
        <v>0</v>
      </c>
      <c r="Q122" s="1">
        <f t="shared" si="30"/>
        <v>0</v>
      </c>
      <c r="R122" s="1">
        <f t="shared" si="30"/>
        <v>0</v>
      </c>
      <c r="S122" s="1">
        <f t="shared" si="30"/>
        <v>0</v>
      </c>
      <c r="T122" s="1">
        <f t="shared" si="30"/>
        <v>0</v>
      </c>
      <c r="U122" s="1">
        <f t="shared" si="30"/>
        <v>0</v>
      </c>
      <c r="V122" s="1">
        <f t="shared" si="30"/>
        <v>0</v>
      </c>
      <c r="W122" s="1">
        <f t="shared" si="30"/>
        <v>0</v>
      </c>
      <c r="X122" s="54">
        <f t="shared" si="30"/>
        <v>0</v>
      </c>
      <c r="Y122" s="58">
        <f t="shared" si="30"/>
        <v>0</v>
      </c>
      <c r="Z122" s="1">
        <f t="shared" si="30"/>
        <v>0</v>
      </c>
      <c r="AA122" s="1">
        <f t="shared" si="30"/>
        <v>0</v>
      </c>
    </row>
    <row r="123" spans="1:27" x14ac:dyDescent="0.25">
      <c r="A123" s="15" t="s">
        <v>51</v>
      </c>
      <c r="B123" s="16" t="s">
        <v>56</v>
      </c>
      <c r="C123" s="27" t="s">
        <v>27</v>
      </c>
      <c r="D123" s="16" t="s">
        <v>72</v>
      </c>
      <c r="E123" s="16"/>
      <c r="F123" s="1">
        <f t="shared" si="30"/>
        <v>0</v>
      </c>
      <c r="G123" s="1">
        <f t="shared" si="30"/>
        <v>0</v>
      </c>
      <c r="H123" s="1">
        <f t="shared" si="30"/>
        <v>0</v>
      </c>
      <c r="I123" s="1">
        <f t="shared" si="30"/>
        <v>0</v>
      </c>
      <c r="J123" s="1">
        <f t="shared" si="30"/>
        <v>0</v>
      </c>
      <c r="K123" s="1">
        <f t="shared" si="30"/>
        <v>0</v>
      </c>
      <c r="L123" s="52">
        <f t="shared" si="30"/>
        <v>0</v>
      </c>
      <c r="M123" s="1">
        <f t="shared" si="30"/>
        <v>0</v>
      </c>
      <c r="N123" s="1">
        <f t="shared" si="30"/>
        <v>0</v>
      </c>
      <c r="O123" s="1">
        <f t="shared" si="30"/>
        <v>0</v>
      </c>
      <c r="P123" s="1">
        <f t="shared" si="30"/>
        <v>0</v>
      </c>
      <c r="Q123" s="1">
        <f t="shared" si="30"/>
        <v>0</v>
      </c>
      <c r="R123" s="1">
        <f t="shared" si="30"/>
        <v>0</v>
      </c>
      <c r="S123" s="1">
        <f t="shared" si="30"/>
        <v>0</v>
      </c>
      <c r="T123" s="1">
        <f t="shared" si="30"/>
        <v>0</v>
      </c>
      <c r="U123" s="1">
        <f t="shared" si="30"/>
        <v>0</v>
      </c>
      <c r="V123" s="1">
        <f t="shared" si="30"/>
        <v>0</v>
      </c>
      <c r="W123" s="1">
        <f t="shared" si="30"/>
        <v>0</v>
      </c>
      <c r="X123" s="54">
        <f t="shared" si="30"/>
        <v>0</v>
      </c>
      <c r="Y123" s="58">
        <f t="shared" si="30"/>
        <v>0</v>
      </c>
      <c r="Z123" s="1">
        <f t="shared" si="30"/>
        <v>0</v>
      </c>
      <c r="AA123" s="1">
        <f t="shared" si="30"/>
        <v>0</v>
      </c>
    </row>
    <row r="124" spans="1:27" x14ac:dyDescent="0.25">
      <c r="A124" s="15" t="s">
        <v>51</v>
      </c>
      <c r="B124" s="16" t="s">
        <v>56</v>
      </c>
      <c r="C124" s="27" t="s">
        <v>57</v>
      </c>
      <c r="D124" s="16" t="s">
        <v>73</v>
      </c>
      <c r="E124" s="16"/>
      <c r="F124" s="1">
        <f t="shared" si="30"/>
        <v>0</v>
      </c>
      <c r="G124" s="1">
        <f t="shared" si="30"/>
        <v>0</v>
      </c>
      <c r="H124" s="1">
        <f t="shared" si="30"/>
        <v>0</v>
      </c>
      <c r="I124" s="1">
        <f t="shared" si="30"/>
        <v>0</v>
      </c>
      <c r="J124" s="1">
        <f t="shared" si="30"/>
        <v>0</v>
      </c>
      <c r="K124" s="1">
        <f t="shared" si="30"/>
        <v>0</v>
      </c>
      <c r="L124" s="52">
        <f t="shared" si="30"/>
        <v>0</v>
      </c>
      <c r="M124" s="1">
        <f t="shared" si="30"/>
        <v>0</v>
      </c>
      <c r="N124" s="1">
        <f t="shared" si="30"/>
        <v>0</v>
      </c>
      <c r="O124" s="1">
        <f t="shared" si="30"/>
        <v>0</v>
      </c>
      <c r="P124" s="1">
        <f t="shared" si="30"/>
        <v>0</v>
      </c>
      <c r="Q124" s="1">
        <f t="shared" si="30"/>
        <v>0</v>
      </c>
      <c r="R124" s="1">
        <f t="shared" si="30"/>
        <v>0</v>
      </c>
      <c r="S124" s="1">
        <f t="shared" si="30"/>
        <v>0</v>
      </c>
      <c r="T124" s="1">
        <f t="shared" si="30"/>
        <v>0</v>
      </c>
      <c r="U124" s="1">
        <f t="shared" si="30"/>
        <v>0</v>
      </c>
      <c r="V124" s="1">
        <f t="shared" si="30"/>
        <v>0</v>
      </c>
      <c r="W124" s="1">
        <f t="shared" si="30"/>
        <v>0</v>
      </c>
      <c r="X124" s="54">
        <f t="shared" si="30"/>
        <v>0</v>
      </c>
      <c r="Y124" s="58">
        <f t="shared" si="30"/>
        <v>0</v>
      </c>
      <c r="Z124" s="1">
        <f t="shared" si="30"/>
        <v>0</v>
      </c>
      <c r="AA124" s="1">
        <f t="shared" si="30"/>
        <v>0</v>
      </c>
    </row>
    <row r="125" spans="1:27" x14ac:dyDescent="0.25">
      <c r="A125" s="15" t="s">
        <v>51</v>
      </c>
      <c r="B125" s="16" t="s">
        <v>56</v>
      </c>
      <c r="C125" s="27" t="s">
        <v>57</v>
      </c>
      <c r="D125" s="16" t="s">
        <v>74</v>
      </c>
      <c r="E125" s="16"/>
      <c r="F125" s="1">
        <f t="shared" si="30"/>
        <v>0</v>
      </c>
      <c r="G125" s="1">
        <f t="shared" si="30"/>
        <v>0</v>
      </c>
      <c r="H125" s="1">
        <f t="shared" si="30"/>
        <v>0</v>
      </c>
      <c r="I125" s="1">
        <f t="shared" si="30"/>
        <v>0</v>
      </c>
      <c r="J125" s="1">
        <f t="shared" si="30"/>
        <v>0</v>
      </c>
      <c r="K125" s="1">
        <f t="shared" si="30"/>
        <v>0</v>
      </c>
      <c r="L125" s="52">
        <f t="shared" si="30"/>
        <v>0</v>
      </c>
      <c r="M125" s="1">
        <f t="shared" si="30"/>
        <v>0</v>
      </c>
      <c r="N125" s="1">
        <f t="shared" si="30"/>
        <v>0</v>
      </c>
      <c r="O125" s="1">
        <f t="shared" si="30"/>
        <v>0</v>
      </c>
      <c r="P125" s="1">
        <f t="shared" si="30"/>
        <v>0</v>
      </c>
      <c r="Q125" s="1">
        <f t="shared" si="30"/>
        <v>0</v>
      </c>
      <c r="R125" s="1">
        <f t="shared" si="30"/>
        <v>0</v>
      </c>
      <c r="S125" s="1">
        <f t="shared" si="30"/>
        <v>0</v>
      </c>
      <c r="T125" s="1">
        <f t="shared" si="30"/>
        <v>0</v>
      </c>
      <c r="U125" s="1">
        <f t="shared" si="30"/>
        <v>0</v>
      </c>
      <c r="V125" s="1">
        <f t="shared" si="30"/>
        <v>0</v>
      </c>
      <c r="W125" s="1">
        <f t="shared" si="30"/>
        <v>0</v>
      </c>
      <c r="X125" s="54">
        <f t="shared" si="30"/>
        <v>0</v>
      </c>
      <c r="Y125" s="58">
        <f t="shared" si="30"/>
        <v>0</v>
      </c>
      <c r="Z125" s="1">
        <f t="shared" si="30"/>
        <v>0</v>
      </c>
      <c r="AA125" s="1">
        <f t="shared" si="30"/>
        <v>0</v>
      </c>
    </row>
    <row r="126" spans="1:27" x14ac:dyDescent="0.25">
      <c r="A126" s="30" t="s">
        <v>60</v>
      </c>
      <c r="B126" s="31" t="s">
        <v>13</v>
      </c>
      <c r="C126" s="32" t="s">
        <v>61</v>
      </c>
      <c r="D126" s="31" t="s">
        <v>75</v>
      </c>
      <c r="E126" s="31"/>
      <c r="F126" s="51">
        <f>F111*0.9</f>
        <v>0.17861542105263159</v>
      </c>
      <c r="G126" s="73"/>
      <c r="H126" s="51">
        <f>H111</f>
        <v>0.24052478134110791</v>
      </c>
      <c r="I126" s="51">
        <f>I111*0.9</f>
        <v>0.16967930029154521</v>
      </c>
      <c r="J126" s="51">
        <f>J111*0.3</f>
        <v>0.10769230769230768</v>
      </c>
      <c r="K126" s="51">
        <f>K111*0.8</f>
        <v>0.11653333333333334</v>
      </c>
      <c r="L126" s="52">
        <v>0</v>
      </c>
      <c r="M126" s="73">
        <f>M111*0.1</f>
        <v>3.9166666666666669E-2</v>
      </c>
      <c r="N126" s="73">
        <v>0</v>
      </c>
      <c r="O126" s="73">
        <v>0</v>
      </c>
      <c r="P126" s="73">
        <v>0</v>
      </c>
      <c r="Q126" s="73"/>
      <c r="R126" s="73"/>
      <c r="S126" s="51"/>
      <c r="T126" s="51"/>
      <c r="U126" s="51"/>
      <c r="V126" s="51"/>
      <c r="W126" s="51">
        <f>W111</f>
        <v>0.8</v>
      </c>
      <c r="X126" s="55">
        <f>X156*0.1</f>
        <v>42.6</v>
      </c>
      <c r="Y126" s="59">
        <f t="shared" si="30"/>
        <v>0.20457573066043233</v>
      </c>
      <c r="Z126" s="51">
        <f t="shared" si="30"/>
        <v>0.33256385542168676</v>
      </c>
      <c r="AA126" s="51">
        <f t="shared" si="30"/>
        <v>0.21401001064296887</v>
      </c>
    </row>
    <row r="127" spans="1:27" x14ac:dyDescent="0.25">
      <c r="A127" s="30" t="s">
        <v>60</v>
      </c>
      <c r="B127" s="31" t="s">
        <v>13</v>
      </c>
      <c r="C127" s="32" t="s">
        <v>61</v>
      </c>
      <c r="D127" s="31" t="s">
        <v>76</v>
      </c>
      <c r="E127" s="31"/>
      <c r="F127" s="51">
        <f>F111*0.1</f>
        <v>1.9846157894736843E-2</v>
      </c>
      <c r="G127" s="51">
        <v>0</v>
      </c>
      <c r="H127" s="51">
        <v>0</v>
      </c>
      <c r="I127" s="51">
        <f>I111*0.05</f>
        <v>9.4266277939747331E-3</v>
      </c>
      <c r="J127" s="51">
        <f>J111*0.7</f>
        <v>0.25128205128205128</v>
      </c>
      <c r="K127" s="51">
        <f>K111*0.05</f>
        <v>7.2833333333333335E-3</v>
      </c>
      <c r="L127" s="52">
        <v>0</v>
      </c>
      <c r="M127" s="73">
        <f>M111*0.5</f>
        <v>0.19583333333333333</v>
      </c>
      <c r="N127" s="73">
        <f>N111</f>
        <v>0.26033057851239672</v>
      </c>
      <c r="O127" s="73">
        <f>O111*0.5</f>
        <v>0.11148272017837235</v>
      </c>
      <c r="P127" s="73">
        <f>P111*0.49</f>
        <v>6.1249999999999999E-2</v>
      </c>
      <c r="Q127" s="73"/>
      <c r="R127" s="73">
        <f>R111</f>
        <v>0.3</v>
      </c>
      <c r="S127" s="51"/>
      <c r="T127" s="51"/>
      <c r="U127" s="51"/>
      <c r="V127" s="51"/>
      <c r="W127" s="51"/>
      <c r="X127" s="55">
        <f>X156*0.1</f>
        <v>42.6</v>
      </c>
      <c r="Y127" s="59">
        <f t="shared" ref="Y127:AA127" si="31">IF(Y37&gt;0,Y82/Y37,0)</f>
        <v>0.31808760824627064</v>
      </c>
      <c r="Z127" s="51">
        <f t="shared" si="31"/>
        <v>0.17528352851666734</v>
      </c>
      <c r="AA127" s="51">
        <f t="shared" si="31"/>
        <v>0.18563967360146505</v>
      </c>
    </row>
    <row r="128" spans="1:27" x14ac:dyDescent="0.25">
      <c r="A128" s="30" t="s">
        <v>60</v>
      </c>
      <c r="B128" s="31" t="s">
        <v>13</v>
      </c>
      <c r="C128" s="32" t="s">
        <v>61</v>
      </c>
      <c r="D128" s="31" t="s">
        <v>77</v>
      </c>
      <c r="E128" s="31"/>
      <c r="F128" s="51">
        <v>0</v>
      </c>
      <c r="G128" s="51">
        <v>0</v>
      </c>
      <c r="H128" s="51">
        <v>0</v>
      </c>
      <c r="I128" s="51">
        <v>0</v>
      </c>
      <c r="J128" s="51">
        <v>0</v>
      </c>
      <c r="K128" s="51">
        <f>K111*0.1</f>
        <v>1.4566666666666667E-2</v>
      </c>
      <c r="L128" s="52">
        <v>0</v>
      </c>
      <c r="M128" s="73">
        <f>M111*0.4</f>
        <v>0.15666666666666668</v>
      </c>
      <c r="N128" s="73">
        <v>0</v>
      </c>
      <c r="O128" s="73">
        <f>O111*0.5</f>
        <v>0.11148272017837235</v>
      </c>
      <c r="P128" s="73">
        <f>P111*0.5</f>
        <v>6.25E-2</v>
      </c>
      <c r="Q128" s="73"/>
      <c r="R128" s="73"/>
      <c r="S128" s="51"/>
      <c r="T128" s="51">
        <f>T111</f>
        <v>0.3</v>
      </c>
      <c r="U128" s="51">
        <f>U111</f>
        <v>0.3</v>
      </c>
      <c r="V128" s="51"/>
      <c r="W128" s="51"/>
      <c r="X128" s="55">
        <f>X156*0.7</f>
        <v>298.2</v>
      </c>
      <c r="Y128" s="59">
        <f t="shared" ref="Y128:AA135" si="32">IF(Y38&gt;0,Y83/Y38,0)</f>
        <v>0.14566666666666667</v>
      </c>
      <c r="Z128" s="51">
        <f t="shared" si="32"/>
        <v>0.15913241635991515</v>
      </c>
      <c r="AA128" s="51">
        <f t="shared" si="32"/>
        <v>0.15904298222633836</v>
      </c>
    </row>
    <row r="129" spans="1:55" x14ac:dyDescent="0.25">
      <c r="A129" s="30" t="s">
        <v>60</v>
      </c>
      <c r="B129" s="31" t="s">
        <v>13</v>
      </c>
      <c r="C129" s="32" t="s">
        <v>61</v>
      </c>
      <c r="D129" s="31" t="s">
        <v>78</v>
      </c>
      <c r="E129" s="31"/>
      <c r="F129" s="51">
        <v>0</v>
      </c>
      <c r="G129" s="51">
        <v>0</v>
      </c>
      <c r="H129" s="51">
        <v>0</v>
      </c>
      <c r="I129" s="51">
        <f>I111*0.05</f>
        <v>9.4266277939747331E-3</v>
      </c>
      <c r="J129" s="51">
        <v>0</v>
      </c>
      <c r="K129" s="51">
        <f>K111*0.05</f>
        <v>7.2833333333333335E-3</v>
      </c>
      <c r="L129" s="52">
        <v>0</v>
      </c>
      <c r="M129" s="73">
        <f>M111*0</f>
        <v>0</v>
      </c>
      <c r="N129" s="73">
        <v>0</v>
      </c>
      <c r="O129" s="73">
        <f>O111*0</f>
        <v>0</v>
      </c>
      <c r="P129" s="73">
        <f>(P111)*0.01</f>
        <v>1.25E-3</v>
      </c>
      <c r="Q129" s="73">
        <f>Q111</f>
        <v>0.28000000000000003</v>
      </c>
      <c r="R129" s="73"/>
      <c r="S129" s="51"/>
      <c r="T129" s="51"/>
      <c r="U129" s="51"/>
      <c r="V129" s="51"/>
      <c r="W129" s="51"/>
      <c r="X129" s="55">
        <f>X111*0.1</f>
        <v>3.4999999999999996E-2</v>
      </c>
      <c r="Y129" s="59">
        <f t="shared" si="32"/>
        <v>0.17046093310848792</v>
      </c>
      <c r="Z129" s="51">
        <f t="shared" si="32"/>
        <v>0.27456418383518227</v>
      </c>
      <c r="AA129" s="51">
        <f t="shared" si="32"/>
        <v>0.26966940151706797</v>
      </c>
    </row>
    <row r="130" spans="1:55" ht="15.75" thickBot="1" x14ac:dyDescent="0.3">
      <c r="A130" s="33" t="s">
        <v>60</v>
      </c>
      <c r="B130" s="34" t="s">
        <v>13</v>
      </c>
      <c r="C130" s="35" t="s">
        <v>61</v>
      </c>
      <c r="D130" s="34" t="s">
        <v>79</v>
      </c>
      <c r="E130" s="31"/>
      <c r="F130" s="51">
        <v>0</v>
      </c>
      <c r="G130" s="51">
        <v>0</v>
      </c>
      <c r="H130" s="51">
        <v>0</v>
      </c>
      <c r="I130" s="51">
        <v>0</v>
      </c>
      <c r="J130" s="51">
        <v>0</v>
      </c>
      <c r="K130" s="51">
        <v>0</v>
      </c>
      <c r="L130" s="52">
        <v>0</v>
      </c>
      <c r="M130" s="51">
        <v>0</v>
      </c>
      <c r="N130" s="51">
        <v>0</v>
      </c>
      <c r="O130" s="51">
        <v>0</v>
      </c>
      <c r="P130" s="51">
        <v>0</v>
      </c>
      <c r="Q130" s="51">
        <v>0</v>
      </c>
      <c r="R130" s="51">
        <v>0</v>
      </c>
      <c r="S130" s="51">
        <v>0</v>
      </c>
      <c r="T130" s="51">
        <v>0</v>
      </c>
      <c r="U130" s="51">
        <v>0</v>
      </c>
      <c r="V130" s="51">
        <v>0</v>
      </c>
      <c r="W130" s="51">
        <v>0</v>
      </c>
      <c r="X130" s="55">
        <v>0</v>
      </c>
      <c r="Y130" s="59">
        <f t="shared" si="32"/>
        <v>0</v>
      </c>
      <c r="Z130" s="51">
        <f t="shared" si="32"/>
        <v>0</v>
      </c>
      <c r="AA130" s="51">
        <f t="shared" si="32"/>
        <v>0</v>
      </c>
    </row>
    <row r="131" spans="1:55" x14ac:dyDescent="0.25">
      <c r="A131" s="30" t="s">
        <v>60</v>
      </c>
      <c r="B131" s="31" t="s">
        <v>13</v>
      </c>
      <c r="C131" s="32" t="s">
        <v>62</v>
      </c>
      <c r="D131" s="31" t="s">
        <v>75</v>
      </c>
      <c r="E131" s="31"/>
      <c r="F131" s="51"/>
      <c r="G131" s="73">
        <f>G112</f>
        <v>0.24068860162036304</v>
      </c>
      <c r="H131" s="51">
        <f>H112*0.4</f>
        <v>9.7371537900874647E-2</v>
      </c>
      <c r="I131" s="51">
        <v>0</v>
      </c>
      <c r="J131" s="51">
        <v>0</v>
      </c>
      <c r="K131" s="51">
        <v>0</v>
      </c>
      <c r="L131" s="52">
        <v>0</v>
      </c>
      <c r="M131" s="51">
        <v>0</v>
      </c>
      <c r="N131" s="51">
        <v>0</v>
      </c>
      <c r="O131" s="51">
        <v>0</v>
      </c>
      <c r="P131" s="51">
        <v>0</v>
      </c>
      <c r="Q131" s="51">
        <v>0</v>
      </c>
      <c r="R131" s="51">
        <v>0</v>
      </c>
      <c r="S131" s="51">
        <v>0</v>
      </c>
      <c r="T131" s="51">
        <v>0</v>
      </c>
      <c r="U131" s="51">
        <v>0</v>
      </c>
      <c r="V131" s="51">
        <v>0</v>
      </c>
      <c r="W131" s="51">
        <v>0</v>
      </c>
      <c r="X131" s="55">
        <v>0</v>
      </c>
      <c r="Y131" s="59">
        <f t="shared" si="32"/>
        <v>0.24213028431457467</v>
      </c>
      <c r="Z131" s="51">
        <f t="shared" si="32"/>
        <v>0</v>
      </c>
      <c r="AA131" s="51">
        <f t="shared" si="32"/>
        <v>0.24213028431457467</v>
      </c>
    </row>
    <row r="132" spans="1:55" x14ac:dyDescent="0.25">
      <c r="A132" s="30" t="s">
        <v>60</v>
      </c>
      <c r="B132" s="31" t="s">
        <v>13</v>
      </c>
      <c r="C132" s="32" t="s">
        <v>62</v>
      </c>
      <c r="D132" s="31" t="s">
        <v>76</v>
      </c>
      <c r="E132" s="31"/>
      <c r="F132" s="51">
        <f>F112</f>
        <v>0.19749347368421055</v>
      </c>
      <c r="G132" s="51">
        <f>G112*0</f>
        <v>0</v>
      </c>
      <c r="H132" s="51">
        <f>H112*0.6</f>
        <v>0.14605730685131196</v>
      </c>
      <c r="I132" s="51">
        <v>0</v>
      </c>
      <c r="J132" s="51">
        <v>0</v>
      </c>
      <c r="K132" s="51">
        <v>0</v>
      </c>
      <c r="L132" s="52">
        <v>0</v>
      </c>
      <c r="M132" s="51">
        <v>0</v>
      </c>
      <c r="N132" s="51">
        <v>0</v>
      </c>
      <c r="O132" s="51">
        <v>0</v>
      </c>
      <c r="P132" s="51">
        <f>P112</f>
        <v>0.125</v>
      </c>
      <c r="Q132" s="51">
        <v>0</v>
      </c>
      <c r="R132" s="51">
        <v>0</v>
      </c>
      <c r="S132" s="51">
        <v>0</v>
      </c>
      <c r="T132" s="51">
        <v>0</v>
      </c>
      <c r="U132" s="51">
        <v>0</v>
      </c>
      <c r="V132" s="51">
        <v>0</v>
      </c>
      <c r="W132" s="51">
        <v>0</v>
      </c>
      <c r="X132" s="55">
        <v>0</v>
      </c>
      <c r="Y132" s="59">
        <f t="shared" si="32"/>
        <v>0.22897782794469951</v>
      </c>
      <c r="Z132" s="51">
        <f t="shared" si="32"/>
        <v>0.125</v>
      </c>
      <c r="AA132" s="51">
        <f t="shared" si="32"/>
        <v>0.1334166758827276</v>
      </c>
    </row>
    <row r="133" spans="1:55" x14ac:dyDescent="0.25">
      <c r="A133" s="30" t="s">
        <v>60</v>
      </c>
      <c r="B133" s="31" t="s">
        <v>13</v>
      </c>
      <c r="C133" s="32" t="s">
        <v>62</v>
      </c>
      <c r="D133" s="31" t="s">
        <v>77</v>
      </c>
      <c r="E133" s="31"/>
      <c r="F133" s="51">
        <v>0</v>
      </c>
      <c r="G133" s="51">
        <v>0</v>
      </c>
      <c r="H133" s="51">
        <v>0</v>
      </c>
      <c r="I133" s="51">
        <v>0</v>
      </c>
      <c r="J133" s="51">
        <v>0</v>
      </c>
      <c r="K133" s="51">
        <v>0</v>
      </c>
      <c r="L133" s="52">
        <v>0</v>
      </c>
      <c r="M133" s="51">
        <v>0</v>
      </c>
      <c r="N133" s="51">
        <v>0</v>
      </c>
      <c r="O133" s="51">
        <v>0</v>
      </c>
      <c r="P133" s="51">
        <v>0</v>
      </c>
      <c r="Q133" s="51">
        <v>0</v>
      </c>
      <c r="R133" s="51">
        <v>0</v>
      </c>
      <c r="S133" s="51">
        <v>0</v>
      </c>
      <c r="T133" s="51">
        <v>0</v>
      </c>
      <c r="U133" s="51">
        <v>0</v>
      </c>
      <c r="V133" s="51">
        <v>0</v>
      </c>
      <c r="W133" s="51">
        <v>0</v>
      </c>
      <c r="X133" s="55">
        <v>0</v>
      </c>
      <c r="Y133" s="59">
        <f t="shared" si="32"/>
        <v>0</v>
      </c>
      <c r="Z133" s="51">
        <f t="shared" si="32"/>
        <v>0</v>
      </c>
      <c r="AA133" s="51">
        <f t="shared" si="32"/>
        <v>0</v>
      </c>
    </row>
    <row r="134" spans="1:55" x14ac:dyDescent="0.25">
      <c r="A134" s="30" t="s">
        <v>60</v>
      </c>
      <c r="B134" s="31" t="s">
        <v>13</v>
      </c>
      <c r="C134" s="32" t="s">
        <v>62</v>
      </c>
      <c r="D134" s="31" t="s">
        <v>78</v>
      </c>
      <c r="E134" s="31"/>
      <c r="F134" s="51">
        <v>0</v>
      </c>
      <c r="G134" s="51">
        <v>0</v>
      </c>
      <c r="H134" s="51">
        <v>0</v>
      </c>
      <c r="I134" s="51">
        <v>0</v>
      </c>
      <c r="J134" s="51">
        <v>0</v>
      </c>
      <c r="K134" s="51">
        <v>0</v>
      </c>
      <c r="L134" s="52">
        <v>0</v>
      </c>
      <c r="M134" s="51">
        <v>0</v>
      </c>
      <c r="N134" s="51">
        <v>0</v>
      </c>
      <c r="O134" s="51">
        <v>0</v>
      </c>
      <c r="P134" s="51">
        <v>0</v>
      </c>
      <c r="Q134" s="51">
        <v>0</v>
      </c>
      <c r="R134" s="51">
        <v>0</v>
      </c>
      <c r="S134" s="51">
        <v>0</v>
      </c>
      <c r="T134" s="51">
        <v>0</v>
      </c>
      <c r="U134" s="51">
        <v>0</v>
      </c>
      <c r="V134" s="51">
        <v>0</v>
      </c>
      <c r="W134" s="51">
        <v>0</v>
      </c>
      <c r="X134" s="55">
        <v>0</v>
      </c>
      <c r="Y134" s="59">
        <f t="shared" si="32"/>
        <v>0</v>
      </c>
      <c r="Z134" s="51">
        <f t="shared" si="32"/>
        <v>0</v>
      </c>
      <c r="AA134" s="51">
        <f t="shared" si="32"/>
        <v>0</v>
      </c>
    </row>
    <row r="135" spans="1:55" ht="15.75" thickBot="1" x14ac:dyDescent="0.3">
      <c r="A135" s="33" t="s">
        <v>60</v>
      </c>
      <c r="B135" s="34" t="s">
        <v>13</v>
      </c>
      <c r="C135" s="32" t="s">
        <v>62</v>
      </c>
      <c r="D135" s="34" t="s">
        <v>79</v>
      </c>
      <c r="E135" s="31"/>
      <c r="F135" s="51">
        <v>0</v>
      </c>
      <c r="G135" s="51">
        <v>0</v>
      </c>
      <c r="H135" s="51">
        <v>0</v>
      </c>
      <c r="I135" s="51">
        <v>0</v>
      </c>
      <c r="J135" s="51">
        <v>0</v>
      </c>
      <c r="K135" s="51">
        <v>0</v>
      </c>
      <c r="L135" s="52">
        <v>0</v>
      </c>
      <c r="M135" s="51">
        <v>0</v>
      </c>
      <c r="N135" s="51">
        <v>0</v>
      </c>
      <c r="O135" s="51">
        <v>0</v>
      </c>
      <c r="P135" s="51">
        <v>0</v>
      </c>
      <c r="Q135" s="51">
        <v>0</v>
      </c>
      <c r="R135" s="51">
        <v>0</v>
      </c>
      <c r="S135" s="51">
        <v>0</v>
      </c>
      <c r="T135" s="51">
        <v>0</v>
      </c>
      <c r="U135" s="51">
        <v>0</v>
      </c>
      <c r="V135" s="51">
        <v>0</v>
      </c>
      <c r="W135" s="51">
        <v>0</v>
      </c>
      <c r="X135" s="55">
        <v>0</v>
      </c>
      <c r="Y135" s="59">
        <f t="shared" si="32"/>
        <v>0</v>
      </c>
      <c r="Z135" s="51">
        <f t="shared" si="32"/>
        <v>0</v>
      </c>
      <c r="AA135" s="51">
        <f t="shared" si="32"/>
        <v>0</v>
      </c>
    </row>
    <row r="136" spans="1:5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55" x14ac:dyDescent="0.25">
      <c r="D137" s="41" t="s">
        <v>17</v>
      </c>
      <c r="E137" s="41"/>
      <c r="M137" s="24" t="s">
        <v>81</v>
      </c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AF137" s="41" t="s">
        <v>22</v>
      </c>
      <c r="AG137" s="41"/>
      <c r="AO137" s="24" t="s">
        <v>81</v>
      </c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</row>
    <row r="138" spans="1:55" x14ac:dyDescent="0.25">
      <c r="F138" s="23" t="s">
        <v>44</v>
      </c>
      <c r="G138" s="23"/>
      <c r="H138" s="23"/>
      <c r="I138" s="23"/>
      <c r="J138" s="23"/>
      <c r="K138" s="23"/>
      <c r="L138" s="7" t="s">
        <v>30</v>
      </c>
      <c r="M138" s="24" t="s">
        <v>46</v>
      </c>
      <c r="N138" s="8">
        <f>N21/N201</f>
        <v>780.64516129032256</v>
      </c>
      <c r="O138" s="8">
        <f>O21/O201</f>
        <v>8970</v>
      </c>
      <c r="P138" s="8">
        <f>P21/P201</f>
        <v>96969.696969696961</v>
      </c>
      <c r="Q138" s="24"/>
      <c r="R138" s="24" t="s">
        <v>47</v>
      </c>
      <c r="S138" s="24"/>
      <c r="T138" s="24"/>
      <c r="U138" s="24"/>
      <c r="V138" s="24"/>
      <c r="W138" s="24"/>
      <c r="X138" s="24"/>
      <c r="Y138" s="44" t="s">
        <v>85</v>
      </c>
      <c r="Z138" s="44" t="s">
        <v>48</v>
      </c>
      <c r="AA138" s="44" t="s">
        <v>3</v>
      </c>
      <c r="AH138" s="23" t="s">
        <v>44</v>
      </c>
      <c r="AI138" s="23"/>
      <c r="AJ138" s="23"/>
      <c r="AK138" s="23"/>
      <c r="AL138" s="23"/>
      <c r="AM138" s="23"/>
      <c r="AN138" s="7" t="s">
        <v>30</v>
      </c>
      <c r="AO138" s="24" t="s">
        <v>46</v>
      </c>
      <c r="AP138" s="24"/>
      <c r="AQ138" s="24"/>
      <c r="AR138" s="24"/>
      <c r="AS138" s="24"/>
      <c r="AT138" s="24" t="s">
        <v>47</v>
      </c>
      <c r="AU138" s="24"/>
      <c r="AV138" s="24"/>
      <c r="AW138" s="24"/>
      <c r="AX138" s="24"/>
      <c r="AY138" s="24"/>
      <c r="AZ138" s="24"/>
      <c r="BA138" s="44" t="s">
        <v>85</v>
      </c>
      <c r="BB138" s="44" t="s">
        <v>48</v>
      </c>
      <c r="BC138" s="44" t="s">
        <v>3</v>
      </c>
    </row>
    <row r="139" spans="1:55" ht="63" x14ac:dyDescent="0.25">
      <c r="F139" s="38" t="s">
        <v>36</v>
      </c>
      <c r="G139" s="38" t="s">
        <v>37</v>
      </c>
      <c r="H139" s="38" t="s">
        <v>38</v>
      </c>
      <c r="I139" s="38" t="s">
        <v>80</v>
      </c>
      <c r="J139" s="38" t="s">
        <v>39</v>
      </c>
      <c r="K139" s="38" t="s">
        <v>45</v>
      </c>
      <c r="L139" s="39" t="s">
        <v>16</v>
      </c>
      <c r="M139" s="40" t="s">
        <v>34</v>
      </c>
      <c r="N139" s="40" t="s">
        <v>5</v>
      </c>
      <c r="O139" s="40" t="s">
        <v>7</v>
      </c>
      <c r="P139" s="40" t="s">
        <v>8</v>
      </c>
      <c r="Q139" s="40" t="s">
        <v>40</v>
      </c>
      <c r="R139" s="40" t="s">
        <v>41</v>
      </c>
      <c r="S139" s="40" t="s">
        <v>42</v>
      </c>
      <c r="T139" s="40" t="s">
        <v>31</v>
      </c>
      <c r="U139" s="40" t="s">
        <v>43</v>
      </c>
      <c r="V139" s="40" t="s">
        <v>82</v>
      </c>
      <c r="W139" s="40" t="s">
        <v>87</v>
      </c>
      <c r="X139" s="40" t="s">
        <v>83</v>
      </c>
      <c r="Y139" s="45" t="s">
        <v>3</v>
      </c>
      <c r="Z139" s="45" t="s">
        <v>3</v>
      </c>
      <c r="AA139" s="45" t="s">
        <v>3</v>
      </c>
      <c r="AH139" s="38" t="s">
        <v>36</v>
      </c>
      <c r="AI139" s="38" t="s">
        <v>37</v>
      </c>
      <c r="AJ139" s="38" t="s">
        <v>38</v>
      </c>
      <c r="AK139" s="38" t="s">
        <v>80</v>
      </c>
      <c r="AL139" s="38" t="s">
        <v>39</v>
      </c>
      <c r="AM139" s="38" t="s">
        <v>45</v>
      </c>
      <c r="AN139" s="39" t="s">
        <v>16</v>
      </c>
      <c r="AO139" s="40" t="s">
        <v>34</v>
      </c>
      <c r="AP139" s="40" t="s">
        <v>5</v>
      </c>
      <c r="AQ139" s="40" t="s">
        <v>7</v>
      </c>
      <c r="AR139" s="40" t="s">
        <v>8</v>
      </c>
      <c r="AS139" s="40" t="s">
        <v>40</v>
      </c>
      <c r="AT139" s="40" t="s">
        <v>41</v>
      </c>
      <c r="AU139" s="40" t="s">
        <v>42</v>
      </c>
      <c r="AV139" s="40" t="s">
        <v>31</v>
      </c>
      <c r="AW139" s="40" t="s">
        <v>43</v>
      </c>
      <c r="AX139" s="40" t="s">
        <v>82</v>
      </c>
      <c r="AY139" s="40" t="s">
        <v>87</v>
      </c>
      <c r="AZ139" s="40" t="s">
        <v>83</v>
      </c>
      <c r="BA139" s="45" t="s">
        <v>3</v>
      </c>
      <c r="BB139" s="45" t="s">
        <v>86</v>
      </c>
      <c r="BC139" s="45" t="s">
        <v>3</v>
      </c>
    </row>
    <row r="140" spans="1:55" x14ac:dyDescent="0.25">
      <c r="A140" s="15" t="s">
        <v>51</v>
      </c>
      <c r="B140" s="2"/>
      <c r="C140" s="2"/>
      <c r="F140" s="1">
        <f t="shared" ref="F140:AA151" si="33">IF(F185&gt;0,F5/F185,0)</f>
        <v>0</v>
      </c>
      <c r="G140" s="1">
        <f t="shared" si="33"/>
        <v>0</v>
      </c>
      <c r="H140" s="1">
        <f t="shared" si="33"/>
        <v>0</v>
      </c>
      <c r="I140" s="1">
        <f t="shared" si="33"/>
        <v>0</v>
      </c>
      <c r="J140" s="1">
        <f t="shared" si="33"/>
        <v>0</v>
      </c>
      <c r="K140" s="1">
        <f t="shared" si="33"/>
        <v>0</v>
      </c>
      <c r="L140" s="52">
        <f t="shared" si="33"/>
        <v>0</v>
      </c>
      <c r="M140" s="1">
        <f t="shared" si="33"/>
        <v>0</v>
      </c>
      <c r="N140" s="1">
        <f t="shared" si="33"/>
        <v>0</v>
      </c>
      <c r="O140" s="1">
        <f t="shared" si="33"/>
        <v>0</v>
      </c>
      <c r="P140" s="1">
        <f t="shared" si="33"/>
        <v>0</v>
      </c>
      <c r="Q140" s="1">
        <f t="shared" si="33"/>
        <v>0</v>
      </c>
      <c r="R140" s="1">
        <f t="shared" si="33"/>
        <v>0</v>
      </c>
      <c r="S140" s="1">
        <f t="shared" si="33"/>
        <v>0</v>
      </c>
      <c r="T140" s="1">
        <f t="shared" si="33"/>
        <v>0</v>
      </c>
      <c r="U140" s="1">
        <f t="shared" si="33"/>
        <v>0</v>
      </c>
      <c r="V140" s="1">
        <f t="shared" si="33"/>
        <v>0</v>
      </c>
      <c r="W140" s="1">
        <f t="shared" si="33"/>
        <v>0</v>
      </c>
      <c r="X140" s="54">
        <f t="shared" si="33"/>
        <v>0</v>
      </c>
      <c r="Y140" s="58">
        <f t="shared" si="33"/>
        <v>0</v>
      </c>
      <c r="Z140" s="1">
        <f t="shared" si="33"/>
        <v>0</v>
      </c>
      <c r="AA140" s="1">
        <f t="shared" si="33"/>
        <v>0</v>
      </c>
      <c r="AC140" s="15" t="s">
        <v>51</v>
      </c>
      <c r="AD140" s="2"/>
      <c r="AE140" s="2"/>
      <c r="AH140" s="1" t="str">
        <f t="shared" ref="AH140:AW155" si="34">IF(F185&gt;0,F50/F185,"")</f>
        <v/>
      </c>
      <c r="AI140" s="1" t="str">
        <f t="shared" si="34"/>
        <v/>
      </c>
      <c r="AJ140" s="1" t="str">
        <f t="shared" si="34"/>
        <v/>
      </c>
      <c r="AK140" s="1" t="str">
        <f t="shared" si="34"/>
        <v/>
      </c>
      <c r="AL140" s="1" t="str">
        <f t="shared" si="34"/>
        <v/>
      </c>
      <c r="AM140" s="1" t="str">
        <f t="shared" si="34"/>
        <v/>
      </c>
      <c r="AN140" s="52" t="str">
        <f t="shared" si="34"/>
        <v/>
      </c>
      <c r="AO140" s="1" t="str">
        <f t="shared" si="34"/>
        <v/>
      </c>
      <c r="AP140" s="1" t="str">
        <f t="shared" si="34"/>
        <v/>
      </c>
      <c r="AQ140" s="1" t="str">
        <f t="shared" si="34"/>
        <v/>
      </c>
      <c r="AR140" s="1" t="str">
        <f t="shared" si="34"/>
        <v/>
      </c>
      <c r="AS140" s="1" t="str">
        <f t="shared" si="34"/>
        <v/>
      </c>
      <c r="AT140" s="1" t="str">
        <f t="shared" si="34"/>
        <v/>
      </c>
      <c r="AU140" s="1" t="str">
        <f t="shared" si="34"/>
        <v/>
      </c>
      <c r="AV140" s="1" t="str">
        <f t="shared" si="34"/>
        <v/>
      </c>
      <c r="AW140" s="1" t="str">
        <f t="shared" si="34"/>
        <v/>
      </c>
      <c r="AX140" s="1" t="str">
        <f t="shared" ref="AX140:BC155" si="35">IF(V185&gt;0,V50/V185,"")</f>
        <v/>
      </c>
      <c r="AY140" s="1" t="str">
        <f t="shared" si="35"/>
        <v/>
      </c>
      <c r="AZ140" s="1" t="str">
        <f t="shared" si="35"/>
        <v/>
      </c>
      <c r="BA140" s="1" t="str">
        <f t="shared" si="35"/>
        <v/>
      </c>
      <c r="BB140" s="1" t="str">
        <f t="shared" si="35"/>
        <v/>
      </c>
      <c r="BC140" s="1" t="str">
        <f t="shared" si="35"/>
        <v/>
      </c>
    </row>
    <row r="141" spans="1:55" x14ac:dyDescent="0.25">
      <c r="A141" s="30" t="s">
        <v>60</v>
      </c>
      <c r="B141" s="2"/>
      <c r="C141" s="2"/>
      <c r="F141" s="1">
        <f t="shared" si="33"/>
        <v>52.413793103448278</v>
      </c>
      <c r="G141" s="1">
        <f t="shared" si="33"/>
        <v>23.2</v>
      </c>
      <c r="H141" s="1">
        <f t="shared" si="33"/>
        <v>7.317333333333333</v>
      </c>
      <c r="I141" s="1">
        <f t="shared" si="33"/>
        <v>28.999999999999996</v>
      </c>
      <c r="J141" s="1">
        <f t="shared" si="33"/>
        <v>53.767252826848015</v>
      </c>
      <c r="K141" s="1">
        <f t="shared" si="33"/>
        <v>13.469398893547348</v>
      </c>
      <c r="L141" s="52">
        <f t="shared" si="33"/>
        <v>750</v>
      </c>
      <c r="M141" s="1">
        <f t="shared" si="33"/>
        <v>321.12676056338029</v>
      </c>
      <c r="N141" s="1">
        <f t="shared" si="33"/>
        <v>1410.5882352941178</v>
      </c>
      <c r="O141" s="1">
        <f t="shared" si="33"/>
        <v>8970</v>
      </c>
      <c r="P141" s="1">
        <f t="shared" si="33"/>
        <v>72727.272727272721</v>
      </c>
      <c r="Q141" s="1">
        <f t="shared" si="33"/>
        <v>940</v>
      </c>
      <c r="R141" s="1">
        <f t="shared" si="33"/>
        <v>426.00000000000006</v>
      </c>
      <c r="S141" s="1">
        <f t="shared" si="33"/>
        <v>100</v>
      </c>
      <c r="T141" s="1">
        <f t="shared" si="33"/>
        <v>425.15625371367207</v>
      </c>
      <c r="U141" s="1">
        <f t="shared" si="33"/>
        <v>426</v>
      </c>
      <c r="V141" s="1">
        <f t="shared" si="33"/>
        <v>551.97665369649803</v>
      </c>
      <c r="W141" s="1">
        <f t="shared" si="33"/>
        <v>426</v>
      </c>
      <c r="X141" s="54">
        <f t="shared" si="33"/>
        <v>415.32176803995372</v>
      </c>
      <c r="Y141" s="58">
        <f t="shared" si="33"/>
        <v>19.911205054821369</v>
      </c>
      <c r="Z141" s="1">
        <f t="shared" si="33"/>
        <v>1078.0487658121783</v>
      </c>
      <c r="AA141" s="1">
        <f t="shared" si="33"/>
        <v>197.46424151269403</v>
      </c>
      <c r="AC141" s="30" t="s">
        <v>60</v>
      </c>
      <c r="AD141" s="2"/>
      <c r="AE141" s="2"/>
      <c r="AH141" s="1">
        <f t="shared" si="34"/>
        <v>10.384364413793104</v>
      </c>
      <c r="AI141" s="1">
        <f t="shared" si="34"/>
        <v>5.5839755575924226</v>
      </c>
      <c r="AJ141" s="1">
        <f t="shared" si="34"/>
        <v>1.7787000000000002</v>
      </c>
      <c r="AK141" s="1">
        <f t="shared" si="34"/>
        <v>5.4674441205053448</v>
      </c>
      <c r="AL141" s="1">
        <f t="shared" si="34"/>
        <v>9.1888052794656154</v>
      </c>
      <c r="AM141" s="1">
        <f t="shared" si="34"/>
        <v>2.2402174452355554</v>
      </c>
      <c r="AN141" s="52">
        <f t="shared" si="34"/>
        <v>62.250000000000007</v>
      </c>
      <c r="AO141" s="1">
        <f t="shared" si="34"/>
        <v>52.028169014084504</v>
      </c>
      <c r="AP141" s="1">
        <f t="shared" si="34"/>
        <v>410.29411764705884</v>
      </c>
      <c r="AQ141" s="1">
        <f t="shared" si="34"/>
        <v>2000</v>
      </c>
      <c r="AR141" s="1">
        <f t="shared" si="34"/>
        <v>9090.9090909090901</v>
      </c>
      <c r="AS141" s="1">
        <f t="shared" si="34"/>
        <v>111.37661169415293</v>
      </c>
      <c r="AT141" s="1">
        <f t="shared" si="34"/>
        <v>63.453146853146855</v>
      </c>
      <c r="AU141" s="1">
        <f t="shared" si="34"/>
        <v>53.571428571428569</v>
      </c>
      <c r="AV141" s="1">
        <f t="shared" si="34"/>
        <v>62.665824182111876</v>
      </c>
      <c r="AW141" s="1">
        <f t="shared" si="34"/>
        <v>59.371653543307083</v>
      </c>
      <c r="AX141" s="1">
        <f t="shared" si="35"/>
        <v>198.57898832684825</v>
      </c>
      <c r="AY141" s="1">
        <f t="shared" si="35"/>
        <v>52.053025936599425</v>
      </c>
      <c r="AZ141" s="1">
        <f t="shared" si="35"/>
        <v>129.94032572240366</v>
      </c>
      <c r="BA141" s="1">
        <f t="shared" si="35"/>
        <v>3.9016979671525025</v>
      </c>
      <c r="BB141" s="1">
        <f t="shared" si="35"/>
        <v>157.45417617194281</v>
      </c>
      <c r="BC141" s="1">
        <f t="shared" si="35"/>
        <v>24.023602959208521</v>
      </c>
    </row>
    <row r="142" spans="1:55" x14ac:dyDescent="0.25">
      <c r="A142" s="15" t="s">
        <v>51</v>
      </c>
      <c r="B142" s="16" t="s">
        <v>52</v>
      </c>
      <c r="C142" s="2"/>
      <c r="F142" s="1">
        <f t="shared" si="33"/>
        <v>0</v>
      </c>
      <c r="G142" s="1">
        <f t="shared" si="33"/>
        <v>0</v>
      </c>
      <c r="H142" s="1">
        <f t="shared" si="33"/>
        <v>0</v>
      </c>
      <c r="I142" s="1">
        <f t="shared" si="33"/>
        <v>0</v>
      </c>
      <c r="J142" s="1">
        <f t="shared" si="33"/>
        <v>0</v>
      </c>
      <c r="K142" s="1">
        <f t="shared" si="33"/>
        <v>0</v>
      </c>
      <c r="L142" s="52">
        <f t="shared" si="33"/>
        <v>0</v>
      </c>
      <c r="M142" s="1">
        <f t="shared" si="33"/>
        <v>0</v>
      </c>
      <c r="N142" s="1">
        <f t="shared" si="33"/>
        <v>0</v>
      </c>
      <c r="O142" s="1">
        <f t="shared" si="33"/>
        <v>0</v>
      </c>
      <c r="P142" s="1">
        <f t="shared" si="33"/>
        <v>0</v>
      </c>
      <c r="Q142" s="1">
        <f t="shared" si="33"/>
        <v>0</v>
      </c>
      <c r="R142" s="1">
        <f t="shared" si="33"/>
        <v>0</v>
      </c>
      <c r="S142" s="1">
        <f t="shared" si="33"/>
        <v>0</v>
      </c>
      <c r="T142" s="1">
        <f t="shared" si="33"/>
        <v>0</v>
      </c>
      <c r="U142" s="1">
        <f t="shared" si="33"/>
        <v>0</v>
      </c>
      <c r="V142" s="1">
        <f t="shared" si="33"/>
        <v>0</v>
      </c>
      <c r="W142" s="1">
        <f t="shared" si="33"/>
        <v>0</v>
      </c>
      <c r="X142" s="54">
        <f t="shared" si="33"/>
        <v>0</v>
      </c>
      <c r="Y142" s="58">
        <f t="shared" si="33"/>
        <v>0</v>
      </c>
      <c r="Z142" s="1">
        <f t="shared" si="33"/>
        <v>0</v>
      </c>
      <c r="AA142" s="1">
        <f t="shared" si="33"/>
        <v>0</v>
      </c>
      <c r="AC142" s="15" t="s">
        <v>51</v>
      </c>
      <c r="AD142" s="16" t="s">
        <v>52</v>
      </c>
      <c r="AE142" s="2"/>
      <c r="AH142" s="1" t="str">
        <f t="shared" si="34"/>
        <v/>
      </c>
      <c r="AI142" s="1" t="str">
        <f t="shared" si="34"/>
        <v/>
      </c>
      <c r="AJ142" s="1" t="str">
        <f t="shared" si="34"/>
        <v/>
      </c>
      <c r="AK142" s="1" t="str">
        <f t="shared" si="34"/>
        <v/>
      </c>
      <c r="AL142" s="1" t="str">
        <f t="shared" si="34"/>
        <v/>
      </c>
      <c r="AM142" s="1" t="str">
        <f t="shared" si="34"/>
        <v/>
      </c>
      <c r="AN142" s="52" t="str">
        <f t="shared" si="34"/>
        <v/>
      </c>
      <c r="AO142" s="1" t="str">
        <f t="shared" si="34"/>
        <v/>
      </c>
      <c r="AP142" s="1" t="str">
        <f t="shared" si="34"/>
        <v/>
      </c>
      <c r="AQ142" s="1" t="str">
        <f t="shared" si="34"/>
        <v/>
      </c>
      <c r="AR142" s="1" t="str">
        <f t="shared" si="34"/>
        <v/>
      </c>
      <c r="AS142" s="1" t="str">
        <f t="shared" si="34"/>
        <v/>
      </c>
      <c r="AT142" s="1" t="str">
        <f t="shared" si="34"/>
        <v/>
      </c>
      <c r="AU142" s="1" t="str">
        <f t="shared" si="34"/>
        <v/>
      </c>
      <c r="AV142" s="1" t="str">
        <f t="shared" si="34"/>
        <v/>
      </c>
      <c r="AW142" s="1" t="str">
        <f t="shared" si="34"/>
        <v/>
      </c>
      <c r="AX142" s="1" t="str">
        <f t="shared" si="35"/>
        <v/>
      </c>
      <c r="AY142" s="1" t="str">
        <f t="shared" si="35"/>
        <v/>
      </c>
      <c r="AZ142" s="1" t="str">
        <f t="shared" si="35"/>
        <v/>
      </c>
      <c r="BA142" s="1" t="str">
        <f t="shared" si="35"/>
        <v/>
      </c>
      <c r="BB142" s="1" t="str">
        <f t="shared" si="35"/>
        <v/>
      </c>
      <c r="BC142" s="1" t="str">
        <f t="shared" si="35"/>
        <v/>
      </c>
    </row>
    <row r="143" spans="1:55" x14ac:dyDescent="0.25">
      <c r="A143" s="15" t="s">
        <v>51</v>
      </c>
      <c r="B143" s="16" t="s">
        <v>56</v>
      </c>
      <c r="C143" s="2"/>
      <c r="F143" s="1">
        <f t="shared" si="33"/>
        <v>0</v>
      </c>
      <c r="G143" s="1">
        <f t="shared" si="33"/>
        <v>0</v>
      </c>
      <c r="H143" s="1">
        <f t="shared" si="33"/>
        <v>0</v>
      </c>
      <c r="I143" s="1">
        <f t="shared" si="33"/>
        <v>0</v>
      </c>
      <c r="J143" s="1">
        <f t="shared" si="33"/>
        <v>0</v>
      </c>
      <c r="K143" s="1">
        <f t="shared" si="33"/>
        <v>0</v>
      </c>
      <c r="L143" s="52">
        <f t="shared" si="33"/>
        <v>0</v>
      </c>
      <c r="M143" s="1">
        <f t="shared" si="33"/>
        <v>0</v>
      </c>
      <c r="N143" s="1">
        <f t="shared" si="33"/>
        <v>0</v>
      </c>
      <c r="O143" s="1">
        <f t="shared" si="33"/>
        <v>0</v>
      </c>
      <c r="P143" s="1">
        <f t="shared" si="33"/>
        <v>0</v>
      </c>
      <c r="Q143" s="1">
        <f t="shared" si="33"/>
        <v>0</v>
      </c>
      <c r="R143" s="1">
        <f t="shared" si="33"/>
        <v>0</v>
      </c>
      <c r="S143" s="1">
        <f t="shared" si="33"/>
        <v>0</v>
      </c>
      <c r="T143" s="1">
        <f t="shared" si="33"/>
        <v>0</v>
      </c>
      <c r="U143" s="1">
        <f t="shared" si="33"/>
        <v>0</v>
      </c>
      <c r="V143" s="1">
        <f t="shared" si="33"/>
        <v>0</v>
      </c>
      <c r="W143" s="1">
        <f t="shared" si="33"/>
        <v>0</v>
      </c>
      <c r="X143" s="54">
        <f t="shared" si="33"/>
        <v>0</v>
      </c>
      <c r="Y143" s="58">
        <f t="shared" si="33"/>
        <v>0</v>
      </c>
      <c r="Z143" s="1">
        <f t="shared" si="33"/>
        <v>0</v>
      </c>
      <c r="AA143" s="1">
        <f t="shared" si="33"/>
        <v>0</v>
      </c>
      <c r="AC143" s="15" t="s">
        <v>51</v>
      </c>
      <c r="AD143" s="16" t="s">
        <v>56</v>
      </c>
      <c r="AE143" s="2"/>
      <c r="AH143" s="1" t="str">
        <f t="shared" si="34"/>
        <v/>
      </c>
      <c r="AI143" s="1" t="str">
        <f t="shared" si="34"/>
        <v/>
      </c>
      <c r="AJ143" s="1" t="str">
        <f t="shared" si="34"/>
        <v/>
      </c>
      <c r="AK143" s="1" t="str">
        <f t="shared" si="34"/>
        <v/>
      </c>
      <c r="AL143" s="1" t="str">
        <f t="shared" si="34"/>
        <v/>
      </c>
      <c r="AM143" s="1" t="str">
        <f t="shared" si="34"/>
        <v/>
      </c>
      <c r="AN143" s="52" t="str">
        <f t="shared" si="34"/>
        <v/>
      </c>
      <c r="AO143" s="1" t="str">
        <f t="shared" si="34"/>
        <v/>
      </c>
      <c r="AP143" s="1" t="str">
        <f t="shared" si="34"/>
        <v/>
      </c>
      <c r="AQ143" s="1" t="str">
        <f t="shared" si="34"/>
        <v/>
      </c>
      <c r="AR143" s="1" t="str">
        <f t="shared" si="34"/>
        <v/>
      </c>
      <c r="AS143" s="1" t="str">
        <f t="shared" si="34"/>
        <v/>
      </c>
      <c r="AT143" s="1" t="str">
        <f t="shared" si="34"/>
        <v/>
      </c>
      <c r="AU143" s="1" t="str">
        <f t="shared" si="34"/>
        <v/>
      </c>
      <c r="AV143" s="1" t="str">
        <f t="shared" si="34"/>
        <v/>
      </c>
      <c r="AW143" s="1" t="str">
        <f t="shared" si="34"/>
        <v/>
      </c>
      <c r="AX143" s="1" t="str">
        <f t="shared" si="35"/>
        <v/>
      </c>
      <c r="AY143" s="1" t="str">
        <f t="shared" si="35"/>
        <v/>
      </c>
      <c r="AZ143" s="1" t="str">
        <f t="shared" si="35"/>
        <v/>
      </c>
      <c r="BA143" s="1" t="str">
        <f t="shared" si="35"/>
        <v/>
      </c>
      <c r="BB143" s="1" t="str">
        <f t="shared" si="35"/>
        <v/>
      </c>
      <c r="BC143" s="1" t="str">
        <f t="shared" si="35"/>
        <v/>
      </c>
    </row>
    <row r="144" spans="1:55" x14ac:dyDescent="0.25">
      <c r="A144" s="15" t="s">
        <v>51</v>
      </c>
      <c r="B144" s="16" t="s">
        <v>9</v>
      </c>
      <c r="C144" s="2"/>
      <c r="F144" s="1">
        <f t="shared" si="33"/>
        <v>0</v>
      </c>
      <c r="G144" s="1">
        <f t="shared" si="33"/>
        <v>0</v>
      </c>
      <c r="H144" s="1">
        <f t="shared" si="33"/>
        <v>0</v>
      </c>
      <c r="I144" s="1">
        <f t="shared" si="33"/>
        <v>0</v>
      </c>
      <c r="J144" s="1">
        <f t="shared" si="33"/>
        <v>0</v>
      </c>
      <c r="K144" s="1">
        <f t="shared" si="33"/>
        <v>0</v>
      </c>
      <c r="L144" s="52">
        <f t="shared" si="33"/>
        <v>0</v>
      </c>
      <c r="M144" s="1">
        <f t="shared" si="33"/>
        <v>0</v>
      </c>
      <c r="N144" s="1">
        <f t="shared" si="33"/>
        <v>0</v>
      </c>
      <c r="O144" s="1">
        <f t="shared" si="33"/>
        <v>0</v>
      </c>
      <c r="P144" s="1">
        <f t="shared" si="33"/>
        <v>0</v>
      </c>
      <c r="Q144" s="1">
        <f t="shared" si="33"/>
        <v>0</v>
      </c>
      <c r="R144" s="1">
        <f t="shared" si="33"/>
        <v>0</v>
      </c>
      <c r="S144" s="1">
        <f t="shared" si="33"/>
        <v>0</v>
      </c>
      <c r="T144" s="1">
        <f t="shared" si="33"/>
        <v>0</v>
      </c>
      <c r="U144" s="1">
        <f t="shared" si="33"/>
        <v>0</v>
      </c>
      <c r="V144" s="1">
        <f t="shared" si="33"/>
        <v>0</v>
      </c>
      <c r="W144" s="1">
        <f t="shared" si="33"/>
        <v>0</v>
      </c>
      <c r="X144" s="54">
        <f t="shared" si="33"/>
        <v>0</v>
      </c>
      <c r="Y144" s="58">
        <f t="shared" si="33"/>
        <v>0</v>
      </c>
      <c r="Z144" s="1">
        <f t="shared" si="33"/>
        <v>0</v>
      </c>
      <c r="AA144" s="1">
        <f t="shared" si="33"/>
        <v>0</v>
      </c>
      <c r="AC144" s="15" t="s">
        <v>51</v>
      </c>
      <c r="AD144" s="16" t="s">
        <v>9</v>
      </c>
      <c r="AE144" s="2"/>
      <c r="AH144" s="1" t="str">
        <f t="shared" si="34"/>
        <v/>
      </c>
      <c r="AI144" s="1" t="str">
        <f t="shared" si="34"/>
        <v/>
      </c>
      <c r="AJ144" s="1" t="str">
        <f t="shared" si="34"/>
        <v/>
      </c>
      <c r="AK144" s="1" t="str">
        <f t="shared" si="34"/>
        <v/>
      </c>
      <c r="AL144" s="1" t="str">
        <f t="shared" si="34"/>
        <v/>
      </c>
      <c r="AM144" s="1" t="str">
        <f t="shared" si="34"/>
        <v/>
      </c>
      <c r="AN144" s="52" t="str">
        <f t="shared" si="34"/>
        <v/>
      </c>
      <c r="AO144" s="1" t="str">
        <f t="shared" si="34"/>
        <v/>
      </c>
      <c r="AP144" s="1" t="str">
        <f t="shared" si="34"/>
        <v/>
      </c>
      <c r="AQ144" s="1" t="str">
        <f t="shared" si="34"/>
        <v/>
      </c>
      <c r="AR144" s="1" t="str">
        <f t="shared" si="34"/>
        <v/>
      </c>
      <c r="AS144" s="1" t="str">
        <f t="shared" si="34"/>
        <v/>
      </c>
      <c r="AT144" s="1" t="str">
        <f t="shared" si="34"/>
        <v/>
      </c>
      <c r="AU144" s="1" t="str">
        <f t="shared" si="34"/>
        <v/>
      </c>
      <c r="AV144" s="1" t="str">
        <f t="shared" si="34"/>
        <v/>
      </c>
      <c r="AW144" s="1" t="str">
        <f t="shared" si="34"/>
        <v/>
      </c>
      <c r="AX144" s="1" t="str">
        <f t="shared" si="35"/>
        <v/>
      </c>
      <c r="AY144" s="1" t="str">
        <f t="shared" si="35"/>
        <v/>
      </c>
      <c r="AZ144" s="1" t="str">
        <f t="shared" si="35"/>
        <v/>
      </c>
      <c r="BA144" s="1" t="str">
        <f t="shared" si="35"/>
        <v/>
      </c>
      <c r="BB144" s="1" t="str">
        <f t="shared" si="35"/>
        <v/>
      </c>
      <c r="BC144" s="1" t="str">
        <f t="shared" si="35"/>
        <v/>
      </c>
    </row>
    <row r="145" spans="1:55" x14ac:dyDescent="0.25">
      <c r="A145" s="30" t="s">
        <v>60</v>
      </c>
      <c r="B145" s="32" t="s">
        <v>13</v>
      </c>
      <c r="C145" s="2"/>
      <c r="F145" s="51">
        <f t="shared" si="33"/>
        <v>52.413793103448278</v>
      </c>
      <c r="G145" s="51">
        <f t="shared" si="33"/>
        <v>23.2</v>
      </c>
      <c r="H145" s="51">
        <f t="shared" si="33"/>
        <v>7.317333333333333</v>
      </c>
      <c r="I145" s="51">
        <f t="shared" si="33"/>
        <v>28.999999999999996</v>
      </c>
      <c r="J145" s="51">
        <f t="shared" si="33"/>
        <v>48.75</v>
      </c>
      <c r="K145" s="51">
        <f t="shared" si="33"/>
        <v>29</v>
      </c>
      <c r="L145" s="52">
        <f t="shared" si="33"/>
        <v>0</v>
      </c>
      <c r="M145" s="51">
        <f t="shared" si="33"/>
        <v>400</v>
      </c>
      <c r="N145" s="51">
        <f t="shared" si="33"/>
        <v>780.64516129032256</v>
      </c>
      <c r="O145" s="51">
        <f t="shared" si="33"/>
        <v>8970</v>
      </c>
      <c r="P145" s="51">
        <f t="shared" si="33"/>
        <v>72727.272727272721</v>
      </c>
      <c r="Q145" s="51">
        <f t="shared" si="33"/>
        <v>940</v>
      </c>
      <c r="R145" s="51">
        <f t="shared" si="33"/>
        <v>426</v>
      </c>
      <c r="S145" s="51">
        <f t="shared" si="33"/>
        <v>0</v>
      </c>
      <c r="T145" s="51">
        <f t="shared" si="33"/>
        <v>426</v>
      </c>
      <c r="U145" s="51">
        <f t="shared" si="33"/>
        <v>426</v>
      </c>
      <c r="V145" s="51">
        <f t="shared" si="33"/>
        <v>426</v>
      </c>
      <c r="W145" s="51">
        <f t="shared" si="33"/>
        <v>426</v>
      </c>
      <c r="X145" s="55">
        <f t="shared" si="33"/>
        <v>426</v>
      </c>
      <c r="Y145" s="59">
        <f t="shared" si="33"/>
        <v>15.597209347709422</v>
      </c>
      <c r="Z145" s="51">
        <f t="shared" si="33"/>
        <v>2899.4623527161416</v>
      </c>
      <c r="AA145" s="51">
        <f t="shared" si="33"/>
        <v>106.44193205442953</v>
      </c>
      <c r="AC145" s="30" t="s">
        <v>60</v>
      </c>
      <c r="AD145" s="32" t="s">
        <v>13</v>
      </c>
      <c r="AE145" s="2"/>
      <c r="AH145" s="1">
        <f t="shared" si="34"/>
        <v>10.384364413793104</v>
      </c>
      <c r="AI145" s="1">
        <f t="shared" si="34"/>
        <v>5.5839755575924226</v>
      </c>
      <c r="AJ145" s="1">
        <f t="shared" si="34"/>
        <v>1.7787000000000002</v>
      </c>
      <c r="AK145" s="1">
        <f t="shared" si="34"/>
        <v>5.4674441205053448</v>
      </c>
      <c r="AL145" s="1">
        <f t="shared" si="34"/>
        <v>17.5</v>
      </c>
      <c r="AM145" s="1">
        <f t="shared" si="34"/>
        <v>4.2243333333333331</v>
      </c>
      <c r="AN145" s="52" t="str">
        <f t="shared" si="34"/>
        <v/>
      </c>
      <c r="AO145" s="1">
        <f t="shared" si="34"/>
        <v>156.66666666666666</v>
      </c>
      <c r="AP145" s="1">
        <f t="shared" si="34"/>
        <v>203.2258064516129</v>
      </c>
      <c r="AQ145" s="1">
        <f t="shared" si="34"/>
        <v>2000</v>
      </c>
      <c r="AR145" s="1">
        <f t="shared" si="34"/>
        <v>9090.9090909090901</v>
      </c>
      <c r="AS145" s="1">
        <f t="shared" si="34"/>
        <v>263.20000000000005</v>
      </c>
      <c r="AT145" s="1">
        <f t="shared" si="34"/>
        <v>127.8</v>
      </c>
      <c r="AU145" s="1" t="str">
        <f t="shared" si="34"/>
        <v/>
      </c>
      <c r="AV145" s="1">
        <f t="shared" si="34"/>
        <v>127.79999999999998</v>
      </c>
      <c r="AW145" s="1">
        <f t="shared" si="34"/>
        <v>127.8</v>
      </c>
      <c r="AX145" s="1">
        <f t="shared" si="35"/>
        <v>511.2</v>
      </c>
      <c r="AY145" s="1">
        <f t="shared" si="35"/>
        <v>340.8</v>
      </c>
      <c r="AZ145" s="1">
        <f t="shared" si="35"/>
        <v>149.1</v>
      </c>
      <c r="BA145" s="1">
        <f t="shared" si="35"/>
        <v>3.5957619169557669</v>
      </c>
      <c r="BB145" s="1">
        <f t="shared" si="35"/>
        <v>467.61729829765454</v>
      </c>
      <c r="BC145" s="1">
        <f t="shared" si="35"/>
        <v>18.212918304932327</v>
      </c>
    </row>
    <row r="146" spans="1:55" x14ac:dyDescent="0.25">
      <c r="A146" s="30" t="s">
        <v>60</v>
      </c>
      <c r="B146" s="31" t="s">
        <v>23</v>
      </c>
      <c r="C146" s="2"/>
      <c r="F146" s="51">
        <f t="shared" si="33"/>
        <v>0</v>
      </c>
      <c r="G146" s="51">
        <f t="shared" si="33"/>
        <v>0</v>
      </c>
      <c r="H146" s="51">
        <f t="shared" si="33"/>
        <v>0</v>
      </c>
      <c r="I146" s="51">
        <f t="shared" si="33"/>
        <v>0</v>
      </c>
      <c r="J146" s="51">
        <f t="shared" si="33"/>
        <v>40.099923136049192</v>
      </c>
      <c r="K146" s="51">
        <f t="shared" si="33"/>
        <v>2.7064555420219247</v>
      </c>
      <c r="L146" s="52">
        <f t="shared" si="33"/>
        <v>0</v>
      </c>
      <c r="M146" s="51">
        <f t="shared" si="33"/>
        <v>0</v>
      </c>
      <c r="N146" s="51">
        <f t="shared" si="33"/>
        <v>7920</v>
      </c>
      <c r="O146" s="51">
        <f t="shared" si="33"/>
        <v>0</v>
      </c>
      <c r="P146" s="51">
        <f t="shared" si="33"/>
        <v>0</v>
      </c>
      <c r="Q146" s="51">
        <f t="shared" si="33"/>
        <v>0</v>
      </c>
      <c r="R146" s="51">
        <f t="shared" si="33"/>
        <v>0</v>
      </c>
      <c r="S146" s="51">
        <f t="shared" si="33"/>
        <v>100</v>
      </c>
      <c r="T146" s="51">
        <f t="shared" si="33"/>
        <v>406</v>
      </c>
      <c r="U146" s="51">
        <f t="shared" si="33"/>
        <v>0</v>
      </c>
      <c r="V146" s="51">
        <f t="shared" si="33"/>
        <v>0</v>
      </c>
      <c r="W146" s="51">
        <f t="shared" si="33"/>
        <v>0</v>
      </c>
      <c r="X146" s="55">
        <f t="shared" si="33"/>
        <v>100</v>
      </c>
      <c r="Y146" s="59">
        <f t="shared" si="33"/>
        <v>7.4492825553261079</v>
      </c>
      <c r="Z146" s="51">
        <f t="shared" si="33"/>
        <v>817.89045320122329</v>
      </c>
      <c r="AA146" s="51">
        <f t="shared" si="33"/>
        <v>25.515588589037424</v>
      </c>
      <c r="AC146" s="30" t="s">
        <v>60</v>
      </c>
      <c r="AD146" s="31" t="s">
        <v>23</v>
      </c>
      <c r="AE146" s="2"/>
      <c r="AH146" s="1" t="str">
        <f t="shared" si="34"/>
        <v/>
      </c>
      <c r="AI146" s="1" t="str">
        <f t="shared" si="34"/>
        <v/>
      </c>
      <c r="AJ146" s="1" t="str">
        <f t="shared" si="34"/>
        <v/>
      </c>
      <c r="AK146" s="1" t="str">
        <f t="shared" si="34"/>
        <v/>
      </c>
      <c r="AL146" s="1">
        <f t="shared" si="34"/>
        <v>14.105303612605688</v>
      </c>
      <c r="AM146" s="1">
        <f t="shared" si="34"/>
        <v>0.8651948842874545</v>
      </c>
      <c r="AN146" s="52" t="str">
        <f t="shared" si="34"/>
        <v/>
      </c>
      <c r="AO146" s="1" t="str">
        <f t="shared" si="34"/>
        <v/>
      </c>
      <c r="AP146" s="1">
        <f t="shared" si="34"/>
        <v>2550</v>
      </c>
      <c r="AQ146" s="1" t="str">
        <f t="shared" si="34"/>
        <v/>
      </c>
      <c r="AR146" s="1" t="str">
        <f t="shared" si="34"/>
        <v/>
      </c>
      <c r="AS146" s="1" t="str">
        <f t="shared" si="34"/>
        <v/>
      </c>
      <c r="AT146" s="1" t="str">
        <f t="shared" si="34"/>
        <v/>
      </c>
      <c r="AU146" s="1">
        <f t="shared" si="34"/>
        <v>53.571428571428569</v>
      </c>
      <c r="AV146" s="1">
        <f t="shared" si="34"/>
        <v>162.4</v>
      </c>
      <c r="AW146" s="1" t="str">
        <f t="shared" si="34"/>
        <v/>
      </c>
      <c r="AX146" s="1" t="str">
        <f t="shared" si="35"/>
        <v/>
      </c>
      <c r="AY146" s="1" t="str">
        <f t="shared" si="35"/>
        <v/>
      </c>
      <c r="AZ146" s="1">
        <f t="shared" si="35"/>
        <v>90</v>
      </c>
      <c r="BA146" s="1">
        <f t="shared" si="35"/>
        <v>2.5445134759064443</v>
      </c>
      <c r="BB146" s="1">
        <f t="shared" si="35"/>
        <v>296.31852993959001</v>
      </c>
      <c r="BC146" s="1">
        <f t="shared" si="35"/>
        <v>9.0933062549746726</v>
      </c>
    </row>
    <row r="147" spans="1:55" x14ac:dyDescent="0.25">
      <c r="A147" s="30" t="s">
        <v>60</v>
      </c>
      <c r="B147" s="31" t="s">
        <v>65</v>
      </c>
      <c r="C147" s="46"/>
      <c r="F147" s="51">
        <f t="shared" si="33"/>
        <v>0</v>
      </c>
      <c r="G147" s="51">
        <f t="shared" si="33"/>
        <v>0</v>
      </c>
      <c r="H147" s="51">
        <f t="shared" si="33"/>
        <v>0</v>
      </c>
      <c r="I147" s="51">
        <f t="shared" si="33"/>
        <v>0</v>
      </c>
      <c r="J147" s="51">
        <f t="shared" si="33"/>
        <v>56</v>
      </c>
      <c r="K147" s="51">
        <f t="shared" si="33"/>
        <v>0</v>
      </c>
      <c r="L147" s="52">
        <f t="shared" si="33"/>
        <v>750</v>
      </c>
      <c r="M147" s="51">
        <f t="shared" si="33"/>
        <v>300</v>
      </c>
      <c r="N147" s="51">
        <f t="shared" si="33"/>
        <v>0</v>
      </c>
      <c r="O147" s="51">
        <f t="shared" si="33"/>
        <v>0</v>
      </c>
      <c r="P147" s="51">
        <f t="shared" si="33"/>
        <v>0</v>
      </c>
      <c r="Q147" s="51">
        <f t="shared" si="33"/>
        <v>940</v>
      </c>
      <c r="R147" s="51">
        <f t="shared" si="33"/>
        <v>426.00000000000006</v>
      </c>
      <c r="S147" s="51">
        <f t="shared" si="33"/>
        <v>0</v>
      </c>
      <c r="T147" s="51">
        <f t="shared" si="33"/>
        <v>426</v>
      </c>
      <c r="U147" s="51">
        <f t="shared" si="33"/>
        <v>426</v>
      </c>
      <c r="V147" s="51">
        <f t="shared" si="33"/>
        <v>426</v>
      </c>
      <c r="W147" s="51">
        <f t="shared" si="33"/>
        <v>426.00000000000006</v>
      </c>
      <c r="X147" s="55">
        <f t="shared" si="33"/>
        <v>426</v>
      </c>
      <c r="Y147" s="59">
        <f t="shared" si="33"/>
        <v>56</v>
      </c>
      <c r="Z147" s="51">
        <f t="shared" si="33"/>
        <v>477.97350366413826</v>
      </c>
      <c r="AA147" s="51">
        <f>IF(AA192&gt;0,AB12/AA192,0)</f>
        <v>452.66388546035779</v>
      </c>
      <c r="AC147" s="30" t="s">
        <v>60</v>
      </c>
      <c r="AD147" s="31" t="s">
        <v>65</v>
      </c>
      <c r="AE147" s="46"/>
      <c r="AH147" s="1" t="str">
        <f t="shared" si="34"/>
        <v/>
      </c>
      <c r="AI147" s="1" t="str">
        <f t="shared" si="34"/>
        <v/>
      </c>
      <c r="AJ147" s="1" t="str">
        <f t="shared" si="34"/>
        <v/>
      </c>
      <c r="AK147" s="1" t="str">
        <f t="shared" si="34"/>
        <v/>
      </c>
      <c r="AL147" s="1">
        <f t="shared" si="34"/>
        <v>6.72</v>
      </c>
      <c r="AM147" s="1" t="str">
        <f t="shared" si="34"/>
        <v/>
      </c>
      <c r="AN147" s="52">
        <f t="shared" si="34"/>
        <v>62.250000000000007</v>
      </c>
      <c r="AO147" s="1">
        <f t="shared" si="34"/>
        <v>24</v>
      </c>
      <c r="AP147" s="1" t="str">
        <f t="shared" si="34"/>
        <v/>
      </c>
      <c r="AQ147" s="1" t="str">
        <f t="shared" si="34"/>
        <v/>
      </c>
      <c r="AR147" s="1" t="str">
        <f t="shared" si="34"/>
        <v/>
      </c>
      <c r="AS147" s="1">
        <f t="shared" si="34"/>
        <v>84.6</v>
      </c>
      <c r="AT147" s="1">
        <f t="shared" si="34"/>
        <v>42.6</v>
      </c>
      <c r="AU147" s="1" t="str">
        <f t="shared" si="34"/>
        <v/>
      </c>
      <c r="AV147" s="1">
        <f t="shared" si="34"/>
        <v>51.120000000000005</v>
      </c>
      <c r="AW147" s="1">
        <f t="shared" si="34"/>
        <v>42.6</v>
      </c>
      <c r="AX147" s="1">
        <f t="shared" si="35"/>
        <v>63.9</v>
      </c>
      <c r="AY147" s="1">
        <f t="shared" si="35"/>
        <v>42.6</v>
      </c>
      <c r="AZ147" s="1">
        <f t="shared" si="35"/>
        <v>42.6</v>
      </c>
      <c r="BA147" s="1">
        <f t="shared" si="35"/>
        <v>6.72</v>
      </c>
      <c r="BB147" s="1">
        <f t="shared" si="35"/>
        <v>46.457620472422548</v>
      </c>
      <c r="BC147" s="1">
        <f t="shared" si="35"/>
        <v>40.073225632443602</v>
      </c>
    </row>
    <row r="148" spans="1:55" ht="15.75" thickBot="1" x14ac:dyDescent="0.3">
      <c r="A148" s="48" t="s">
        <v>60</v>
      </c>
      <c r="B148" s="49" t="s">
        <v>9</v>
      </c>
      <c r="C148" s="50"/>
      <c r="D148" s="50"/>
      <c r="E148" s="50"/>
      <c r="F148" s="53">
        <f t="shared" si="33"/>
        <v>0</v>
      </c>
      <c r="G148" s="53">
        <f t="shared" si="33"/>
        <v>0</v>
      </c>
      <c r="H148" s="53">
        <f t="shared" si="33"/>
        <v>0</v>
      </c>
      <c r="I148" s="53">
        <f t="shared" si="33"/>
        <v>0</v>
      </c>
      <c r="J148" s="53">
        <f t="shared" si="33"/>
        <v>0</v>
      </c>
      <c r="K148" s="53">
        <f t="shared" si="33"/>
        <v>0</v>
      </c>
      <c r="L148" s="62">
        <f t="shared" si="33"/>
        <v>0</v>
      </c>
      <c r="M148" s="53">
        <f t="shared" si="33"/>
        <v>0</v>
      </c>
      <c r="N148" s="53">
        <f t="shared" si="33"/>
        <v>0</v>
      </c>
      <c r="O148" s="53">
        <f t="shared" si="33"/>
        <v>0</v>
      </c>
      <c r="P148" s="53">
        <f t="shared" si="33"/>
        <v>0</v>
      </c>
      <c r="Q148" s="53">
        <f t="shared" si="33"/>
        <v>0</v>
      </c>
      <c r="R148" s="53">
        <f t="shared" si="33"/>
        <v>0</v>
      </c>
      <c r="S148" s="53">
        <f t="shared" si="33"/>
        <v>0</v>
      </c>
      <c r="T148" s="53">
        <f t="shared" si="33"/>
        <v>0</v>
      </c>
      <c r="U148" s="53">
        <f t="shared" si="33"/>
        <v>0</v>
      </c>
      <c r="V148" s="53">
        <f t="shared" si="33"/>
        <v>0</v>
      </c>
      <c r="W148" s="53">
        <f t="shared" si="33"/>
        <v>0</v>
      </c>
      <c r="X148" s="56">
        <f t="shared" si="33"/>
        <v>426</v>
      </c>
      <c r="Y148" s="60">
        <f t="shared" si="33"/>
        <v>0</v>
      </c>
      <c r="Z148" s="53">
        <f t="shared" si="33"/>
        <v>643.56672000000003</v>
      </c>
      <c r="AA148" s="53">
        <f t="shared" si="33"/>
        <v>629.79840000000002</v>
      </c>
      <c r="AC148" s="48" t="s">
        <v>60</v>
      </c>
      <c r="AD148" s="49" t="s">
        <v>9</v>
      </c>
      <c r="AE148" s="50"/>
      <c r="AF148" s="50"/>
      <c r="AG148" s="50"/>
      <c r="AH148" s="1" t="str">
        <f t="shared" si="34"/>
        <v/>
      </c>
      <c r="AI148" s="1" t="str">
        <f t="shared" si="34"/>
        <v/>
      </c>
      <c r="AJ148" s="1" t="str">
        <f t="shared" si="34"/>
        <v/>
      </c>
      <c r="AK148" s="1" t="str">
        <f t="shared" si="34"/>
        <v/>
      </c>
      <c r="AL148" s="1" t="str">
        <f t="shared" si="34"/>
        <v/>
      </c>
      <c r="AM148" s="1" t="str">
        <f t="shared" si="34"/>
        <v/>
      </c>
      <c r="AN148" s="52" t="str">
        <f t="shared" si="34"/>
        <v/>
      </c>
      <c r="AO148" s="1" t="str">
        <f t="shared" si="34"/>
        <v/>
      </c>
      <c r="AP148" s="1" t="str">
        <f t="shared" si="34"/>
        <v/>
      </c>
      <c r="AQ148" s="1" t="str">
        <f t="shared" si="34"/>
        <v/>
      </c>
      <c r="AR148" s="1" t="str">
        <f t="shared" si="34"/>
        <v/>
      </c>
      <c r="AS148" s="1" t="str">
        <f t="shared" si="34"/>
        <v/>
      </c>
      <c r="AT148" s="1" t="str">
        <f t="shared" si="34"/>
        <v/>
      </c>
      <c r="AU148" s="1" t="str">
        <f t="shared" si="34"/>
        <v/>
      </c>
      <c r="AV148" s="1" t="str">
        <f t="shared" si="34"/>
        <v/>
      </c>
      <c r="AW148" s="1" t="str">
        <f t="shared" si="34"/>
        <v/>
      </c>
      <c r="AX148" s="1" t="str">
        <f t="shared" si="35"/>
        <v/>
      </c>
      <c r="AY148" s="1" t="str">
        <f t="shared" si="35"/>
        <v/>
      </c>
      <c r="AZ148" s="1">
        <f t="shared" si="35"/>
        <v>178.92000000000002</v>
      </c>
      <c r="BA148" s="1" t="str">
        <f t="shared" si="35"/>
        <v/>
      </c>
      <c r="BB148" s="1">
        <f t="shared" si="35"/>
        <v>396.48671999999999</v>
      </c>
      <c r="BC148" s="1">
        <f t="shared" si="35"/>
        <v>314.89920000000001</v>
      </c>
    </row>
    <row r="149" spans="1:55" ht="15.75" thickTop="1" x14ac:dyDescent="0.25">
      <c r="A149" s="15" t="s">
        <v>51</v>
      </c>
      <c r="B149" s="16" t="s">
        <v>52</v>
      </c>
      <c r="C149" s="16" t="s">
        <v>53</v>
      </c>
      <c r="D149" s="2"/>
      <c r="E149" s="2"/>
      <c r="F149" s="47">
        <f t="shared" si="33"/>
        <v>0</v>
      </c>
      <c r="G149" s="47">
        <f t="shared" si="33"/>
        <v>0</v>
      </c>
      <c r="H149" s="47">
        <f t="shared" si="33"/>
        <v>0</v>
      </c>
      <c r="I149" s="47">
        <f t="shared" si="33"/>
        <v>0</v>
      </c>
      <c r="J149" s="47">
        <f t="shared" si="33"/>
        <v>0</v>
      </c>
      <c r="K149" s="47">
        <f t="shared" si="33"/>
        <v>0</v>
      </c>
      <c r="L149" s="63">
        <f t="shared" si="33"/>
        <v>0</v>
      </c>
      <c r="M149" s="47">
        <f t="shared" si="33"/>
        <v>0</v>
      </c>
      <c r="N149" s="47">
        <f t="shared" si="33"/>
        <v>0</v>
      </c>
      <c r="O149" s="47">
        <f t="shared" si="33"/>
        <v>0</v>
      </c>
      <c r="P149" s="47">
        <f t="shared" si="33"/>
        <v>0</v>
      </c>
      <c r="Q149" s="47">
        <f t="shared" si="33"/>
        <v>0</v>
      </c>
      <c r="R149" s="47">
        <f t="shared" si="33"/>
        <v>0</v>
      </c>
      <c r="S149" s="47">
        <f t="shared" si="33"/>
        <v>0</v>
      </c>
      <c r="T149" s="47">
        <f t="shared" si="33"/>
        <v>0</v>
      </c>
      <c r="U149" s="47">
        <f t="shared" si="33"/>
        <v>0</v>
      </c>
      <c r="V149" s="47">
        <f t="shared" si="33"/>
        <v>0</v>
      </c>
      <c r="W149" s="47">
        <f t="shared" si="33"/>
        <v>0</v>
      </c>
      <c r="X149" s="57">
        <f t="shared" si="33"/>
        <v>0</v>
      </c>
      <c r="Y149" s="61">
        <f t="shared" si="33"/>
        <v>0</v>
      </c>
      <c r="Z149" s="47">
        <f t="shared" si="33"/>
        <v>0</v>
      </c>
      <c r="AA149" s="47">
        <f t="shared" si="33"/>
        <v>0</v>
      </c>
      <c r="AC149" s="15" t="s">
        <v>51</v>
      </c>
      <c r="AD149" s="16" t="s">
        <v>52</v>
      </c>
      <c r="AE149" s="16" t="s">
        <v>53</v>
      </c>
      <c r="AF149" s="2"/>
      <c r="AG149" s="2"/>
      <c r="AH149" s="90" t="str">
        <f t="shared" si="34"/>
        <v/>
      </c>
      <c r="AI149" s="90" t="str">
        <f t="shared" si="34"/>
        <v/>
      </c>
      <c r="AJ149" s="90" t="str">
        <f t="shared" si="34"/>
        <v/>
      </c>
      <c r="AK149" s="90" t="str">
        <f t="shared" si="34"/>
        <v/>
      </c>
      <c r="AL149" s="90" t="str">
        <f t="shared" si="34"/>
        <v/>
      </c>
      <c r="AM149" s="90" t="str">
        <f t="shared" si="34"/>
        <v/>
      </c>
      <c r="AN149" s="90" t="str">
        <f t="shared" si="34"/>
        <v/>
      </c>
      <c r="AO149" s="90" t="str">
        <f t="shared" si="34"/>
        <v/>
      </c>
      <c r="AP149" s="90" t="str">
        <f t="shared" si="34"/>
        <v/>
      </c>
      <c r="AQ149" s="90" t="str">
        <f t="shared" si="34"/>
        <v/>
      </c>
      <c r="AR149" s="90" t="str">
        <f t="shared" si="34"/>
        <v/>
      </c>
      <c r="AS149" s="90" t="str">
        <f t="shared" si="34"/>
        <v/>
      </c>
      <c r="AT149" s="90" t="str">
        <f t="shared" si="34"/>
        <v/>
      </c>
      <c r="AU149" s="90" t="str">
        <f t="shared" si="34"/>
        <v/>
      </c>
      <c r="AV149" s="90" t="str">
        <f t="shared" si="34"/>
        <v/>
      </c>
      <c r="AW149" s="90" t="str">
        <f t="shared" si="34"/>
        <v/>
      </c>
      <c r="AX149" s="90" t="str">
        <f t="shared" si="35"/>
        <v/>
      </c>
      <c r="AY149" s="90" t="str">
        <f t="shared" si="35"/>
        <v/>
      </c>
      <c r="AZ149" s="90" t="str">
        <f t="shared" si="35"/>
        <v/>
      </c>
      <c r="BA149" s="90" t="str">
        <f t="shared" si="35"/>
        <v/>
      </c>
      <c r="BB149" s="90" t="str">
        <f t="shared" si="35"/>
        <v/>
      </c>
      <c r="BC149" s="90" t="str">
        <f t="shared" si="35"/>
        <v/>
      </c>
    </row>
    <row r="150" spans="1:55" x14ac:dyDescent="0.25">
      <c r="A150" s="15" t="s">
        <v>51</v>
      </c>
      <c r="B150" s="16" t="s">
        <v>52</v>
      </c>
      <c r="C150" s="16" t="s">
        <v>54</v>
      </c>
      <c r="D150" s="2"/>
      <c r="E150" s="2"/>
      <c r="F150" s="1">
        <f t="shared" si="33"/>
        <v>0</v>
      </c>
      <c r="G150" s="1">
        <f t="shared" si="33"/>
        <v>0</v>
      </c>
      <c r="H150" s="1">
        <f t="shared" si="33"/>
        <v>0</v>
      </c>
      <c r="I150" s="1">
        <f t="shared" si="33"/>
        <v>0</v>
      </c>
      <c r="J150" s="1">
        <f t="shared" si="33"/>
        <v>0</v>
      </c>
      <c r="K150" s="1">
        <f t="shared" si="33"/>
        <v>0</v>
      </c>
      <c r="L150" s="52">
        <f t="shared" si="33"/>
        <v>0</v>
      </c>
      <c r="M150" s="1">
        <f t="shared" si="33"/>
        <v>0</v>
      </c>
      <c r="N150" s="1">
        <f t="shared" si="33"/>
        <v>0</v>
      </c>
      <c r="O150" s="1">
        <f t="shared" si="33"/>
        <v>0</v>
      </c>
      <c r="P150" s="1">
        <f t="shared" si="33"/>
        <v>0</v>
      </c>
      <c r="Q150" s="1">
        <f t="shared" si="33"/>
        <v>0</v>
      </c>
      <c r="R150" s="1">
        <f t="shared" si="33"/>
        <v>0</v>
      </c>
      <c r="S150" s="1">
        <f t="shared" si="33"/>
        <v>0</v>
      </c>
      <c r="T150" s="1">
        <f t="shared" si="33"/>
        <v>0</v>
      </c>
      <c r="U150" s="1">
        <f t="shared" si="33"/>
        <v>0</v>
      </c>
      <c r="V150" s="1">
        <f t="shared" si="33"/>
        <v>0</v>
      </c>
      <c r="W150" s="1">
        <f t="shared" si="33"/>
        <v>0</v>
      </c>
      <c r="X150" s="54">
        <f t="shared" si="33"/>
        <v>0</v>
      </c>
      <c r="Y150" s="58">
        <f t="shared" si="33"/>
        <v>0</v>
      </c>
      <c r="Z150" s="1">
        <f t="shared" si="33"/>
        <v>0</v>
      </c>
      <c r="AA150" s="1">
        <f t="shared" si="33"/>
        <v>0</v>
      </c>
      <c r="AC150" s="15" t="s">
        <v>51</v>
      </c>
      <c r="AD150" s="16" t="s">
        <v>52</v>
      </c>
      <c r="AE150" s="16" t="s">
        <v>54</v>
      </c>
      <c r="AF150" s="2"/>
      <c r="AG150" s="2"/>
      <c r="AH150" s="90" t="str">
        <f t="shared" si="34"/>
        <v/>
      </c>
      <c r="AI150" s="90" t="str">
        <f t="shared" si="34"/>
        <v/>
      </c>
      <c r="AJ150" s="90" t="str">
        <f t="shared" si="34"/>
        <v/>
      </c>
      <c r="AK150" s="90" t="str">
        <f t="shared" si="34"/>
        <v/>
      </c>
      <c r="AL150" s="90" t="str">
        <f t="shared" si="34"/>
        <v/>
      </c>
      <c r="AM150" s="90" t="str">
        <f t="shared" si="34"/>
        <v/>
      </c>
      <c r="AN150" s="90" t="str">
        <f t="shared" si="34"/>
        <v/>
      </c>
      <c r="AO150" s="90" t="str">
        <f t="shared" si="34"/>
        <v/>
      </c>
      <c r="AP150" s="90" t="str">
        <f t="shared" si="34"/>
        <v/>
      </c>
      <c r="AQ150" s="90" t="str">
        <f t="shared" si="34"/>
        <v/>
      </c>
      <c r="AR150" s="90" t="str">
        <f t="shared" si="34"/>
        <v/>
      </c>
      <c r="AS150" s="90" t="str">
        <f t="shared" si="34"/>
        <v/>
      </c>
      <c r="AT150" s="90" t="str">
        <f t="shared" si="34"/>
        <v/>
      </c>
      <c r="AU150" s="90" t="str">
        <f t="shared" si="34"/>
        <v/>
      </c>
      <c r="AV150" s="90" t="str">
        <f t="shared" si="34"/>
        <v/>
      </c>
      <c r="AW150" s="90" t="str">
        <f t="shared" si="34"/>
        <v/>
      </c>
      <c r="AX150" s="90" t="str">
        <f t="shared" si="35"/>
        <v/>
      </c>
      <c r="AY150" s="90" t="str">
        <f t="shared" si="35"/>
        <v/>
      </c>
      <c r="AZ150" s="90" t="str">
        <f t="shared" si="35"/>
        <v/>
      </c>
      <c r="BA150" s="90" t="str">
        <f t="shared" si="35"/>
        <v/>
      </c>
      <c r="BB150" s="90" t="str">
        <f t="shared" si="35"/>
        <v/>
      </c>
      <c r="BC150" s="90" t="str">
        <f t="shared" si="35"/>
        <v/>
      </c>
    </row>
    <row r="151" spans="1:55" x14ac:dyDescent="0.25">
      <c r="A151" s="15" t="s">
        <v>51</v>
      </c>
      <c r="B151" s="16" t="s">
        <v>52</v>
      </c>
      <c r="C151" s="16" t="s">
        <v>55</v>
      </c>
      <c r="D151" s="2"/>
      <c r="E151" s="2"/>
      <c r="F151" s="1">
        <f t="shared" si="33"/>
        <v>0</v>
      </c>
      <c r="G151" s="1">
        <f t="shared" si="33"/>
        <v>0</v>
      </c>
      <c r="H151" s="1">
        <f t="shared" si="33"/>
        <v>0</v>
      </c>
      <c r="I151" s="1">
        <f t="shared" si="33"/>
        <v>0</v>
      </c>
      <c r="J151" s="1">
        <f t="shared" si="33"/>
        <v>0</v>
      </c>
      <c r="K151" s="1">
        <f t="shared" si="33"/>
        <v>0</v>
      </c>
      <c r="L151" s="52">
        <f t="shared" si="33"/>
        <v>0</v>
      </c>
      <c r="M151" s="1">
        <f t="shared" si="33"/>
        <v>0</v>
      </c>
      <c r="N151" s="1">
        <f t="shared" si="33"/>
        <v>0</v>
      </c>
      <c r="O151" s="1">
        <f t="shared" si="33"/>
        <v>0</v>
      </c>
      <c r="P151" s="1">
        <f t="shared" si="33"/>
        <v>0</v>
      </c>
      <c r="Q151" s="1">
        <f t="shared" si="33"/>
        <v>0</v>
      </c>
      <c r="R151" s="1">
        <f t="shared" si="33"/>
        <v>0</v>
      </c>
      <c r="S151" s="1">
        <f t="shared" si="33"/>
        <v>0</v>
      </c>
      <c r="T151" s="1">
        <f t="shared" ref="G151:AA165" si="36">IF(T196&gt;0,T16/T196,0)</f>
        <v>0</v>
      </c>
      <c r="U151" s="1">
        <f t="shared" si="36"/>
        <v>0</v>
      </c>
      <c r="V151" s="1">
        <f t="shared" si="36"/>
        <v>0</v>
      </c>
      <c r="W151" s="1">
        <f t="shared" si="36"/>
        <v>0</v>
      </c>
      <c r="X151" s="54">
        <f t="shared" si="36"/>
        <v>0</v>
      </c>
      <c r="Y151" s="58">
        <f t="shared" si="36"/>
        <v>0</v>
      </c>
      <c r="Z151" s="1">
        <f t="shared" si="36"/>
        <v>0</v>
      </c>
      <c r="AA151" s="1">
        <f t="shared" si="36"/>
        <v>0</v>
      </c>
      <c r="AC151" s="15" t="s">
        <v>51</v>
      </c>
      <c r="AD151" s="16" t="s">
        <v>52</v>
      </c>
      <c r="AE151" s="16" t="s">
        <v>55</v>
      </c>
      <c r="AF151" s="2"/>
      <c r="AG151" s="2"/>
      <c r="AH151" s="90" t="str">
        <f t="shared" si="34"/>
        <v/>
      </c>
      <c r="AI151" s="90" t="str">
        <f t="shared" si="34"/>
        <v/>
      </c>
      <c r="AJ151" s="90" t="str">
        <f t="shared" si="34"/>
        <v/>
      </c>
      <c r="AK151" s="90" t="str">
        <f t="shared" si="34"/>
        <v/>
      </c>
      <c r="AL151" s="90" t="str">
        <f t="shared" si="34"/>
        <v/>
      </c>
      <c r="AM151" s="90" t="str">
        <f t="shared" si="34"/>
        <v/>
      </c>
      <c r="AN151" s="90" t="str">
        <f t="shared" si="34"/>
        <v/>
      </c>
      <c r="AO151" s="90" t="str">
        <f t="shared" si="34"/>
        <v/>
      </c>
      <c r="AP151" s="90" t="str">
        <f t="shared" si="34"/>
        <v/>
      </c>
      <c r="AQ151" s="90" t="str">
        <f t="shared" si="34"/>
        <v/>
      </c>
      <c r="AR151" s="90" t="str">
        <f t="shared" si="34"/>
        <v/>
      </c>
      <c r="AS151" s="90" t="str">
        <f t="shared" si="34"/>
        <v/>
      </c>
      <c r="AT151" s="90" t="str">
        <f t="shared" si="34"/>
        <v/>
      </c>
      <c r="AU151" s="90" t="str">
        <f t="shared" si="34"/>
        <v/>
      </c>
      <c r="AV151" s="90" t="str">
        <f t="shared" si="34"/>
        <v/>
      </c>
      <c r="AW151" s="90" t="str">
        <f t="shared" si="34"/>
        <v/>
      </c>
      <c r="AX151" s="90" t="str">
        <f t="shared" si="35"/>
        <v/>
      </c>
      <c r="AY151" s="90" t="str">
        <f t="shared" si="35"/>
        <v/>
      </c>
      <c r="AZ151" s="90" t="str">
        <f t="shared" si="35"/>
        <v/>
      </c>
      <c r="BA151" s="90" t="str">
        <f t="shared" si="35"/>
        <v/>
      </c>
      <c r="BB151" s="90" t="str">
        <f t="shared" si="35"/>
        <v/>
      </c>
      <c r="BC151" s="90" t="str">
        <f t="shared" si="35"/>
        <v/>
      </c>
    </row>
    <row r="152" spans="1:55" x14ac:dyDescent="0.25">
      <c r="A152" s="25" t="s">
        <v>51</v>
      </c>
      <c r="B152" s="26" t="s">
        <v>56</v>
      </c>
      <c r="C152" s="26" t="s">
        <v>57</v>
      </c>
      <c r="D152" s="2"/>
      <c r="E152" s="2"/>
      <c r="F152" s="1">
        <f t="shared" ref="F152:F170" si="37">IF(F197&gt;0,F17/F197,0)</f>
        <v>0</v>
      </c>
      <c r="G152" s="1">
        <f t="shared" si="36"/>
        <v>0</v>
      </c>
      <c r="H152" s="1">
        <f t="shared" si="36"/>
        <v>0</v>
      </c>
      <c r="I152" s="1">
        <f t="shared" si="36"/>
        <v>0</v>
      </c>
      <c r="J152" s="1">
        <f t="shared" si="36"/>
        <v>0</v>
      </c>
      <c r="K152" s="1">
        <f t="shared" si="36"/>
        <v>0</v>
      </c>
      <c r="L152" s="52">
        <f t="shared" si="36"/>
        <v>0</v>
      </c>
      <c r="M152" s="1">
        <f t="shared" si="36"/>
        <v>0</v>
      </c>
      <c r="N152" s="1">
        <f t="shared" si="36"/>
        <v>0</v>
      </c>
      <c r="O152" s="1">
        <f t="shared" si="36"/>
        <v>0</v>
      </c>
      <c r="P152" s="1">
        <f t="shared" si="36"/>
        <v>0</v>
      </c>
      <c r="Q152" s="1">
        <f t="shared" si="36"/>
        <v>0</v>
      </c>
      <c r="R152" s="1">
        <f t="shared" si="36"/>
        <v>0</v>
      </c>
      <c r="S152" s="1">
        <f t="shared" si="36"/>
        <v>0</v>
      </c>
      <c r="T152" s="1">
        <f t="shared" si="36"/>
        <v>0</v>
      </c>
      <c r="U152" s="1">
        <f t="shared" si="36"/>
        <v>0</v>
      </c>
      <c r="V152" s="1">
        <f t="shared" si="36"/>
        <v>0</v>
      </c>
      <c r="W152" s="1">
        <f t="shared" si="36"/>
        <v>0</v>
      </c>
      <c r="X152" s="54">
        <f t="shared" si="36"/>
        <v>0</v>
      </c>
      <c r="Y152" s="58">
        <f t="shared" si="36"/>
        <v>0</v>
      </c>
      <c r="Z152" s="1">
        <f t="shared" si="36"/>
        <v>0</v>
      </c>
      <c r="AA152" s="1">
        <f t="shared" si="36"/>
        <v>0</v>
      </c>
      <c r="AC152" s="25" t="s">
        <v>51</v>
      </c>
      <c r="AD152" s="26" t="s">
        <v>56</v>
      </c>
      <c r="AE152" s="26" t="s">
        <v>57</v>
      </c>
      <c r="AF152" s="2"/>
      <c r="AG152" s="2"/>
      <c r="AH152" s="90" t="str">
        <f t="shared" si="34"/>
        <v/>
      </c>
      <c r="AI152" s="90" t="str">
        <f t="shared" si="34"/>
        <v/>
      </c>
      <c r="AJ152" s="90" t="str">
        <f t="shared" si="34"/>
        <v/>
      </c>
      <c r="AK152" s="90" t="str">
        <f t="shared" si="34"/>
        <v/>
      </c>
      <c r="AL152" s="90" t="str">
        <f t="shared" si="34"/>
        <v/>
      </c>
      <c r="AM152" s="90" t="str">
        <f t="shared" si="34"/>
        <v/>
      </c>
      <c r="AN152" s="90" t="str">
        <f t="shared" si="34"/>
        <v/>
      </c>
      <c r="AO152" s="90" t="str">
        <f t="shared" si="34"/>
        <v/>
      </c>
      <c r="AP152" s="90" t="str">
        <f t="shared" si="34"/>
        <v/>
      </c>
      <c r="AQ152" s="90" t="str">
        <f t="shared" si="34"/>
        <v/>
      </c>
      <c r="AR152" s="90" t="str">
        <f t="shared" si="34"/>
        <v/>
      </c>
      <c r="AS152" s="90" t="str">
        <f t="shared" si="34"/>
        <v/>
      </c>
      <c r="AT152" s="90" t="str">
        <f t="shared" si="34"/>
        <v/>
      </c>
      <c r="AU152" s="90" t="str">
        <f t="shared" si="34"/>
        <v/>
      </c>
      <c r="AV152" s="90" t="str">
        <f t="shared" si="34"/>
        <v/>
      </c>
      <c r="AW152" s="90" t="str">
        <f t="shared" si="34"/>
        <v/>
      </c>
      <c r="AX152" s="90" t="str">
        <f t="shared" si="35"/>
        <v/>
      </c>
      <c r="AY152" s="90" t="str">
        <f t="shared" si="35"/>
        <v/>
      </c>
      <c r="AZ152" s="90" t="str">
        <f t="shared" si="35"/>
        <v/>
      </c>
      <c r="BA152" s="90" t="str">
        <f t="shared" si="35"/>
        <v/>
      </c>
      <c r="BB152" s="90" t="str">
        <f t="shared" si="35"/>
        <v/>
      </c>
      <c r="BC152" s="90" t="str">
        <f t="shared" si="35"/>
        <v/>
      </c>
    </row>
    <row r="153" spans="1:55" x14ac:dyDescent="0.25">
      <c r="A153" s="15" t="s">
        <v>51</v>
      </c>
      <c r="B153" s="16" t="s">
        <v>56</v>
      </c>
      <c r="C153" s="27" t="s">
        <v>58</v>
      </c>
      <c r="D153" s="2"/>
      <c r="E153" s="2"/>
      <c r="F153" s="1">
        <f t="shared" si="37"/>
        <v>0</v>
      </c>
      <c r="G153" s="1">
        <f t="shared" si="36"/>
        <v>0</v>
      </c>
      <c r="H153" s="1">
        <f t="shared" si="36"/>
        <v>0</v>
      </c>
      <c r="I153" s="1">
        <f t="shared" si="36"/>
        <v>0</v>
      </c>
      <c r="J153" s="1">
        <f t="shared" si="36"/>
        <v>0</v>
      </c>
      <c r="K153" s="1">
        <f t="shared" si="36"/>
        <v>0</v>
      </c>
      <c r="L153" s="52">
        <f t="shared" si="36"/>
        <v>0</v>
      </c>
      <c r="M153" s="1">
        <f t="shared" si="36"/>
        <v>0</v>
      </c>
      <c r="N153" s="1">
        <f t="shared" si="36"/>
        <v>0</v>
      </c>
      <c r="O153" s="1">
        <f t="shared" si="36"/>
        <v>0</v>
      </c>
      <c r="P153" s="1">
        <f t="shared" si="36"/>
        <v>0</v>
      </c>
      <c r="Q153" s="1">
        <f t="shared" si="36"/>
        <v>0</v>
      </c>
      <c r="R153" s="1">
        <f t="shared" si="36"/>
        <v>0</v>
      </c>
      <c r="S153" s="1">
        <f t="shared" si="36"/>
        <v>0</v>
      </c>
      <c r="T153" s="1">
        <f t="shared" si="36"/>
        <v>0</v>
      </c>
      <c r="U153" s="1">
        <f t="shared" si="36"/>
        <v>0</v>
      </c>
      <c r="V153" s="1">
        <f t="shared" si="36"/>
        <v>0</v>
      </c>
      <c r="W153" s="1">
        <f t="shared" si="36"/>
        <v>0</v>
      </c>
      <c r="X153" s="54">
        <f t="shared" si="36"/>
        <v>0</v>
      </c>
      <c r="Y153" s="58">
        <f t="shared" si="36"/>
        <v>0</v>
      </c>
      <c r="Z153" s="1">
        <f t="shared" si="36"/>
        <v>0</v>
      </c>
      <c r="AA153" s="1">
        <f t="shared" si="36"/>
        <v>0</v>
      </c>
      <c r="AC153" s="15" t="s">
        <v>51</v>
      </c>
      <c r="AD153" s="16" t="s">
        <v>56</v>
      </c>
      <c r="AE153" s="27" t="s">
        <v>58</v>
      </c>
      <c r="AF153" s="2"/>
      <c r="AG153" s="2"/>
      <c r="AH153" s="90" t="str">
        <f t="shared" si="34"/>
        <v/>
      </c>
      <c r="AI153" s="90" t="str">
        <f t="shared" si="34"/>
        <v/>
      </c>
      <c r="AJ153" s="90" t="str">
        <f t="shared" si="34"/>
        <v/>
      </c>
      <c r="AK153" s="90" t="str">
        <f t="shared" si="34"/>
        <v/>
      </c>
      <c r="AL153" s="90" t="str">
        <f t="shared" si="34"/>
        <v/>
      </c>
      <c r="AM153" s="90" t="str">
        <f t="shared" si="34"/>
        <v/>
      </c>
      <c r="AN153" s="90" t="str">
        <f t="shared" si="34"/>
        <v/>
      </c>
      <c r="AO153" s="90" t="str">
        <f t="shared" si="34"/>
        <v/>
      </c>
      <c r="AP153" s="90" t="str">
        <f t="shared" si="34"/>
        <v/>
      </c>
      <c r="AQ153" s="90" t="str">
        <f t="shared" si="34"/>
        <v/>
      </c>
      <c r="AR153" s="90" t="str">
        <f t="shared" si="34"/>
        <v/>
      </c>
      <c r="AS153" s="90" t="str">
        <f t="shared" si="34"/>
        <v/>
      </c>
      <c r="AT153" s="90" t="str">
        <f t="shared" si="34"/>
        <v/>
      </c>
      <c r="AU153" s="90" t="str">
        <f t="shared" si="34"/>
        <v/>
      </c>
      <c r="AV153" s="90" t="str">
        <f t="shared" si="34"/>
        <v/>
      </c>
      <c r="AW153" s="90" t="str">
        <f t="shared" si="34"/>
        <v/>
      </c>
      <c r="AX153" s="90" t="str">
        <f t="shared" si="35"/>
        <v/>
      </c>
      <c r="AY153" s="90" t="str">
        <f t="shared" si="35"/>
        <v/>
      </c>
      <c r="AZ153" s="90" t="str">
        <f t="shared" si="35"/>
        <v/>
      </c>
      <c r="BA153" s="90" t="str">
        <f t="shared" si="35"/>
        <v/>
      </c>
      <c r="BB153" s="90" t="str">
        <f t="shared" si="35"/>
        <v/>
      </c>
      <c r="BC153" s="90" t="str">
        <f t="shared" si="35"/>
        <v/>
      </c>
    </row>
    <row r="154" spans="1:55" x14ac:dyDescent="0.25">
      <c r="A154" s="15" t="s">
        <v>51</v>
      </c>
      <c r="B154" s="16" t="s">
        <v>9</v>
      </c>
      <c r="C154" s="27" t="s">
        <v>59</v>
      </c>
      <c r="D154" s="2"/>
      <c r="E154" s="2"/>
      <c r="F154" s="1">
        <f t="shared" si="37"/>
        <v>0</v>
      </c>
      <c r="G154" s="1">
        <f t="shared" si="36"/>
        <v>0</v>
      </c>
      <c r="H154" s="1">
        <f t="shared" si="36"/>
        <v>0</v>
      </c>
      <c r="I154" s="1">
        <f t="shared" si="36"/>
        <v>0</v>
      </c>
      <c r="J154" s="1">
        <f t="shared" si="36"/>
        <v>0</v>
      </c>
      <c r="K154" s="1">
        <f t="shared" si="36"/>
        <v>0</v>
      </c>
      <c r="L154" s="52">
        <f t="shared" si="36"/>
        <v>0</v>
      </c>
      <c r="M154" s="1">
        <f t="shared" si="36"/>
        <v>0</v>
      </c>
      <c r="N154" s="1">
        <f t="shared" si="36"/>
        <v>0</v>
      </c>
      <c r="O154" s="1">
        <f t="shared" si="36"/>
        <v>0</v>
      </c>
      <c r="P154" s="1">
        <f t="shared" si="36"/>
        <v>0</v>
      </c>
      <c r="Q154" s="1">
        <f t="shared" si="36"/>
        <v>0</v>
      </c>
      <c r="R154" s="1">
        <f t="shared" si="36"/>
        <v>0</v>
      </c>
      <c r="S154" s="1">
        <f t="shared" si="36"/>
        <v>0</v>
      </c>
      <c r="T154" s="1">
        <f t="shared" si="36"/>
        <v>0</v>
      </c>
      <c r="U154" s="1">
        <f t="shared" si="36"/>
        <v>0</v>
      </c>
      <c r="V154" s="1">
        <f t="shared" si="36"/>
        <v>0</v>
      </c>
      <c r="W154" s="1">
        <f t="shared" si="36"/>
        <v>0</v>
      </c>
      <c r="X154" s="54">
        <f t="shared" si="36"/>
        <v>0</v>
      </c>
      <c r="Y154" s="58">
        <f t="shared" si="36"/>
        <v>0</v>
      </c>
      <c r="Z154" s="1">
        <f t="shared" si="36"/>
        <v>0</v>
      </c>
      <c r="AA154" s="1">
        <f t="shared" si="36"/>
        <v>0</v>
      </c>
      <c r="AC154" s="15" t="s">
        <v>51</v>
      </c>
      <c r="AD154" s="16" t="s">
        <v>9</v>
      </c>
      <c r="AE154" s="27" t="s">
        <v>59</v>
      </c>
      <c r="AF154" s="2"/>
      <c r="AG154" s="2"/>
      <c r="AH154" s="90" t="str">
        <f t="shared" si="34"/>
        <v/>
      </c>
      <c r="AI154" s="90" t="str">
        <f t="shared" si="34"/>
        <v/>
      </c>
      <c r="AJ154" s="90" t="str">
        <f t="shared" si="34"/>
        <v/>
      </c>
      <c r="AK154" s="90" t="str">
        <f t="shared" si="34"/>
        <v/>
      </c>
      <c r="AL154" s="90" t="str">
        <f t="shared" si="34"/>
        <v/>
      </c>
      <c r="AM154" s="90" t="str">
        <f t="shared" si="34"/>
        <v/>
      </c>
      <c r="AN154" s="90" t="str">
        <f t="shared" si="34"/>
        <v/>
      </c>
      <c r="AO154" s="90" t="str">
        <f t="shared" si="34"/>
        <v/>
      </c>
      <c r="AP154" s="90" t="str">
        <f t="shared" si="34"/>
        <v/>
      </c>
      <c r="AQ154" s="90" t="str">
        <f t="shared" si="34"/>
        <v/>
      </c>
      <c r="AR154" s="90" t="str">
        <f t="shared" si="34"/>
        <v/>
      </c>
      <c r="AS154" s="90" t="str">
        <f t="shared" si="34"/>
        <v/>
      </c>
      <c r="AT154" s="90" t="str">
        <f t="shared" si="34"/>
        <v/>
      </c>
      <c r="AU154" s="90" t="str">
        <f t="shared" si="34"/>
        <v/>
      </c>
      <c r="AV154" s="90" t="str">
        <f t="shared" si="34"/>
        <v/>
      </c>
      <c r="AW154" s="90" t="str">
        <f t="shared" si="34"/>
        <v/>
      </c>
      <c r="AX154" s="90" t="str">
        <f t="shared" si="35"/>
        <v/>
      </c>
      <c r="AY154" s="90" t="str">
        <f t="shared" si="35"/>
        <v/>
      </c>
      <c r="AZ154" s="90" t="str">
        <f t="shared" si="35"/>
        <v/>
      </c>
      <c r="BA154" s="90" t="str">
        <f t="shared" si="35"/>
        <v/>
      </c>
      <c r="BB154" s="90" t="str">
        <f t="shared" si="35"/>
        <v/>
      </c>
      <c r="BC154" s="90" t="str">
        <f t="shared" si="35"/>
        <v/>
      </c>
    </row>
    <row r="155" spans="1:55" x14ac:dyDescent="0.25">
      <c r="A155" s="15" t="s">
        <v>51</v>
      </c>
      <c r="B155" s="16" t="s">
        <v>9</v>
      </c>
      <c r="C155" s="27" t="s">
        <v>9</v>
      </c>
      <c r="D155" s="2"/>
      <c r="E155" s="2"/>
      <c r="F155" s="1">
        <f t="shared" si="37"/>
        <v>0</v>
      </c>
      <c r="G155" s="1">
        <f t="shared" si="36"/>
        <v>0</v>
      </c>
      <c r="H155" s="1">
        <f t="shared" si="36"/>
        <v>0</v>
      </c>
      <c r="I155" s="1">
        <f t="shared" si="36"/>
        <v>0</v>
      </c>
      <c r="J155" s="1">
        <f t="shared" si="36"/>
        <v>0</v>
      </c>
      <c r="K155" s="1">
        <f t="shared" si="36"/>
        <v>0</v>
      </c>
      <c r="L155" s="52">
        <f t="shared" si="36"/>
        <v>0</v>
      </c>
      <c r="M155" s="1">
        <f t="shared" si="36"/>
        <v>0</v>
      </c>
      <c r="N155" s="1">
        <f t="shared" si="36"/>
        <v>0</v>
      </c>
      <c r="O155" s="1">
        <f t="shared" si="36"/>
        <v>0</v>
      </c>
      <c r="P155" s="1">
        <f t="shared" si="36"/>
        <v>0</v>
      </c>
      <c r="Q155" s="1">
        <f t="shared" si="36"/>
        <v>0</v>
      </c>
      <c r="R155" s="1">
        <f t="shared" si="36"/>
        <v>0</v>
      </c>
      <c r="S155" s="1">
        <f t="shared" si="36"/>
        <v>0</v>
      </c>
      <c r="T155" s="1">
        <f t="shared" si="36"/>
        <v>0</v>
      </c>
      <c r="U155" s="1">
        <f t="shared" si="36"/>
        <v>0</v>
      </c>
      <c r="V155" s="1">
        <f t="shared" si="36"/>
        <v>0</v>
      </c>
      <c r="W155" s="1">
        <f t="shared" si="36"/>
        <v>0</v>
      </c>
      <c r="X155" s="54">
        <f t="shared" si="36"/>
        <v>0</v>
      </c>
      <c r="Y155" s="58">
        <f t="shared" si="36"/>
        <v>0</v>
      </c>
      <c r="Z155" s="1">
        <f t="shared" si="36"/>
        <v>0</v>
      </c>
      <c r="AA155" s="1">
        <f t="shared" si="36"/>
        <v>0</v>
      </c>
      <c r="AC155" s="15" t="s">
        <v>51</v>
      </c>
      <c r="AD155" s="16" t="s">
        <v>9</v>
      </c>
      <c r="AE155" s="27" t="s">
        <v>9</v>
      </c>
      <c r="AF155" s="2"/>
      <c r="AG155" s="2"/>
      <c r="AH155" s="90" t="str">
        <f t="shared" si="34"/>
        <v/>
      </c>
      <c r="AI155" s="90" t="str">
        <f t="shared" si="34"/>
        <v/>
      </c>
      <c r="AJ155" s="90" t="str">
        <f t="shared" si="34"/>
        <v/>
      </c>
      <c r="AK155" s="90" t="str">
        <f t="shared" si="34"/>
        <v/>
      </c>
      <c r="AL155" s="90" t="str">
        <f t="shared" si="34"/>
        <v/>
      </c>
      <c r="AM155" s="90" t="str">
        <f t="shared" si="34"/>
        <v/>
      </c>
      <c r="AN155" s="90" t="str">
        <f t="shared" si="34"/>
        <v/>
      </c>
      <c r="AO155" s="90" t="str">
        <f t="shared" si="34"/>
        <v/>
      </c>
      <c r="AP155" s="90" t="str">
        <f t="shared" si="34"/>
        <v/>
      </c>
      <c r="AQ155" s="90" t="str">
        <f t="shared" si="34"/>
        <v/>
      </c>
      <c r="AR155" s="90" t="str">
        <f t="shared" si="34"/>
        <v/>
      </c>
      <c r="AS155" s="90" t="str">
        <f t="shared" si="34"/>
        <v/>
      </c>
      <c r="AT155" s="90" t="str">
        <f t="shared" si="34"/>
        <v/>
      </c>
      <c r="AU155" s="90" t="str">
        <f t="shared" si="34"/>
        <v/>
      </c>
      <c r="AV155" s="90" t="str">
        <f t="shared" si="34"/>
        <v/>
      </c>
      <c r="AW155" s="90" t="str">
        <f t="shared" ref="AW155:BC180" si="38">IF(U200&gt;0,U65/U200,"")</f>
        <v/>
      </c>
      <c r="AX155" s="90" t="str">
        <f t="shared" si="35"/>
        <v/>
      </c>
      <c r="AY155" s="90" t="str">
        <f t="shared" si="35"/>
        <v/>
      </c>
      <c r="AZ155" s="90" t="str">
        <f t="shared" si="35"/>
        <v/>
      </c>
      <c r="BA155" s="90" t="str">
        <f t="shared" si="35"/>
        <v/>
      </c>
      <c r="BB155" s="90" t="str">
        <f t="shared" si="35"/>
        <v/>
      </c>
      <c r="BC155" s="90" t="str">
        <f t="shared" si="35"/>
        <v/>
      </c>
    </row>
    <row r="156" spans="1:55" x14ac:dyDescent="0.25">
      <c r="A156" s="28" t="s">
        <v>60</v>
      </c>
      <c r="B156" s="29" t="s">
        <v>13</v>
      </c>
      <c r="C156" s="29" t="s">
        <v>61</v>
      </c>
      <c r="D156" s="2"/>
      <c r="E156" s="2"/>
      <c r="F156" s="51">
        <f t="shared" si="37"/>
        <v>54.888888888888886</v>
      </c>
      <c r="G156" s="51">
        <f t="shared" si="36"/>
        <v>0</v>
      </c>
      <c r="H156" s="51">
        <f t="shared" si="36"/>
        <v>5.2684799999999994</v>
      </c>
      <c r="I156" s="91">
        <v>29</v>
      </c>
      <c r="J156" s="51">
        <f>IF(J201&gt;0,J21/J201,0)</f>
        <v>48.75</v>
      </c>
      <c r="K156" s="91">
        <v>29</v>
      </c>
      <c r="L156" s="52">
        <f t="shared" si="36"/>
        <v>0</v>
      </c>
      <c r="M156" s="64">
        <v>400</v>
      </c>
      <c r="N156" s="51">
        <f t="shared" si="36"/>
        <v>780.64516129032256</v>
      </c>
      <c r="O156" s="51">
        <f t="shared" si="36"/>
        <v>8970</v>
      </c>
      <c r="P156" s="51">
        <f t="shared" si="36"/>
        <v>96969.696969696961</v>
      </c>
      <c r="Q156" s="77">
        <v>940</v>
      </c>
      <c r="R156" s="77">
        <v>426</v>
      </c>
      <c r="S156" s="51">
        <f t="shared" si="36"/>
        <v>0</v>
      </c>
      <c r="T156" s="77">
        <v>426</v>
      </c>
      <c r="U156" s="77">
        <v>426</v>
      </c>
      <c r="V156" s="77">
        <v>426</v>
      </c>
      <c r="W156" s="77">
        <v>426</v>
      </c>
      <c r="X156" s="79">
        <v>426</v>
      </c>
      <c r="Y156" s="59">
        <f t="shared" si="36"/>
        <v>25.959809286898839</v>
      </c>
      <c r="Z156" s="51">
        <f t="shared" si="36"/>
        <v>1541.9156889764629</v>
      </c>
      <c r="AA156" s="51">
        <f t="shared" si="36"/>
        <v>165.44534342229463</v>
      </c>
      <c r="AC156" s="28" t="s">
        <v>60</v>
      </c>
      <c r="AD156" s="29" t="s">
        <v>13</v>
      </c>
      <c r="AE156" s="29" t="s">
        <v>61</v>
      </c>
      <c r="AF156" s="2"/>
      <c r="AG156" s="2"/>
      <c r="AH156" s="1">
        <f t="shared" ref="AH156:AV172" si="39">IF(F201&gt;0,F66/F201,"")</f>
        <v>10.893335555555556</v>
      </c>
      <c r="AI156" s="1" t="str">
        <f t="shared" si="39"/>
        <v/>
      </c>
      <c r="AJ156" s="1">
        <f t="shared" si="39"/>
        <v>1.2672000000000001</v>
      </c>
      <c r="AK156" s="1">
        <f t="shared" si="39"/>
        <v>5.4674441205053448</v>
      </c>
      <c r="AL156" s="1">
        <f t="shared" si="39"/>
        <v>17.5</v>
      </c>
      <c r="AM156" s="1">
        <f t="shared" si="39"/>
        <v>4.2243333333333331</v>
      </c>
      <c r="AN156" s="52" t="str">
        <f t="shared" si="39"/>
        <v/>
      </c>
      <c r="AO156" s="1">
        <f t="shared" si="39"/>
        <v>156.66666666666666</v>
      </c>
      <c r="AP156" s="1">
        <f t="shared" si="39"/>
        <v>203.2258064516129</v>
      </c>
      <c r="AQ156" s="1">
        <f t="shared" si="39"/>
        <v>2000</v>
      </c>
      <c r="AR156" s="1">
        <f t="shared" si="39"/>
        <v>12121.21212121212</v>
      </c>
      <c r="AS156" s="1">
        <f t="shared" si="39"/>
        <v>263.20000000000005</v>
      </c>
      <c r="AT156" s="1">
        <f t="shared" si="39"/>
        <v>127.8</v>
      </c>
      <c r="AU156" s="1" t="str">
        <f t="shared" si="39"/>
        <v/>
      </c>
      <c r="AV156" s="1">
        <f t="shared" si="39"/>
        <v>127.79999999999998</v>
      </c>
      <c r="AW156" s="1">
        <f t="shared" si="38"/>
        <v>127.8</v>
      </c>
      <c r="AX156" s="1">
        <f t="shared" si="38"/>
        <v>511.2</v>
      </c>
      <c r="AY156" s="1">
        <f t="shared" si="38"/>
        <v>340.8</v>
      </c>
      <c r="AZ156" s="1">
        <f t="shared" si="38"/>
        <v>149.1</v>
      </c>
      <c r="BA156" s="1">
        <f t="shared" si="38"/>
        <v>5.8766483105306806</v>
      </c>
      <c r="BB156" s="1">
        <f t="shared" si="38"/>
        <v>300.32634078572721</v>
      </c>
      <c r="BC156" s="1">
        <f t="shared" si="38"/>
        <v>32.969437211033771</v>
      </c>
    </row>
    <row r="157" spans="1:55" x14ac:dyDescent="0.25">
      <c r="A157" s="36" t="s">
        <v>60</v>
      </c>
      <c r="B157" s="37" t="s">
        <v>13</v>
      </c>
      <c r="C157" s="29" t="s">
        <v>62</v>
      </c>
      <c r="D157" s="2"/>
      <c r="E157" s="2"/>
      <c r="F157" s="51">
        <f t="shared" si="37"/>
        <v>48.363636363636367</v>
      </c>
      <c r="G157" s="51">
        <f t="shared" si="36"/>
        <v>23.2</v>
      </c>
      <c r="H157" s="51">
        <f t="shared" si="36"/>
        <v>7.7271039999999998</v>
      </c>
      <c r="I157" s="77">
        <v>20</v>
      </c>
      <c r="J157" s="51">
        <f t="shared" si="36"/>
        <v>0</v>
      </c>
      <c r="K157" s="51">
        <f t="shared" si="36"/>
        <v>0</v>
      </c>
      <c r="L157" s="52">
        <f t="shared" si="36"/>
        <v>0</v>
      </c>
      <c r="M157" s="51">
        <f t="shared" si="36"/>
        <v>0</v>
      </c>
      <c r="N157" s="51">
        <f t="shared" si="36"/>
        <v>0</v>
      </c>
      <c r="O157" s="51">
        <f t="shared" si="36"/>
        <v>0</v>
      </c>
      <c r="P157" s="51">
        <f t="shared" si="36"/>
        <v>62337.662337662339</v>
      </c>
      <c r="Q157" s="51">
        <f t="shared" si="36"/>
        <v>0</v>
      </c>
      <c r="R157" s="51">
        <f t="shared" si="36"/>
        <v>0</v>
      </c>
      <c r="S157" s="51">
        <f t="shared" si="36"/>
        <v>0</v>
      </c>
      <c r="T157" s="51">
        <f t="shared" si="36"/>
        <v>0</v>
      </c>
      <c r="U157" s="51">
        <f t="shared" si="36"/>
        <v>0</v>
      </c>
      <c r="V157" s="51">
        <f t="shared" si="36"/>
        <v>0</v>
      </c>
      <c r="W157" s="51">
        <f t="shared" si="36"/>
        <v>0</v>
      </c>
      <c r="X157" s="55">
        <f t="shared" si="36"/>
        <v>0</v>
      </c>
      <c r="Y157" s="59">
        <f t="shared" si="36"/>
        <v>10.85833676975945</v>
      </c>
      <c r="Z157" s="51">
        <f t="shared" si="36"/>
        <v>62337.662337662339</v>
      </c>
      <c r="AA157" s="51">
        <f t="shared" si="36"/>
        <v>76.75647767998133</v>
      </c>
      <c r="AB157" s="14">
        <f>0.74*55</f>
        <v>40.700000000000003</v>
      </c>
      <c r="AC157" s="36" t="s">
        <v>60</v>
      </c>
      <c r="AD157" s="37" t="s">
        <v>13</v>
      </c>
      <c r="AE157" s="29" t="s">
        <v>62</v>
      </c>
      <c r="AF157" s="2"/>
      <c r="AG157" s="2"/>
      <c r="AH157" s="1">
        <f t="shared" si="39"/>
        <v>9.5515025454545466</v>
      </c>
      <c r="AI157" s="1">
        <f t="shared" si="39"/>
        <v>5.5839755575924226</v>
      </c>
      <c r="AJ157" s="1">
        <f t="shared" si="39"/>
        <v>1.881</v>
      </c>
      <c r="AK157" s="1" t="str">
        <f t="shared" si="39"/>
        <v/>
      </c>
      <c r="AL157" s="1" t="str">
        <f t="shared" si="39"/>
        <v/>
      </c>
      <c r="AM157" s="1" t="str">
        <f t="shared" si="39"/>
        <v/>
      </c>
      <c r="AN157" s="52" t="str">
        <f t="shared" si="39"/>
        <v/>
      </c>
      <c r="AO157" s="1" t="str">
        <f t="shared" si="39"/>
        <v/>
      </c>
      <c r="AP157" s="1" t="str">
        <f t="shared" si="39"/>
        <v/>
      </c>
      <c r="AQ157" s="1" t="str">
        <f t="shared" si="39"/>
        <v/>
      </c>
      <c r="AR157" s="1">
        <f t="shared" si="39"/>
        <v>7792.2077922077924</v>
      </c>
      <c r="AS157" s="1" t="str">
        <f t="shared" si="39"/>
        <v/>
      </c>
      <c r="AT157" s="1" t="str">
        <f t="shared" si="39"/>
        <v/>
      </c>
      <c r="AU157" s="1" t="str">
        <f t="shared" si="39"/>
        <v/>
      </c>
      <c r="AV157" s="1" t="str">
        <f t="shared" si="39"/>
        <v/>
      </c>
      <c r="AW157" s="1" t="str">
        <f t="shared" si="38"/>
        <v/>
      </c>
      <c r="AX157" s="1" t="str">
        <f t="shared" si="38"/>
        <v/>
      </c>
      <c r="AY157" s="1" t="str">
        <f t="shared" si="38"/>
        <v/>
      </c>
      <c r="AZ157" s="1" t="str">
        <f t="shared" si="38"/>
        <v/>
      </c>
      <c r="BA157" s="1">
        <f t="shared" si="38"/>
        <v>2.552700325524992</v>
      </c>
      <c r="BB157" s="1">
        <f t="shared" si="38"/>
        <v>7792.2077922077924</v>
      </c>
      <c r="BC157" s="1">
        <f t="shared" si="38"/>
        <v>10.788704033970138</v>
      </c>
    </row>
    <row r="158" spans="1:55" x14ac:dyDescent="0.25">
      <c r="A158" s="30" t="s">
        <v>60</v>
      </c>
      <c r="B158" s="31" t="s">
        <v>13</v>
      </c>
      <c r="C158" s="32" t="s">
        <v>63</v>
      </c>
      <c r="D158" s="2"/>
      <c r="E158" s="2"/>
      <c r="F158" s="51">
        <f t="shared" si="37"/>
        <v>0</v>
      </c>
      <c r="G158" s="51">
        <f t="shared" si="36"/>
        <v>0</v>
      </c>
      <c r="H158" s="51">
        <f t="shared" si="36"/>
        <v>0</v>
      </c>
      <c r="I158" s="51">
        <f t="shared" si="36"/>
        <v>0</v>
      </c>
      <c r="J158" s="51">
        <f t="shared" si="36"/>
        <v>0</v>
      </c>
      <c r="K158" s="51">
        <f t="shared" si="36"/>
        <v>0</v>
      </c>
      <c r="L158" s="52">
        <f t="shared" si="36"/>
        <v>0</v>
      </c>
      <c r="M158" s="51">
        <f t="shared" si="36"/>
        <v>0</v>
      </c>
      <c r="N158" s="51">
        <f t="shared" si="36"/>
        <v>0</v>
      </c>
      <c r="O158" s="51">
        <f t="shared" si="36"/>
        <v>0</v>
      </c>
      <c r="P158" s="51">
        <f t="shared" si="36"/>
        <v>0</v>
      </c>
      <c r="Q158" s="51">
        <f t="shared" si="36"/>
        <v>0</v>
      </c>
      <c r="R158" s="51">
        <f t="shared" si="36"/>
        <v>0</v>
      </c>
      <c r="S158" s="51">
        <f t="shared" si="36"/>
        <v>0</v>
      </c>
      <c r="T158" s="51">
        <f t="shared" si="36"/>
        <v>0</v>
      </c>
      <c r="U158" s="51">
        <f t="shared" si="36"/>
        <v>0</v>
      </c>
      <c r="V158" s="51">
        <f t="shared" si="36"/>
        <v>0</v>
      </c>
      <c r="W158" s="51">
        <f t="shared" si="36"/>
        <v>0</v>
      </c>
      <c r="X158" s="55">
        <f t="shared" si="36"/>
        <v>0</v>
      </c>
      <c r="Y158" s="59">
        <f t="shared" si="36"/>
        <v>0</v>
      </c>
      <c r="Z158" s="51">
        <f t="shared" si="36"/>
        <v>0</v>
      </c>
      <c r="AA158" s="51">
        <f t="shared" si="36"/>
        <v>0</v>
      </c>
      <c r="AB158" s="14">
        <f>0.75*70</f>
        <v>52.5</v>
      </c>
      <c r="AC158" s="30" t="s">
        <v>60</v>
      </c>
      <c r="AD158" s="31" t="s">
        <v>13</v>
      </c>
      <c r="AE158" s="32" t="s">
        <v>63</v>
      </c>
      <c r="AF158" s="2"/>
      <c r="AG158" s="2"/>
      <c r="AH158" s="1" t="str">
        <f t="shared" si="39"/>
        <v/>
      </c>
      <c r="AI158" s="1" t="str">
        <f t="shared" si="39"/>
        <v/>
      </c>
      <c r="AJ158" s="1" t="str">
        <f t="shared" si="39"/>
        <v/>
      </c>
      <c r="AK158" s="1" t="str">
        <f t="shared" si="39"/>
        <v/>
      </c>
      <c r="AL158" s="1" t="str">
        <f t="shared" si="39"/>
        <v/>
      </c>
      <c r="AM158" s="1" t="str">
        <f t="shared" si="39"/>
        <v/>
      </c>
      <c r="AN158" s="52" t="str">
        <f t="shared" si="39"/>
        <v/>
      </c>
      <c r="AO158" s="1" t="str">
        <f t="shared" si="39"/>
        <v/>
      </c>
      <c r="AP158" s="1" t="str">
        <f t="shared" si="39"/>
        <v/>
      </c>
      <c r="AQ158" s="1" t="str">
        <f t="shared" si="39"/>
        <v/>
      </c>
      <c r="AR158" s="1" t="str">
        <f t="shared" si="39"/>
        <v/>
      </c>
      <c r="AS158" s="1" t="str">
        <f t="shared" si="39"/>
        <v/>
      </c>
      <c r="AT158" s="1" t="str">
        <f t="shared" si="39"/>
        <v/>
      </c>
      <c r="AU158" s="1" t="str">
        <f t="shared" si="39"/>
        <v/>
      </c>
      <c r="AV158" s="1" t="str">
        <f t="shared" si="39"/>
        <v/>
      </c>
      <c r="AW158" s="1" t="str">
        <f t="shared" si="38"/>
        <v/>
      </c>
      <c r="AX158" s="1" t="str">
        <f t="shared" si="38"/>
        <v/>
      </c>
      <c r="AY158" s="1" t="str">
        <f t="shared" si="38"/>
        <v/>
      </c>
      <c r="AZ158" s="1" t="str">
        <f t="shared" si="38"/>
        <v/>
      </c>
      <c r="BA158" s="1" t="str">
        <f t="shared" si="38"/>
        <v/>
      </c>
      <c r="BB158" s="1" t="str">
        <f t="shared" si="38"/>
        <v/>
      </c>
      <c r="BC158" s="1" t="str">
        <f t="shared" si="38"/>
        <v/>
      </c>
    </row>
    <row r="159" spans="1:55" ht="15.75" thickBot="1" x14ac:dyDescent="0.3">
      <c r="A159" s="30" t="s">
        <v>60</v>
      </c>
      <c r="B159" s="32" t="s">
        <v>23</v>
      </c>
      <c r="C159" s="31" t="s">
        <v>50</v>
      </c>
      <c r="D159" s="2"/>
      <c r="E159" s="2"/>
      <c r="F159" s="77">
        <v>40</v>
      </c>
      <c r="G159" s="51">
        <f t="shared" si="36"/>
        <v>0</v>
      </c>
      <c r="H159" s="51">
        <f t="shared" si="36"/>
        <v>0</v>
      </c>
      <c r="I159" s="51">
        <f t="shared" si="36"/>
        <v>0</v>
      </c>
      <c r="J159" s="77">
        <v>45</v>
      </c>
      <c r="K159" s="77">
        <v>2.2000000000000002</v>
      </c>
      <c r="L159" s="52">
        <f t="shared" si="36"/>
        <v>0</v>
      </c>
      <c r="M159" s="51">
        <f t="shared" si="36"/>
        <v>0</v>
      </c>
      <c r="N159" s="53">
        <f t="shared" si="36"/>
        <v>7920</v>
      </c>
      <c r="O159" s="53">
        <f t="shared" si="36"/>
        <v>0</v>
      </c>
      <c r="P159" s="53">
        <f t="shared" si="36"/>
        <v>0</v>
      </c>
      <c r="Q159" s="51">
        <f t="shared" si="36"/>
        <v>0</v>
      </c>
      <c r="R159" s="51">
        <f t="shared" si="36"/>
        <v>0</v>
      </c>
      <c r="S159" s="51">
        <f t="shared" si="36"/>
        <v>0</v>
      </c>
      <c r="T159" s="51">
        <f t="shared" si="36"/>
        <v>0</v>
      </c>
      <c r="U159" s="51">
        <f t="shared" si="36"/>
        <v>0</v>
      </c>
      <c r="V159" s="77">
        <v>426</v>
      </c>
      <c r="W159" s="51">
        <f t="shared" si="36"/>
        <v>0</v>
      </c>
      <c r="X159" s="55">
        <f t="shared" si="36"/>
        <v>0</v>
      </c>
      <c r="Y159" s="59">
        <f t="shared" si="36"/>
        <v>2.3255646964692369</v>
      </c>
      <c r="Z159" s="51">
        <f t="shared" si="36"/>
        <v>7920</v>
      </c>
      <c r="AA159" s="51">
        <f t="shared" si="36"/>
        <v>18.374247573809427</v>
      </c>
      <c r="AC159" s="30" t="s">
        <v>60</v>
      </c>
      <c r="AD159" s="32" t="s">
        <v>23</v>
      </c>
      <c r="AE159" s="31" t="s">
        <v>50</v>
      </c>
      <c r="AF159" s="2"/>
      <c r="AG159" s="2"/>
      <c r="AH159" s="1" t="str">
        <f t="shared" si="39"/>
        <v/>
      </c>
      <c r="AI159" s="1" t="str">
        <f t="shared" si="39"/>
        <v/>
      </c>
      <c r="AJ159" s="1" t="str">
        <f t="shared" si="39"/>
        <v/>
      </c>
      <c r="AK159" s="1" t="str">
        <f t="shared" si="39"/>
        <v/>
      </c>
      <c r="AL159" s="1">
        <f t="shared" si="39"/>
        <v>13.499999999999998</v>
      </c>
      <c r="AM159" s="1">
        <f t="shared" si="39"/>
        <v>0.87694444444444464</v>
      </c>
      <c r="AN159" s="52" t="str">
        <f t="shared" si="39"/>
        <v/>
      </c>
      <c r="AO159" s="1" t="str">
        <f t="shared" si="39"/>
        <v/>
      </c>
      <c r="AP159" s="1">
        <f t="shared" si="39"/>
        <v>2550</v>
      </c>
      <c r="AQ159" s="1" t="str">
        <f t="shared" si="39"/>
        <v/>
      </c>
      <c r="AR159" s="1" t="str">
        <f t="shared" si="39"/>
        <v/>
      </c>
      <c r="AS159" s="1" t="str">
        <f t="shared" si="39"/>
        <v/>
      </c>
      <c r="AT159" s="1" t="str">
        <f t="shared" si="39"/>
        <v/>
      </c>
      <c r="AU159" s="1" t="str">
        <f t="shared" si="39"/>
        <v/>
      </c>
      <c r="AV159" s="1" t="str">
        <f t="shared" si="39"/>
        <v/>
      </c>
      <c r="AW159" s="1" t="str">
        <f t="shared" si="38"/>
        <v/>
      </c>
      <c r="AX159" s="1" t="str">
        <f t="shared" si="38"/>
        <v/>
      </c>
      <c r="AY159" s="1" t="str">
        <f t="shared" si="38"/>
        <v/>
      </c>
      <c r="AZ159" s="1" t="str">
        <f t="shared" si="38"/>
        <v/>
      </c>
      <c r="BA159" s="1">
        <f t="shared" si="38"/>
        <v>0.91397739162546432</v>
      </c>
      <c r="BB159" s="1">
        <f t="shared" si="38"/>
        <v>2550</v>
      </c>
      <c r="BC159" s="1">
        <f t="shared" si="38"/>
        <v>6.0808320707587731</v>
      </c>
    </row>
    <row r="160" spans="1:55" ht="15.75" thickTop="1" x14ac:dyDescent="0.25">
      <c r="A160" s="30" t="s">
        <v>60</v>
      </c>
      <c r="B160" s="32" t="s">
        <v>23</v>
      </c>
      <c r="C160" s="31" t="s">
        <v>49</v>
      </c>
      <c r="D160" s="2"/>
      <c r="E160" s="2"/>
      <c r="F160" s="51">
        <f t="shared" si="37"/>
        <v>0</v>
      </c>
      <c r="G160" s="51">
        <f t="shared" si="36"/>
        <v>0</v>
      </c>
      <c r="H160" s="51">
        <f t="shared" si="36"/>
        <v>0</v>
      </c>
      <c r="I160" s="51">
        <f t="shared" si="36"/>
        <v>0</v>
      </c>
      <c r="J160" s="77">
        <v>40</v>
      </c>
      <c r="K160" s="77">
        <v>40</v>
      </c>
      <c r="L160" s="52">
        <f t="shared" si="36"/>
        <v>0</v>
      </c>
      <c r="M160" s="51">
        <f t="shared" si="36"/>
        <v>0</v>
      </c>
      <c r="N160" s="51">
        <f t="shared" si="36"/>
        <v>0</v>
      </c>
      <c r="O160" s="51">
        <f t="shared" si="36"/>
        <v>0</v>
      </c>
      <c r="P160" s="51">
        <f t="shared" si="36"/>
        <v>0</v>
      </c>
      <c r="Q160" s="51">
        <f t="shared" si="36"/>
        <v>0</v>
      </c>
      <c r="R160" s="51">
        <f t="shared" si="36"/>
        <v>0</v>
      </c>
      <c r="S160" s="77">
        <v>100</v>
      </c>
      <c r="T160" s="77">
        <v>406</v>
      </c>
      <c r="U160" s="51">
        <f t="shared" si="36"/>
        <v>0</v>
      </c>
      <c r="V160" s="77">
        <v>406</v>
      </c>
      <c r="W160" s="51">
        <f t="shared" si="36"/>
        <v>0</v>
      </c>
      <c r="X160" s="77">
        <v>100</v>
      </c>
      <c r="Y160" s="59">
        <f t="shared" si="36"/>
        <v>40</v>
      </c>
      <c r="Z160" s="51">
        <f t="shared" si="36"/>
        <v>225.69143983788817</v>
      </c>
      <c r="AA160" s="51">
        <f t="shared" si="36"/>
        <v>64.884194997899129</v>
      </c>
      <c r="AC160" s="30" t="s">
        <v>60</v>
      </c>
      <c r="AD160" s="32" t="s">
        <v>23</v>
      </c>
      <c r="AE160" s="31" t="s">
        <v>49</v>
      </c>
      <c r="AF160" s="2"/>
      <c r="AG160" s="2"/>
      <c r="AH160" s="1" t="str">
        <f t="shared" si="39"/>
        <v/>
      </c>
      <c r="AI160" s="1" t="str">
        <f t="shared" si="39"/>
        <v/>
      </c>
      <c r="AJ160" s="1" t="str">
        <f t="shared" si="39"/>
        <v/>
      </c>
      <c r="AK160" s="1" t="str">
        <f t="shared" si="39"/>
        <v/>
      </c>
      <c r="AL160" s="1">
        <f t="shared" si="39"/>
        <v>14.117647058823529</v>
      </c>
      <c r="AM160" s="1">
        <f t="shared" si="39"/>
        <v>0</v>
      </c>
      <c r="AN160" s="52" t="str">
        <f t="shared" si="39"/>
        <v/>
      </c>
      <c r="AO160" s="1" t="str">
        <f t="shared" si="39"/>
        <v/>
      </c>
      <c r="AP160" s="1" t="str">
        <f t="shared" si="39"/>
        <v/>
      </c>
      <c r="AQ160" s="1" t="str">
        <f t="shared" si="39"/>
        <v/>
      </c>
      <c r="AR160" s="1" t="str">
        <f t="shared" si="39"/>
        <v/>
      </c>
      <c r="AS160" s="1" t="str">
        <f t="shared" si="39"/>
        <v/>
      </c>
      <c r="AT160" s="1" t="str">
        <f t="shared" si="39"/>
        <v/>
      </c>
      <c r="AU160" s="1">
        <f t="shared" si="39"/>
        <v>53.571428571428569</v>
      </c>
      <c r="AV160" s="1">
        <f t="shared" si="39"/>
        <v>162.4</v>
      </c>
      <c r="AW160" s="1" t="str">
        <f t="shared" si="38"/>
        <v/>
      </c>
      <c r="AX160" s="1" t="str">
        <f t="shared" si="38"/>
        <v/>
      </c>
      <c r="AY160" s="1" t="str">
        <f t="shared" si="38"/>
        <v/>
      </c>
      <c r="AZ160" s="1">
        <f t="shared" si="38"/>
        <v>90</v>
      </c>
      <c r="BA160" s="1">
        <f t="shared" si="38"/>
        <v>12.903225806451612</v>
      </c>
      <c r="BB160" s="1">
        <f t="shared" si="38"/>
        <v>108.39859795169505</v>
      </c>
      <c r="BC160" s="1">
        <f t="shared" si="38"/>
        <v>11.546555941072748</v>
      </c>
    </row>
    <row r="161" spans="1:55" x14ac:dyDescent="0.25">
      <c r="A161" s="30" t="s">
        <v>60</v>
      </c>
      <c r="B161" s="32" t="s">
        <v>23</v>
      </c>
      <c r="C161" s="31" t="s">
        <v>64</v>
      </c>
      <c r="D161" s="2"/>
      <c r="E161" s="2"/>
      <c r="F161" s="51">
        <f t="shared" si="37"/>
        <v>0</v>
      </c>
      <c r="G161" s="51">
        <f t="shared" si="36"/>
        <v>0</v>
      </c>
      <c r="H161" s="51">
        <f t="shared" si="36"/>
        <v>0</v>
      </c>
      <c r="I161" s="51">
        <f t="shared" si="36"/>
        <v>0</v>
      </c>
      <c r="J161" s="51">
        <f t="shared" si="36"/>
        <v>0</v>
      </c>
      <c r="K161" s="51">
        <f t="shared" si="36"/>
        <v>0</v>
      </c>
      <c r="L161" s="52">
        <f t="shared" si="36"/>
        <v>0</v>
      </c>
      <c r="M161" s="51">
        <f t="shared" si="36"/>
        <v>0</v>
      </c>
      <c r="N161" s="51">
        <f t="shared" si="36"/>
        <v>0</v>
      </c>
      <c r="O161" s="51">
        <f t="shared" si="36"/>
        <v>0</v>
      </c>
      <c r="P161" s="51">
        <f t="shared" si="36"/>
        <v>0</v>
      </c>
      <c r="Q161" s="51">
        <f t="shared" si="36"/>
        <v>0</v>
      </c>
      <c r="R161" s="51">
        <f t="shared" si="36"/>
        <v>0</v>
      </c>
      <c r="S161" s="51">
        <f t="shared" si="36"/>
        <v>0</v>
      </c>
      <c r="T161" s="51">
        <f t="shared" si="36"/>
        <v>0</v>
      </c>
      <c r="U161" s="51">
        <f t="shared" si="36"/>
        <v>0</v>
      </c>
      <c r="V161" s="51">
        <f t="shared" si="36"/>
        <v>0</v>
      </c>
      <c r="W161" s="51">
        <f t="shared" si="36"/>
        <v>0</v>
      </c>
      <c r="X161" s="55">
        <f t="shared" si="36"/>
        <v>0</v>
      </c>
      <c r="Y161" s="59">
        <f t="shared" si="36"/>
        <v>0</v>
      </c>
      <c r="Z161" s="51">
        <f t="shared" si="36"/>
        <v>0</v>
      </c>
      <c r="AA161" s="51">
        <f t="shared" si="36"/>
        <v>0</v>
      </c>
      <c r="AC161" s="30" t="s">
        <v>60</v>
      </c>
      <c r="AD161" s="32" t="s">
        <v>23</v>
      </c>
      <c r="AE161" s="31" t="s">
        <v>64</v>
      </c>
      <c r="AF161" s="2"/>
      <c r="AG161" s="2"/>
      <c r="AH161" s="1" t="str">
        <f t="shared" si="39"/>
        <v/>
      </c>
      <c r="AI161" s="1" t="str">
        <f t="shared" si="39"/>
        <v/>
      </c>
      <c r="AJ161" s="1" t="str">
        <f t="shared" si="39"/>
        <v/>
      </c>
      <c r="AK161" s="1" t="str">
        <f t="shared" si="39"/>
        <v/>
      </c>
      <c r="AL161" s="1" t="str">
        <f t="shared" si="39"/>
        <v/>
      </c>
      <c r="AM161" s="1" t="str">
        <f t="shared" si="39"/>
        <v/>
      </c>
      <c r="AN161" s="52" t="str">
        <f t="shared" si="39"/>
        <v/>
      </c>
      <c r="AO161" s="1" t="str">
        <f t="shared" si="39"/>
        <v/>
      </c>
      <c r="AP161" s="1" t="str">
        <f t="shared" si="39"/>
        <v/>
      </c>
      <c r="AQ161" s="1" t="str">
        <f t="shared" si="39"/>
        <v/>
      </c>
      <c r="AR161" s="1" t="str">
        <f t="shared" si="39"/>
        <v/>
      </c>
      <c r="AS161" s="1" t="str">
        <f t="shared" si="39"/>
        <v/>
      </c>
      <c r="AT161" s="1" t="str">
        <f t="shared" si="39"/>
        <v/>
      </c>
      <c r="AU161" s="1" t="str">
        <f t="shared" si="39"/>
        <v/>
      </c>
      <c r="AV161" s="1" t="str">
        <f t="shared" si="39"/>
        <v/>
      </c>
      <c r="AW161" s="1" t="str">
        <f t="shared" si="38"/>
        <v/>
      </c>
      <c r="AX161" s="1" t="str">
        <f t="shared" si="38"/>
        <v/>
      </c>
      <c r="AY161" s="1" t="str">
        <f t="shared" si="38"/>
        <v/>
      </c>
      <c r="AZ161" s="1" t="str">
        <f t="shared" si="38"/>
        <v/>
      </c>
      <c r="BA161" s="1" t="str">
        <f t="shared" si="38"/>
        <v/>
      </c>
      <c r="BB161" s="1" t="str">
        <f t="shared" si="38"/>
        <v/>
      </c>
      <c r="BC161" s="1" t="str">
        <f t="shared" si="38"/>
        <v/>
      </c>
    </row>
    <row r="162" spans="1:55" x14ac:dyDescent="0.25">
      <c r="A162" s="30" t="s">
        <v>60</v>
      </c>
      <c r="B162" s="32" t="s">
        <v>65</v>
      </c>
      <c r="C162" s="31" t="s">
        <v>66</v>
      </c>
      <c r="D162" s="2"/>
      <c r="E162" s="2"/>
      <c r="F162" s="51">
        <f t="shared" si="37"/>
        <v>0</v>
      </c>
      <c r="G162" s="51">
        <f t="shared" si="36"/>
        <v>0</v>
      </c>
      <c r="H162" s="51">
        <f t="shared" si="36"/>
        <v>0</v>
      </c>
      <c r="I162" s="51">
        <f t="shared" si="36"/>
        <v>0</v>
      </c>
      <c r="J162" s="77">
        <v>56</v>
      </c>
      <c r="K162" s="51">
        <f t="shared" si="36"/>
        <v>0</v>
      </c>
      <c r="L162" s="52">
        <f t="shared" si="36"/>
        <v>0</v>
      </c>
      <c r="M162" s="77">
        <f>300</f>
        <v>300</v>
      </c>
      <c r="N162" s="51">
        <f t="shared" si="36"/>
        <v>0</v>
      </c>
      <c r="O162" s="51">
        <f t="shared" si="36"/>
        <v>0</v>
      </c>
      <c r="P162" s="51">
        <f t="shared" si="36"/>
        <v>0</v>
      </c>
      <c r="Q162" s="51">
        <f t="shared" si="36"/>
        <v>0</v>
      </c>
      <c r="R162" s="51">
        <f t="shared" si="36"/>
        <v>0</v>
      </c>
      <c r="S162" s="51">
        <f t="shared" si="36"/>
        <v>0</v>
      </c>
      <c r="T162" s="51">
        <f t="shared" si="36"/>
        <v>0</v>
      </c>
      <c r="U162" s="51">
        <f t="shared" si="36"/>
        <v>0</v>
      </c>
      <c r="V162" s="51">
        <f t="shared" si="36"/>
        <v>0</v>
      </c>
      <c r="W162" s="51">
        <f t="shared" si="36"/>
        <v>0</v>
      </c>
      <c r="X162" s="55">
        <f t="shared" si="36"/>
        <v>0</v>
      </c>
      <c r="Y162" s="59">
        <f t="shared" si="36"/>
        <v>56</v>
      </c>
      <c r="Z162" s="51">
        <f t="shared" si="36"/>
        <v>300</v>
      </c>
      <c r="AA162" s="51">
        <f t="shared" si="36"/>
        <v>93.080054274084119</v>
      </c>
      <c r="AC162" s="30" t="s">
        <v>60</v>
      </c>
      <c r="AD162" s="32" t="s">
        <v>65</v>
      </c>
      <c r="AE162" s="31" t="s">
        <v>66</v>
      </c>
      <c r="AF162" s="2"/>
      <c r="AG162" s="2"/>
      <c r="AH162" s="1" t="str">
        <f t="shared" si="39"/>
        <v/>
      </c>
      <c r="AI162" s="1" t="str">
        <f t="shared" si="39"/>
        <v/>
      </c>
      <c r="AJ162" s="1" t="str">
        <f t="shared" si="39"/>
        <v/>
      </c>
      <c r="AK162" s="1" t="str">
        <f t="shared" si="39"/>
        <v/>
      </c>
      <c r="AL162" s="1">
        <f t="shared" si="39"/>
        <v>6.72</v>
      </c>
      <c r="AM162" s="1" t="str">
        <f t="shared" si="39"/>
        <v/>
      </c>
      <c r="AN162" s="52" t="str">
        <f t="shared" si="39"/>
        <v/>
      </c>
      <c r="AO162" s="1">
        <f t="shared" si="39"/>
        <v>24</v>
      </c>
      <c r="AP162" s="1" t="str">
        <f t="shared" si="39"/>
        <v/>
      </c>
      <c r="AQ162" s="1" t="str">
        <f t="shared" si="39"/>
        <v/>
      </c>
      <c r="AR162" s="1" t="str">
        <f t="shared" si="39"/>
        <v/>
      </c>
      <c r="AS162" s="1" t="str">
        <f t="shared" si="39"/>
        <v/>
      </c>
      <c r="AT162" s="1" t="str">
        <f t="shared" si="39"/>
        <v/>
      </c>
      <c r="AU162" s="1" t="str">
        <f t="shared" si="39"/>
        <v/>
      </c>
      <c r="AV162" s="1" t="str">
        <f t="shared" si="39"/>
        <v/>
      </c>
      <c r="AW162" s="1" t="str">
        <f t="shared" si="38"/>
        <v/>
      </c>
      <c r="AX162" s="1" t="str">
        <f t="shared" si="38"/>
        <v/>
      </c>
      <c r="AY162" s="1" t="str">
        <f t="shared" si="38"/>
        <v/>
      </c>
      <c r="AZ162" s="1" t="str">
        <f t="shared" si="38"/>
        <v/>
      </c>
      <c r="BA162" s="1">
        <f t="shared" si="38"/>
        <v>6.72</v>
      </c>
      <c r="BB162" s="1">
        <f t="shared" si="38"/>
        <v>24</v>
      </c>
      <c r="BC162" s="1">
        <f t="shared" si="38"/>
        <v>9.345997286295793</v>
      </c>
    </row>
    <row r="163" spans="1:55" x14ac:dyDescent="0.25">
      <c r="A163" s="30" t="s">
        <v>60</v>
      </c>
      <c r="B163" s="32" t="s">
        <v>65</v>
      </c>
      <c r="C163" s="31" t="s">
        <v>67</v>
      </c>
      <c r="D163" s="2"/>
      <c r="E163" s="2"/>
      <c r="F163" s="51">
        <f t="shared" si="37"/>
        <v>0</v>
      </c>
      <c r="G163" s="51">
        <f t="shared" si="36"/>
        <v>0</v>
      </c>
      <c r="H163" s="51">
        <f t="shared" si="36"/>
        <v>0</v>
      </c>
      <c r="I163" s="51">
        <f t="shared" si="36"/>
        <v>0</v>
      </c>
      <c r="J163" s="51">
        <f t="shared" si="36"/>
        <v>0</v>
      </c>
      <c r="K163" s="51">
        <f t="shared" si="36"/>
        <v>0</v>
      </c>
      <c r="L163" s="52">
        <f t="shared" si="36"/>
        <v>0</v>
      </c>
      <c r="M163" s="51">
        <f t="shared" si="36"/>
        <v>0</v>
      </c>
      <c r="N163" s="51">
        <f t="shared" si="36"/>
        <v>0</v>
      </c>
      <c r="O163" s="51">
        <f t="shared" si="36"/>
        <v>0</v>
      </c>
      <c r="P163" s="51">
        <f t="shared" si="36"/>
        <v>0</v>
      </c>
      <c r="Q163" s="77">
        <v>940</v>
      </c>
      <c r="R163" s="77">
        <v>426</v>
      </c>
      <c r="S163" s="51">
        <f t="shared" si="36"/>
        <v>0</v>
      </c>
      <c r="T163" s="77">
        <v>426</v>
      </c>
      <c r="U163" s="77">
        <v>426</v>
      </c>
      <c r="V163" s="77">
        <v>426</v>
      </c>
      <c r="W163" s="77">
        <v>426</v>
      </c>
      <c r="X163" s="79">
        <v>426</v>
      </c>
      <c r="Y163" s="59">
        <f t="shared" si="36"/>
        <v>0</v>
      </c>
      <c r="Z163" s="51">
        <f t="shared" si="36"/>
        <v>544.8108520900322</v>
      </c>
      <c r="AA163" s="51">
        <f t="shared" si="36"/>
        <v>544.8108520900322</v>
      </c>
      <c r="AC163" s="30" t="s">
        <v>60</v>
      </c>
      <c r="AD163" s="32" t="s">
        <v>65</v>
      </c>
      <c r="AE163" s="31" t="s">
        <v>67</v>
      </c>
      <c r="AF163" s="2"/>
      <c r="AG163" s="2"/>
      <c r="AH163" s="1" t="str">
        <f t="shared" si="39"/>
        <v/>
      </c>
      <c r="AI163" s="1" t="str">
        <f t="shared" si="39"/>
        <v/>
      </c>
      <c r="AJ163" s="1" t="str">
        <f t="shared" si="39"/>
        <v/>
      </c>
      <c r="AK163" s="1" t="str">
        <f t="shared" si="39"/>
        <v/>
      </c>
      <c r="AL163" s="1" t="str">
        <f t="shared" si="39"/>
        <v/>
      </c>
      <c r="AM163" s="1" t="str">
        <f t="shared" si="39"/>
        <v/>
      </c>
      <c r="AN163" s="52" t="str">
        <f t="shared" si="39"/>
        <v/>
      </c>
      <c r="AO163" s="1" t="str">
        <f t="shared" si="39"/>
        <v/>
      </c>
      <c r="AP163" s="1" t="str">
        <f t="shared" si="39"/>
        <v/>
      </c>
      <c r="AQ163" s="1" t="str">
        <f t="shared" si="39"/>
        <v/>
      </c>
      <c r="AR163" s="1" t="str">
        <f t="shared" si="39"/>
        <v/>
      </c>
      <c r="AS163" s="1">
        <f t="shared" si="39"/>
        <v>84.6</v>
      </c>
      <c r="AT163" s="1">
        <f t="shared" si="39"/>
        <v>42.6</v>
      </c>
      <c r="AU163" s="1" t="str">
        <f t="shared" si="39"/>
        <v/>
      </c>
      <c r="AV163" s="1">
        <f t="shared" si="39"/>
        <v>51.120000000000005</v>
      </c>
      <c r="AW163" s="1">
        <f t="shared" si="38"/>
        <v>42.6</v>
      </c>
      <c r="AX163" s="1">
        <f t="shared" si="38"/>
        <v>63.9</v>
      </c>
      <c r="AY163" s="1">
        <f t="shared" si="38"/>
        <v>42.6</v>
      </c>
      <c r="AZ163" s="1">
        <f t="shared" si="38"/>
        <v>42.6</v>
      </c>
      <c r="BA163" s="1" t="str">
        <f t="shared" si="38"/>
        <v/>
      </c>
      <c r="BB163" s="1">
        <f t="shared" si="38"/>
        <v>54.891504019292611</v>
      </c>
      <c r="BC163" s="1">
        <f t="shared" si="38"/>
        <v>54.891504019292611</v>
      </c>
    </row>
    <row r="164" spans="1:55" x14ac:dyDescent="0.25">
      <c r="A164" s="30" t="s">
        <v>60</v>
      </c>
      <c r="B164" s="32" t="s">
        <v>65</v>
      </c>
      <c r="C164" s="31" t="s">
        <v>68</v>
      </c>
      <c r="D164" s="2"/>
      <c r="E164" s="2"/>
      <c r="F164" s="51">
        <f t="shared" si="37"/>
        <v>0</v>
      </c>
      <c r="G164" s="51">
        <f t="shared" si="36"/>
        <v>0</v>
      </c>
      <c r="H164" s="51">
        <f t="shared" si="36"/>
        <v>0</v>
      </c>
      <c r="I164" s="51">
        <f t="shared" si="36"/>
        <v>0</v>
      </c>
      <c r="J164" s="51">
        <f t="shared" si="36"/>
        <v>0</v>
      </c>
      <c r="K164" s="51">
        <f t="shared" si="36"/>
        <v>0</v>
      </c>
      <c r="L164" s="77">
        <v>750</v>
      </c>
      <c r="M164" s="51">
        <f t="shared" si="36"/>
        <v>0</v>
      </c>
      <c r="N164" s="51">
        <f t="shared" si="36"/>
        <v>0</v>
      </c>
      <c r="O164" s="51">
        <f t="shared" si="36"/>
        <v>0</v>
      </c>
      <c r="P164" s="51">
        <f t="shared" si="36"/>
        <v>0</v>
      </c>
      <c r="Q164" s="51">
        <f t="shared" si="36"/>
        <v>0</v>
      </c>
      <c r="R164" s="51">
        <f t="shared" si="36"/>
        <v>0</v>
      </c>
      <c r="S164" s="51">
        <f t="shared" si="36"/>
        <v>0</v>
      </c>
      <c r="T164" s="51">
        <f t="shared" si="36"/>
        <v>0</v>
      </c>
      <c r="U164" s="51">
        <f t="shared" si="36"/>
        <v>0</v>
      </c>
      <c r="V164" s="51">
        <f t="shared" si="36"/>
        <v>0</v>
      </c>
      <c r="W164" s="51">
        <f t="shared" si="36"/>
        <v>0</v>
      </c>
      <c r="X164" s="55">
        <f t="shared" si="36"/>
        <v>0</v>
      </c>
      <c r="Y164" s="59">
        <f t="shared" si="36"/>
        <v>0</v>
      </c>
      <c r="Z164" s="51">
        <f t="shared" si="36"/>
        <v>0</v>
      </c>
      <c r="AA164" s="51">
        <f t="shared" si="36"/>
        <v>750</v>
      </c>
      <c r="AC164" s="30" t="s">
        <v>60</v>
      </c>
      <c r="AD164" s="32" t="s">
        <v>65</v>
      </c>
      <c r="AE164" s="31" t="s">
        <v>68</v>
      </c>
      <c r="AF164" s="2"/>
      <c r="AG164" s="2"/>
      <c r="AH164" s="1" t="str">
        <f t="shared" si="39"/>
        <v/>
      </c>
      <c r="AI164" s="1" t="str">
        <f t="shared" si="39"/>
        <v/>
      </c>
      <c r="AJ164" s="1" t="str">
        <f t="shared" si="39"/>
        <v/>
      </c>
      <c r="AK164" s="1" t="str">
        <f t="shared" si="39"/>
        <v/>
      </c>
      <c r="AL164" s="1" t="str">
        <f t="shared" si="39"/>
        <v/>
      </c>
      <c r="AM164" s="1" t="str">
        <f t="shared" si="39"/>
        <v/>
      </c>
      <c r="AN164" s="52">
        <f t="shared" si="39"/>
        <v>62.250000000000007</v>
      </c>
      <c r="AO164" s="1" t="str">
        <f t="shared" si="39"/>
        <v/>
      </c>
      <c r="AP164" s="1" t="str">
        <f t="shared" si="39"/>
        <v/>
      </c>
      <c r="AQ164" s="1" t="str">
        <f t="shared" si="39"/>
        <v/>
      </c>
      <c r="AR164" s="1" t="str">
        <f t="shared" si="39"/>
        <v/>
      </c>
      <c r="AS164" s="1" t="str">
        <f t="shared" si="39"/>
        <v/>
      </c>
      <c r="AT164" s="1" t="str">
        <f t="shared" si="39"/>
        <v/>
      </c>
      <c r="AU164" s="1" t="str">
        <f t="shared" si="39"/>
        <v/>
      </c>
      <c r="AV164" s="1" t="str">
        <f t="shared" si="39"/>
        <v/>
      </c>
      <c r="AW164" s="1" t="str">
        <f t="shared" si="38"/>
        <v/>
      </c>
      <c r="AX164" s="1" t="str">
        <f t="shared" si="38"/>
        <v/>
      </c>
      <c r="AY164" s="1" t="str">
        <f t="shared" si="38"/>
        <v/>
      </c>
      <c r="AZ164" s="1" t="str">
        <f t="shared" si="38"/>
        <v/>
      </c>
      <c r="BA164" s="1" t="str">
        <f t="shared" si="38"/>
        <v/>
      </c>
      <c r="BB164" s="1" t="str">
        <f t="shared" si="38"/>
        <v/>
      </c>
      <c r="BC164" s="1">
        <f t="shared" si="38"/>
        <v>62.250000000000007</v>
      </c>
    </row>
    <row r="165" spans="1:55" x14ac:dyDescent="0.25">
      <c r="A165" s="30" t="s">
        <v>60</v>
      </c>
      <c r="B165" s="32" t="s">
        <v>9</v>
      </c>
      <c r="C165" s="31" t="s">
        <v>69</v>
      </c>
      <c r="D165" s="2"/>
      <c r="E165" s="2"/>
      <c r="F165" s="51">
        <f t="shared" si="37"/>
        <v>0</v>
      </c>
      <c r="G165" s="51">
        <f t="shared" si="36"/>
        <v>0</v>
      </c>
      <c r="H165" s="51">
        <f t="shared" si="36"/>
        <v>0</v>
      </c>
      <c r="I165" s="51">
        <f t="shared" si="36"/>
        <v>0</v>
      </c>
      <c r="J165" s="51">
        <f t="shared" si="36"/>
        <v>0</v>
      </c>
      <c r="K165" s="51">
        <f t="shared" si="36"/>
        <v>0</v>
      </c>
      <c r="L165" s="52">
        <f t="shared" ref="G165:AA178" si="40">IF(L210&gt;0,L30/L210,0)</f>
        <v>0</v>
      </c>
      <c r="M165" s="51">
        <f t="shared" si="40"/>
        <v>0</v>
      </c>
      <c r="N165" s="51">
        <f t="shared" si="40"/>
        <v>0</v>
      </c>
      <c r="O165" s="51">
        <f t="shared" si="40"/>
        <v>0</v>
      </c>
      <c r="P165" s="51">
        <f t="shared" si="40"/>
        <v>0</v>
      </c>
      <c r="Q165" s="51">
        <f t="shared" si="40"/>
        <v>0</v>
      </c>
      <c r="R165" s="51">
        <f t="shared" si="40"/>
        <v>0</v>
      </c>
      <c r="S165" s="51">
        <f t="shared" si="40"/>
        <v>0</v>
      </c>
      <c r="T165" s="51">
        <f t="shared" si="40"/>
        <v>0</v>
      </c>
      <c r="U165" s="51">
        <f t="shared" si="40"/>
        <v>0</v>
      </c>
      <c r="V165" s="51">
        <f t="shared" si="40"/>
        <v>0</v>
      </c>
      <c r="W165" s="51">
        <f t="shared" si="40"/>
        <v>0</v>
      </c>
      <c r="X165" s="79">
        <v>426</v>
      </c>
      <c r="Y165" s="59">
        <f t="shared" si="40"/>
        <v>0</v>
      </c>
      <c r="Z165" s="51">
        <f t="shared" si="40"/>
        <v>643.56672000000003</v>
      </c>
      <c r="AA165" s="51">
        <f t="shared" si="40"/>
        <v>643.56672000000003</v>
      </c>
      <c r="AC165" s="30" t="s">
        <v>60</v>
      </c>
      <c r="AD165" s="32" t="s">
        <v>9</v>
      </c>
      <c r="AE165" s="31" t="s">
        <v>69</v>
      </c>
      <c r="AF165" s="2"/>
      <c r="AG165" s="2"/>
      <c r="AH165" s="1" t="str">
        <f t="shared" si="39"/>
        <v/>
      </c>
      <c r="AI165" s="1" t="str">
        <f t="shared" si="39"/>
        <v/>
      </c>
      <c r="AJ165" s="1" t="str">
        <f t="shared" si="39"/>
        <v/>
      </c>
      <c r="AK165" s="1" t="str">
        <f t="shared" si="39"/>
        <v/>
      </c>
      <c r="AL165" s="1" t="str">
        <f t="shared" si="39"/>
        <v/>
      </c>
      <c r="AM165" s="1" t="str">
        <f t="shared" si="39"/>
        <v/>
      </c>
      <c r="AN165" s="52" t="str">
        <f t="shared" si="39"/>
        <v/>
      </c>
      <c r="AO165" s="1" t="str">
        <f t="shared" si="39"/>
        <v/>
      </c>
      <c r="AP165" s="1" t="str">
        <f t="shared" si="39"/>
        <v/>
      </c>
      <c r="AQ165" s="1" t="str">
        <f t="shared" si="39"/>
        <v/>
      </c>
      <c r="AR165" s="1" t="str">
        <f t="shared" si="39"/>
        <v/>
      </c>
      <c r="AS165" s="1" t="str">
        <f t="shared" si="39"/>
        <v/>
      </c>
      <c r="AT165" s="1" t="str">
        <f t="shared" si="39"/>
        <v/>
      </c>
      <c r="AU165" s="1" t="str">
        <f t="shared" si="39"/>
        <v/>
      </c>
      <c r="AV165" s="1" t="str">
        <f t="shared" si="39"/>
        <v/>
      </c>
      <c r="AW165" s="1" t="str">
        <f t="shared" si="38"/>
        <v/>
      </c>
      <c r="AX165" s="1" t="str">
        <f t="shared" si="38"/>
        <v/>
      </c>
      <c r="AY165" s="1" t="str">
        <f t="shared" si="38"/>
        <v/>
      </c>
      <c r="AZ165" s="1">
        <f t="shared" si="38"/>
        <v>178.92000000000002</v>
      </c>
      <c r="BA165" s="1" t="str">
        <f t="shared" si="38"/>
        <v/>
      </c>
      <c r="BB165" s="1">
        <f t="shared" si="38"/>
        <v>396.48671999999999</v>
      </c>
      <c r="BC165" s="1">
        <f t="shared" si="38"/>
        <v>396.48671999999999</v>
      </c>
    </row>
    <row r="166" spans="1:55" x14ac:dyDescent="0.25">
      <c r="A166" s="15" t="s">
        <v>51</v>
      </c>
      <c r="B166" s="16" t="s">
        <v>56</v>
      </c>
      <c r="C166" s="27" t="s">
        <v>57</v>
      </c>
      <c r="D166" s="16" t="s">
        <v>70</v>
      </c>
      <c r="E166" s="16"/>
      <c r="F166" s="1">
        <f t="shared" si="37"/>
        <v>0</v>
      </c>
      <c r="G166" s="1">
        <f t="shared" si="40"/>
        <v>0</v>
      </c>
      <c r="H166" s="1">
        <f t="shared" si="40"/>
        <v>0</v>
      </c>
      <c r="I166" s="1">
        <f t="shared" si="40"/>
        <v>0</v>
      </c>
      <c r="J166" s="1">
        <f t="shared" si="40"/>
        <v>0</v>
      </c>
      <c r="K166" s="1">
        <f t="shared" si="40"/>
        <v>0</v>
      </c>
      <c r="L166" s="52">
        <f t="shared" si="40"/>
        <v>0</v>
      </c>
      <c r="M166" s="1">
        <f t="shared" si="40"/>
        <v>0</v>
      </c>
      <c r="N166" s="1">
        <f t="shared" si="40"/>
        <v>0</v>
      </c>
      <c r="O166" s="1">
        <f t="shared" si="40"/>
        <v>0</v>
      </c>
      <c r="P166" s="1">
        <f t="shared" si="40"/>
        <v>0</v>
      </c>
      <c r="Q166" s="1">
        <f t="shared" si="40"/>
        <v>0</v>
      </c>
      <c r="R166" s="1">
        <f t="shared" si="40"/>
        <v>0</v>
      </c>
      <c r="S166" s="1">
        <f t="shared" si="40"/>
        <v>0</v>
      </c>
      <c r="T166" s="1">
        <f t="shared" si="40"/>
        <v>0</v>
      </c>
      <c r="U166" s="1">
        <f t="shared" si="40"/>
        <v>0</v>
      </c>
      <c r="V166" s="1">
        <f t="shared" si="40"/>
        <v>0</v>
      </c>
      <c r="W166" s="1">
        <f t="shared" si="40"/>
        <v>0</v>
      </c>
      <c r="X166" s="54">
        <f t="shared" si="40"/>
        <v>0</v>
      </c>
      <c r="Y166" s="58">
        <f t="shared" si="40"/>
        <v>0</v>
      </c>
      <c r="Z166" s="1">
        <f t="shared" si="40"/>
        <v>0</v>
      </c>
      <c r="AA166" s="1">
        <f t="shared" si="40"/>
        <v>0</v>
      </c>
      <c r="AC166" s="15" t="s">
        <v>51</v>
      </c>
      <c r="AD166" s="16" t="s">
        <v>56</v>
      </c>
      <c r="AE166" s="27" t="s">
        <v>57</v>
      </c>
      <c r="AF166" s="16" t="s">
        <v>70</v>
      </c>
      <c r="AG166" s="16"/>
      <c r="AH166" s="90" t="str">
        <f t="shared" si="39"/>
        <v/>
      </c>
      <c r="AI166" s="90" t="str">
        <f t="shared" si="39"/>
        <v/>
      </c>
      <c r="AJ166" s="90" t="str">
        <f t="shared" si="39"/>
        <v/>
      </c>
      <c r="AK166" s="90" t="str">
        <f t="shared" si="39"/>
        <v/>
      </c>
      <c r="AL166" s="90" t="str">
        <f t="shared" si="39"/>
        <v/>
      </c>
      <c r="AM166" s="90" t="str">
        <f t="shared" si="39"/>
        <v/>
      </c>
      <c r="AN166" s="90" t="str">
        <f t="shared" si="39"/>
        <v/>
      </c>
      <c r="AO166" s="90" t="str">
        <f t="shared" si="39"/>
        <v/>
      </c>
      <c r="AP166" s="90" t="str">
        <f t="shared" si="39"/>
        <v/>
      </c>
      <c r="AQ166" s="90" t="str">
        <f t="shared" si="39"/>
        <v/>
      </c>
      <c r="AR166" s="90" t="str">
        <f t="shared" si="39"/>
        <v/>
      </c>
      <c r="AS166" s="90" t="str">
        <f t="shared" si="39"/>
        <v/>
      </c>
      <c r="AT166" s="90" t="str">
        <f t="shared" si="39"/>
        <v/>
      </c>
      <c r="AU166" s="90" t="str">
        <f t="shared" si="39"/>
        <v/>
      </c>
      <c r="AV166" s="90" t="str">
        <f t="shared" si="39"/>
        <v/>
      </c>
      <c r="AW166" s="90" t="str">
        <f t="shared" si="38"/>
        <v/>
      </c>
      <c r="AX166" s="90" t="str">
        <f t="shared" si="38"/>
        <v/>
      </c>
      <c r="AY166" s="90" t="str">
        <f t="shared" si="38"/>
        <v/>
      </c>
      <c r="AZ166" s="90" t="str">
        <f t="shared" si="38"/>
        <v/>
      </c>
      <c r="BA166" s="90" t="str">
        <f t="shared" si="38"/>
        <v/>
      </c>
      <c r="BB166" s="90" t="str">
        <f t="shared" si="38"/>
        <v/>
      </c>
      <c r="BC166" s="90" t="str">
        <f t="shared" si="38"/>
        <v/>
      </c>
    </row>
    <row r="167" spans="1:55" x14ac:dyDescent="0.25">
      <c r="A167" s="15" t="s">
        <v>51</v>
      </c>
      <c r="B167" s="16" t="s">
        <v>56</v>
      </c>
      <c r="C167" s="27" t="s">
        <v>57</v>
      </c>
      <c r="D167" s="16" t="s">
        <v>71</v>
      </c>
      <c r="E167" s="16"/>
      <c r="F167" s="1">
        <f t="shared" si="37"/>
        <v>0</v>
      </c>
      <c r="G167" s="1">
        <f t="shared" si="40"/>
        <v>0</v>
      </c>
      <c r="H167" s="1">
        <f t="shared" si="40"/>
        <v>0</v>
      </c>
      <c r="I167" s="1">
        <f t="shared" si="40"/>
        <v>0</v>
      </c>
      <c r="J167" s="1">
        <f t="shared" si="40"/>
        <v>0</v>
      </c>
      <c r="K167" s="1">
        <f t="shared" si="40"/>
        <v>0</v>
      </c>
      <c r="L167" s="52">
        <f t="shared" si="40"/>
        <v>0</v>
      </c>
      <c r="M167" s="1">
        <f t="shared" si="40"/>
        <v>0</v>
      </c>
      <c r="N167" s="1">
        <f t="shared" si="40"/>
        <v>0</v>
      </c>
      <c r="O167" s="1">
        <f t="shared" si="40"/>
        <v>0</v>
      </c>
      <c r="P167" s="1">
        <f t="shared" si="40"/>
        <v>0</v>
      </c>
      <c r="Q167" s="1">
        <f t="shared" si="40"/>
        <v>0</v>
      </c>
      <c r="R167" s="1">
        <f t="shared" si="40"/>
        <v>0</v>
      </c>
      <c r="S167" s="1">
        <f t="shared" si="40"/>
        <v>0</v>
      </c>
      <c r="T167" s="1">
        <f t="shared" si="40"/>
        <v>0</v>
      </c>
      <c r="U167" s="1">
        <f t="shared" si="40"/>
        <v>0</v>
      </c>
      <c r="V167" s="1">
        <f t="shared" si="40"/>
        <v>0</v>
      </c>
      <c r="W167" s="1">
        <f t="shared" si="40"/>
        <v>0</v>
      </c>
      <c r="X167" s="54">
        <f t="shared" si="40"/>
        <v>0</v>
      </c>
      <c r="Y167" s="58">
        <f t="shared" si="40"/>
        <v>0</v>
      </c>
      <c r="Z167" s="1">
        <f t="shared" si="40"/>
        <v>0</v>
      </c>
      <c r="AA167" s="1">
        <f t="shared" si="40"/>
        <v>0</v>
      </c>
      <c r="AC167" s="15" t="s">
        <v>51</v>
      </c>
      <c r="AD167" s="16" t="s">
        <v>56</v>
      </c>
      <c r="AE167" s="27" t="s">
        <v>57</v>
      </c>
      <c r="AF167" s="16" t="s">
        <v>71</v>
      </c>
      <c r="AG167" s="16"/>
      <c r="AH167" s="90" t="str">
        <f t="shared" si="39"/>
        <v/>
      </c>
      <c r="AI167" s="90" t="str">
        <f t="shared" si="39"/>
        <v/>
      </c>
      <c r="AJ167" s="90" t="str">
        <f t="shared" si="39"/>
        <v/>
      </c>
      <c r="AK167" s="90" t="str">
        <f t="shared" si="39"/>
        <v/>
      </c>
      <c r="AL167" s="90" t="str">
        <f t="shared" si="39"/>
        <v/>
      </c>
      <c r="AM167" s="90" t="str">
        <f t="shared" si="39"/>
        <v/>
      </c>
      <c r="AN167" s="90" t="str">
        <f t="shared" si="39"/>
        <v/>
      </c>
      <c r="AO167" s="90" t="str">
        <f t="shared" si="39"/>
        <v/>
      </c>
      <c r="AP167" s="90" t="str">
        <f t="shared" si="39"/>
        <v/>
      </c>
      <c r="AQ167" s="90" t="str">
        <f t="shared" si="39"/>
        <v/>
      </c>
      <c r="AR167" s="90" t="str">
        <f t="shared" si="39"/>
        <v/>
      </c>
      <c r="AS167" s="90" t="str">
        <f t="shared" si="39"/>
        <v/>
      </c>
      <c r="AT167" s="90" t="str">
        <f t="shared" si="39"/>
        <v/>
      </c>
      <c r="AU167" s="90" t="str">
        <f t="shared" si="39"/>
        <v/>
      </c>
      <c r="AV167" s="90" t="str">
        <f t="shared" si="39"/>
        <v/>
      </c>
      <c r="AW167" s="90" t="str">
        <f t="shared" si="38"/>
        <v/>
      </c>
      <c r="AX167" s="90" t="str">
        <f t="shared" si="38"/>
        <v/>
      </c>
      <c r="AY167" s="90" t="str">
        <f t="shared" si="38"/>
        <v/>
      </c>
      <c r="AZ167" s="90" t="str">
        <f t="shared" si="38"/>
        <v/>
      </c>
      <c r="BA167" s="90" t="str">
        <f t="shared" si="38"/>
        <v/>
      </c>
      <c r="BB167" s="90" t="str">
        <f t="shared" si="38"/>
        <v/>
      </c>
      <c r="BC167" s="90" t="str">
        <f t="shared" si="38"/>
        <v/>
      </c>
    </row>
    <row r="168" spans="1:55" x14ac:dyDescent="0.25">
      <c r="A168" s="15" t="s">
        <v>51</v>
      </c>
      <c r="B168" s="16" t="s">
        <v>56</v>
      </c>
      <c r="C168" s="27" t="s">
        <v>27</v>
      </c>
      <c r="D168" s="16" t="s">
        <v>72</v>
      </c>
      <c r="E168" s="16"/>
      <c r="F168" s="1">
        <f t="shared" si="37"/>
        <v>0</v>
      </c>
      <c r="G168" s="1">
        <f t="shared" si="40"/>
        <v>0</v>
      </c>
      <c r="H168" s="1">
        <f t="shared" si="40"/>
        <v>0</v>
      </c>
      <c r="I168" s="1">
        <f t="shared" si="40"/>
        <v>0</v>
      </c>
      <c r="J168" s="1">
        <f t="shared" si="40"/>
        <v>0</v>
      </c>
      <c r="K168" s="1">
        <f t="shared" si="40"/>
        <v>0</v>
      </c>
      <c r="L168" s="52">
        <f t="shared" si="40"/>
        <v>0</v>
      </c>
      <c r="M168" s="1">
        <f t="shared" si="40"/>
        <v>0</v>
      </c>
      <c r="N168" s="1">
        <f t="shared" si="40"/>
        <v>0</v>
      </c>
      <c r="O168" s="1">
        <f t="shared" si="40"/>
        <v>0</v>
      </c>
      <c r="P168" s="1">
        <f t="shared" si="40"/>
        <v>0</v>
      </c>
      <c r="Q168" s="1">
        <f t="shared" si="40"/>
        <v>0</v>
      </c>
      <c r="R168" s="1">
        <f t="shared" si="40"/>
        <v>0</v>
      </c>
      <c r="S168" s="1">
        <f t="shared" si="40"/>
        <v>0</v>
      </c>
      <c r="T168" s="1">
        <f t="shared" si="40"/>
        <v>0</v>
      </c>
      <c r="U168" s="1">
        <f t="shared" si="40"/>
        <v>0</v>
      </c>
      <c r="V168" s="1">
        <f t="shared" si="40"/>
        <v>0</v>
      </c>
      <c r="W168" s="1">
        <f t="shared" si="40"/>
        <v>0</v>
      </c>
      <c r="X168" s="54">
        <f t="shared" si="40"/>
        <v>0</v>
      </c>
      <c r="Y168" s="58">
        <f t="shared" si="40"/>
        <v>0</v>
      </c>
      <c r="Z168" s="1">
        <f t="shared" si="40"/>
        <v>0</v>
      </c>
      <c r="AA168" s="1">
        <f t="shared" si="40"/>
        <v>0</v>
      </c>
      <c r="AC168" s="15" t="s">
        <v>51</v>
      </c>
      <c r="AD168" s="16" t="s">
        <v>56</v>
      </c>
      <c r="AE168" s="27" t="s">
        <v>27</v>
      </c>
      <c r="AF168" s="16" t="s">
        <v>72</v>
      </c>
      <c r="AG168" s="16"/>
      <c r="AH168" s="90" t="str">
        <f t="shared" si="39"/>
        <v/>
      </c>
      <c r="AI168" s="90" t="str">
        <f t="shared" si="39"/>
        <v/>
      </c>
      <c r="AJ168" s="90" t="str">
        <f t="shared" si="39"/>
        <v/>
      </c>
      <c r="AK168" s="90" t="str">
        <f t="shared" si="39"/>
        <v/>
      </c>
      <c r="AL168" s="90" t="str">
        <f t="shared" si="39"/>
        <v/>
      </c>
      <c r="AM168" s="90" t="str">
        <f t="shared" si="39"/>
        <v/>
      </c>
      <c r="AN168" s="90" t="str">
        <f t="shared" si="39"/>
        <v/>
      </c>
      <c r="AO168" s="90" t="str">
        <f t="shared" si="39"/>
        <v/>
      </c>
      <c r="AP168" s="90" t="str">
        <f t="shared" si="39"/>
        <v/>
      </c>
      <c r="AQ168" s="90" t="str">
        <f t="shared" si="39"/>
        <v/>
      </c>
      <c r="AR168" s="90" t="str">
        <f t="shared" si="39"/>
        <v/>
      </c>
      <c r="AS168" s="90" t="str">
        <f t="shared" si="39"/>
        <v/>
      </c>
      <c r="AT168" s="90" t="str">
        <f t="shared" si="39"/>
        <v/>
      </c>
      <c r="AU168" s="90" t="str">
        <f t="shared" si="39"/>
        <v/>
      </c>
      <c r="AV168" s="90" t="str">
        <f t="shared" si="39"/>
        <v/>
      </c>
      <c r="AW168" s="90" t="str">
        <f t="shared" si="38"/>
        <v/>
      </c>
      <c r="AX168" s="90" t="str">
        <f t="shared" si="38"/>
        <v/>
      </c>
      <c r="AY168" s="90" t="str">
        <f t="shared" si="38"/>
        <v/>
      </c>
      <c r="AZ168" s="90" t="str">
        <f t="shared" si="38"/>
        <v/>
      </c>
      <c r="BA168" s="90" t="str">
        <f t="shared" si="38"/>
        <v/>
      </c>
      <c r="BB168" s="90" t="str">
        <f t="shared" si="38"/>
        <v/>
      </c>
      <c r="BC168" s="90" t="str">
        <f t="shared" si="38"/>
        <v/>
      </c>
    </row>
    <row r="169" spans="1:55" x14ac:dyDescent="0.25">
      <c r="A169" s="15" t="s">
        <v>51</v>
      </c>
      <c r="B169" s="16" t="s">
        <v>56</v>
      </c>
      <c r="C169" s="27" t="s">
        <v>57</v>
      </c>
      <c r="D169" s="16" t="s">
        <v>73</v>
      </c>
      <c r="E169" s="16"/>
      <c r="F169" s="1">
        <f t="shared" si="37"/>
        <v>0</v>
      </c>
      <c r="G169" s="1">
        <f t="shared" si="40"/>
        <v>0</v>
      </c>
      <c r="H169" s="1">
        <f t="shared" si="40"/>
        <v>0</v>
      </c>
      <c r="I169" s="1">
        <f t="shared" si="40"/>
        <v>0</v>
      </c>
      <c r="J169" s="1">
        <f t="shared" si="40"/>
        <v>0</v>
      </c>
      <c r="K169" s="1">
        <f t="shared" si="40"/>
        <v>0</v>
      </c>
      <c r="L169" s="52">
        <f t="shared" si="40"/>
        <v>0</v>
      </c>
      <c r="M169" s="1">
        <f t="shared" si="40"/>
        <v>0</v>
      </c>
      <c r="N169" s="1">
        <f t="shared" si="40"/>
        <v>0</v>
      </c>
      <c r="O169" s="1">
        <f t="shared" si="40"/>
        <v>0</v>
      </c>
      <c r="P169" s="1">
        <f t="shared" si="40"/>
        <v>0</v>
      </c>
      <c r="Q169" s="1">
        <f t="shared" si="40"/>
        <v>0</v>
      </c>
      <c r="R169" s="1">
        <f t="shared" si="40"/>
        <v>0</v>
      </c>
      <c r="S169" s="1">
        <f t="shared" si="40"/>
        <v>0</v>
      </c>
      <c r="T169" s="1">
        <f t="shared" si="40"/>
        <v>0</v>
      </c>
      <c r="U169" s="1">
        <f t="shared" si="40"/>
        <v>0</v>
      </c>
      <c r="V169" s="1">
        <f t="shared" si="40"/>
        <v>0</v>
      </c>
      <c r="W169" s="1">
        <f t="shared" si="40"/>
        <v>0</v>
      </c>
      <c r="X169" s="54">
        <f t="shared" si="40"/>
        <v>0</v>
      </c>
      <c r="Y169" s="58">
        <f t="shared" si="40"/>
        <v>0</v>
      </c>
      <c r="Z169" s="1">
        <f t="shared" si="40"/>
        <v>0</v>
      </c>
      <c r="AA169" s="1">
        <f t="shared" si="40"/>
        <v>0</v>
      </c>
      <c r="AC169" s="15" t="s">
        <v>51</v>
      </c>
      <c r="AD169" s="16" t="s">
        <v>56</v>
      </c>
      <c r="AE169" s="27" t="s">
        <v>57</v>
      </c>
      <c r="AF169" s="16" t="s">
        <v>73</v>
      </c>
      <c r="AG169" s="16"/>
      <c r="AH169" s="90" t="str">
        <f t="shared" si="39"/>
        <v/>
      </c>
      <c r="AI169" s="90" t="str">
        <f t="shared" si="39"/>
        <v/>
      </c>
      <c r="AJ169" s="90" t="str">
        <f t="shared" si="39"/>
        <v/>
      </c>
      <c r="AK169" s="90" t="str">
        <f t="shared" si="39"/>
        <v/>
      </c>
      <c r="AL169" s="90" t="str">
        <f t="shared" si="39"/>
        <v/>
      </c>
      <c r="AM169" s="90" t="str">
        <f t="shared" si="39"/>
        <v/>
      </c>
      <c r="AN169" s="90" t="str">
        <f t="shared" si="39"/>
        <v/>
      </c>
      <c r="AO169" s="90" t="str">
        <f t="shared" si="39"/>
        <v/>
      </c>
      <c r="AP169" s="90" t="str">
        <f t="shared" si="39"/>
        <v/>
      </c>
      <c r="AQ169" s="90" t="str">
        <f t="shared" si="39"/>
        <v/>
      </c>
      <c r="AR169" s="90" t="str">
        <f t="shared" si="39"/>
        <v/>
      </c>
      <c r="AS169" s="90" t="str">
        <f t="shared" si="39"/>
        <v/>
      </c>
      <c r="AT169" s="90" t="str">
        <f t="shared" si="39"/>
        <v/>
      </c>
      <c r="AU169" s="90" t="str">
        <f t="shared" si="39"/>
        <v/>
      </c>
      <c r="AV169" s="90" t="str">
        <f t="shared" si="39"/>
        <v/>
      </c>
      <c r="AW169" s="90" t="str">
        <f t="shared" si="38"/>
        <v/>
      </c>
      <c r="AX169" s="90" t="str">
        <f t="shared" si="38"/>
        <v/>
      </c>
      <c r="AY169" s="90" t="str">
        <f t="shared" si="38"/>
        <v/>
      </c>
      <c r="AZ169" s="90" t="str">
        <f t="shared" si="38"/>
        <v/>
      </c>
      <c r="BA169" s="90" t="str">
        <f t="shared" si="38"/>
        <v/>
      </c>
      <c r="BB169" s="90" t="str">
        <f t="shared" si="38"/>
        <v/>
      </c>
      <c r="BC169" s="90" t="str">
        <f t="shared" si="38"/>
        <v/>
      </c>
    </row>
    <row r="170" spans="1:55" x14ac:dyDescent="0.25">
      <c r="A170" s="15" t="s">
        <v>51</v>
      </c>
      <c r="B170" s="16" t="s">
        <v>56</v>
      </c>
      <c r="C170" s="27" t="s">
        <v>57</v>
      </c>
      <c r="D170" s="16" t="s">
        <v>74</v>
      </c>
      <c r="E170" s="16"/>
      <c r="F170" s="1">
        <f t="shared" si="37"/>
        <v>0</v>
      </c>
      <c r="G170" s="1">
        <f t="shared" si="40"/>
        <v>0</v>
      </c>
      <c r="H170" s="1">
        <f t="shared" si="40"/>
        <v>0</v>
      </c>
      <c r="I170" s="1">
        <f t="shared" si="40"/>
        <v>0</v>
      </c>
      <c r="J170" s="1">
        <f t="shared" si="40"/>
        <v>0</v>
      </c>
      <c r="K170" s="1">
        <f t="shared" si="40"/>
        <v>0</v>
      </c>
      <c r="L170" s="52">
        <f t="shared" si="40"/>
        <v>0</v>
      </c>
      <c r="M170" s="1">
        <f t="shared" si="40"/>
        <v>0</v>
      </c>
      <c r="N170" s="1">
        <f t="shared" si="40"/>
        <v>0</v>
      </c>
      <c r="O170" s="1">
        <f t="shared" si="40"/>
        <v>0</v>
      </c>
      <c r="P170" s="1">
        <f t="shared" si="40"/>
        <v>0</v>
      </c>
      <c r="Q170" s="1">
        <f t="shared" si="40"/>
        <v>0</v>
      </c>
      <c r="R170" s="1">
        <f t="shared" si="40"/>
        <v>0</v>
      </c>
      <c r="S170" s="1">
        <f t="shared" si="40"/>
        <v>0</v>
      </c>
      <c r="T170" s="1">
        <f t="shared" si="40"/>
        <v>0</v>
      </c>
      <c r="U170" s="1">
        <f t="shared" si="40"/>
        <v>0</v>
      </c>
      <c r="V170" s="1">
        <f t="shared" si="40"/>
        <v>0</v>
      </c>
      <c r="W170" s="1">
        <f t="shared" si="40"/>
        <v>0</v>
      </c>
      <c r="X170" s="54">
        <f t="shared" si="40"/>
        <v>0</v>
      </c>
      <c r="Y170" s="58">
        <f t="shared" si="40"/>
        <v>0</v>
      </c>
      <c r="Z170" s="1">
        <f t="shared" si="40"/>
        <v>0</v>
      </c>
      <c r="AA170" s="1">
        <f t="shared" si="40"/>
        <v>0</v>
      </c>
      <c r="AC170" s="15" t="s">
        <v>51</v>
      </c>
      <c r="AD170" s="16" t="s">
        <v>56</v>
      </c>
      <c r="AE170" s="27" t="s">
        <v>57</v>
      </c>
      <c r="AF170" s="16" t="s">
        <v>74</v>
      </c>
      <c r="AG170" s="16"/>
      <c r="AH170" s="90" t="str">
        <f t="shared" si="39"/>
        <v/>
      </c>
      <c r="AI170" s="90" t="str">
        <f t="shared" si="39"/>
        <v/>
      </c>
      <c r="AJ170" s="90" t="str">
        <f t="shared" si="39"/>
        <v/>
      </c>
      <c r="AK170" s="90" t="str">
        <f t="shared" si="39"/>
        <v/>
      </c>
      <c r="AL170" s="90" t="str">
        <f t="shared" si="39"/>
        <v/>
      </c>
      <c r="AM170" s="90" t="str">
        <f t="shared" si="39"/>
        <v/>
      </c>
      <c r="AN170" s="90" t="str">
        <f t="shared" si="39"/>
        <v/>
      </c>
      <c r="AO170" s="90" t="str">
        <f t="shared" si="39"/>
        <v/>
      </c>
      <c r="AP170" s="90" t="str">
        <f t="shared" si="39"/>
        <v/>
      </c>
      <c r="AQ170" s="90" t="str">
        <f t="shared" si="39"/>
        <v/>
      </c>
      <c r="AR170" s="90" t="str">
        <f t="shared" si="39"/>
        <v/>
      </c>
      <c r="AS170" s="90" t="str">
        <f t="shared" si="39"/>
        <v/>
      </c>
      <c r="AT170" s="90" t="str">
        <f t="shared" si="39"/>
        <v/>
      </c>
      <c r="AU170" s="90" t="str">
        <f t="shared" si="39"/>
        <v/>
      </c>
      <c r="AV170" s="90" t="str">
        <f t="shared" si="39"/>
        <v/>
      </c>
      <c r="AW170" s="90" t="str">
        <f t="shared" si="38"/>
        <v/>
      </c>
      <c r="AX170" s="90" t="str">
        <f t="shared" si="38"/>
        <v/>
      </c>
      <c r="AY170" s="90" t="str">
        <f t="shared" si="38"/>
        <v/>
      </c>
      <c r="AZ170" s="90" t="str">
        <f t="shared" si="38"/>
        <v/>
      </c>
      <c r="BA170" s="90" t="str">
        <f t="shared" si="38"/>
        <v/>
      </c>
      <c r="BB170" s="90" t="str">
        <f t="shared" si="38"/>
        <v/>
      </c>
      <c r="BC170" s="90" t="str">
        <f t="shared" si="38"/>
        <v/>
      </c>
    </row>
    <row r="171" spans="1:55" x14ac:dyDescent="0.25">
      <c r="A171" s="30" t="s">
        <v>60</v>
      </c>
      <c r="B171" s="31" t="s">
        <v>13</v>
      </c>
      <c r="C171" s="32" t="s">
        <v>61</v>
      </c>
      <c r="D171" s="31" t="s">
        <v>75</v>
      </c>
      <c r="E171" s="31"/>
      <c r="F171" s="51">
        <f>F156*0.9</f>
        <v>49.4</v>
      </c>
      <c r="G171" s="73"/>
      <c r="H171" s="51">
        <f>H156</f>
        <v>5.2684799999999994</v>
      </c>
      <c r="I171" s="51">
        <f>I156*0.9</f>
        <v>26.1</v>
      </c>
      <c r="J171" s="51">
        <f>J156*0.3</f>
        <v>14.625</v>
      </c>
      <c r="K171" s="51">
        <f>K156*0.8</f>
        <v>23.200000000000003</v>
      </c>
      <c r="L171" s="52">
        <v>0</v>
      </c>
      <c r="M171" s="73">
        <f>M156*0.1</f>
        <v>40</v>
      </c>
      <c r="N171" s="73">
        <v>0</v>
      </c>
      <c r="O171" s="73">
        <v>0</v>
      </c>
      <c r="P171" s="73">
        <v>0</v>
      </c>
      <c r="Q171" s="73"/>
      <c r="R171" s="73"/>
      <c r="S171" s="51"/>
      <c r="T171" s="51"/>
      <c r="U171" s="51"/>
      <c r="V171" s="51"/>
      <c r="W171" s="51">
        <f>W156</f>
        <v>426</v>
      </c>
      <c r="X171" s="55">
        <f>X201*0.1</f>
        <v>2.0120724346076462</v>
      </c>
      <c r="Y171" s="59">
        <f t="shared" si="40"/>
        <v>23.054994694927863</v>
      </c>
      <c r="Z171" s="51">
        <f t="shared" si="40"/>
        <v>157.562832624583</v>
      </c>
      <c r="AA171" s="51">
        <f t="shared" si="40"/>
        <v>24.603184564558465</v>
      </c>
      <c r="AC171" s="30" t="s">
        <v>60</v>
      </c>
      <c r="AD171" s="31" t="s">
        <v>13</v>
      </c>
      <c r="AE171" s="32" t="s">
        <v>61</v>
      </c>
      <c r="AF171" s="31" t="s">
        <v>75</v>
      </c>
      <c r="AG171" s="31"/>
      <c r="AH171" s="1">
        <f t="shared" si="39"/>
        <v>10.893335555555556</v>
      </c>
      <c r="AI171" s="1" t="str">
        <f t="shared" si="39"/>
        <v/>
      </c>
      <c r="AJ171" s="1">
        <f t="shared" si="39"/>
        <v>1.2672000000000001</v>
      </c>
      <c r="AK171" s="1">
        <f t="shared" si="39"/>
        <v>5.4674441205053439</v>
      </c>
      <c r="AL171" s="1">
        <f t="shared" si="39"/>
        <v>17.5</v>
      </c>
      <c r="AM171" s="1">
        <f t="shared" si="39"/>
        <v>4.2243333333333339</v>
      </c>
      <c r="AN171" s="52" t="str">
        <f t="shared" si="39"/>
        <v/>
      </c>
      <c r="AO171" s="1">
        <f t="shared" si="39"/>
        <v>156.66666666666666</v>
      </c>
      <c r="AP171" s="1" t="str">
        <f t="shared" si="39"/>
        <v/>
      </c>
      <c r="AQ171" s="1" t="str">
        <f t="shared" si="39"/>
        <v/>
      </c>
      <c r="AR171" s="1" t="str">
        <f t="shared" si="39"/>
        <v/>
      </c>
      <c r="AS171" s="1" t="str">
        <f t="shared" si="39"/>
        <v/>
      </c>
      <c r="AT171" s="1" t="str">
        <f t="shared" si="39"/>
        <v/>
      </c>
      <c r="AU171" s="1" t="str">
        <f t="shared" si="39"/>
        <v/>
      </c>
      <c r="AV171" s="1" t="str">
        <f t="shared" si="39"/>
        <v/>
      </c>
      <c r="AW171" s="1" t="str">
        <f t="shared" si="38"/>
        <v/>
      </c>
      <c r="AX171" s="1" t="str">
        <f t="shared" si="38"/>
        <v/>
      </c>
      <c r="AY171" s="1">
        <f t="shared" si="38"/>
        <v>340.8</v>
      </c>
      <c r="AZ171" s="1">
        <f t="shared" si="38"/>
        <v>7.349999999999998E-3</v>
      </c>
      <c r="BA171" s="1">
        <f t="shared" si="38"/>
        <v>4.7164923850872587</v>
      </c>
      <c r="BB171" s="1">
        <f t="shared" si="38"/>
        <v>52.399703088793252</v>
      </c>
      <c r="BC171" s="1">
        <f t="shared" si="38"/>
        <v>5.2653277905120843</v>
      </c>
    </row>
    <row r="172" spans="1:55" x14ac:dyDescent="0.25">
      <c r="A172" s="30" t="s">
        <v>60</v>
      </c>
      <c r="B172" s="31" t="s">
        <v>13</v>
      </c>
      <c r="C172" s="32" t="s">
        <v>61</v>
      </c>
      <c r="D172" s="31" t="s">
        <v>76</v>
      </c>
      <c r="E172" s="31"/>
      <c r="F172" s="51">
        <f>F156*0.1</f>
        <v>5.4888888888888889</v>
      </c>
      <c r="G172" s="51">
        <v>0</v>
      </c>
      <c r="H172" s="51">
        <v>0</v>
      </c>
      <c r="I172" s="51">
        <f>I156*0.05</f>
        <v>1.4500000000000002</v>
      </c>
      <c r="J172" s="51">
        <f>J156*0.7</f>
        <v>34.125</v>
      </c>
      <c r="K172" s="51">
        <f>K156*0.05</f>
        <v>1.4500000000000002</v>
      </c>
      <c r="L172" s="52">
        <v>0</v>
      </c>
      <c r="M172" s="73">
        <f>M156*0.5</f>
        <v>200</v>
      </c>
      <c r="N172" s="73">
        <f>N156</f>
        <v>780.64516129032256</v>
      </c>
      <c r="O172" s="73">
        <f>O156*0.5</f>
        <v>4485</v>
      </c>
      <c r="P172" s="73">
        <f>P156*0.49</f>
        <v>47515.151515151512</v>
      </c>
      <c r="Q172" s="73"/>
      <c r="R172" s="73">
        <f>R156</f>
        <v>426</v>
      </c>
      <c r="S172" s="51"/>
      <c r="T172" s="51"/>
      <c r="U172" s="51"/>
      <c r="V172" s="51"/>
      <c r="W172" s="51"/>
      <c r="X172" s="55">
        <f>X201*0.1</f>
        <v>2.0120724346076462</v>
      </c>
      <c r="Y172" s="59">
        <f t="shared" si="40"/>
        <v>46.329078900392723</v>
      </c>
      <c r="Z172" s="51">
        <f t="shared" si="40"/>
        <v>1690.0442815836677</v>
      </c>
      <c r="AA172" s="51">
        <f t="shared" si="40"/>
        <v>473.01162505987355</v>
      </c>
      <c r="AC172" s="30" t="s">
        <v>60</v>
      </c>
      <c r="AD172" s="31" t="s">
        <v>13</v>
      </c>
      <c r="AE172" s="32" t="s">
        <v>61</v>
      </c>
      <c r="AF172" s="31" t="s">
        <v>76</v>
      </c>
      <c r="AG172" s="31"/>
      <c r="AH172" s="1">
        <f t="shared" si="39"/>
        <v>10.893335555555558</v>
      </c>
      <c r="AI172" s="1" t="str">
        <f t="shared" si="39"/>
        <v/>
      </c>
      <c r="AJ172" s="1" t="str">
        <f t="shared" si="39"/>
        <v/>
      </c>
      <c r="AK172" s="1">
        <f t="shared" si="39"/>
        <v>5.4674441205053448</v>
      </c>
      <c r="AL172" s="1">
        <f t="shared" si="39"/>
        <v>17.499999999999996</v>
      </c>
      <c r="AM172" s="1">
        <f t="shared" si="39"/>
        <v>4.2243333333333339</v>
      </c>
      <c r="AN172" s="52" t="str">
        <f t="shared" si="39"/>
        <v/>
      </c>
      <c r="AO172" s="1">
        <f t="shared" si="39"/>
        <v>156.66666666666666</v>
      </c>
      <c r="AP172" s="1">
        <f t="shared" si="39"/>
        <v>203.2258064516129</v>
      </c>
      <c r="AQ172" s="1">
        <f t="shared" si="39"/>
        <v>2000</v>
      </c>
      <c r="AR172" s="1">
        <f t="shared" si="39"/>
        <v>12121.21212121212</v>
      </c>
      <c r="AS172" s="1" t="str">
        <f t="shared" si="39"/>
        <v/>
      </c>
      <c r="AT172" s="1">
        <f t="shared" si="39"/>
        <v>127.8</v>
      </c>
      <c r="AU172" s="1" t="str">
        <f t="shared" si="39"/>
        <v/>
      </c>
      <c r="AV172" s="1" t="str">
        <f t="shared" si="39"/>
        <v/>
      </c>
      <c r="AW172" s="1" t="str">
        <f t="shared" si="38"/>
        <v/>
      </c>
      <c r="AX172" s="1" t="str">
        <f t="shared" si="38"/>
        <v/>
      </c>
      <c r="AY172" s="1" t="str">
        <f t="shared" si="38"/>
        <v/>
      </c>
      <c r="AZ172" s="1">
        <f t="shared" si="38"/>
        <v>7.349999999999998E-3</v>
      </c>
      <c r="BA172" s="1">
        <f t="shared" si="38"/>
        <v>14.736705899678686</v>
      </c>
      <c r="BB172" s="1">
        <f t="shared" si="38"/>
        <v>296.23692502540138</v>
      </c>
      <c r="BC172" s="1">
        <f t="shared" si="38"/>
        <v>87.809723685813495</v>
      </c>
    </row>
    <row r="173" spans="1:55" x14ac:dyDescent="0.25">
      <c r="A173" s="30" t="s">
        <v>60</v>
      </c>
      <c r="B173" s="31" t="s">
        <v>13</v>
      </c>
      <c r="C173" s="32" t="s">
        <v>61</v>
      </c>
      <c r="D173" s="31" t="s">
        <v>77</v>
      </c>
      <c r="E173" s="31"/>
      <c r="F173" s="51">
        <v>0</v>
      </c>
      <c r="G173" s="51">
        <v>0</v>
      </c>
      <c r="H173" s="51">
        <v>0</v>
      </c>
      <c r="I173" s="51">
        <v>0</v>
      </c>
      <c r="J173" s="51">
        <v>0</v>
      </c>
      <c r="K173" s="51">
        <f>K156*0.1</f>
        <v>2.9000000000000004</v>
      </c>
      <c r="L173" s="52">
        <v>0</v>
      </c>
      <c r="M173" s="73">
        <f>M156*0.4</f>
        <v>160</v>
      </c>
      <c r="N173" s="73">
        <v>0</v>
      </c>
      <c r="O173" s="73">
        <f>O156*0.5</f>
        <v>4485</v>
      </c>
      <c r="P173" s="73">
        <f>P156*0.5</f>
        <v>48484.84848484848</v>
      </c>
      <c r="Q173" s="73"/>
      <c r="R173" s="73"/>
      <c r="S173" s="51"/>
      <c r="T173" s="51">
        <f>T156</f>
        <v>426</v>
      </c>
      <c r="U173" s="51">
        <f>U156</f>
        <v>426</v>
      </c>
      <c r="V173" s="51"/>
      <c r="W173" s="51"/>
      <c r="X173" s="55">
        <f>X201*0.7</f>
        <v>14.084507042253522</v>
      </c>
      <c r="Y173" s="59">
        <f t="shared" si="40"/>
        <v>29</v>
      </c>
      <c r="Z173" s="51">
        <f t="shared" si="40"/>
        <v>892.30202704931651</v>
      </c>
      <c r="AA173" s="51">
        <f t="shared" si="40"/>
        <v>745.00422539405758</v>
      </c>
      <c r="AC173" s="30" t="s">
        <v>60</v>
      </c>
      <c r="AD173" s="31" t="s">
        <v>13</v>
      </c>
      <c r="AE173" s="32" t="s">
        <v>61</v>
      </c>
      <c r="AF173" s="31" t="s">
        <v>77</v>
      </c>
      <c r="AG173" s="31"/>
      <c r="AH173" s="1" t="str">
        <f t="shared" ref="AH173:AV180" si="41">IF(F218&gt;0,F83/F218,"")</f>
        <v/>
      </c>
      <c r="AI173" s="1" t="str">
        <f t="shared" si="41"/>
        <v/>
      </c>
      <c r="AJ173" s="1" t="str">
        <f t="shared" si="41"/>
        <v/>
      </c>
      <c r="AK173" s="1" t="str">
        <f t="shared" si="41"/>
        <v/>
      </c>
      <c r="AL173" s="1" t="str">
        <f t="shared" si="41"/>
        <v/>
      </c>
      <c r="AM173" s="1">
        <f t="shared" si="41"/>
        <v>4.2243333333333339</v>
      </c>
      <c r="AN173" s="52" t="str">
        <f t="shared" si="41"/>
        <v/>
      </c>
      <c r="AO173" s="1">
        <f t="shared" si="41"/>
        <v>156.66666666666666</v>
      </c>
      <c r="AP173" s="1" t="str">
        <f t="shared" si="41"/>
        <v/>
      </c>
      <c r="AQ173" s="1">
        <f t="shared" si="41"/>
        <v>2000</v>
      </c>
      <c r="AR173" s="1">
        <f t="shared" si="41"/>
        <v>12121.21212121212</v>
      </c>
      <c r="AS173" s="1" t="str">
        <f t="shared" si="41"/>
        <v/>
      </c>
      <c r="AT173" s="1" t="str">
        <f t="shared" si="41"/>
        <v/>
      </c>
      <c r="AU173" s="1" t="str">
        <f t="shared" si="41"/>
        <v/>
      </c>
      <c r="AV173" s="1">
        <f t="shared" si="41"/>
        <v>127.79999999999998</v>
      </c>
      <c r="AW173" s="1">
        <f t="shared" si="38"/>
        <v>127.8</v>
      </c>
      <c r="AX173" s="1" t="str">
        <f t="shared" si="38"/>
        <v/>
      </c>
      <c r="AY173" s="1" t="str">
        <f t="shared" si="38"/>
        <v/>
      </c>
      <c r="AZ173" s="1">
        <f t="shared" si="38"/>
        <v>7.3499999999999989E-3</v>
      </c>
      <c r="BA173" s="1">
        <f t="shared" si="38"/>
        <v>4.2243333333333339</v>
      </c>
      <c r="BB173" s="1">
        <f t="shared" si="38"/>
        <v>141.99417768720812</v>
      </c>
      <c r="BC173" s="1">
        <f t="shared" si="38"/>
        <v>118.48769377789408</v>
      </c>
    </row>
    <row r="174" spans="1:55" x14ac:dyDescent="0.25">
      <c r="A174" s="30" t="s">
        <v>60</v>
      </c>
      <c r="B174" s="31" t="s">
        <v>13</v>
      </c>
      <c r="C174" s="32" t="s">
        <v>61</v>
      </c>
      <c r="D174" s="31" t="s">
        <v>78</v>
      </c>
      <c r="E174" s="31"/>
      <c r="F174" s="51">
        <v>0</v>
      </c>
      <c r="G174" s="51">
        <v>0</v>
      </c>
      <c r="H174" s="51">
        <v>0</v>
      </c>
      <c r="I174" s="51">
        <f>I156*0.05</f>
        <v>1.4500000000000002</v>
      </c>
      <c r="J174" s="51">
        <v>0</v>
      </c>
      <c r="K174" s="51">
        <f>K156*0.05</f>
        <v>1.4500000000000002</v>
      </c>
      <c r="L174" s="52">
        <v>0</v>
      </c>
      <c r="M174" s="73">
        <f>M156*0</f>
        <v>0</v>
      </c>
      <c r="N174" s="73">
        <v>0</v>
      </c>
      <c r="O174" s="73">
        <f>O156*0</f>
        <v>0</v>
      </c>
      <c r="P174" s="73">
        <f>(P156)*0.01</f>
        <v>969.69696969696963</v>
      </c>
      <c r="Q174" s="73">
        <f>Q156</f>
        <v>940</v>
      </c>
      <c r="R174" s="73"/>
      <c r="S174" s="51"/>
      <c r="T174" s="51"/>
      <c r="U174" s="51"/>
      <c r="V174" s="51"/>
      <c r="W174" s="51"/>
      <c r="X174" s="55">
        <f>X156*0.1</f>
        <v>42.6</v>
      </c>
      <c r="Y174" s="59">
        <f t="shared" si="40"/>
        <v>29</v>
      </c>
      <c r="Z174" s="51">
        <f t="shared" si="40"/>
        <v>890.55271969067155</v>
      </c>
      <c r="AA174" s="51">
        <f t="shared" si="40"/>
        <v>371.54970915402163</v>
      </c>
      <c r="AC174" s="30" t="s">
        <v>60</v>
      </c>
      <c r="AD174" s="31" t="s">
        <v>13</v>
      </c>
      <c r="AE174" s="32" t="s">
        <v>61</v>
      </c>
      <c r="AF174" s="31" t="s">
        <v>78</v>
      </c>
      <c r="AG174" s="31"/>
      <c r="AH174" s="1" t="str">
        <f t="shared" si="41"/>
        <v/>
      </c>
      <c r="AI174" s="1" t="str">
        <f t="shared" si="41"/>
        <v/>
      </c>
      <c r="AJ174" s="1" t="str">
        <f t="shared" si="41"/>
        <v/>
      </c>
      <c r="AK174" s="1">
        <f t="shared" si="41"/>
        <v>5.4674441205053448</v>
      </c>
      <c r="AL174" s="1" t="str">
        <f t="shared" si="41"/>
        <v/>
      </c>
      <c r="AM174" s="1">
        <f t="shared" si="41"/>
        <v>4.2243333333333339</v>
      </c>
      <c r="AN174" s="52" t="str">
        <f t="shared" si="41"/>
        <v/>
      </c>
      <c r="AO174" s="1" t="str">
        <f t="shared" si="41"/>
        <v/>
      </c>
      <c r="AP174" s="1" t="str">
        <f t="shared" si="41"/>
        <v/>
      </c>
      <c r="AQ174" s="1" t="str">
        <f t="shared" si="41"/>
        <v/>
      </c>
      <c r="AR174" s="1">
        <f t="shared" si="41"/>
        <v>12121.21212121212</v>
      </c>
      <c r="AS174" s="1">
        <f t="shared" si="41"/>
        <v>263.20000000000005</v>
      </c>
      <c r="AT174" s="1" t="str">
        <f t="shared" si="41"/>
        <v/>
      </c>
      <c r="AU174" s="1" t="str">
        <f t="shared" si="41"/>
        <v/>
      </c>
      <c r="AV174" s="1" t="str">
        <f t="shared" si="41"/>
        <v/>
      </c>
      <c r="AW174" s="1" t="str">
        <f t="shared" si="38"/>
        <v/>
      </c>
      <c r="AX174" s="1" t="str">
        <f t="shared" si="38"/>
        <v/>
      </c>
      <c r="AY174" s="1" t="str">
        <f t="shared" si="38"/>
        <v/>
      </c>
      <c r="AZ174" s="1">
        <f t="shared" si="38"/>
        <v>149.09999999999997</v>
      </c>
      <c r="BA174" s="1">
        <f t="shared" si="38"/>
        <v>4.9433670601461497</v>
      </c>
      <c r="BB174" s="1">
        <f t="shared" si="38"/>
        <v>244.51388064407109</v>
      </c>
      <c r="BC174" s="1">
        <f t="shared" si="38"/>
        <v>100.1955877014057</v>
      </c>
    </row>
    <row r="175" spans="1:55" ht="15.75" thickBot="1" x14ac:dyDescent="0.3">
      <c r="A175" s="33" t="s">
        <v>60</v>
      </c>
      <c r="B175" s="34" t="s">
        <v>13</v>
      </c>
      <c r="C175" s="35" t="s">
        <v>61</v>
      </c>
      <c r="D175" s="34" t="s">
        <v>79</v>
      </c>
      <c r="E175" s="31"/>
      <c r="F175" s="51">
        <v>0</v>
      </c>
      <c r="G175" s="51">
        <v>0</v>
      </c>
      <c r="H175" s="51">
        <v>0</v>
      </c>
      <c r="I175" s="51">
        <v>0</v>
      </c>
      <c r="J175" s="51">
        <v>0</v>
      </c>
      <c r="K175" s="51">
        <v>0</v>
      </c>
      <c r="L175" s="52">
        <v>0</v>
      </c>
      <c r="M175" s="51">
        <v>0</v>
      </c>
      <c r="N175" s="51">
        <v>0</v>
      </c>
      <c r="O175" s="51">
        <v>0</v>
      </c>
      <c r="P175" s="51">
        <v>0</v>
      </c>
      <c r="Q175" s="51">
        <v>0</v>
      </c>
      <c r="R175" s="51">
        <v>0</v>
      </c>
      <c r="S175" s="51">
        <v>0</v>
      </c>
      <c r="T175" s="51">
        <v>0</v>
      </c>
      <c r="U175" s="51">
        <v>0</v>
      </c>
      <c r="V175" s="51">
        <v>0</v>
      </c>
      <c r="W175" s="51">
        <v>0</v>
      </c>
      <c r="X175" s="55">
        <v>0</v>
      </c>
      <c r="Y175" s="59">
        <f t="shared" si="40"/>
        <v>0</v>
      </c>
      <c r="Z175" s="51">
        <f t="shared" si="40"/>
        <v>0</v>
      </c>
      <c r="AA175" s="51">
        <f t="shared" si="40"/>
        <v>0</v>
      </c>
      <c r="AC175" s="33" t="s">
        <v>60</v>
      </c>
      <c r="AD175" s="34" t="s">
        <v>13</v>
      </c>
      <c r="AE175" s="35" t="s">
        <v>61</v>
      </c>
      <c r="AF175" s="34" t="s">
        <v>79</v>
      </c>
      <c r="AG175" s="31"/>
      <c r="AH175" s="1" t="str">
        <f t="shared" si="41"/>
        <v/>
      </c>
      <c r="AI175" s="1" t="str">
        <f t="shared" si="41"/>
        <v/>
      </c>
      <c r="AJ175" s="1" t="str">
        <f t="shared" si="41"/>
        <v/>
      </c>
      <c r="AK175" s="1" t="str">
        <f t="shared" si="41"/>
        <v/>
      </c>
      <c r="AL175" s="1" t="str">
        <f t="shared" si="41"/>
        <v/>
      </c>
      <c r="AM175" s="1" t="str">
        <f t="shared" si="41"/>
        <v/>
      </c>
      <c r="AN175" s="52" t="str">
        <f t="shared" si="41"/>
        <v/>
      </c>
      <c r="AO175" s="1" t="str">
        <f t="shared" si="41"/>
        <v/>
      </c>
      <c r="AP175" s="1" t="str">
        <f t="shared" si="41"/>
        <v/>
      </c>
      <c r="AQ175" s="1" t="str">
        <f t="shared" si="41"/>
        <v/>
      </c>
      <c r="AR175" s="1" t="str">
        <f t="shared" si="41"/>
        <v/>
      </c>
      <c r="AS175" s="1" t="str">
        <f t="shared" si="41"/>
        <v/>
      </c>
      <c r="AT175" s="1" t="str">
        <f t="shared" si="41"/>
        <v/>
      </c>
      <c r="AU175" s="1" t="str">
        <f t="shared" si="41"/>
        <v/>
      </c>
      <c r="AV175" s="1" t="str">
        <f t="shared" si="41"/>
        <v/>
      </c>
      <c r="AW175" s="1" t="str">
        <f t="shared" si="38"/>
        <v/>
      </c>
      <c r="AX175" s="1" t="str">
        <f t="shared" si="38"/>
        <v/>
      </c>
      <c r="AY175" s="1" t="str">
        <f t="shared" si="38"/>
        <v/>
      </c>
      <c r="AZ175" s="1" t="str">
        <f t="shared" si="38"/>
        <v/>
      </c>
      <c r="BA175" s="1" t="str">
        <f t="shared" si="38"/>
        <v/>
      </c>
      <c r="BB175" s="1" t="str">
        <f t="shared" si="38"/>
        <v/>
      </c>
      <c r="BC175" s="1" t="str">
        <f t="shared" si="38"/>
        <v/>
      </c>
    </row>
    <row r="176" spans="1:55" x14ac:dyDescent="0.25">
      <c r="A176" s="30" t="s">
        <v>60</v>
      </c>
      <c r="B176" s="31" t="s">
        <v>13</v>
      </c>
      <c r="C176" s="32" t="s">
        <v>62</v>
      </c>
      <c r="D176" s="31" t="s">
        <v>75</v>
      </c>
      <c r="E176" s="31"/>
      <c r="F176" s="51"/>
      <c r="G176" s="73">
        <f>G157</f>
        <v>23.2</v>
      </c>
      <c r="H176" s="51">
        <f>H157*0.4</f>
        <v>3.0908416000000001</v>
      </c>
      <c r="I176" s="51">
        <v>0</v>
      </c>
      <c r="J176" s="51">
        <v>0</v>
      </c>
      <c r="K176" s="51">
        <v>0</v>
      </c>
      <c r="L176" s="52">
        <v>0</v>
      </c>
      <c r="M176" s="51">
        <v>0</v>
      </c>
      <c r="N176" s="51">
        <v>0</v>
      </c>
      <c r="O176" s="51">
        <v>0</v>
      </c>
      <c r="P176" s="51">
        <v>0</v>
      </c>
      <c r="Q176" s="51">
        <v>0</v>
      </c>
      <c r="R176" s="51">
        <v>0</v>
      </c>
      <c r="S176" s="51">
        <v>0</v>
      </c>
      <c r="T176" s="51">
        <v>0</v>
      </c>
      <c r="U176" s="51">
        <v>0</v>
      </c>
      <c r="V176" s="51">
        <v>0</v>
      </c>
      <c r="W176" s="51">
        <v>0</v>
      </c>
      <c r="X176" s="55">
        <v>0</v>
      </c>
      <c r="Y176" s="59">
        <f t="shared" si="40"/>
        <v>11.297772307692307</v>
      </c>
      <c r="Z176" s="51">
        <f t="shared" si="40"/>
        <v>0</v>
      </c>
      <c r="AA176" s="51">
        <f t="shared" si="40"/>
        <v>11.297772307692307</v>
      </c>
      <c r="AC176" s="30" t="s">
        <v>60</v>
      </c>
      <c r="AD176" s="31" t="s">
        <v>13</v>
      </c>
      <c r="AE176" s="32" t="s">
        <v>62</v>
      </c>
      <c r="AF176" s="31" t="s">
        <v>75</v>
      </c>
      <c r="AG176" s="31"/>
      <c r="AH176" s="1" t="str">
        <f t="shared" si="41"/>
        <v/>
      </c>
      <c r="AI176" s="1">
        <f t="shared" si="41"/>
        <v>5.5839755575924226</v>
      </c>
      <c r="AJ176" s="1">
        <f t="shared" si="41"/>
        <v>1.881</v>
      </c>
      <c r="AK176" s="1" t="str">
        <f t="shared" si="41"/>
        <v/>
      </c>
      <c r="AL176" s="1" t="str">
        <f t="shared" si="41"/>
        <v/>
      </c>
      <c r="AM176" s="1" t="str">
        <f t="shared" si="41"/>
        <v/>
      </c>
      <c r="AN176" s="52" t="str">
        <f t="shared" si="41"/>
        <v/>
      </c>
      <c r="AO176" s="1" t="str">
        <f t="shared" si="41"/>
        <v/>
      </c>
      <c r="AP176" s="1" t="str">
        <f t="shared" si="41"/>
        <v/>
      </c>
      <c r="AQ176" s="1" t="str">
        <f t="shared" si="41"/>
        <v/>
      </c>
      <c r="AR176" s="1" t="str">
        <f t="shared" si="41"/>
        <v/>
      </c>
      <c r="AS176" s="1" t="str">
        <f t="shared" si="41"/>
        <v/>
      </c>
      <c r="AT176" s="1" t="str">
        <f t="shared" si="41"/>
        <v/>
      </c>
      <c r="AU176" s="1" t="str">
        <f t="shared" si="41"/>
        <v/>
      </c>
      <c r="AV176" s="1" t="str">
        <f t="shared" si="41"/>
        <v/>
      </c>
      <c r="AW176" s="1" t="str">
        <f t="shared" si="38"/>
        <v/>
      </c>
      <c r="AX176" s="1" t="str">
        <f t="shared" si="38"/>
        <v/>
      </c>
      <c r="AY176" s="1" t="str">
        <f t="shared" si="38"/>
        <v/>
      </c>
      <c r="AZ176" s="1" t="str">
        <f t="shared" si="38"/>
        <v/>
      </c>
      <c r="BA176" s="1">
        <f t="shared" si="38"/>
        <v>2.7355328209828667</v>
      </c>
      <c r="BB176" s="1" t="str">
        <f t="shared" si="38"/>
        <v/>
      </c>
      <c r="BC176" s="1">
        <f t="shared" si="38"/>
        <v>2.7355328209828667</v>
      </c>
    </row>
    <row r="177" spans="1:55" x14ac:dyDescent="0.25">
      <c r="A177" s="30" t="s">
        <v>60</v>
      </c>
      <c r="B177" s="31" t="s">
        <v>13</v>
      </c>
      <c r="C177" s="32" t="s">
        <v>62</v>
      </c>
      <c r="D177" s="31" t="s">
        <v>76</v>
      </c>
      <c r="E177" s="31"/>
      <c r="F177" s="51">
        <f>F157</f>
        <v>48.363636363636367</v>
      </c>
      <c r="G177" s="51">
        <f>G157*0</f>
        <v>0</v>
      </c>
      <c r="H177" s="51">
        <f>H157*0.6</f>
        <v>4.6362623999999997</v>
      </c>
      <c r="I177" s="51">
        <v>0</v>
      </c>
      <c r="J177" s="51">
        <v>0</v>
      </c>
      <c r="K177" s="51">
        <v>0</v>
      </c>
      <c r="L177" s="52">
        <v>0</v>
      </c>
      <c r="M177" s="51">
        <v>0</v>
      </c>
      <c r="N177" s="51">
        <v>0</v>
      </c>
      <c r="O177" s="51">
        <v>0</v>
      </c>
      <c r="P177" s="51">
        <f>P157</f>
        <v>62337.662337662339</v>
      </c>
      <c r="Q177" s="51">
        <v>0</v>
      </c>
      <c r="R177" s="51">
        <v>0</v>
      </c>
      <c r="S177" s="51">
        <v>0</v>
      </c>
      <c r="T177" s="51">
        <v>0</v>
      </c>
      <c r="U177" s="51">
        <v>0</v>
      </c>
      <c r="V177" s="51">
        <v>0</v>
      </c>
      <c r="W177" s="51">
        <v>0</v>
      </c>
      <c r="X177" s="55">
        <v>0</v>
      </c>
      <c r="Y177" s="59">
        <f t="shared" si="40"/>
        <v>10.503513043478261</v>
      </c>
      <c r="Z177" s="51">
        <f t="shared" si="40"/>
        <v>62337.662337662339</v>
      </c>
      <c r="AA177" s="51">
        <f t="shared" si="40"/>
        <v>129.5104123788033</v>
      </c>
      <c r="AC177" s="30" t="s">
        <v>60</v>
      </c>
      <c r="AD177" s="31" t="s">
        <v>13</v>
      </c>
      <c r="AE177" s="32" t="s">
        <v>62</v>
      </c>
      <c r="AF177" s="31" t="s">
        <v>76</v>
      </c>
      <c r="AG177" s="31"/>
      <c r="AH177" s="1">
        <f t="shared" si="41"/>
        <v>9.5515025454545466</v>
      </c>
      <c r="AI177" s="1" t="str">
        <f t="shared" si="41"/>
        <v/>
      </c>
      <c r="AJ177" s="1">
        <f t="shared" si="41"/>
        <v>1.881</v>
      </c>
      <c r="AK177" s="1" t="str">
        <f t="shared" si="41"/>
        <v/>
      </c>
      <c r="AL177" s="1" t="str">
        <f t="shared" si="41"/>
        <v/>
      </c>
      <c r="AM177" s="1" t="str">
        <f t="shared" si="41"/>
        <v/>
      </c>
      <c r="AN177" s="52" t="str">
        <f t="shared" si="41"/>
        <v/>
      </c>
      <c r="AO177" s="1" t="str">
        <f t="shared" si="41"/>
        <v/>
      </c>
      <c r="AP177" s="1" t="str">
        <f t="shared" si="41"/>
        <v/>
      </c>
      <c r="AQ177" s="1" t="str">
        <f t="shared" si="41"/>
        <v/>
      </c>
      <c r="AR177" s="1">
        <f t="shared" si="41"/>
        <v>7792.2077922077924</v>
      </c>
      <c r="AS177" s="1" t="str">
        <f t="shared" si="41"/>
        <v/>
      </c>
      <c r="AT177" s="1" t="str">
        <f t="shared" si="41"/>
        <v/>
      </c>
      <c r="AU177" s="1" t="str">
        <f t="shared" si="41"/>
        <v/>
      </c>
      <c r="AV177" s="1" t="str">
        <f t="shared" si="41"/>
        <v/>
      </c>
      <c r="AW177" s="1" t="str">
        <f t="shared" si="38"/>
        <v/>
      </c>
      <c r="AX177" s="1" t="str">
        <f t="shared" si="38"/>
        <v/>
      </c>
      <c r="AY177" s="1" t="str">
        <f t="shared" si="38"/>
        <v/>
      </c>
      <c r="AZ177" s="1" t="str">
        <f t="shared" si="38"/>
        <v/>
      </c>
      <c r="BA177" s="1">
        <f t="shared" si="38"/>
        <v>2.405071602484472</v>
      </c>
      <c r="BB177" s="1">
        <f t="shared" si="38"/>
        <v>7792.2077922077924</v>
      </c>
      <c r="BC177" s="1">
        <f t="shared" si="38"/>
        <v>17.27884871178119</v>
      </c>
    </row>
    <row r="178" spans="1:55" x14ac:dyDescent="0.25">
      <c r="A178" s="30" t="s">
        <v>60</v>
      </c>
      <c r="B178" s="31" t="s">
        <v>13</v>
      </c>
      <c r="C178" s="32" t="s">
        <v>62</v>
      </c>
      <c r="D178" s="31" t="s">
        <v>77</v>
      </c>
      <c r="E178" s="31"/>
      <c r="F178" s="51">
        <v>0</v>
      </c>
      <c r="G178" s="51">
        <v>0</v>
      </c>
      <c r="H178" s="51">
        <v>0</v>
      </c>
      <c r="I178" s="51">
        <v>0</v>
      </c>
      <c r="J178" s="51">
        <v>0</v>
      </c>
      <c r="K178" s="51">
        <v>0</v>
      </c>
      <c r="L178" s="52">
        <v>0</v>
      </c>
      <c r="M178" s="51">
        <v>0</v>
      </c>
      <c r="N178" s="51">
        <v>0</v>
      </c>
      <c r="O178" s="51">
        <v>0</v>
      </c>
      <c r="P178" s="51">
        <v>0</v>
      </c>
      <c r="Q178" s="51">
        <v>0</v>
      </c>
      <c r="R178" s="51">
        <v>0</v>
      </c>
      <c r="S178" s="51">
        <v>0</v>
      </c>
      <c r="T178" s="51">
        <v>0</v>
      </c>
      <c r="U178" s="51">
        <v>0</v>
      </c>
      <c r="V178" s="51">
        <v>0</v>
      </c>
      <c r="W178" s="51">
        <v>0</v>
      </c>
      <c r="X178" s="55">
        <v>0</v>
      </c>
      <c r="Y178" s="59">
        <f t="shared" si="40"/>
        <v>0</v>
      </c>
      <c r="Z178" s="51">
        <f t="shared" si="40"/>
        <v>0</v>
      </c>
      <c r="AA178" s="51">
        <f t="shared" si="40"/>
        <v>0</v>
      </c>
      <c r="AC178" s="30" t="s">
        <v>60</v>
      </c>
      <c r="AD178" s="31" t="s">
        <v>13</v>
      </c>
      <c r="AE178" s="32" t="s">
        <v>62</v>
      </c>
      <c r="AF178" s="31" t="s">
        <v>77</v>
      </c>
      <c r="AG178" s="31"/>
      <c r="AH178" s="1" t="str">
        <f t="shared" si="41"/>
        <v/>
      </c>
      <c r="AI178" s="1" t="str">
        <f t="shared" si="41"/>
        <v/>
      </c>
      <c r="AJ178" s="1" t="str">
        <f t="shared" si="41"/>
        <v/>
      </c>
      <c r="AK178" s="1" t="str">
        <f t="shared" si="41"/>
        <v/>
      </c>
      <c r="AL178" s="1" t="str">
        <f t="shared" si="41"/>
        <v/>
      </c>
      <c r="AM178" s="1" t="str">
        <f t="shared" si="41"/>
        <v/>
      </c>
      <c r="AN178" s="52" t="str">
        <f t="shared" si="41"/>
        <v/>
      </c>
      <c r="AO178" s="1" t="str">
        <f t="shared" si="41"/>
        <v/>
      </c>
      <c r="AP178" s="1" t="str">
        <f t="shared" si="41"/>
        <v/>
      </c>
      <c r="AQ178" s="1" t="str">
        <f t="shared" si="41"/>
        <v/>
      </c>
      <c r="AR178" s="1" t="str">
        <f t="shared" si="41"/>
        <v/>
      </c>
      <c r="AS178" s="1" t="str">
        <f t="shared" si="41"/>
        <v/>
      </c>
      <c r="AT178" s="1" t="str">
        <f t="shared" si="41"/>
        <v/>
      </c>
      <c r="AU178" s="1" t="str">
        <f t="shared" si="41"/>
        <v/>
      </c>
      <c r="AV178" s="1" t="str">
        <f t="shared" si="41"/>
        <v/>
      </c>
      <c r="AW178" s="1" t="str">
        <f t="shared" si="38"/>
        <v/>
      </c>
      <c r="AX178" s="1" t="str">
        <f t="shared" si="38"/>
        <v/>
      </c>
      <c r="AY178" s="1" t="str">
        <f t="shared" si="38"/>
        <v/>
      </c>
      <c r="AZ178" s="1" t="str">
        <f t="shared" si="38"/>
        <v/>
      </c>
      <c r="BA178" s="1" t="str">
        <f t="shared" si="38"/>
        <v/>
      </c>
      <c r="BB178" s="1" t="str">
        <f t="shared" si="38"/>
        <v/>
      </c>
      <c r="BC178" s="1" t="str">
        <f t="shared" si="38"/>
        <v/>
      </c>
    </row>
    <row r="179" spans="1:55" x14ac:dyDescent="0.25">
      <c r="A179" s="30" t="s">
        <v>60</v>
      </c>
      <c r="B179" s="31" t="s">
        <v>13</v>
      </c>
      <c r="C179" s="32" t="s">
        <v>62</v>
      </c>
      <c r="D179" s="31" t="s">
        <v>78</v>
      </c>
      <c r="E179" s="31"/>
      <c r="F179" s="51">
        <v>0</v>
      </c>
      <c r="G179" s="51">
        <v>0</v>
      </c>
      <c r="H179" s="51">
        <v>0</v>
      </c>
      <c r="I179" s="51">
        <v>0</v>
      </c>
      <c r="J179" s="51">
        <v>0</v>
      </c>
      <c r="K179" s="51">
        <v>0</v>
      </c>
      <c r="L179" s="52">
        <v>0</v>
      </c>
      <c r="M179" s="51">
        <v>0</v>
      </c>
      <c r="N179" s="51">
        <v>0</v>
      </c>
      <c r="O179" s="51">
        <v>0</v>
      </c>
      <c r="P179" s="51">
        <v>0</v>
      </c>
      <c r="Q179" s="51">
        <v>0</v>
      </c>
      <c r="R179" s="51">
        <v>0</v>
      </c>
      <c r="S179" s="51">
        <v>0</v>
      </c>
      <c r="T179" s="51">
        <v>0</v>
      </c>
      <c r="U179" s="51">
        <v>0</v>
      </c>
      <c r="V179" s="51">
        <v>0</v>
      </c>
      <c r="W179" s="51">
        <v>0</v>
      </c>
      <c r="X179" s="55">
        <v>0</v>
      </c>
      <c r="Y179" s="59">
        <f t="shared" ref="Y179:AA180" si="42">IF(Y224&gt;0,Y44/Y224,0)</f>
        <v>0</v>
      </c>
      <c r="Z179" s="51">
        <f t="shared" si="42"/>
        <v>0</v>
      </c>
      <c r="AA179" s="51">
        <f t="shared" si="42"/>
        <v>0</v>
      </c>
      <c r="AC179" s="30" t="s">
        <v>60</v>
      </c>
      <c r="AD179" s="31" t="s">
        <v>13</v>
      </c>
      <c r="AE179" s="32" t="s">
        <v>62</v>
      </c>
      <c r="AF179" s="31" t="s">
        <v>78</v>
      </c>
      <c r="AG179" s="31"/>
      <c r="AH179" s="1" t="str">
        <f t="shared" si="41"/>
        <v/>
      </c>
      <c r="AI179" s="1" t="str">
        <f t="shared" si="41"/>
        <v/>
      </c>
      <c r="AJ179" s="1" t="str">
        <f t="shared" si="41"/>
        <v/>
      </c>
      <c r="AK179" s="1" t="str">
        <f t="shared" si="41"/>
        <v/>
      </c>
      <c r="AL179" s="1" t="str">
        <f t="shared" si="41"/>
        <v/>
      </c>
      <c r="AM179" s="1" t="str">
        <f t="shared" si="41"/>
        <v/>
      </c>
      <c r="AN179" s="52" t="str">
        <f t="shared" si="41"/>
        <v/>
      </c>
      <c r="AO179" s="1" t="str">
        <f t="shared" si="41"/>
        <v/>
      </c>
      <c r="AP179" s="1" t="str">
        <f t="shared" si="41"/>
        <v/>
      </c>
      <c r="AQ179" s="1" t="str">
        <f t="shared" si="41"/>
        <v/>
      </c>
      <c r="AR179" s="1" t="str">
        <f t="shared" si="41"/>
        <v/>
      </c>
      <c r="AS179" s="1" t="str">
        <f t="shared" si="41"/>
        <v/>
      </c>
      <c r="AT179" s="1" t="str">
        <f t="shared" si="41"/>
        <v/>
      </c>
      <c r="AU179" s="1" t="str">
        <f t="shared" si="41"/>
        <v/>
      </c>
      <c r="AV179" s="1" t="str">
        <f t="shared" si="41"/>
        <v/>
      </c>
      <c r="AW179" s="1" t="str">
        <f t="shared" si="38"/>
        <v/>
      </c>
      <c r="AX179" s="1" t="str">
        <f t="shared" si="38"/>
        <v/>
      </c>
      <c r="AY179" s="1" t="str">
        <f t="shared" si="38"/>
        <v/>
      </c>
      <c r="AZ179" s="1" t="str">
        <f t="shared" si="38"/>
        <v/>
      </c>
      <c r="BA179" s="1" t="str">
        <f t="shared" si="38"/>
        <v/>
      </c>
      <c r="BB179" s="1" t="str">
        <f t="shared" si="38"/>
        <v/>
      </c>
      <c r="BC179" s="1" t="str">
        <f t="shared" si="38"/>
        <v/>
      </c>
    </row>
    <row r="180" spans="1:55" ht="15.75" thickBot="1" x14ac:dyDescent="0.3">
      <c r="A180" s="33" t="s">
        <v>60</v>
      </c>
      <c r="B180" s="34" t="s">
        <v>13</v>
      </c>
      <c r="C180" s="32" t="s">
        <v>62</v>
      </c>
      <c r="D180" s="34" t="s">
        <v>79</v>
      </c>
      <c r="E180" s="31"/>
      <c r="F180" s="51">
        <v>0</v>
      </c>
      <c r="G180" s="51">
        <v>0</v>
      </c>
      <c r="H180" s="51">
        <v>0</v>
      </c>
      <c r="I180" s="51">
        <v>0</v>
      </c>
      <c r="J180" s="51">
        <v>0</v>
      </c>
      <c r="K180" s="51">
        <v>0</v>
      </c>
      <c r="L180" s="52">
        <v>0</v>
      </c>
      <c r="M180" s="51">
        <v>0</v>
      </c>
      <c r="N180" s="51">
        <v>0</v>
      </c>
      <c r="O180" s="51">
        <v>0</v>
      </c>
      <c r="P180" s="51">
        <v>0</v>
      </c>
      <c r="Q180" s="51">
        <v>0</v>
      </c>
      <c r="R180" s="51">
        <v>0</v>
      </c>
      <c r="S180" s="51">
        <v>0</v>
      </c>
      <c r="T180" s="51">
        <v>0</v>
      </c>
      <c r="U180" s="51">
        <v>0</v>
      </c>
      <c r="V180" s="51">
        <v>0</v>
      </c>
      <c r="W180" s="51">
        <v>0</v>
      </c>
      <c r="X180" s="55">
        <v>0</v>
      </c>
      <c r="Y180" s="59">
        <f t="shared" si="42"/>
        <v>0</v>
      </c>
      <c r="Z180" s="51">
        <f t="shared" si="42"/>
        <v>0</v>
      </c>
      <c r="AA180" s="51">
        <f t="shared" si="42"/>
        <v>0</v>
      </c>
      <c r="AC180" s="33" t="s">
        <v>60</v>
      </c>
      <c r="AD180" s="34" t="s">
        <v>13</v>
      </c>
      <c r="AE180" s="32" t="s">
        <v>62</v>
      </c>
      <c r="AF180" s="34" t="s">
        <v>79</v>
      </c>
      <c r="AG180" s="31"/>
      <c r="AH180" s="1" t="str">
        <f t="shared" si="41"/>
        <v/>
      </c>
      <c r="AI180" s="1" t="str">
        <f t="shared" si="41"/>
        <v/>
      </c>
      <c r="AJ180" s="1" t="str">
        <f t="shared" si="41"/>
        <v/>
      </c>
      <c r="AK180" s="1" t="str">
        <f t="shared" si="41"/>
        <v/>
      </c>
      <c r="AL180" s="1" t="str">
        <f t="shared" si="41"/>
        <v/>
      </c>
      <c r="AM180" s="1" t="str">
        <f t="shared" si="41"/>
        <v/>
      </c>
      <c r="AN180" s="52" t="str">
        <f t="shared" si="41"/>
        <v/>
      </c>
      <c r="AO180" s="1" t="str">
        <f t="shared" si="41"/>
        <v/>
      </c>
      <c r="AP180" s="1" t="str">
        <f t="shared" si="41"/>
        <v/>
      </c>
      <c r="AQ180" s="1" t="str">
        <f t="shared" si="41"/>
        <v/>
      </c>
      <c r="AR180" s="1" t="str">
        <f t="shared" si="41"/>
        <v/>
      </c>
      <c r="AS180" s="1" t="str">
        <f t="shared" si="41"/>
        <v/>
      </c>
      <c r="AT180" s="1" t="str">
        <f t="shared" si="41"/>
        <v/>
      </c>
      <c r="AU180" s="1" t="str">
        <f t="shared" si="41"/>
        <v/>
      </c>
      <c r="AV180" s="1" t="str">
        <f t="shared" si="41"/>
        <v/>
      </c>
      <c r="AW180" s="1" t="str">
        <f t="shared" si="38"/>
        <v/>
      </c>
      <c r="AX180" s="1" t="str">
        <f t="shared" si="38"/>
        <v/>
      </c>
      <c r="AY180" s="1" t="str">
        <f t="shared" si="38"/>
        <v/>
      </c>
      <c r="AZ180" s="1" t="str">
        <f t="shared" si="38"/>
        <v/>
      </c>
      <c r="BA180" s="1" t="str">
        <f t="shared" si="38"/>
        <v/>
      </c>
      <c r="BB180" s="1" t="str">
        <f t="shared" si="38"/>
        <v/>
      </c>
      <c r="BC180" s="1" t="str">
        <f t="shared" si="38"/>
        <v/>
      </c>
    </row>
    <row r="181" spans="1:55" x14ac:dyDescent="0.25">
      <c r="F181" s="99">
        <v>170</v>
      </c>
      <c r="G181" s="99">
        <v>230</v>
      </c>
      <c r="H181" s="99">
        <v>1900</v>
      </c>
    </row>
    <row r="182" spans="1:55" x14ac:dyDescent="0.25">
      <c r="D182" s="41" t="s">
        <v>35</v>
      </c>
      <c r="E182" s="41"/>
      <c r="M182" s="24" t="s">
        <v>81</v>
      </c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AF182" s="41" t="s">
        <v>101</v>
      </c>
      <c r="AG182" s="41"/>
      <c r="AO182" s="24" t="s">
        <v>81</v>
      </c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</row>
    <row r="183" spans="1:55" x14ac:dyDescent="0.25">
      <c r="F183" s="23" t="s">
        <v>44</v>
      </c>
      <c r="G183" s="23"/>
      <c r="H183" s="23"/>
      <c r="I183" s="23"/>
      <c r="J183" s="23"/>
      <c r="K183" s="23"/>
      <c r="L183" s="7" t="s">
        <v>30</v>
      </c>
      <c r="M183" s="24" t="s">
        <v>46</v>
      </c>
      <c r="N183" s="24"/>
      <c r="O183" s="24"/>
      <c r="P183" s="24"/>
      <c r="Q183" s="24"/>
      <c r="R183" s="24" t="s">
        <v>47</v>
      </c>
      <c r="S183" s="24"/>
      <c r="T183" s="24"/>
      <c r="U183" s="24"/>
      <c r="V183" s="24"/>
      <c r="W183" s="24"/>
      <c r="X183" s="24"/>
      <c r="Y183" s="44" t="s">
        <v>85</v>
      </c>
      <c r="Z183" s="44" t="s">
        <v>48</v>
      </c>
      <c r="AA183" s="44" t="s">
        <v>3</v>
      </c>
      <c r="AH183" s="23" t="s">
        <v>44</v>
      </c>
      <c r="AI183" s="23"/>
      <c r="AJ183" s="23"/>
      <c r="AK183" s="23"/>
      <c r="AL183" s="23"/>
      <c r="AM183" s="23"/>
      <c r="AN183" s="7" t="s">
        <v>30</v>
      </c>
      <c r="AO183" s="24" t="s">
        <v>46</v>
      </c>
      <c r="AP183" s="24"/>
      <c r="AQ183" s="24"/>
      <c r="AR183" s="24"/>
      <c r="AS183" s="24"/>
      <c r="AT183" s="24" t="s">
        <v>47</v>
      </c>
      <c r="AU183" s="24"/>
      <c r="AV183" s="24"/>
      <c r="AW183" s="24"/>
      <c r="AX183" s="24"/>
      <c r="AY183" s="24"/>
      <c r="AZ183" s="24"/>
      <c r="BA183" s="44" t="s">
        <v>85</v>
      </c>
      <c r="BB183" s="44" t="s">
        <v>48</v>
      </c>
      <c r="BC183" s="44" t="s">
        <v>3</v>
      </c>
    </row>
    <row r="184" spans="1:55" ht="63" x14ac:dyDescent="0.25">
      <c r="F184" s="38" t="s">
        <v>36</v>
      </c>
      <c r="G184" s="38" t="s">
        <v>37</v>
      </c>
      <c r="H184" s="38" t="s">
        <v>38</v>
      </c>
      <c r="I184" s="38" t="s">
        <v>80</v>
      </c>
      <c r="J184" s="38" t="s">
        <v>39</v>
      </c>
      <c r="K184" s="38" t="s">
        <v>45</v>
      </c>
      <c r="L184" s="39" t="s">
        <v>16</v>
      </c>
      <c r="M184" s="40" t="s">
        <v>34</v>
      </c>
      <c r="N184" s="40" t="s">
        <v>5</v>
      </c>
      <c r="O184" s="40" t="s">
        <v>7</v>
      </c>
      <c r="P184" s="40" t="s">
        <v>8</v>
      </c>
      <c r="Q184" s="40" t="s">
        <v>40</v>
      </c>
      <c r="R184" s="40" t="s">
        <v>41</v>
      </c>
      <c r="S184" s="40" t="s">
        <v>42</v>
      </c>
      <c r="T184" s="40" t="s">
        <v>31</v>
      </c>
      <c r="U184" s="40" t="s">
        <v>43</v>
      </c>
      <c r="V184" s="40" t="s">
        <v>82</v>
      </c>
      <c r="W184" s="40" t="s">
        <v>87</v>
      </c>
      <c r="X184" s="40" t="s">
        <v>83</v>
      </c>
      <c r="Y184" s="45" t="s">
        <v>3</v>
      </c>
      <c r="Z184" s="45" t="s">
        <v>3</v>
      </c>
      <c r="AA184" s="45" t="s">
        <v>3</v>
      </c>
      <c r="AH184" s="38" t="s">
        <v>36</v>
      </c>
      <c r="AI184" s="38" t="s">
        <v>37</v>
      </c>
      <c r="AJ184" s="38" t="s">
        <v>38</v>
      </c>
      <c r="AK184" s="38" t="s">
        <v>80</v>
      </c>
      <c r="AL184" s="38" t="s">
        <v>39</v>
      </c>
      <c r="AM184" s="38" t="s">
        <v>45</v>
      </c>
      <c r="AN184" s="39" t="s">
        <v>16</v>
      </c>
      <c r="AO184" s="40" t="s">
        <v>34</v>
      </c>
      <c r="AP184" s="40" t="s">
        <v>5</v>
      </c>
      <c r="AQ184" s="40" t="s">
        <v>7</v>
      </c>
      <c r="AR184" s="40" t="s">
        <v>8</v>
      </c>
      <c r="AS184" s="40" t="s">
        <v>40</v>
      </c>
      <c r="AT184" s="40" t="s">
        <v>41</v>
      </c>
      <c r="AU184" s="40" t="s">
        <v>42</v>
      </c>
      <c r="AV184" s="40" t="s">
        <v>31</v>
      </c>
      <c r="AW184" s="40" t="s">
        <v>43</v>
      </c>
      <c r="AX184" s="40" t="s">
        <v>82</v>
      </c>
      <c r="AY184" s="40" t="s">
        <v>87</v>
      </c>
      <c r="AZ184" s="40" t="s">
        <v>83</v>
      </c>
      <c r="BA184" s="45" t="s">
        <v>3</v>
      </c>
      <c r="BB184" s="45" t="s">
        <v>86</v>
      </c>
      <c r="BC184" s="45" t="s">
        <v>3</v>
      </c>
    </row>
    <row r="185" spans="1:55" x14ac:dyDescent="0.25">
      <c r="A185" s="15" t="s">
        <v>51</v>
      </c>
      <c r="B185" s="2"/>
      <c r="C185" s="2"/>
      <c r="F185" s="1">
        <f t="shared" ref="F185:X185" si="43">F187+F188+F189</f>
        <v>0</v>
      </c>
      <c r="G185" s="1">
        <f t="shared" si="43"/>
        <v>0</v>
      </c>
      <c r="H185" s="1">
        <f t="shared" si="43"/>
        <v>0</v>
      </c>
      <c r="I185" s="1">
        <f t="shared" si="43"/>
        <v>0</v>
      </c>
      <c r="J185" s="1">
        <f t="shared" si="43"/>
        <v>0</v>
      </c>
      <c r="K185" s="1">
        <f t="shared" si="43"/>
        <v>0</v>
      </c>
      <c r="L185" s="52">
        <f t="shared" si="43"/>
        <v>0</v>
      </c>
      <c r="M185" s="1">
        <f t="shared" si="43"/>
        <v>0</v>
      </c>
      <c r="N185" s="1">
        <f t="shared" si="43"/>
        <v>0</v>
      </c>
      <c r="O185" s="1">
        <f t="shared" si="43"/>
        <v>0</v>
      </c>
      <c r="P185" s="1">
        <f t="shared" si="43"/>
        <v>0</v>
      </c>
      <c r="Q185" s="1">
        <f t="shared" si="43"/>
        <v>0</v>
      </c>
      <c r="R185" s="1">
        <f t="shared" si="43"/>
        <v>0</v>
      </c>
      <c r="S185" s="1">
        <f t="shared" si="43"/>
        <v>0</v>
      </c>
      <c r="T185" s="1">
        <f t="shared" si="43"/>
        <v>0</v>
      </c>
      <c r="U185" s="1">
        <f t="shared" si="43"/>
        <v>0</v>
      </c>
      <c r="V185" s="1">
        <f t="shared" si="43"/>
        <v>0</v>
      </c>
      <c r="W185" s="1">
        <f t="shared" si="43"/>
        <v>0</v>
      </c>
      <c r="X185" s="1">
        <f t="shared" si="43"/>
        <v>0</v>
      </c>
      <c r="Y185" s="58">
        <f t="shared" ref="Y185:Y225" si="44">SUM(F185:K185)</f>
        <v>0</v>
      </c>
      <c r="Z185" s="1">
        <f t="shared" ref="Z185:Z225" si="45">SUM(M185:X185)</f>
        <v>0</v>
      </c>
      <c r="AA185" s="1">
        <f t="shared" ref="AA185:AA225" si="46">L185+Y185+Z185</f>
        <v>0</v>
      </c>
      <c r="AC185" s="15" t="s">
        <v>51</v>
      </c>
      <c r="AD185" s="2"/>
      <c r="AE185" s="2"/>
      <c r="AH185" s="1" t="str">
        <f t="shared" ref="AH185:AW200" si="47">IF(F185&gt;0,F230/F185*1000,"")</f>
        <v/>
      </c>
      <c r="AI185" s="1" t="str">
        <f t="shared" si="47"/>
        <v/>
      </c>
      <c r="AJ185" s="1" t="str">
        <f t="shared" si="47"/>
        <v/>
      </c>
      <c r="AK185" s="1" t="str">
        <f t="shared" si="47"/>
        <v/>
      </c>
      <c r="AL185" s="1" t="str">
        <f t="shared" si="47"/>
        <v/>
      </c>
      <c r="AM185" s="1" t="str">
        <f t="shared" si="47"/>
        <v/>
      </c>
      <c r="AN185" s="52" t="str">
        <f t="shared" si="47"/>
        <v/>
      </c>
      <c r="AO185" s="1" t="str">
        <f t="shared" si="47"/>
        <v/>
      </c>
      <c r="AP185" s="1" t="str">
        <f t="shared" si="47"/>
        <v/>
      </c>
      <c r="AQ185" s="1" t="str">
        <f t="shared" si="47"/>
        <v/>
      </c>
      <c r="AR185" s="1" t="str">
        <f t="shared" si="47"/>
        <v/>
      </c>
      <c r="AS185" s="1" t="str">
        <f t="shared" si="47"/>
        <v/>
      </c>
      <c r="AT185" s="1" t="str">
        <f t="shared" si="47"/>
        <v/>
      </c>
      <c r="AU185" s="1" t="str">
        <f t="shared" si="47"/>
        <v/>
      </c>
      <c r="AV185" s="1" t="str">
        <f t="shared" si="47"/>
        <v/>
      </c>
      <c r="AW185" s="1" t="str">
        <f t="shared" si="47"/>
        <v/>
      </c>
      <c r="AX185" s="1" t="str">
        <f t="shared" ref="AX185:BC200" si="48">IF(V185&gt;0,V230/V185*1000,"")</f>
        <v/>
      </c>
      <c r="AY185" s="1" t="str">
        <f t="shared" si="48"/>
        <v/>
      </c>
      <c r="AZ185" s="1" t="str">
        <f t="shared" si="48"/>
        <v/>
      </c>
      <c r="BA185" s="1" t="str">
        <f t="shared" si="48"/>
        <v/>
      </c>
      <c r="BB185" s="1" t="str">
        <f t="shared" si="48"/>
        <v/>
      </c>
      <c r="BC185" s="1" t="str">
        <f t="shared" si="48"/>
        <v/>
      </c>
    </row>
    <row r="186" spans="1:55" x14ac:dyDescent="0.25">
      <c r="A186" s="30" t="s">
        <v>60</v>
      </c>
      <c r="B186" s="2"/>
      <c r="C186" s="2"/>
      <c r="F186" s="1">
        <f>F190+F191+F192+F193</f>
        <v>145</v>
      </c>
      <c r="G186" s="1">
        <f t="shared" ref="G186:X186" si="49">G190+G191+G192+G193</f>
        <v>150</v>
      </c>
      <c r="H186" s="1">
        <f t="shared" si="49"/>
        <v>1500</v>
      </c>
      <c r="I186" s="1">
        <f t="shared" si="49"/>
        <v>141.93103448275863</v>
      </c>
      <c r="J186" s="1">
        <f t="shared" si="49"/>
        <v>414.18333333333334</v>
      </c>
      <c r="K186" s="1">
        <f t="shared" si="49"/>
        <v>252.72100313479621</v>
      </c>
      <c r="L186" s="52">
        <f t="shared" si="49"/>
        <v>388.13333333333333</v>
      </c>
      <c r="M186" s="1">
        <f t="shared" si="49"/>
        <v>71</v>
      </c>
      <c r="N186" s="1">
        <f t="shared" si="49"/>
        <v>3.4</v>
      </c>
      <c r="O186" s="1">
        <f t="shared" si="49"/>
        <v>0.9</v>
      </c>
      <c r="P186" s="1">
        <f t="shared" si="49"/>
        <v>2.2000000000000002</v>
      </c>
      <c r="Q186" s="1">
        <f t="shared" si="49"/>
        <v>40.547112462006076</v>
      </c>
      <c r="R186" s="1">
        <f t="shared" si="49"/>
        <v>44.757433489827854</v>
      </c>
      <c r="S186" s="1">
        <f t="shared" si="49"/>
        <v>1.1200000000000001</v>
      </c>
      <c r="T186" s="1">
        <f t="shared" si="49"/>
        <v>35.030258177416989</v>
      </c>
      <c r="U186" s="1">
        <f t="shared" si="49"/>
        <v>35.774647887323944</v>
      </c>
      <c r="V186" s="1">
        <f t="shared" si="49"/>
        <v>6.032863849765258</v>
      </c>
      <c r="W186" s="1">
        <f t="shared" si="49"/>
        <v>10.181924882629108</v>
      </c>
      <c r="X186" s="54">
        <f t="shared" si="49"/>
        <v>30.529398613905659</v>
      </c>
      <c r="Y186" s="58">
        <f t="shared" si="44"/>
        <v>2603.8353709508883</v>
      </c>
      <c r="Z186" s="1">
        <f t="shared" si="45"/>
        <v>281.47363936287491</v>
      </c>
      <c r="AA186" s="1">
        <f t="shared" si="46"/>
        <v>3273.4423436470965</v>
      </c>
      <c r="AC186" s="30" t="s">
        <v>60</v>
      </c>
      <c r="AD186" s="2"/>
      <c r="AE186" s="2"/>
      <c r="AH186" s="1">
        <f t="shared" si="47"/>
        <v>262.06896551724139</v>
      </c>
      <c r="AI186" s="1">
        <f t="shared" si="47"/>
        <v>115.99999999999999</v>
      </c>
      <c r="AJ186" s="1">
        <f t="shared" si="47"/>
        <v>36.586666666666666</v>
      </c>
      <c r="AK186" s="1">
        <f t="shared" si="47"/>
        <v>161.11111111111109</v>
      </c>
      <c r="AL186" s="1">
        <f t="shared" si="47"/>
        <v>1158.0139198249014</v>
      </c>
      <c r="AM186" s="1">
        <f t="shared" si="47"/>
        <v>95.177716657958271</v>
      </c>
      <c r="AN186" s="52">
        <f t="shared" si="47"/>
        <v>18750</v>
      </c>
      <c r="AO186" s="1">
        <f t="shared" si="47"/>
        <v>6384.9765258215957</v>
      </c>
      <c r="AP186" s="1">
        <f t="shared" si="47"/>
        <v>15199.660633484162</v>
      </c>
      <c r="AQ186" s="1">
        <f t="shared" si="47"/>
        <v>49833.333333333336</v>
      </c>
      <c r="AR186" s="1">
        <f t="shared" si="47"/>
        <v>363636.36363636365</v>
      </c>
      <c r="AS186" s="1">
        <f t="shared" si="47"/>
        <v>23613.526570048307</v>
      </c>
      <c r="AT186" s="1">
        <f t="shared" si="47"/>
        <v>9771.6616716616718</v>
      </c>
      <c r="AU186" s="1">
        <f t="shared" si="47"/>
        <v>2222.2222222222222</v>
      </c>
      <c r="AV186" s="1">
        <f t="shared" si="47"/>
        <v>11271.283723809902</v>
      </c>
      <c r="AW186" s="1">
        <f t="shared" si="47"/>
        <v>10241.357330333709</v>
      </c>
      <c r="AX186" s="1">
        <f t="shared" si="48"/>
        <v>11980.674448767833</v>
      </c>
      <c r="AY186" s="1">
        <f t="shared" si="48"/>
        <v>11860.614793467819</v>
      </c>
      <c r="AZ186" s="1">
        <f t="shared" si="48"/>
        <v>4803.3326498630613</v>
      </c>
      <c r="BA186" s="1">
        <f t="shared" si="48"/>
        <v>244.57388787351019</v>
      </c>
      <c r="BB186" s="1">
        <f t="shared" si="48"/>
        <v>13671.14642396911</v>
      </c>
      <c r="BC186" s="1">
        <f t="shared" si="48"/>
        <v>3593.2807862344443</v>
      </c>
    </row>
    <row r="187" spans="1:55" x14ac:dyDescent="0.25">
      <c r="A187" s="15" t="s">
        <v>51</v>
      </c>
      <c r="B187" s="16" t="s">
        <v>52</v>
      </c>
      <c r="C187" s="2"/>
      <c r="F187" s="1">
        <f>F194+F195+F196</f>
        <v>0</v>
      </c>
      <c r="G187" s="1">
        <f t="shared" ref="G187:X187" si="50">G194+G195+G196</f>
        <v>0</v>
      </c>
      <c r="H187" s="1">
        <f t="shared" si="50"/>
        <v>0</v>
      </c>
      <c r="I187" s="1">
        <f t="shared" si="50"/>
        <v>0</v>
      </c>
      <c r="J187" s="1">
        <f t="shared" si="50"/>
        <v>0</v>
      </c>
      <c r="K187" s="1">
        <f t="shared" si="50"/>
        <v>0</v>
      </c>
      <c r="L187" s="52">
        <f t="shared" si="50"/>
        <v>0</v>
      </c>
      <c r="M187" s="1">
        <f t="shared" si="50"/>
        <v>0</v>
      </c>
      <c r="N187" s="1">
        <f t="shared" si="50"/>
        <v>0</v>
      </c>
      <c r="O187" s="1">
        <f t="shared" si="50"/>
        <v>0</v>
      </c>
      <c r="P187" s="1">
        <f t="shared" si="50"/>
        <v>0</v>
      </c>
      <c r="Q187" s="1">
        <f t="shared" si="50"/>
        <v>0</v>
      </c>
      <c r="R187" s="1">
        <f t="shared" si="50"/>
        <v>0</v>
      </c>
      <c r="S187" s="1">
        <f t="shared" si="50"/>
        <v>0</v>
      </c>
      <c r="T187" s="1">
        <f t="shared" si="50"/>
        <v>0</v>
      </c>
      <c r="U187" s="1">
        <f t="shared" si="50"/>
        <v>0</v>
      </c>
      <c r="V187" s="1">
        <f t="shared" si="50"/>
        <v>0</v>
      </c>
      <c r="W187" s="1">
        <f t="shared" si="50"/>
        <v>0</v>
      </c>
      <c r="X187" s="54">
        <f t="shared" si="50"/>
        <v>0</v>
      </c>
      <c r="Y187" s="58">
        <f t="shared" si="44"/>
        <v>0</v>
      </c>
      <c r="Z187" s="1">
        <f t="shared" si="45"/>
        <v>0</v>
      </c>
      <c r="AA187" s="1">
        <f t="shared" si="46"/>
        <v>0</v>
      </c>
      <c r="AC187" s="15" t="s">
        <v>51</v>
      </c>
      <c r="AD187" s="16" t="s">
        <v>52</v>
      </c>
      <c r="AE187" s="2"/>
      <c r="AH187" s="1" t="str">
        <f t="shared" si="47"/>
        <v/>
      </c>
      <c r="AI187" s="1" t="str">
        <f t="shared" si="47"/>
        <v/>
      </c>
      <c r="AJ187" s="1" t="str">
        <f t="shared" si="47"/>
        <v/>
      </c>
      <c r="AK187" s="1" t="str">
        <f t="shared" si="47"/>
        <v/>
      </c>
      <c r="AL187" s="1" t="str">
        <f t="shared" si="47"/>
        <v/>
      </c>
      <c r="AM187" s="1" t="str">
        <f t="shared" si="47"/>
        <v/>
      </c>
      <c r="AN187" s="52" t="str">
        <f t="shared" si="47"/>
        <v/>
      </c>
      <c r="AO187" s="1" t="str">
        <f t="shared" si="47"/>
        <v/>
      </c>
      <c r="AP187" s="1" t="str">
        <f t="shared" si="47"/>
        <v/>
      </c>
      <c r="AQ187" s="1" t="str">
        <f t="shared" si="47"/>
        <v/>
      </c>
      <c r="AR187" s="1" t="str">
        <f t="shared" si="47"/>
        <v/>
      </c>
      <c r="AS187" s="1" t="str">
        <f t="shared" si="47"/>
        <v/>
      </c>
      <c r="AT187" s="1" t="str">
        <f t="shared" si="47"/>
        <v/>
      </c>
      <c r="AU187" s="1" t="str">
        <f t="shared" si="47"/>
        <v/>
      </c>
      <c r="AV187" s="1" t="str">
        <f t="shared" si="47"/>
        <v/>
      </c>
      <c r="AW187" s="1" t="str">
        <f t="shared" si="47"/>
        <v/>
      </c>
      <c r="AX187" s="1" t="str">
        <f t="shared" si="48"/>
        <v/>
      </c>
      <c r="AY187" s="1" t="str">
        <f t="shared" si="48"/>
        <v/>
      </c>
      <c r="AZ187" s="1" t="str">
        <f t="shared" si="48"/>
        <v/>
      </c>
      <c r="BA187" s="1" t="str">
        <f t="shared" si="48"/>
        <v/>
      </c>
      <c r="BB187" s="1" t="str">
        <f t="shared" si="48"/>
        <v/>
      </c>
      <c r="BC187" s="1" t="str">
        <f t="shared" si="48"/>
        <v/>
      </c>
    </row>
    <row r="188" spans="1:55" x14ac:dyDescent="0.25">
      <c r="A188" s="15" t="s">
        <v>51</v>
      </c>
      <c r="B188" s="16" t="s">
        <v>56</v>
      </c>
      <c r="C188" s="2"/>
      <c r="F188" s="1">
        <f>F197+F198+F199</f>
        <v>0</v>
      </c>
      <c r="G188" s="1">
        <f t="shared" ref="G188:X188" si="51">G197+G198+G199</f>
        <v>0</v>
      </c>
      <c r="H188" s="1">
        <f t="shared" si="51"/>
        <v>0</v>
      </c>
      <c r="I188" s="1">
        <f t="shared" si="51"/>
        <v>0</v>
      </c>
      <c r="J188" s="1">
        <f t="shared" si="51"/>
        <v>0</v>
      </c>
      <c r="K188" s="1">
        <f t="shared" si="51"/>
        <v>0</v>
      </c>
      <c r="L188" s="52">
        <f t="shared" si="51"/>
        <v>0</v>
      </c>
      <c r="M188" s="1">
        <f t="shared" si="51"/>
        <v>0</v>
      </c>
      <c r="N188" s="1">
        <f t="shared" si="51"/>
        <v>0</v>
      </c>
      <c r="O188" s="1">
        <f t="shared" si="51"/>
        <v>0</v>
      </c>
      <c r="P188" s="1">
        <f t="shared" si="51"/>
        <v>0</v>
      </c>
      <c r="Q188" s="1">
        <f t="shared" si="51"/>
        <v>0</v>
      </c>
      <c r="R188" s="1">
        <f t="shared" si="51"/>
        <v>0</v>
      </c>
      <c r="S188" s="1">
        <f t="shared" si="51"/>
        <v>0</v>
      </c>
      <c r="T188" s="1">
        <f t="shared" si="51"/>
        <v>0</v>
      </c>
      <c r="U188" s="1">
        <f t="shared" si="51"/>
        <v>0</v>
      </c>
      <c r="V188" s="1">
        <f t="shared" si="51"/>
        <v>0</v>
      </c>
      <c r="W188" s="1">
        <f t="shared" si="51"/>
        <v>0</v>
      </c>
      <c r="X188" s="54">
        <f t="shared" si="51"/>
        <v>0</v>
      </c>
      <c r="Y188" s="58">
        <f t="shared" si="44"/>
        <v>0</v>
      </c>
      <c r="Z188" s="1">
        <f t="shared" si="45"/>
        <v>0</v>
      </c>
      <c r="AA188" s="1">
        <f t="shared" si="46"/>
        <v>0</v>
      </c>
      <c r="AC188" s="15" t="s">
        <v>51</v>
      </c>
      <c r="AD188" s="16" t="s">
        <v>56</v>
      </c>
      <c r="AE188" s="2"/>
      <c r="AH188" s="1" t="str">
        <f t="shared" si="47"/>
        <v/>
      </c>
      <c r="AI188" s="1" t="str">
        <f t="shared" si="47"/>
        <v/>
      </c>
      <c r="AJ188" s="1" t="str">
        <f t="shared" si="47"/>
        <v/>
      </c>
      <c r="AK188" s="1" t="str">
        <f t="shared" si="47"/>
        <v/>
      </c>
      <c r="AL188" s="1" t="str">
        <f t="shared" si="47"/>
        <v/>
      </c>
      <c r="AM188" s="1" t="str">
        <f t="shared" si="47"/>
        <v/>
      </c>
      <c r="AN188" s="52" t="str">
        <f t="shared" si="47"/>
        <v/>
      </c>
      <c r="AO188" s="1" t="str">
        <f t="shared" si="47"/>
        <v/>
      </c>
      <c r="AP188" s="1" t="str">
        <f t="shared" si="47"/>
        <v/>
      </c>
      <c r="AQ188" s="1" t="str">
        <f t="shared" si="47"/>
        <v/>
      </c>
      <c r="AR188" s="1" t="str">
        <f t="shared" si="47"/>
        <v/>
      </c>
      <c r="AS188" s="1" t="str">
        <f t="shared" si="47"/>
        <v/>
      </c>
      <c r="AT188" s="1" t="str">
        <f t="shared" si="47"/>
        <v/>
      </c>
      <c r="AU188" s="1" t="str">
        <f t="shared" si="47"/>
        <v/>
      </c>
      <c r="AV188" s="1" t="str">
        <f t="shared" si="47"/>
        <v/>
      </c>
      <c r="AW188" s="1" t="str">
        <f t="shared" si="47"/>
        <v/>
      </c>
      <c r="AX188" s="1" t="str">
        <f t="shared" si="48"/>
        <v/>
      </c>
      <c r="AY188" s="1" t="str">
        <f t="shared" si="48"/>
        <v/>
      </c>
      <c r="AZ188" s="1" t="str">
        <f t="shared" si="48"/>
        <v/>
      </c>
      <c r="BA188" s="1" t="str">
        <f t="shared" si="48"/>
        <v/>
      </c>
      <c r="BB188" s="1" t="str">
        <f t="shared" si="48"/>
        <v/>
      </c>
      <c r="BC188" s="1" t="str">
        <f t="shared" si="48"/>
        <v/>
      </c>
    </row>
    <row r="189" spans="1:55" x14ac:dyDescent="0.25">
      <c r="A189" s="15" t="s">
        <v>51</v>
      </c>
      <c r="B189" s="16" t="s">
        <v>9</v>
      </c>
      <c r="C189" s="2"/>
      <c r="F189" s="1">
        <f>F200</f>
        <v>0</v>
      </c>
      <c r="G189" s="1">
        <f t="shared" ref="G189:X189" si="52">G200</f>
        <v>0</v>
      </c>
      <c r="H189" s="1">
        <f t="shared" si="52"/>
        <v>0</v>
      </c>
      <c r="I189" s="1">
        <f t="shared" si="52"/>
        <v>0</v>
      </c>
      <c r="J189" s="1">
        <f t="shared" si="52"/>
        <v>0</v>
      </c>
      <c r="K189" s="1">
        <f t="shared" si="52"/>
        <v>0</v>
      </c>
      <c r="L189" s="52">
        <f t="shared" si="52"/>
        <v>0</v>
      </c>
      <c r="M189" s="1">
        <f t="shared" si="52"/>
        <v>0</v>
      </c>
      <c r="N189" s="1">
        <f t="shared" si="52"/>
        <v>0</v>
      </c>
      <c r="O189" s="1">
        <f t="shared" si="52"/>
        <v>0</v>
      </c>
      <c r="P189" s="1">
        <f t="shared" si="52"/>
        <v>0</v>
      </c>
      <c r="Q189" s="1">
        <f t="shared" si="52"/>
        <v>0</v>
      </c>
      <c r="R189" s="1">
        <f t="shared" si="52"/>
        <v>0</v>
      </c>
      <c r="S189" s="1">
        <f t="shared" si="52"/>
        <v>0</v>
      </c>
      <c r="T189" s="1">
        <f t="shared" si="52"/>
        <v>0</v>
      </c>
      <c r="U189" s="1">
        <f t="shared" si="52"/>
        <v>0</v>
      </c>
      <c r="V189" s="1">
        <f t="shared" si="52"/>
        <v>0</v>
      </c>
      <c r="W189" s="1">
        <f t="shared" si="52"/>
        <v>0</v>
      </c>
      <c r="X189" s="54">
        <f t="shared" si="52"/>
        <v>0</v>
      </c>
      <c r="Y189" s="58">
        <f t="shared" si="44"/>
        <v>0</v>
      </c>
      <c r="Z189" s="1">
        <f t="shared" si="45"/>
        <v>0</v>
      </c>
      <c r="AA189" s="1">
        <f t="shared" si="46"/>
        <v>0</v>
      </c>
      <c r="AC189" s="15" t="s">
        <v>51</v>
      </c>
      <c r="AD189" s="16" t="s">
        <v>9</v>
      </c>
      <c r="AE189" s="2"/>
      <c r="AH189" s="1" t="str">
        <f t="shared" si="47"/>
        <v/>
      </c>
      <c r="AI189" s="1" t="str">
        <f t="shared" si="47"/>
        <v/>
      </c>
      <c r="AJ189" s="1" t="str">
        <f t="shared" si="47"/>
        <v/>
      </c>
      <c r="AK189" s="1" t="str">
        <f t="shared" si="47"/>
        <v/>
      </c>
      <c r="AL189" s="1" t="str">
        <f t="shared" si="47"/>
        <v/>
      </c>
      <c r="AM189" s="1" t="str">
        <f t="shared" si="47"/>
        <v/>
      </c>
      <c r="AN189" s="52" t="str">
        <f t="shared" si="47"/>
        <v/>
      </c>
      <c r="AO189" s="1" t="str">
        <f t="shared" si="47"/>
        <v/>
      </c>
      <c r="AP189" s="1" t="str">
        <f t="shared" si="47"/>
        <v/>
      </c>
      <c r="AQ189" s="1" t="str">
        <f t="shared" si="47"/>
        <v/>
      </c>
      <c r="AR189" s="1" t="str">
        <f t="shared" si="47"/>
        <v/>
      </c>
      <c r="AS189" s="1" t="str">
        <f t="shared" si="47"/>
        <v/>
      </c>
      <c r="AT189" s="1" t="str">
        <f t="shared" si="47"/>
        <v/>
      </c>
      <c r="AU189" s="1" t="str">
        <f t="shared" si="47"/>
        <v/>
      </c>
      <c r="AV189" s="1" t="str">
        <f t="shared" si="47"/>
        <v/>
      </c>
      <c r="AW189" s="1" t="str">
        <f t="shared" si="47"/>
        <v/>
      </c>
      <c r="AX189" s="1" t="str">
        <f t="shared" si="48"/>
        <v/>
      </c>
      <c r="AY189" s="1" t="str">
        <f t="shared" si="48"/>
        <v/>
      </c>
      <c r="AZ189" s="1" t="str">
        <f t="shared" si="48"/>
        <v/>
      </c>
      <c r="BA189" s="1" t="str">
        <f t="shared" si="48"/>
        <v/>
      </c>
      <c r="BB189" s="1" t="str">
        <f t="shared" si="48"/>
        <v/>
      </c>
      <c r="BC189" s="1" t="str">
        <f t="shared" si="48"/>
        <v/>
      </c>
    </row>
    <row r="190" spans="1:55" x14ac:dyDescent="0.25">
      <c r="A190" s="30" t="s">
        <v>60</v>
      </c>
      <c r="B190" s="32" t="s">
        <v>13</v>
      </c>
      <c r="C190" s="2"/>
      <c r="F190" s="51">
        <f>F201+F202+F203</f>
        <v>145</v>
      </c>
      <c r="G190" s="51">
        <f t="shared" ref="G190:X190" si="53">G201+G202+G203</f>
        <v>150</v>
      </c>
      <c r="H190" s="51">
        <f t="shared" si="53"/>
        <v>1500</v>
      </c>
      <c r="I190" s="51">
        <f t="shared" si="53"/>
        <v>141.93103448275863</v>
      </c>
      <c r="J190" s="51">
        <f t="shared" si="53"/>
        <v>80</v>
      </c>
      <c r="K190" s="51">
        <f t="shared" si="53"/>
        <v>103.44827586206897</v>
      </c>
      <c r="L190" s="52">
        <f t="shared" si="53"/>
        <v>0</v>
      </c>
      <c r="M190" s="51">
        <f t="shared" si="53"/>
        <v>15</v>
      </c>
      <c r="N190" s="51">
        <f t="shared" si="53"/>
        <v>3.1</v>
      </c>
      <c r="O190" s="51">
        <f t="shared" si="53"/>
        <v>0.9</v>
      </c>
      <c r="P190" s="51">
        <f t="shared" si="53"/>
        <v>2.2000000000000002</v>
      </c>
      <c r="Q190" s="51">
        <f t="shared" si="53"/>
        <v>6.0790273556230998</v>
      </c>
      <c r="R190" s="51">
        <f t="shared" si="53"/>
        <v>10.954616588419405</v>
      </c>
      <c r="S190" s="51">
        <f t="shared" si="53"/>
        <v>0</v>
      </c>
      <c r="T190" s="51">
        <f t="shared" si="53"/>
        <v>3.1298904538341161</v>
      </c>
      <c r="U190" s="51">
        <f t="shared" si="53"/>
        <v>7.042253521126761</v>
      </c>
      <c r="V190" s="51">
        <f t="shared" si="53"/>
        <v>0.11737089201877934</v>
      </c>
      <c r="W190" s="51">
        <f t="shared" si="53"/>
        <v>0.32276995305164319</v>
      </c>
      <c r="X190" s="55">
        <f t="shared" si="53"/>
        <v>20.120724346076461</v>
      </c>
      <c r="Y190" s="59">
        <f t="shared" si="44"/>
        <v>2120.3793103448274</v>
      </c>
      <c r="Z190" s="51">
        <f t="shared" si="45"/>
        <v>68.966653110150261</v>
      </c>
      <c r="AA190" s="51">
        <f t="shared" si="46"/>
        <v>2189.3459634549777</v>
      </c>
      <c r="AB190" s="97">
        <v>5200</v>
      </c>
      <c r="AC190" s="30" t="s">
        <v>60</v>
      </c>
      <c r="AD190" s="32" t="s">
        <v>13</v>
      </c>
      <c r="AE190" s="2"/>
      <c r="AH190" s="1">
        <f t="shared" si="47"/>
        <v>262.06896551724139</v>
      </c>
      <c r="AI190" s="1">
        <f t="shared" si="47"/>
        <v>115.99999999999999</v>
      </c>
      <c r="AJ190" s="1">
        <f t="shared" si="47"/>
        <v>36.586666666666666</v>
      </c>
      <c r="AK190" s="1">
        <f t="shared" si="47"/>
        <v>161.11111111111109</v>
      </c>
      <c r="AL190" s="1">
        <f t="shared" si="47"/>
        <v>286.76470588235293</v>
      </c>
      <c r="AM190" s="1">
        <f t="shared" si="47"/>
        <v>170.58823529411765</v>
      </c>
      <c r="AN190" s="52" t="str">
        <f t="shared" si="47"/>
        <v/>
      </c>
      <c r="AO190" s="1">
        <f t="shared" si="47"/>
        <v>2222.2222222222222</v>
      </c>
      <c r="AP190" s="1">
        <f t="shared" si="47"/>
        <v>4879.0322580645161</v>
      </c>
      <c r="AQ190" s="1">
        <f t="shared" si="47"/>
        <v>49833.333333333336</v>
      </c>
      <c r="AR190" s="1">
        <f t="shared" si="47"/>
        <v>363636.36363636365</v>
      </c>
      <c r="AS190" s="1">
        <f t="shared" si="47"/>
        <v>5222.2222222222226</v>
      </c>
      <c r="AT190" s="1">
        <f t="shared" si="47"/>
        <v>2366.6666666666665</v>
      </c>
      <c r="AU190" s="1" t="str">
        <f t="shared" si="47"/>
        <v/>
      </c>
      <c r="AV190" s="1">
        <f t="shared" si="47"/>
        <v>2366.6666666666665</v>
      </c>
      <c r="AW190" s="1">
        <f t="shared" si="47"/>
        <v>2366.6666666666665</v>
      </c>
      <c r="AX190" s="1">
        <f t="shared" si="48"/>
        <v>2366.6666666666665</v>
      </c>
      <c r="AY190" s="1">
        <f t="shared" si="48"/>
        <v>2366.6666666666665</v>
      </c>
      <c r="AZ190" s="1">
        <f t="shared" si="48"/>
        <v>2366.6666666666665</v>
      </c>
      <c r="BA190" s="1">
        <f t="shared" si="48"/>
        <v>81.93576550816779</v>
      </c>
      <c r="BB190" s="1">
        <f t="shared" si="48"/>
        <v>14843.624174861006</v>
      </c>
      <c r="BC190" s="1">
        <f t="shared" si="48"/>
        <v>546.94415652617272</v>
      </c>
    </row>
    <row r="191" spans="1:55" x14ac:dyDescent="0.25">
      <c r="A191" s="30" t="s">
        <v>60</v>
      </c>
      <c r="B191" s="31" t="s">
        <v>23</v>
      </c>
      <c r="C191" s="2"/>
      <c r="F191" s="51">
        <f>F204+F205+F206</f>
        <v>0</v>
      </c>
      <c r="G191" s="51">
        <f t="shared" ref="G191:X191" si="54">G204+G205+G206</f>
        <v>0</v>
      </c>
      <c r="H191" s="51">
        <f t="shared" si="54"/>
        <v>0</v>
      </c>
      <c r="I191" s="51">
        <f t="shared" si="54"/>
        <v>0</v>
      </c>
      <c r="J191" s="51">
        <f t="shared" si="54"/>
        <v>21.683333333333334</v>
      </c>
      <c r="K191" s="51">
        <f t="shared" si="54"/>
        <v>149.27272727272725</v>
      </c>
      <c r="L191" s="52">
        <f t="shared" si="54"/>
        <v>0</v>
      </c>
      <c r="M191" s="51">
        <f t="shared" si="54"/>
        <v>0</v>
      </c>
      <c r="N191" s="51">
        <f t="shared" si="54"/>
        <v>0.3</v>
      </c>
      <c r="O191" s="51">
        <f t="shared" si="54"/>
        <v>0</v>
      </c>
      <c r="P191" s="51">
        <f t="shared" si="54"/>
        <v>0</v>
      </c>
      <c r="Q191" s="51">
        <f t="shared" si="54"/>
        <v>0</v>
      </c>
      <c r="R191" s="51">
        <f t="shared" si="54"/>
        <v>0</v>
      </c>
      <c r="S191" s="51">
        <f t="shared" si="54"/>
        <v>1.1200000000000001</v>
      </c>
      <c r="T191" s="51">
        <f t="shared" si="54"/>
        <v>1.4778325123152709</v>
      </c>
      <c r="U191" s="51">
        <f t="shared" si="54"/>
        <v>0</v>
      </c>
      <c r="V191" s="51">
        <f t="shared" si="54"/>
        <v>0</v>
      </c>
      <c r="W191" s="51">
        <f t="shared" si="54"/>
        <v>0</v>
      </c>
      <c r="X191" s="55">
        <f t="shared" si="54"/>
        <v>1</v>
      </c>
      <c r="Y191" s="59">
        <f t="shared" si="44"/>
        <v>170.95606060606059</v>
      </c>
      <c r="Z191" s="51">
        <f t="shared" si="45"/>
        <v>3.8978325123152713</v>
      </c>
      <c r="AA191" s="51">
        <f t="shared" si="46"/>
        <v>174.85389311837585</v>
      </c>
      <c r="AC191" s="30" t="s">
        <v>60</v>
      </c>
      <c r="AD191" s="31" t="s">
        <v>23</v>
      </c>
      <c r="AE191" s="2"/>
      <c r="AH191" s="1" t="str">
        <f t="shared" si="47"/>
        <v/>
      </c>
      <c r="AI191" s="1" t="str">
        <f t="shared" si="47"/>
        <v/>
      </c>
      <c r="AJ191" s="1" t="str">
        <f t="shared" si="47"/>
        <v/>
      </c>
      <c r="AK191" s="1" t="str">
        <f t="shared" si="47"/>
        <v/>
      </c>
      <c r="AL191" s="1">
        <f t="shared" si="47"/>
        <v>884.96028695874975</v>
      </c>
      <c r="AM191" s="1">
        <f t="shared" si="47"/>
        <v>42.917077509038542</v>
      </c>
      <c r="AN191" s="52" t="str">
        <f t="shared" si="47"/>
        <v/>
      </c>
      <c r="AO191" s="1" t="str">
        <f t="shared" si="47"/>
        <v/>
      </c>
      <c r="AP191" s="1">
        <f t="shared" si="47"/>
        <v>121846.15384615384</v>
      </c>
      <c r="AQ191" s="1" t="str">
        <f t="shared" si="47"/>
        <v/>
      </c>
      <c r="AR191" s="1" t="str">
        <f t="shared" si="47"/>
        <v/>
      </c>
      <c r="AS191" s="1" t="str">
        <f t="shared" si="47"/>
        <v/>
      </c>
      <c r="AT191" s="1" t="str">
        <f t="shared" si="47"/>
        <v/>
      </c>
      <c r="AU191" s="1">
        <f t="shared" si="47"/>
        <v>2222.2222222222222</v>
      </c>
      <c r="AV191" s="1">
        <f t="shared" si="47"/>
        <v>11600</v>
      </c>
      <c r="AW191" s="1" t="str">
        <f t="shared" si="47"/>
        <v/>
      </c>
      <c r="AX191" s="1" t="str">
        <f t="shared" si="48"/>
        <v/>
      </c>
      <c r="AY191" s="1" t="str">
        <f t="shared" si="48"/>
        <v/>
      </c>
      <c r="AZ191" s="1">
        <f t="shared" si="48"/>
        <v>2222.2222222222222</v>
      </c>
      <c r="BA191" s="1">
        <f t="shared" si="48"/>
        <v>149.71822586751111</v>
      </c>
      <c r="BB191" s="1">
        <f t="shared" si="48"/>
        <v>14984.690651348892</v>
      </c>
      <c r="BC191" s="1">
        <f t="shared" si="48"/>
        <v>480.41854261822209</v>
      </c>
    </row>
    <row r="192" spans="1:55" x14ac:dyDescent="0.25">
      <c r="A192" s="30" t="s">
        <v>60</v>
      </c>
      <c r="B192" s="31" t="s">
        <v>65</v>
      </c>
      <c r="C192" s="46"/>
      <c r="F192" s="51">
        <f>F207+F208+F209</f>
        <v>0</v>
      </c>
      <c r="G192" s="51">
        <f t="shared" ref="G192:X192" si="55">G207+G208+G209</f>
        <v>0</v>
      </c>
      <c r="H192" s="51">
        <f t="shared" si="55"/>
        <v>0</v>
      </c>
      <c r="I192" s="51">
        <f t="shared" si="55"/>
        <v>0</v>
      </c>
      <c r="J192" s="51">
        <f t="shared" si="55"/>
        <v>312.5</v>
      </c>
      <c r="K192" s="51">
        <f t="shared" si="55"/>
        <v>0</v>
      </c>
      <c r="L192" s="52">
        <f t="shared" si="55"/>
        <v>388.13333333333333</v>
      </c>
      <c r="M192" s="51">
        <f t="shared" si="55"/>
        <v>56</v>
      </c>
      <c r="N192" s="51">
        <f t="shared" si="55"/>
        <v>0</v>
      </c>
      <c r="O192" s="51">
        <f t="shared" si="55"/>
        <v>0</v>
      </c>
      <c r="P192" s="51">
        <f t="shared" si="55"/>
        <v>0</v>
      </c>
      <c r="Q192" s="51">
        <f t="shared" si="55"/>
        <v>34.468085106382979</v>
      </c>
      <c r="R192" s="51">
        <f t="shared" si="55"/>
        <v>33.802816901408448</v>
      </c>
      <c r="S192" s="51">
        <f t="shared" si="55"/>
        <v>0</v>
      </c>
      <c r="T192" s="51">
        <f t="shared" si="55"/>
        <v>30.422535211267604</v>
      </c>
      <c r="U192" s="51">
        <f t="shared" si="55"/>
        <v>28.732394366197184</v>
      </c>
      <c r="V192" s="51">
        <f t="shared" si="55"/>
        <v>5.915492957746479</v>
      </c>
      <c r="W192" s="51">
        <f t="shared" si="55"/>
        <v>9.8591549295774641</v>
      </c>
      <c r="X192" s="55">
        <f t="shared" si="55"/>
        <v>5.915492957746479</v>
      </c>
      <c r="Y192" s="59">
        <f t="shared" si="44"/>
        <v>312.5</v>
      </c>
      <c r="Z192" s="51">
        <f t="shared" si="45"/>
        <v>205.11597243032662</v>
      </c>
      <c r="AA192" s="51">
        <f t="shared" si="46"/>
        <v>905.74930576366</v>
      </c>
      <c r="AC192" s="30" t="s">
        <v>60</v>
      </c>
      <c r="AD192" s="31" t="s">
        <v>65</v>
      </c>
      <c r="AE192" s="46"/>
      <c r="AH192" s="1" t="str">
        <f t="shared" si="47"/>
        <v/>
      </c>
      <c r="AI192" s="1" t="str">
        <f t="shared" si="47"/>
        <v/>
      </c>
      <c r="AJ192" s="1" t="str">
        <f t="shared" si="47"/>
        <v/>
      </c>
      <c r="AK192" s="1" t="str">
        <f t="shared" si="47"/>
        <v/>
      </c>
      <c r="AL192" s="1">
        <f t="shared" si="47"/>
        <v>1400</v>
      </c>
      <c r="AM192" s="1" t="str">
        <f t="shared" si="47"/>
        <v/>
      </c>
      <c r="AN192" s="52">
        <f t="shared" si="47"/>
        <v>18750</v>
      </c>
      <c r="AO192" s="1">
        <f t="shared" si="47"/>
        <v>7500</v>
      </c>
      <c r="AP192" s="1" t="str">
        <f t="shared" si="47"/>
        <v/>
      </c>
      <c r="AQ192" s="1" t="str">
        <f t="shared" si="47"/>
        <v/>
      </c>
      <c r="AR192" s="1" t="str">
        <f t="shared" si="47"/>
        <v/>
      </c>
      <c r="AS192" s="1">
        <f t="shared" si="47"/>
        <v>26857.142857142855</v>
      </c>
      <c r="AT192" s="1">
        <f t="shared" si="47"/>
        <v>12171.428571428572</v>
      </c>
      <c r="AU192" s="1" t="str">
        <f t="shared" si="47"/>
        <v/>
      </c>
      <c r="AV192" s="1">
        <f t="shared" si="47"/>
        <v>12171.428571428572</v>
      </c>
      <c r="AW192" s="1">
        <f t="shared" si="47"/>
        <v>12171.428571428571</v>
      </c>
      <c r="AX192" s="1">
        <f t="shared" si="48"/>
        <v>12171.428571428571</v>
      </c>
      <c r="AY192" s="1">
        <f t="shared" si="48"/>
        <v>12171.428571428572</v>
      </c>
      <c r="AZ192" s="1">
        <f t="shared" si="48"/>
        <v>12171.428571428571</v>
      </c>
      <c r="BA192" s="1">
        <f t="shared" si="48"/>
        <v>1400</v>
      </c>
      <c r="BB192" s="1">
        <f t="shared" si="48"/>
        <v>13363.86837487248</v>
      </c>
      <c r="BC192" s="1">
        <f t="shared" si="48"/>
        <v>11544.19086010452</v>
      </c>
    </row>
    <row r="193" spans="1:55" ht="15.75" thickBot="1" x14ac:dyDescent="0.3">
      <c r="A193" s="48" t="s">
        <v>60</v>
      </c>
      <c r="B193" s="49" t="s">
        <v>9</v>
      </c>
      <c r="C193" s="50"/>
      <c r="D193" s="50"/>
      <c r="E193" s="50"/>
      <c r="F193" s="53">
        <f>F210</f>
        <v>0</v>
      </c>
      <c r="G193" s="53">
        <f t="shared" ref="G193:X193" si="56">G210</f>
        <v>0</v>
      </c>
      <c r="H193" s="53">
        <f t="shared" si="56"/>
        <v>0</v>
      </c>
      <c r="I193" s="53">
        <f t="shared" si="56"/>
        <v>0</v>
      </c>
      <c r="J193" s="53">
        <f t="shared" si="56"/>
        <v>0</v>
      </c>
      <c r="K193" s="53">
        <f t="shared" si="56"/>
        <v>0</v>
      </c>
      <c r="L193" s="62">
        <f t="shared" si="56"/>
        <v>0</v>
      </c>
      <c r="M193" s="53">
        <f t="shared" si="56"/>
        <v>0</v>
      </c>
      <c r="N193" s="53">
        <f t="shared" si="56"/>
        <v>0</v>
      </c>
      <c r="O193" s="53">
        <f t="shared" si="56"/>
        <v>0</v>
      </c>
      <c r="P193" s="53">
        <f t="shared" si="56"/>
        <v>0</v>
      </c>
      <c r="Q193" s="53">
        <f t="shared" si="56"/>
        <v>0</v>
      </c>
      <c r="R193" s="53">
        <f t="shared" si="56"/>
        <v>0</v>
      </c>
      <c r="S193" s="53">
        <f t="shared" si="56"/>
        <v>0</v>
      </c>
      <c r="T193" s="53">
        <f t="shared" si="56"/>
        <v>0</v>
      </c>
      <c r="U193" s="53">
        <f t="shared" si="56"/>
        <v>0</v>
      </c>
      <c r="V193" s="53">
        <f t="shared" si="56"/>
        <v>0</v>
      </c>
      <c r="W193" s="53">
        <f t="shared" si="56"/>
        <v>0</v>
      </c>
      <c r="X193" s="56">
        <f t="shared" si="56"/>
        <v>3.4931813100827185</v>
      </c>
      <c r="Y193" s="60">
        <f t="shared" si="44"/>
        <v>0</v>
      </c>
      <c r="Z193" s="53">
        <f t="shared" si="45"/>
        <v>3.4931813100827185</v>
      </c>
      <c r="AA193" s="53">
        <f t="shared" si="46"/>
        <v>3.4931813100827185</v>
      </c>
      <c r="AC193" s="48" t="s">
        <v>60</v>
      </c>
      <c r="AD193" s="49" t="s">
        <v>9</v>
      </c>
      <c r="AE193" s="50"/>
      <c r="AF193" s="50"/>
      <c r="AG193" s="50"/>
      <c r="AH193" s="1" t="str">
        <f t="shared" si="47"/>
        <v/>
      </c>
      <c r="AI193" s="1" t="str">
        <f t="shared" si="47"/>
        <v/>
      </c>
      <c r="AJ193" s="1" t="str">
        <f t="shared" si="47"/>
        <v/>
      </c>
      <c r="AK193" s="1" t="str">
        <f t="shared" si="47"/>
        <v/>
      </c>
      <c r="AL193" s="1" t="str">
        <f t="shared" si="47"/>
        <v/>
      </c>
      <c r="AM193" s="1" t="str">
        <f t="shared" si="47"/>
        <v/>
      </c>
      <c r="AN193" s="52" t="str">
        <f t="shared" si="47"/>
        <v/>
      </c>
      <c r="AO193" s="1" t="str">
        <f t="shared" si="47"/>
        <v/>
      </c>
      <c r="AP193" s="1" t="str">
        <f t="shared" si="47"/>
        <v/>
      </c>
      <c r="AQ193" s="1" t="str">
        <f t="shared" si="47"/>
        <v/>
      </c>
      <c r="AR193" s="1" t="str">
        <f t="shared" si="47"/>
        <v/>
      </c>
      <c r="AS193" s="1" t="str">
        <f t="shared" si="47"/>
        <v/>
      </c>
      <c r="AT193" s="1" t="str">
        <f t="shared" si="47"/>
        <v/>
      </c>
      <c r="AU193" s="1" t="str">
        <f t="shared" si="47"/>
        <v/>
      </c>
      <c r="AV193" s="1" t="str">
        <f t="shared" si="47"/>
        <v/>
      </c>
      <c r="AW193" s="1" t="str">
        <f t="shared" si="47"/>
        <v/>
      </c>
      <c r="AX193" s="1" t="str">
        <f t="shared" si="48"/>
        <v/>
      </c>
      <c r="AY193" s="1" t="str">
        <f t="shared" si="48"/>
        <v/>
      </c>
      <c r="AZ193" s="1">
        <f t="shared" si="48"/>
        <v>7100</v>
      </c>
      <c r="BA193" s="1" t="str">
        <f t="shared" si="48"/>
        <v/>
      </c>
      <c r="BB193" s="1">
        <f t="shared" si="48"/>
        <v>7100</v>
      </c>
      <c r="BC193" s="1">
        <f t="shared" si="48"/>
        <v>7100</v>
      </c>
    </row>
    <row r="194" spans="1:55" ht="15.75" thickTop="1" x14ac:dyDescent="0.25">
      <c r="A194" s="15" t="s">
        <v>51</v>
      </c>
      <c r="B194" s="16" t="s">
        <v>52</v>
      </c>
      <c r="C194" s="16" t="s">
        <v>53</v>
      </c>
      <c r="D194" s="2"/>
      <c r="E194" s="2"/>
      <c r="F194" s="47">
        <v>0</v>
      </c>
      <c r="G194" s="47">
        <v>0</v>
      </c>
      <c r="H194" s="47">
        <v>0</v>
      </c>
      <c r="I194" s="47">
        <v>0</v>
      </c>
      <c r="J194" s="47">
        <v>0</v>
      </c>
      <c r="K194" s="47">
        <v>0</v>
      </c>
      <c r="L194" s="63">
        <v>0</v>
      </c>
      <c r="M194" s="47">
        <v>0</v>
      </c>
      <c r="N194" s="47">
        <v>0</v>
      </c>
      <c r="O194" s="47">
        <v>0</v>
      </c>
      <c r="P194" s="47">
        <v>0</v>
      </c>
      <c r="Q194" s="47">
        <v>0</v>
      </c>
      <c r="R194" s="47">
        <v>0</v>
      </c>
      <c r="S194" s="47">
        <v>0</v>
      </c>
      <c r="T194" s="47">
        <v>0</v>
      </c>
      <c r="U194" s="47">
        <v>0</v>
      </c>
      <c r="V194" s="47">
        <v>0</v>
      </c>
      <c r="W194" s="47">
        <v>0</v>
      </c>
      <c r="X194" s="57">
        <v>0</v>
      </c>
      <c r="Y194" s="61">
        <f t="shared" si="44"/>
        <v>0</v>
      </c>
      <c r="Z194" s="47">
        <f t="shared" si="45"/>
        <v>0</v>
      </c>
      <c r="AA194" s="47">
        <f t="shared" si="46"/>
        <v>0</v>
      </c>
      <c r="AC194" s="15" t="s">
        <v>51</v>
      </c>
      <c r="AD194" s="16" t="s">
        <v>52</v>
      </c>
      <c r="AE194" s="16" t="s">
        <v>53</v>
      </c>
      <c r="AF194" s="2"/>
      <c r="AG194" s="2"/>
      <c r="AH194" s="90" t="str">
        <f t="shared" si="47"/>
        <v/>
      </c>
      <c r="AI194" s="90" t="str">
        <f t="shared" si="47"/>
        <v/>
      </c>
      <c r="AJ194" s="90" t="str">
        <f t="shared" si="47"/>
        <v/>
      </c>
      <c r="AK194" s="90" t="str">
        <f t="shared" si="47"/>
        <v/>
      </c>
      <c r="AL194" s="90" t="str">
        <f t="shared" si="47"/>
        <v/>
      </c>
      <c r="AM194" s="90" t="str">
        <f t="shared" si="47"/>
        <v/>
      </c>
      <c r="AN194" s="90" t="str">
        <f t="shared" si="47"/>
        <v/>
      </c>
      <c r="AO194" s="90" t="str">
        <f t="shared" si="47"/>
        <v/>
      </c>
      <c r="AP194" s="90" t="str">
        <f t="shared" si="47"/>
        <v/>
      </c>
      <c r="AQ194" s="90" t="str">
        <f t="shared" si="47"/>
        <v/>
      </c>
      <c r="AR194" s="90" t="str">
        <f t="shared" si="47"/>
        <v/>
      </c>
      <c r="AS194" s="90" t="str">
        <f t="shared" si="47"/>
        <v/>
      </c>
      <c r="AT194" s="90" t="str">
        <f t="shared" si="47"/>
        <v/>
      </c>
      <c r="AU194" s="90" t="str">
        <f t="shared" si="47"/>
        <v/>
      </c>
      <c r="AV194" s="90" t="str">
        <f t="shared" si="47"/>
        <v/>
      </c>
      <c r="AW194" s="90" t="str">
        <f t="shared" si="47"/>
        <v/>
      </c>
      <c r="AX194" s="90" t="str">
        <f t="shared" si="48"/>
        <v/>
      </c>
      <c r="AY194" s="90" t="str">
        <f t="shared" si="48"/>
        <v/>
      </c>
      <c r="AZ194" s="90" t="str">
        <f t="shared" si="48"/>
        <v/>
      </c>
      <c r="BA194" s="90" t="str">
        <f t="shared" si="48"/>
        <v/>
      </c>
      <c r="BB194" s="90" t="str">
        <f t="shared" si="48"/>
        <v/>
      </c>
      <c r="BC194" s="90" t="str">
        <f t="shared" si="48"/>
        <v/>
      </c>
    </row>
    <row r="195" spans="1:55" x14ac:dyDescent="0.25">
      <c r="A195" s="15" t="s">
        <v>51</v>
      </c>
      <c r="B195" s="16" t="s">
        <v>52</v>
      </c>
      <c r="C195" s="16" t="s">
        <v>54</v>
      </c>
      <c r="D195" s="2"/>
      <c r="E195" s="2"/>
      <c r="F195" s="47">
        <v>0</v>
      </c>
      <c r="G195" s="47">
        <v>0</v>
      </c>
      <c r="H195" s="1">
        <v>0</v>
      </c>
      <c r="I195" s="1">
        <v>0</v>
      </c>
      <c r="J195" s="1">
        <v>0</v>
      </c>
      <c r="K195" s="1">
        <v>0</v>
      </c>
      <c r="L195" s="52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54">
        <v>0</v>
      </c>
      <c r="Y195" s="58">
        <f t="shared" si="44"/>
        <v>0</v>
      </c>
      <c r="Z195" s="1">
        <f t="shared" si="45"/>
        <v>0</v>
      </c>
      <c r="AA195" s="1">
        <f t="shared" si="46"/>
        <v>0</v>
      </c>
      <c r="AC195" s="15" t="s">
        <v>51</v>
      </c>
      <c r="AD195" s="16" t="s">
        <v>52</v>
      </c>
      <c r="AE195" s="16" t="s">
        <v>54</v>
      </c>
      <c r="AF195" s="2"/>
      <c r="AG195" s="2"/>
      <c r="AH195" s="90" t="str">
        <f t="shared" si="47"/>
        <v/>
      </c>
      <c r="AI195" s="90" t="str">
        <f t="shared" si="47"/>
        <v/>
      </c>
      <c r="AJ195" s="90" t="str">
        <f t="shared" si="47"/>
        <v/>
      </c>
      <c r="AK195" s="90" t="str">
        <f t="shared" si="47"/>
        <v/>
      </c>
      <c r="AL195" s="90" t="str">
        <f t="shared" si="47"/>
        <v/>
      </c>
      <c r="AM195" s="90" t="str">
        <f t="shared" si="47"/>
        <v/>
      </c>
      <c r="AN195" s="90" t="str">
        <f t="shared" si="47"/>
        <v/>
      </c>
      <c r="AO195" s="90" t="str">
        <f t="shared" si="47"/>
        <v/>
      </c>
      <c r="AP195" s="90" t="str">
        <f t="shared" si="47"/>
        <v/>
      </c>
      <c r="AQ195" s="90" t="str">
        <f t="shared" si="47"/>
        <v/>
      </c>
      <c r="AR195" s="90" t="str">
        <f t="shared" si="47"/>
        <v/>
      </c>
      <c r="AS195" s="90" t="str">
        <f t="shared" si="47"/>
        <v/>
      </c>
      <c r="AT195" s="90" t="str">
        <f t="shared" si="47"/>
        <v/>
      </c>
      <c r="AU195" s="90" t="str">
        <f t="shared" si="47"/>
        <v/>
      </c>
      <c r="AV195" s="90" t="str">
        <f t="shared" si="47"/>
        <v/>
      </c>
      <c r="AW195" s="90" t="str">
        <f t="shared" si="47"/>
        <v/>
      </c>
      <c r="AX195" s="90" t="str">
        <f t="shared" si="48"/>
        <v/>
      </c>
      <c r="AY195" s="90" t="str">
        <f t="shared" si="48"/>
        <v/>
      </c>
      <c r="AZ195" s="90" t="str">
        <f t="shared" si="48"/>
        <v/>
      </c>
      <c r="BA195" s="90" t="str">
        <f t="shared" si="48"/>
        <v/>
      </c>
      <c r="BB195" s="90" t="str">
        <f t="shared" si="48"/>
        <v/>
      </c>
      <c r="BC195" s="90" t="str">
        <f t="shared" si="48"/>
        <v/>
      </c>
    </row>
    <row r="196" spans="1:55" x14ac:dyDescent="0.25">
      <c r="A196" s="15" t="s">
        <v>51</v>
      </c>
      <c r="B196" s="16" t="s">
        <v>52</v>
      </c>
      <c r="C196" s="16" t="s">
        <v>55</v>
      </c>
      <c r="D196" s="2"/>
      <c r="E196" s="2"/>
      <c r="F196" s="47">
        <v>0</v>
      </c>
      <c r="G196" s="47">
        <v>0</v>
      </c>
      <c r="H196" s="1">
        <v>0</v>
      </c>
      <c r="I196" s="1">
        <v>0</v>
      </c>
      <c r="J196" s="1">
        <v>0</v>
      </c>
      <c r="K196" s="1">
        <v>0</v>
      </c>
      <c r="L196" s="52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54">
        <v>0</v>
      </c>
      <c r="Y196" s="58">
        <f t="shared" si="44"/>
        <v>0</v>
      </c>
      <c r="Z196" s="1">
        <f t="shared" si="45"/>
        <v>0</v>
      </c>
      <c r="AA196" s="1">
        <f t="shared" si="46"/>
        <v>0</v>
      </c>
      <c r="AC196" s="15" t="s">
        <v>51</v>
      </c>
      <c r="AD196" s="16" t="s">
        <v>52</v>
      </c>
      <c r="AE196" s="16" t="s">
        <v>55</v>
      </c>
      <c r="AF196" s="2"/>
      <c r="AG196" s="2"/>
      <c r="AH196" s="90" t="str">
        <f t="shared" si="47"/>
        <v/>
      </c>
      <c r="AI196" s="90" t="str">
        <f t="shared" si="47"/>
        <v/>
      </c>
      <c r="AJ196" s="90" t="str">
        <f t="shared" si="47"/>
        <v/>
      </c>
      <c r="AK196" s="90" t="str">
        <f t="shared" si="47"/>
        <v/>
      </c>
      <c r="AL196" s="90" t="str">
        <f t="shared" si="47"/>
        <v/>
      </c>
      <c r="AM196" s="90" t="str">
        <f t="shared" si="47"/>
        <v/>
      </c>
      <c r="AN196" s="90" t="str">
        <f t="shared" si="47"/>
        <v/>
      </c>
      <c r="AO196" s="90" t="str">
        <f t="shared" si="47"/>
        <v/>
      </c>
      <c r="AP196" s="90" t="str">
        <f t="shared" si="47"/>
        <v/>
      </c>
      <c r="AQ196" s="90" t="str">
        <f t="shared" si="47"/>
        <v/>
      </c>
      <c r="AR196" s="90" t="str">
        <f t="shared" si="47"/>
        <v/>
      </c>
      <c r="AS196" s="90" t="str">
        <f t="shared" si="47"/>
        <v/>
      </c>
      <c r="AT196" s="90" t="str">
        <f t="shared" si="47"/>
        <v/>
      </c>
      <c r="AU196" s="90" t="str">
        <f t="shared" si="47"/>
        <v/>
      </c>
      <c r="AV196" s="90" t="str">
        <f t="shared" si="47"/>
        <v/>
      </c>
      <c r="AW196" s="90" t="str">
        <f t="shared" si="47"/>
        <v/>
      </c>
      <c r="AX196" s="90" t="str">
        <f t="shared" si="48"/>
        <v/>
      </c>
      <c r="AY196" s="90" t="str">
        <f t="shared" si="48"/>
        <v/>
      </c>
      <c r="AZ196" s="90" t="str">
        <f t="shared" si="48"/>
        <v/>
      </c>
      <c r="BA196" s="90" t="str">
        <f t="shared" si="48"/>
        <v/>
      </c>
      <c r="BB196" s="90" t="str">
        <f t="shared" si="48"/>
        <v/>
      </c>
      <c r="BC196" s="90" t="str">
        <f t="shared" si="48"/>
        <v/>
      </c>
    </row>
    <row r="197" spans="1:55" x14ac:dyDescent="0.25">
      <c r="A197" s="25" t="s">
        <v>51</v>
      </c>
      <c r="B197" s="26" t="s">
        <v>56</v>
      </c>
      <c r="C197" s="26" t="s">
        <v>57</v>
      </c>
      <c r="D197" s="2"/>
      <c r="E197" s="2"/>
      <c r="F197" s="47">
        <v>0</v>
      </c>
      <c r="G197" s="47">
        <v>0</v>
      </c>
      <c r="H197" s="1">
        <v>0</v>
      </c>
      <c r="I197" s="1">
        <v>0</v>
      </c>
      <c r="J197" s="1">
        <v>0</v>
      </c>
      <c r="K197" s="1">
        <v>0</v>
      </c>
      <c r="L197" s="52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54">
        <v>0</v>
      </c>
      <c r="Y197" s="58">
        <f t="shared" si="44"/>
        <v>0</v>
      </c>
      <c r="Z197" s="1">
        <f t="shared" si="45"/>
        <v>0</v>
      </c>
      <c r="AA197" s="1">
        <f t="shared" si="46"/>
        <v>0</v>
      </c>
      <c r="AC197" s="25" t="s">
        <v>51</v>
      </c>
      <c r="AD197" s="26" t="s">
        <v>56</v>
      </c>
      <c r="AE197" s="26" t="s">
        <v>57</v>
      </c>
      <c r="AF197" s="2"/>
      <c r="AG197" s="2"/>
      <c r="AH197" s="90" t="str">
        <f t="shared" si="47"/>
        <v/>
      </c>
      <c r="AI197" s="90" t="str">
        <f t="shared" si="47"/>
        <v/>
      </c>
      <c r="AJ197" s="90" t="str">
        <f t="shared" si="47"/>
        <v/>
      </c>
      <c r="AK197" s="90" t="str">
        <f t="shared" si="47"/>
        <v/>
      </c>
      <c r="AL197" s="90" t="str">
        <f t="shared" si="47"/>
        <v/>
      </c>
      <c r="AM197" s="90" t="str">
        <f t="shared" si="47"/>
        <v/>
      </c>
      <c r="AN197" s="90" t="str">
        <f t="shared" si="47"/>
        <v/>
      </c>
      <c r="AO197" s="90" t="str">
        <f t="shared" si="47"/>
        <v/>
      </c>
      <c r="AP197" s="90" t="str">
        <f t="shared" si="47"/>
        <v/>
      </c>
      <c r="AQ197" s="90" t="str">
        <f t="shared" si="47"/>
        <v/>
      </c>
      <c r="AR197" s="90" t="str">
        <f t="shared" si="47"/>
        <v/>
      </c>
      <c r="AS197" s="90" t="str">
        <f t="shared" si="47"/>
        <v/>
      </c>
      <c r="AT197" s="90" t="str">
        <f t="shared" si="47"/>
        <v/>
      </c>
      <c r="AU197" s="90" t="str">
        <f t="shared" si="47"/>
        <v/>
      </c>
      <c r="AV197" s="90" t="str">
        <f t="shared" si="47"/>
        <v/>
      </c>
      <c r="AW197" s="90" t="str">
        <f t="shared" si="47"/>
        <v/>
      </c>
      <c r="AX197" s="90" t="str">
        <f t="shared" si="48"/>
        <v/>
      </c>
      <c r="AY197" s="90" t="str">
        <f t="shared" si="48"/>
        <v/>
      </c>
      <c r="AZ197" s="90" t="str">
        <f t="shared" si="48"/>
        <v/>
      </c>
      <c r="BA197" s="90" t="str">
        <f t="shared" si="48"/>
        <v/>
      </c>
      <c r="BB197" s="90" t="str">
        <f t="shared" si="48"/>
        <v/>
      </c>
      <c r="BC197" s="90" t="str">
        <f t="shared" si="48"/>
        <v/>
      </c>
    </row>
    <row r="198" spans="1:55" x14ac:dyDescent="0.25">
      <c r="A198" s="15" t="s">
        <v>51</v>
      </c>
      <c r="B198" s="16" t="s">
        <v>56</v>
      </c>
      <c r="C198" s="27" t="s">
        <v>58</v>
      </c>
      <c r="D198" s="2"/>
      <c r="E198" s="2"/>
      <c r="F198" s="47">
        <v>0</v>
      </c>
      <c r="G198" s="47">
        <v>0</v>
      </c>
      <c r="H198" s="1">
        <v>0</v>
      </c>
      <c r="I198" s="1">
        <v>0</v>
      </c>
      <c r="J198" s="1">
        <v>0</v>
      </c>
      <c r="K198" s="1">
        <v>0</v>
      </c>
      <c r="L198" s="52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54">
        <v>0</v>
      </c>
      <c r="Y198" s="58">
        <f t="shared" si="44"/>
        <v>0</v>
      </c>
      <c r="Z198" s="1">
        <f t="shared" si="45"/>
        <v>0</v>
      </c>
      <c r="AA198" s="1">
        <f t="shared" si="46"/>
        <v>0</v>
      </c>
      <c r="AC198" s="15" t="s">
        <v>51</v>
      </c>
      <c r="AD198" s="16" t="s">
        <v>56</v>
      </c>
      <c r="AE198" s="27" t="s">
        <v>58</v>
      </c>
      <c r="AF198" s="2"/>
      <c r="AG198" s="2"/>
      <c r="AH198" s="90" t="str">
        <f t="shared" si="47"/>
        <v/>
      </c>
      <c r="AI198" s="90" t="str">
        <f t="shared" si="47"/>
        <v/>
      </c>
      <c r="AJ198" s="90" t="str">
        <f t="shared" si="47"/>
        <v/>
      </c>
      <c r="AK198" s="90" t="str">
        <f t="shared" si="47"/>
        <v/>
      </c>
      <c r="AL198" s="90" t="str">
        <f t="shared" si="47"/>
        <v/>
      </c>
      <c r="AM198" s="90" t="str">
        <f t="shared" si="47"/>
        <v/>
      </c>
      <c r="AN198" s="90" t="str">
        <f t="shared" si="47"/>
        <v/>
      </c>
      <c r="AO198" s="90" t="str">
        <f t="shared" si="47"/>
        <v/>
      </c>
      <c r="AP198" s="90" t="str">
        <f t="shared" si="47"/>
        <v/>
      </c>
      <c r="AQ198" s="90" t="str">
        <f t="shared" si="47"/>
        <v/>
      </c>
      <c r="AR198" s="90" t="str">
        <f t="shared" si="47"/>
        <v/>
      </c>
      <c r="AS198" s="90" t="str">
        <f t="shared" si="47"/>
        <v/>
      </c>
      <c r="AT198" s="90" t="str">
        <f t="shared" si="47"/>
        <v/>
      </c>
      <c r="AU198" s="90" t="str">
        <f t="shared" si="47"/>
        <v/>
      </c>
      <c r="AV198" s="90" t="str">
        <f t="shared" si="47"/>
        <v/>
      </c>
      <c r="AW198" s="90" t="str">
        <f t="shared" si="47"/>
        <v/>
      </c>
      <c r="AX198" s="90" t="str">
        <f t="shared" si="48"/>
        <v/>
      </c>
      <c r="AY198" s="90" t="str">
        <f t="shared" si="48"/>
        <v/>
      </c>
      <c r="AZ198" s="90" t="str">
        <f t="shared" si="48"/>
        <v/>
      </c>
      <c r="BA198" s="90" t="str">
        <f t="shared" si="48"/>
        <v/>
      </c>
      <c r="BB198" s="90" t="str">
        <f t="shared" si="48"/>
        <v/>
      </c>
      <c r="BC198" s="90" t="str">
        <f t="shared" si="48"/>
        <v/>
      </c>
    </row>
    <row r="199" spans="1:55" x14ac:dyDescent="0.25">
      <c r="A199" s="15" t="s">
        <v>51</v>
      </c>
      <c r="B199" s="16" t="s">
        <v>9</v>
      </c>
      <c r="C199" s="27" t="s">
        <v>59</v>
      </c>
      <c r="D199" s="2"/>
      <c r="E199" s="2"/>
      <c r="F199" s="47">
        <v>0</v>
      </c>
      <c r="G199" s="47">
        <v>0</v>
      </c>
      <c r="H199" s="1">
        <v>0</v>
      </c>
      <c r="I199" s="1">
        <v>0</v>
      </c>
      <c r="J199" s="1">
        <v>0</v>
      </c>
      <c r="K199" s="1">
        <v>0</v>
      </c>
      <c r="L199" s="52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54">
        <v>0</v>
      </c>
      <c r="Y199" s="58">
        <f t="shared" si="44"/>
        <v>0</v>
      </c>
      <c r="Z199" s="1">
        <f t="shared" si="45"/>
        <v>0</v>
      </c>
      <c r="AA199" s="1">
        <f t="shared" si="46"/>
        <v>0</v>
      </c>
      <c r="AC199" s="15" t="s">
        <v>51</v>
      </c>
      <c r="AD199" s="16" t="s">
        <v>9</v>
      </c>
      <c r="AE199" s="27" t="s">
        <v>59</v>
      </c>
      <c r="AF199" s="2"/>
      <c r="AG199" s="2"/>
      <c r="AH199" s="90" t="str">
        <f t="shared" si="47"/>
        <v/>
      </c>
      <c r="AI199" s="90" t="str">
        <f t="shared" si="47"/>
        <v/>
      </c>
      <c r="AJ199" s="90" t="str">
        <f t="shared" si="47"/>
        <v/>
      </c>
      <c r="AK199" s="90" t="str">
        <f t="shared" si="47"/>
        <v/>
      </c>
      <c r="AL199" s="90" t="str">
        <f t="shared" si="47"/>
        <v/>
      </c>
      <c r="AM199" s="90" t="str">
        <f t="shared" si="47"/>
        <v/>
      </c>
      <c r="AN199" s="90" t="str">
        <f t="shared" si="47"/>
        <v/>
      </c>
      <c r="AO199" s="90" t="str">
        <f t="shared" si="47"/>
        <v/>
      </c>
      <c r="AP199" s="90" t="str">
        <f t="shared" si="47"/>
        <v/>
      </c>
      <c r="AQ199" s="90" t="str">
        <f t="shared" si="47"/>
        <v/>
      </c>
      <c r="AR199" s="90" t="str">
        <f t="shared" si="47"/>
        <v/>
      </c>
      <c r="AS199" s="90" t="str">
        <f t="shared" si="47"/>
        <v/>
      </c>
      <c r="AT199" s="90" t="str">
        <f t="shared" si="47"/>
        <v/>
      </c>
      <c r="AU199" s="90" t="str">
        <f t="shared" si="47"/>
        <v/>
      </c>
      <c r="AV199" s="90" t="str">
        <f t="shared" si="47"/>
        <v/>
      </c>
      <c r="AW199" s="90" t="str">
        <f t="shared" si="47"/>
        <v/>
      </c>
      <c r="AX199" s="90" t="str">
        <f t="shared" si="48"/>
        <v/>
      </c>
      <c r="AY199" s="90" t="str">
        <f t="shared" si="48"/>
        <v/>
      </c>
      <c r="AZ199" s="90" t="str">
        <f t="shared" si="48"/>
        <v/>
      </c>
      <c r="BA199" s="90" t="str">
        <f t="shared" si="48"/>
        <v/>
      </c>
      <c r="BB199" s="90" t="str">
        <f t="shared" si="48"/>
        <v/>
      </c>
      <c r="BC199" s="90" t="str">
        <f t="shared" si="48"/>
        <v/>
      </c>
    </row>
    <row r="200" spans="1:55" x14ac:dyDescent="0.25">
      <c r="A200" s="15" t="s">
        <v>51</v>
      </c>
      <c r="B200" s="16" t="s">
        <v>9</v>
      </c>
      <c r="C200" s="27" t="s">
        <v>9</v>
      </c>
      <c r="D200" s="2"/>
      <c r="E200" s="2"/>
      <c r="F200" s="47">
        <v>0</v>
      </c>
      <c r="G200" s="47">
        <v>0</v>
      </c>
      <c r="H200" s="1">
        <v>0</v>
      </c>
      <c r="I200" s="1">
        <v>0</v>
      </c>
      <c r="J200" s="1">
        <v>0</v>
      </c>
      <c r="K200" s="1">
        <v>0</v>
      </c>
      <c r="L200" s="52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54">
        <v>0</v>
      </c>
      <c r="Y200" s="58">
        <f t="shared" si="44"/>
        <v>0</v>
      </c>
      <c r="Z200" s="1">
        <f t="shared" si="45"/>
        <v>0</v>
      </c>
      <c r="AA200" s="1">
        <f t="shared" si="46"/>
        <v>0</v>
      </c>
      <c r="AC200" s="15" t="s">
        <v>51</v>
      </c>
      <c r="AD200" s="16" t="s">
        <v>9</v>
      </c>
      <c r="AE200" s="27" t="s">
        <v>9</v>
      </c>
      <c r="AF200" s="2"/>
      <c r="AG200" s="2"/>
      <c r="AH200" s="90" t="str">
        <f t="shared" si="47"/>
        <v/>
      </c>
      <c r="AI200" s="90" t="str">
        <f t="shared" si="47"/>
        <v/>
      </c>
      <c r="AJ200" s="90" t="str">
        <f t="shared" si="47"/>
        <v/>
      </c>
      <c r="AK200" s="90" t="str">
        <f t="shared" si="47"/>
        <v/>
      </c>
      <c r="AL200" s="90" t="str">
        <f t="shared" si="47"/>
        <v/>
      </c>
      <c r="AM200" s="90" t="str">
        <f t="shared" si="47"/>
        <v/>
      </c>
      <c r="AN200" s="90" t="str">
        <f t="shared" si="47"/>
        <v/>
      </c>
      <c r="AO200" s="90" t="str">
        <f t="shared" si="47"/>
        <v/>
      </c>
      <c r="AP200" s="90" t="str">
        <f t="shared" si="47"/>
        <v/>
      </c>
      <c r="AQ200" s="90" t="str">
        <f t="shared" si="47"/>
        <v/>
      </c>
      <c r="AR200" s="90" t="str">
        <f t="shared" si="47"/>
        <v/>
      </c>
      <c r="AS200" s="90" t="str">
        <f t="shared" si="47"/>
        <v/>
      </c>
      <c r="AT200" s="90" t="str">
        <f t="shared" si="47"/>
        <v/>
      </c>
      <c r="AU200" s="90" t="str">
        <f t="shared" si="47"/>
        <v/>
      </c>
      <c r="AV200" s="90" t="str">
        <f t="shared" si="47"/>
        <v/>
      </c>
      <c r="AW200" s="90" t="str">
        <f t="shared" ref="AW200:BC225" si="57">IF(U200&gt;0,U245/U200*1000,"")</f>
        <v/>
      </c>
      <c r="AX200" s="90" t="str">
        <f t="shared" si="48"/>
        <v/>
      </c>
      <c r="AY200" s="90" t="str">
        <f t="shared" si="48"/>
        <v/>
      </c>
      <c r="AZ200" s="90" t="str">
        <f t="shared" si="48"/>
        <v/>
      </c>
      <c r="BA200" s="90" t="str">
        <f t="shared" si="48"/>
        <v/>
      </c>
      <c r="BB200" s="90" t="str">
        <f t="shared" si="48"/>
        <v/>
      </c>
      <c r="BC200" s="90" t="str">
        <f t="shared" si="48"/>
        <v/>
      </c>
    </row>
    <row r="201" spans="1:55" x14ac:dyDescent="0.25">
      <c r="A201" s="28" t="s">
        <v>60</v>
      </c>
      <c r="B201" s="29" t="s">
        <v>13</v>
      </c>
      <c r="C201" s="29" t="s">
        <v>61</v>
      </c>
      <c r="D201" s="2"/>
      <c r="E201" s="2"/>
      <c r="F201" s="214">
        <v>90</v>
      </c>
      <c r="G201" s="215">
        <v>0</v>
      </c>
      <c r="H201" s="215">
        <v>250</v>
      </c>
      <c r="I201" s="77">
        <f>I21/I156</f>
        <v>141.93103448275863</v>
      </c>
      <c r="J201" s="214">
        <f>100*0.8</f>
        <v>80</v>
      </c>
      <c r="K201" s="77">
        <f>K21/K156</f>
        <v>103.44827586206897</v>
      </c>
      <c r="L201" s="52">
        <v>0</v>
      </c>
      <c r="M201" s="80">
        <f>M21/M156</f>
        <v>15</v>
      </c>
      <c r="N201" s="217">
        <v>3.1</v>
      </c>
      <c r="O201" s="217">
        <v>0.9</v>
      </c>
      <c r="P201" s="217">
        <f>2.2*0.3</f>
        <v>0.66</v>
      </c>
      <c r="Q201" s="84">
        <f t="shared" ref="Q201:X201" si="58">Q21/Q156</f>
        <v>6.0790273556230998</v>
      </c>
      <c r="R201" s="80">
        <f t="shared" si="58"/>
        <v>10.954616588419405</v>
      </c>
      <c r="S201" s="51">
        <v>0</v>
      </c>
      <c r="T201" s="80">
        <f t="shared" si="58"/>
        <v>3.1298904538341161</v>
      </c>
      <c r="U201" s="80">
        <f t="shared" si="58"/>
        <v>7.042253521126761</v>
      </c>
      <c r="V201" s="80">
        <f t="shared" si="58"/>
        <v>0.11737089201877934</v>
      </c>
      <c r="W201" s="80">
        <f t="shared" si="58"/>
        <v>0.32276995305164319</v>
      </c>
      <c r="X201" s="80">
        <f t="shared" si="58"/>
        <v>20.120724346076461</v>
      </c>
      <c r="Y201" s="59">
        <f t="shared" si="44"/>
        <v>665.37931034482756</v>
      </c>
      <c r="Z201" s="51">
        <f t="shared" si="45"/>
        <v>67.426653110150255</v>
      </c>
      <c r="AA201" s="51">
        <f t="shared" si="46"/>
        <v>732.80596345497781</v>
      </c>
      <c r="AB201" s="5" t="s">
        <v>124</v>
      </c>
      <c r="AC201" s="28" t="s">
        <v>60</v>
      </c>
      <c r="AD201" s="29" t="s">
        <v>13</v>
      </c>
      <c r="AE201" s="29" t="s">
        <v>61</v>
      </c>
      <c r="AF201" s="2"/>
      <c r="AG201" s="2"/>
      <c r="AH201" s="1">
        <f t="shared" ref="AH201:AV217" si="59">IF(F201&gt;0,F246/F201*1000,"")</f>
        <v>274.44444444444446</v>
      </c>
      <c r="AI201" s="1" t="str">
        <f t="shared" si="59"/>
        <v/>
      </c>
      <c r="AJ201" s="1">
        <f t="shared" si="59"/>
        <v>26.342399999999998</v>
      </c>
      <c r="AK201" s="1">
        <f t="shared" si="59"/>
        <v>161.11111111111109</v>
      </c>
      <c r="AL201" s="1">
        <f t="shared" si="59"/>
        <v>286.76470588235293</v>
      </c>
      <c r="AM201" s="1">
        <f t="shared" si="59"/>
        <v>170.58823529411765</v>
      </c>
      <c r="AN201" s="52" t="str">
        <f t="shared" si="59"/>
        <v/>
      </c>
      <c r="AO201" s="1">
        <f t="shared" si="59"/>
        <v>2222.2222222222222</v>
      </c>
      <c r="AP201" s="1">
        <f t="shared" si="59"/>
        <v>4879.0322580645161</v>
      </c>
      <c r="AQ201" s="1">
        <f t="shared" si="59"/>
        <v>49833.333333333336</v>
      </c>
      <c r="AR201" s="1">
        <f t="shared" si="59"/>
        <v>484848.4848484848</v>
      </c>
      <c r="AS201" s="1">
        <f t="shared" si="59"/>
        <v>5222.2222222222226</v>
      </c>
      <c r="AT201" s="1">
        <f t="shared" si="59"/>
        <v>2366.6666666666665</v>
      </c>
      <c r="AU201" s="1" t="str">
        <f t="shared" si="59"/>
        <v/>
      </c>
      <c r="AV201" s="1">
        <f t="shared" si="59"/>
        <v>2366.6666666666665</v>
      </c>
      <c r="AW201" s="1">
        <f t="shared" si="57"/>
        <v>2366.6666666666665</v>
      </c>
      <c r="AX201" s="1">
        <f t="shared" si="57"/>
        <v>2366.6666666666665</v>
      </c>
      <c r="AY201" s="1">
        <f t="shared" si="57"/>
        <v>2366.6666666666665</v>
      </c>
      <c r="AZ201" s="1">
        <f t="shared" si="57"/>
        <v>2366.6666666666665</v>
      </c>
      <c r="BA201" s="1">
        <f t="shared" si="57"/>
        <v>0</v>
      </c>
      <c r="BB201" s="1">
        <f t="shared" si="57"/>
        <v>0</v>
      </c>
      <c r="BC201" s="1">
        <f t="shared" si="57"/>
        <v>0</v>
      </c>
    </row>
    <row r="202" spans="1:55" x14ac:dyDescent="0.25">
      <c r="A202" s="36" t="s">
        <v>60</v>
      </c>
      <c r="B202" s="37" t="s">
        <v>13</v>
      </c>
      <c r="C202" s="29" t="s">
        <v>62</v>
      </c>
      <c r="D202" s="2"/>
      <c r="E202" s="2"/>
      <c r="F202" s="214">
        <v>55</v>
      </c>
      <c r="G202" s="215">
        <v>150</v>
      </c>
      <c r="H202" s="215">
        <v>1250</v>
      </c>
      <c r="I202" s="51">
        <v>0</v>
      </c>
      <c r="J202" s="51">
        <v>0</v>
      </c>
      <c r="K202" s="51">
        <v>0</v>
      </c>
      <c r="L202" s="52">
        <v>0</v>
      </c>
      <c r="M202" s="51">
        <v>0</v>
      </c>
      <c r="N202" s="51">
        <v>0</v>
      </c>
      <c r="O202" s="51">
        <v>0</v>
      </c>
      <c r="P202" s="217">
        <f>2.2*0.7</f>
        <v>1.54</v>
      </c>
      <c r="Q202" s="51">
        <v>0</v>
      </c>
      <c r="R202" s="51">
        <v>0</v>
      </c>
      <c r="S202" s="51">
        <v>0</v>
      </c>
      <c r="T202" s="51">
        <v>0</v>
      </c>
      <c r="U202" s="51">
        <v>0</v>
      </c>
      <c r="V202" s="51">
        <v>0</v>
      </c>
      <c r="W202" s="51">
        <v>0</v>
      </c>
      <c r="X202" s="55">
        <v>0</v>
      </c>
      <c r="Y202" s="59">
        <f t="shared" si="44"/>
        <v>1455</v>
      </c>
      <c r="Z202" s="51">
        <f t="shared" si="45"/>
        <v>1.54</v>
      </c>
      <c r="AA202" s="51">
        <f t="shared" si="46"/>
        <v>1456.54</v>
      </c>
      <c r="AC202" s="36" t="s">
        <v>60</v>
      </c>
      <c r="AD202" s="37" t="s">
        <v>13</v>
      </c>
      <c r="AE202" s="29" t="s">
        <v>62</v>
      </c>
      <c r="AF202" s="2"/>
      <c r="AG202" s="2"/>
      <c r="AH202" s="1">
        <f t="shared" si="59"/>
        <v>241.81818181818181</v>
      </c>
      <c r="AI202" s="1">
        <f t="shared" si="59"/>
        <v>115.99999999999999</v>
      </c>
      <c r="AJ202" s="1">
        <f t="shared" si="59"/>
        <v>38.63552</v>
      </c>
      <c r="AK202" s="1" t="str">
        <f t="shared" si="59"/>
        <v/>
      </c>
      <c r="AL202" s="1" t="str">
        <f t="shared" si="59"/>
        <v/>
      </c>
      <c r="AM202" s="1" t="str">
        <f t="shared" si="59"/>
        <v/>
      </c>
      <c r="AN202" s="52" t="str">
        <f t="shared" si="59"/>
        <v/>
      </c>
      <c r="AO202" s="1" t="str">
        <f t="shared" si="59"/>
        <v/>
      </c>
      <c r="AP202" s="1" t="str">
        <f t="shared" si="59"/>
        <v/>
      </c>
      <c r="AQ202" s="1" t="str">
        <f t="shared" si="59"/>
        <v/>
      </c>
      <c r="AR202" s="1">
        <f t="shared" si="59"/>
        <v>311688.31168831169</v>
      </c>
      <c r="AS202" s="1" t="str">
        <f t="shared" si="59"/>
        <v/>
      </c>
      <c r="AT202" s="1" t="str">
        <f t="shared" si="59"/>
        <v/>
      </c>
      <c r="AU202" s="1" t="str">
        <f t="shared" si="59"/>
        <v/>
      </c>
      <c r="AV202" s="1" t="str">
        <f t="shared" si="59"/>
        <v/>
      </c>
      <c r="AW202" s="1" t="str">
        <f t="shared" si="57"/>
        <v/>
      </c>
      <c r="AX202" s="1" t="str">
        <f t="shared" si="57"/>
        <v/>
      </c>
      <c r="AY202" s="1" t="str">
        <f t="shared" si="57"/>
        <v/>
      </c>
      <c r="AZ202" s="1" t="str">
        <f t="shared" si="57"/>
        <v/>
      </c>
      <c r="BA202" s="1">
        <f t="shared" si="57"/>
        <v>0</v>
      </c>
      <c r="BB202" s="1">
        <f t="shared" si="57"/>
        <v>0</v>
      </c>
      <c r="BC202" s="1">
        <f t="shared" si="57"/>
        <v>0</v>
      </c>
    </row>
    <row r="203" spans="1:55" x14ac:dyDescent="0.25">
      <c r="A203" s="30" t="s">
        <v>60</v>
      </c>
      <c r="B203" s="31" t="s">
        <v>13</v>
      </c>
      <c r="C203" s="32" t="s">
        <v>63</v>
      </c>
      <c r="D203" s="2"/>
      <c r="E203" s="2"/>
      <c r="F203" s="51">
        <v>0</v>
      </c>
      <c r="G203" s="51">
        <v>0</v>
      </c>
      <c r="H203" s="51">
        <v>0</v>
      </c>
      <c r="I203" s="51">
        <v>0</v>
      </c>
      <c r="J203" s="51">
        <v>0</v>
      </c>
      <c r="K203" s="51">
        <v>0</v>
      </c>
      <c r="L203" s="52">
        <v>0</v>
      </c>
      <c r="M203" s="51">
        <v>0</v>
      </c>
      <c r="N203" s="51">
        <v>0</v>
      </c>
      <c r="O203" s="51">
        <v>0</v>
      </c>
      <c r="P203" s="51">
        <v>0</v>
      </c>
      <c r="Q203" s="51">
        <v>0</v>
      </c>
      <c r="R203" s="51">
        <v>0</v>
      </c>
      <c r="S203" s="51">
        <v>0</v>
      </c>
      <c r="T203" s="51">
        <v>0</v>
      </c>
      <c r="U203" s="51">
        <v>0</v>
      </c>
      <c r="V203" s="51">
        <v>0</v>
      </c>
      <c r="W203" s="51">
        <v>0</v>
      </c>
      <c r="X203" s="55">
        <v>0</v>
      </c>
      <c r="Y203" s="59">
        <f t="shared" si="44"/>
        <v>0</v>
      </c>
      <c r="Z203" s="51">
        <f t="shared" si="45"/>
        <v>0</v>
      </c>
      <c r="AA203" s="51">
        <f t="shared" si="46"/>
        <v>0</v>
      </c>
      <c r="AC203" s="30" t="s">
        <v>60</v>
      </c>
      <c r="AD203" s="31" t="s">
        <v>13</v>
      </c>
      <c r="AE203" s="32" t="s">
        <v>63</v>
      </c>
      <c r="AF203" s="2"/>
      <c r="AG203" s="2"/>
      <c r="AH203" s="1" t="str">
        <f t="shared" si="59"/>
        <v/>
      </c>
      <c r="AI203" s="1" t="str">
        <f t="shared" si="59"/>
        <v/>
      </c>
      <c r="AJ203" s="1" t="str">
        <f t="shared" si="59"/>
        <v/>
      </c>
      <c r="AK203" s="1" t="str">
        <f t="shared" si="59"/>
        <v/>
      </c>
      <c r="AL203" s="1" t="str">
        <f t="shared" si="59"/>
        <v/>
      </c>
      <c r="AM203" s="1" t="str">
        <f t="shared" si="59"/>
        <v/>
      </c>
      <c r="AN203" s="52" t="str">
        <f t="shared" si="59"/>
        <v/>
      </c>
      <c r="AO203" s="1" t="str">
        <f t="shared" si="59"/>
        <v/>
      </c>
      <c r="AP203" s="1" t="str">
        <f t="shared" si="59"/>
        <v/>
      </c>
      <c r="AQ203" s="1" t="str">
        <f t="shared" si="59"/>
        <v/>
      </c>
      <c r="AR203" s="1" t="str">
        <f t="shared" si="59"/>
        <v/>
      </c>
      <c r="AS203" s="1" t="str">
        <f t="shared" si="59"/>
        <v/>
      </c>
      <c r="AT203" s="1" t="str">
        <f t="shared" si="59"/>
        <v/>
      </c>
      <c r="AU203" s="1" t="str">
        <f t="shared" si="59"/>
        <v/>
      </c>
      <c r="AV203" s="1" t="str">
        <f t="shared" si="59"/>
        <v/>
      </c>
      <c r="AW203" s="1" t="str">
        <f t="shared" si="57"/>
        <v/>
      </c>
      <c r="AX203" s="1" t="str">
        <f t="shared" si="57"/>
        <v/>
      </c>
      <c r="AY203" s="1" t="str">
        <f t="shared" si="57"/>
        <v/>
      </c>
      <c r="AZ203" s="1" t="str">
        <f t="shared" si="57"/>
        <v/>
      </c>
      <c r="BA203" s="1" t="str">
        <f t="shared" si="57"/>
        <v/>
      </c>
      <c r="BB203" s="1" t="str">
        <f t="shared" si="57"/>
        <v/>
      </c>
      <c r="BC203" s="1" t="str">
        <f t="shared" si="57"/>
        <v/>
      </c>
    </row>
    <row r="204" spans="1:55" x14ac:dyDescent="0.25">
      <c r="A204" s="30" t="s">
        <v>60</v>
      </c>
      <c r="B204" s="32" t="s">
        <v>23</v>
      </c>
      <c r="C204" s="31" t="s">
        <v>50</v>
      </c>
      <c r="D204" s="2"/>
      <c r="E204" s="2"/>
      <c r="F204" s="64">
        <v>0</v>
      </c>
      <c r="G204" s="51">
        <v>0</v>
      </c>
      <c r="H204" s="51">
        <v>0</v>
      </c>
      <c r="I204" s="51">
        <v>0</v>
      </c>
      <c r="J204" s="80">
        <f>J24/J159</f>
        <v>0.43333333333333335</v>
      </c>
      <c r="K204" s="77">
        <f>K24/K159</f>
        <v>147.27272727272725</v>
      </c>
      <c r="L204" s="52">
        <v>0</v>
      </c>
      <c r="M204" s="51">
        <v>0</v>
      </c>
      <c r="N204" s="217">
        <v>0.3</v>
      </c>
      <c r="O204" s="51">
        <v>0</v>
      </c>
      <c r="P204" s="51">
        <v>0</v>
      </c>
      <c r="Q204" s="51">
        <v>0</v>
      </c>
      <c r="R204" s="51">
        <v>0</v>
      </c>
      <c r="S204" s="51">
        <v>0</v>
      </c>
      <c r="T204" s="51">
        <v>0</v>
      </c>
      <c r="U204" s="51">
        <v>0</v>
      </c>
      <c r="V204" s="51">
        <v>0</v>
      </c>
      <c r="W204" s="51">
        <v>0</v>
      </c>
      <c r="X204" s="55">
        <v>0</v>
      </c>
      <c r="Y204" s="59">
        <f t="shared" si="44"/>
        <v>147.70606060606059</v>
      </c>
      <c r="Z204" s="51">
        <f t="shared" si="45"/>
        <v>0.3</v>
      </c>
      <c r="AA204" s="51">
        <f t="shared" si="46"/>
        <v>148.0060606060606</v>
      </c>
      <c r="AC204" s="30" t="s">
        <v>60</v>
      </c>
      <c r="AD204" s="32" t="s">
        <v>23</v>
      </c>
      <c r="AE204" s="31" t="s">
        <v>50</v>
      </c>
      <c r="AF204" s="2"/>
      <c r="AG204" s="2"/>
      <c r="AH204" s="1" t="str">
        <f t="shared" si="59"/>
        <v/>
      </c>
      <c r="AI204" s="1" t="str">
        <f t="shared" si="59"/>
        <v/>
      </c>
      <c r="AJ204" s="1" t="str">
        <f t="shared" si="59"/>
        <v/>
      </c>
      <c r="AK204" s="1" t="str">
        <f t="shared" si="59"/>
        <v/>
      </c>
      <c r="AL204" s="1">
        <f t="shared" si="59"/>
        <v>692.30769230769226</v>
      </c>
      <c r="AM204" s="1">
        <f t="shared" si="59"/>
        <v>31.428571428571438</v>
      </c>
      <c r="AN204" s="52" t="str">
        <f t="shared" si="59"/>
        <v/>
      </c>
      <c r="AO204" s="1" t="str">
        <f t="shared" si="59"/>
        <v/>
      </c>
      <c r="AP204" s="1">
        <f t="shared" si="59"/>
        <v>121846.15384615384</v>
      </c>
      <c r="AQ204" s="1" t="str">
        <f t="shared" si="59"/>
        <v/>
      </c>
      <c r="AR204" s="1" t="str">
        <f t="shared" si="59"/>
        <v/>
      </c>
      <c r="AS204" s="1" t="str">
        <f t="shared" si="59"/>
        <v/>
      </c>
      <c r="AT204" s="1" t="str">
        <f t="shared" si="59"/>
        <v/>
      </c>
      <c r="AU204" s="1" t="str">
        <f t="shared" si="59"/>
        <v/>
      </c>
      <c r="AV204" s="1" t="str">
        <f t="shared" si="59"/>
        <v/>
      </c>
      <c r="AW204" s="1" t="str">
        <f t="shared" si="57"/>
        <v/>
      </c>
      <c r="AX204" s="1" t="str">
        <f t="shared" si="57"/>
        <v/>
      </c>
      <c r="AY204" s="1" t="str">
        <f t="shared" si="57"/>
        <v/>
      </c>
      <c r="AZ204" s="1" t="str">
        <f t="shared" si="57"/>
        <v/>
      </c>
      <c r="BA204" s="1">
        <f t="shared" si="57"/>
        <v>0</v>
      </c>
      <c r="BB204" s="1">
        <f t="shared" si="57"/>
        <v>0</v>
      </c>
      <c r="BC204" s="1">
        <f t="shared" si="57"/>
        <v>0</v>
      </c>
    </row>
    <row r="205" spans="1:55" x14ac:dyDescent="0.25">
      <c r="A205" s="30" t="s">
        <v>60</v>
      </c>
      <c r="B205" s="32" t="s">
        <v>23</v>
      </c>
      <c r="C205" s="31" t="s">
        <v>49</v>
      </c>
      <c r="D205" s="2"/>
      <c r="E205" s="2"/>
      <c r="F205" s="51">
        <v>0</v>
      </c>
      <c r="G205" s="51">
        <v>0</v>
      </c>
      <c r="H205" s="51">
        <v>0</v>
      </c>
      <c r="I205" s="51">
        <v>0</v>
      </c>
      <c r="J205" s="80">
        <f>J25/J160</f>
        <v>21.25</v>
      </c>
      <c r="K205" s="80">
        <f>K25/K160</f>
        <v>2</v>
      </c>
      <c r="L205" s="52">
        <v>0</v>
      </c>
      <c r="M205" s="51">
        <v>0</v>
      </c>
      <c r="N205" s="51">
        <v>0</v>
      </c>
      <c r="O205" s="51">
        <v>0</v>
      </c>
      <c r="P205" s="51">
        <v>0</v>
      </c>
      <c r="Q205" s="51">
        <v>0</v>
      </c>
      <c r="R205" s="51">
        <v>0</v>
      </c>
      <c r="S205" s="77">
        <f t="shared" ref="S205:X205" si="60">S25/S160</f>
        <v>1.1200000000000001</v>
      </c>
      <c r="T205" s="80">
        <f t="shared" si="60"/>
        <v>1.4778325123152709</v>
      </c>
      <c r="U205" s="86">
        <v>0</v>
      </c>
      <c r="V205" s="80">
        <f t="shared" si="60"/>
        <v>0</v>
      </c>
      <c r="W205" s="86">
        <v>0</v>
      </c>
      <c r="X205" s="80">
        <f t="shared" si="60"/>
        <v>1</v>
      </c>
      <c r="Y205" s="59">
        <f t="shared" si="44"/>
        <v>23.25</v>
      </c>
      <c r="Z205" s="51">
        <f t="shared" si="45"/>
        <v>3.597832512315271</v>
      </c>
      <c r="AA205" s="51">
        <f t="shared" si="46"/>
        <v>26.847832512315271</v>
      </c>
      <c r="AC205" s="30" t="s">
        <v>60</v>
      </c>
      <c r="AD205" s="32" t="s">
        <v>23</v>
      </c>
      <c r="AE205" s="31" t="s">
        <v>49</v>
      </c>
      <c r="AF205" s="2"/>
      <c r="AG205" s="2"/>
      <c r="AH205" s="1" t="str">
        <f t="shared" si="59"/>
        <v/>
      </c>
      <c r="AI205" s="1" t="str">
        <f t="shared" si="59"/>
        <v/>
      </c>
      <c r="AJ205" s="1" t="str">
        <f t="shared" si="59"/>
        <v/>
      </c>
      <c r="AK205" s="1" t="str">
        <f t="shared" si="59"/>
        <v/>
      </c>
      <c r="AL205" s="1">
        <f t="shared" si="59"/>
        <v>888.88888888888891</v>
      </c>
      <c r="AM205" s="1">
        <f t="shared" si="59"/>
        <v>888.8888888888888</v>
      </c>
      <c r="AN205" s="52" t="str">
        <f t="shared" si="59"/>
        <v/>
      </c>
      <c r="AO205" s="1" t="str">
        <f t="shared" si="59"/>
        <v/>
      </c>
      <c r="AP205" s="1" t="str">
        <f t="shared" si="59"/>
        <v/>
      </c>
      <c r="AQ205" s="1" t="str">
        <f t="shared" si="59"/>
        <v/>
      </c>
      <c r="AR205" s="1" t="str">
        <f t="shared" si="59"/>
        <v/>
      </c>
      <c r="AS205" s="1" t="str">
        <f t="shared" si="59"/>
        <v/>
      </c>
      <c r="AT205" s="1" t="str">
        <f t="shared" si="59"/>
        <v/>
      </c>
      <c r="AU205" s="1">
        <f t="shared" si="59"/>
        <v>2222.2222222222222</v>
      </c>
      <c r="AV205" s="1">
        <f t="shared" si="59"/>
        <v>11600</v>
      </c>
      <c r="AW205" s="1" t="str">
        <f t="shared" si="57"/>
        <v/>
      </c>
      <c r="AX205" s="1" t="str">
        <f t="shared" si="57"/>
        <v/>
      </c>
      <c r="AY205" s="1" t="str">
        <f t="shared" si="57"/>
        <v/>
      </c>
      <c r="AZ205" s="1">
        <f t="shared" si="57"/>
        <v>2222.2222222222222</v>
      </c>
      <c r="BA205" s="1">
        <f t="shared" si="57"/>
        <v>0</v>
      </c>
      <c r="BB205" s="1">
        <f t="shared" si="57"/>
        <v>0</v>
      </c>
      <c r="BC205" s="1">
        <f t="shared" si="57"/>
        <v>0</v>
      </c>
    </row>
    <row r="206" spans="1:55" x14ac:dyDescent="0.25">
      <c r="A206" s="30" t="s">
        <v>60</v>
      </c>
      <c r="B206" s="32" t="s">
        <v>23</v>
      </c>
      <c r="C206" s="31" t="s">
        <v>64</v>
      </c>
      <c r="D206" s="2"/>
      <c r="E206" s="2"/>
      <c r="F206" s="51">
        <v>0</v>
      </c>
      <c r="G206" s="51">
        <v>0</v>
      </c>
      <c r="H206" s="51">
        <v>0</v>
      </c>
      <c r="I206" s="51">
        <v>0</v>
      </c>
      <c r="J206" s="51">
        <v>0</v>
      </c>
      <c r="K206" s="51">
        <v>0</v>
      </c>
      <c r="L206" s="52">
        <v>0</v>
      </c>
      <c r="M206" s="51">
        <v>0</v>
      </c>
      <c r="N206" s="51">
        <v>0</v>
      </c>
      <c r="O206" s="51">
        <v>0</v>
      </c>
      <c r="P206" s="51">
        <v>0</v>
      </c>
      <c r="Q206" s="51">
        <v>0</v>
      </c>
      <c r="R206" s="51">
        <v>0</v>
      </c>
      <c r="S206" s="51">
        <v>0</v>
      </c>
      <c r="T206" s="51">
        <v>0</v>
      </c>
      <c r="U206" s="51">
        <v>0</v>
      </c>
      <c r="V206" s="51">
        <v>0</v>
      </c>
      <c r="W206" s="51">
        <v>0</v>
      </c>
      <c r="X206" s="55">
        <v>0</v>
      </c>
      <c r="Y206" s="59">
        <f t="shared" si="44"/>
        <v>0</v>
      </c>
      <c r="Z206" s="51">
        <f t="shared" si="45"/>
        <v>0</v>
      </c>
      <c r="AA206" s="51">
        <f t="shared" si="46"/>
        <v>0</v>
      </c>
      <c r="AC206" s="30" t="s">
        <v>60</v>
      </c>
      <c r="AD206" s="32" t="s">
        <v>23</v>
      </c>
      <c r="AE206" s="31" t="s">
        <v>64</v>
      </c>
      <c r="AF206" s="2"/>
      <c r="AG206" s="2"/>
      <c r="AH206" s="1" t="str">
        <f t="shared" si="59"/>
        <v/>
      </c>
      <c r="AI206" s="1" t="str">
        <f t="shared" si="59"/>
        <v/>
      </c>
      <c r="AJ206" s="1" t="str">
        <f t="shared" si="59"/>
        <v/>
      </c>
      <c r="AK206" s="1" t="str">
        <f t="shared" si="59"/>
        <v/>
      </c>
      <c r="AL206" s="1" t="str">
        <f t="shared" si="59"/>
        <v/>
      </c>
      <c r="AM206" s="1" t="str">
        <f t="shared" si="59"/>
        <v/>
      </c>
      <c r="AN206" s="52" t="str">
        <f t="shared" si="59"/>
        <v/>
      </c>
      <c r="AO206" s="1" t="str">
        <f t="shared" si="59"/>
        <v/>
      </c>
      <c r="AP206" s="1" t="str">
        <f t="shared" si="59"/>
        <v/>
      </c>
      <c r="AQ206" s="1" t="str">
        <f t="shared" si="59"/>
        <v/>
      </c>
      <c r="AR206" s="1" t="str">
        <f t="shared" si="59"/>
        <v/>
      </c>
      <c r="AS206" s="1" t="str">
        <f t="shared" si="59"/>
        <v/>
      </c>
      <c r="AT206" s="1" t="str">
        <f t="shared" si="59"/>
        <v/>
      </c>
      <c r="AU206" s="1" t="str">
        <f t="shared" si="59"/>
        <v/>
      </c>
      <c r="AV206" s="1" t="str">
        <f t="shared" si="59"/>
        <v/>
      </c>
      <c r="AW206" s="1" t="str">
        <f t="shared" si="57"/>
        <v/>
      </c>
      <c r="AX206" s="1" t="str">
        <f t="shared" si="57"/>
        <v/>
      </c>
      <c r="AY206" s="1" t="str">
        <f t="shared" si="57"/>
        <v/>
      </c>
      <c r="AZ206" s="1" t="str">
        <f t="shared" si="57"/>
        <v/>
      </c>
      <c r="BA206" s="1" t="str">
        <f t="shared" si="57"/>
        <v/>
      </c>
      <c r="BB206" s="1" t="str">
        <f t="shared" si="57"/>
        <v/>
      </c>
      <c r="BC206" s="1" t="str">
        <f t="shared" si="57"/>
        <v/>
      </c>
    </row>
    <row r="207" spans="1:55" x14ac:dyDescent="0.25">
      <c r="A207" s="30" t="s">
        <v>60</v>
      </c>
      <c r="B207" s="32" t="s">
        <v>65</v>
      </c>
      <c r="C207" s="31" t="s">
        <v>66</v>
      </c>
      <c r="D207" s="2"/>
      <c r="E207" s="2"/>
      <c r="F207" s="51">
        <v>0</v>
      </c>
      <c r="G207" s="51">
        <v>0</v>
      </c>
      <c r="H207" s="51">
        <v>0</v>
      </c>
      <c r="I207" s="51">
        <v>0</v>
      </c>
      <c r="J207" s="80">
        <f>J27/J162</f>
        <v>312.5</v>
      </c>
      <c r="K207" s="51">
        <v>0</v>
      </c>
      <c r="L207" s="52">
        <v>0</v>
      </c>
      <c r="M207" s="81">
        <f>M27/M162</f>
        <v>56</v>
      </c>
      <c r="N207" s="51">
        <v>0</v>
      </c>
      <c r="O207" s="51">
        <v>0</v>
      </c>
      <c r="P207" s="51">
        <v>0</v>
      </c>
      <c r="Q207" s="51">
        <v>0</v>
      </c>
      <c r="R207" s="51">
        <v>0</v>
      </c>
      <c r="S207" s="51">
        <v>0</v>
      </c>
      <c r="T207" s="51">
        <v>0</v>
      </c>
      <c r="U207" s="51">
        <v>0</v>
      </c>
      <c r="V207" s="51">
        <v>0</v>
      </c>
      <c r="W207" s="51">
        <v>0</v>
      </c>
      <c r="X207" s="55">
        <v>0</v>
      </c>
      <c r="Y207" s="59">
        <f t="shared" si="44"/>
        <v>312.5</v>
      </c>
      <c r="Z207" s="51">
        <f t="shared" si="45"/>
        <v>56</v>
      </c>
      <c r="AA207" s="51">
        <f t="shared" si="46"/>
        <v>368.5</v>
      </c>
      <c r="AC207" s="30" t="s">
        <v>60</v>
      </c>
      <c r="AD207" s="32" t="s">
        <v>65</v>
      </c>
      <c r="AE207" s="31" t="s">
        <v>66</v>
      </c>
      <c r="AF207" s="2"/>
      <c r="AG207" s="2"/>
      <c r="AH207" s="1" t="str">
        <f t="shared" si="59"/>
        <v/>
      </c>
      <c r="AI207" s="1" t="str">
        <f t="shared" si="59"/>
        <v/>
      </c>
      <c r="AJ207" s="1" t="str">
        <f t="shared" si="59"/>
        <v/>
      </c>
      <c r="AK207" s="1" t="str">
        <f t="shared" si="59"/>
        <v/>
      </c>
      <c r="AL207" s="1">
        <f t="shared" si="59"/>
        <v>1400</v>
      </c>
      <c r="AM207" s="1" t="str">
        <f t="shared" si="59"/>
        <v/>
      </c>
      <c r="AN207" s="52" t="str">
        <f t="shared" si="59"/>
        <v/>
      </c>
      <c r="AO207" s="1">
        <f t="shared" si="59"/>
        <v>7500</v>
      </c>
      <c r="AP207" s="1" t="str">
        <f t="shared" si="59"/>
        <v/>
      </c>
      <c r="AQ207" s="1" t="str">
        <f t="shared" si="59"/>
        <v/>
      </c>
      <c r="AR207" s="1" t="str">
        <f t="shared" si="59"/>
        <v/>
      </c>
      <c r="AS207" s="1" t="str">
        <f t="shared" si="59"/>
        <v/>
      </c>
      <c r="AT207" s="1" t="str">
        <f t="shared" si="59"/>
        <v/>
      </c>
      <c r="AU207" s="1" t="str">
        <f t="shared" si="59"/>
        <v/>
      </c>
      <c r="AV207" s="1" t="str">
        <f t="shared" si="59"/>
        <v/>
      </c>
      <c r="AW207" s="1" t="str">
        <f t="shared" si="57"/>
        <v/>
      </c>
      <c r="AX207" s="1" t="str">
        <f t="shared" si="57"/>
        <v/>
      </c>
      <c r="AY207" s="1" t="str">
        <f t="shared" si="57"/>
        <v/>
      </c>
      <c r="AZ207" s="1" t="str">
        <f t="shared" si="57"/>
        <v/>
      </c>
      <c r="BA207" s="1">
        <f t="shared" si="57"/>
        <v>0</v>
      </c>
      <c r="BB207" s="1">
        <f t="shared" si="57"/>
        <v>0</v>
      </c>
      <c r="BC207" s="1">
        <f t="shared" si="57"/>
        <v>0</v>
      </c>
    </row>
    <row r="208" spans="1:55" x14ac:dyDescent="0.25">
      <c r="A208" s="30" t="s">
        <v>60</v>
      </c>
      <c r="B208" s="32" t="s">
        <v>65</v>
      </c>
      <c r="C208" s="31" t="s">
        <v>67</v>
      </c>
      <c r="D208" s="2"/>
      <c r="E208" s="2"/>
      <c r="F208" s="51">
        <v>0</v>
      </c>
      <c r="G208" s="51">
        <v>0</v>
      </c>
      <c r="H208" s="51">
        <v>0</v>
      </c>
      <c r="I208" s="51">
        <v>0</v>
      </c>
      <c r="J208" s="51">
        <v>0</v>
      </c>
      <c r="K208" s="51">
        <v>0</v>
      </c>
      <c r="L208" s="52">
        <v>0</v>
      </c>
      <c r="M208" s="51">
        <v>0</v>
      </c>
      <c r="N208" s="51">
        <v>0</v>
      </c>
      <c r="O208" s="51">
        <v>0</v>
      </c>
      <c r="P208" s="51">
        <v>0</v>
      </c>
      <c r="Q208" s="80">
        <f>Q28/Q163</f>
        <v>34.468085106382979</v>
      </c>
      <c r="R208" s="80">
        <f>R28/R163</f>
        <v>33.802816901408448</v>
      </c>
      <c r="S208" s="51">
        <v>0</v>
      </c>
      <c r="T208" s="80">
        <f>T28/T163</f>
        <v>30.422535211267604</v>
      </c>
      <c r="U208" s="80">
        <f>U28/U163</f>
        <v>28.732394366197184</v>
      </c>
      <c r="V208" s="80">
        <f>V28/V163</f>
        <v>5.915492957746479</v>
      </c>
      <c r="W208" s="80">
        <f>W28/W163</f>
        <v>9.8591549295774641</v>
      </c>
      <c r="X208" s="80">
        <f>X28/X163</f>
        <v>5.915492957746479</v>
      </c>
      <c r="Y208" s="59">
        <f t="shared" si="44"/>
        <v>0</v>
      </c>
      <c r="Z208" s="51">
        <f t="shared" si="45"/>
        <v>149.11597243032662</v>
      </c>
      <c r="AA208" s="51">
        <f t="shared" si="46"/>
        <v>149.11597243032662</v>
      </c>
      <c r="AC208" s="30" t="s">
        <v>60</v>
      </c>
      <c r="AD208" s="32" t="s">
        <v>65</v>
      </c>
      <c r="AE208" s="31" t="s">
        <v>67</v>
      </c>
      <c r="AF208" s="2"/>
      <c r="AG208" s="2"/>
      <c r="AH208" s="1" t="str">
        <f t="shared" si="59"/>
        <v/>
      </c>
      <c r="AI208" s="1" t="str">
        <f t="shared" si="59"/>
        <v/>
      </c>
      <c r="AJ208" s="1" t="str">
        <f t="shared" si="59"/>
        <v/>
      </c>
      <c r="AK208" s="1" t="str">
        <f t="shared" si="59"/>
        <v/>
      </c>
      <c r="AL208" s="1" t="str">
        <f t="shared" si="59"/>
        <v/>
      </c>
      <c r="AM208" s="1" t="str">
        <f t="shared" si="59"/>
        <v/>
      </c>
      <c r="AN208" s="52" t="str">
        <f t="shared" si="59"/>
        <v/>
      </c>
      <c r="AO208" s="1" t="str">
        <f t="shared" si="59"/>
        <v/>
      </c>
      <c r="AP208" s="1" t="str">
        <f t="shared" si="59"/>
        <v/>
      </c>
      <c r="AQ208" s="1" t="str">
        <f t="shared" si="59"/>
        <v/>
      </c>
      <c r="AR208" s="1" t="str">
        <f t="shared" si="59"/>
        <v/>
      </c>
      <c r="AS208" s="1">
        <f t="shared" si="59"/>
        <v>26857.142857142855</v>
      </c>
      <c r="AT208" s="1">
        <f t="shared" si="59"/>
        <v>12171.428571428572</v>
      </c>
      <c r="AU208" s="1" t="str">
        <f t="shared" si="59"/>
        <v/>
      </c>
      <c r="AV208" s="1">
        <f t="shared" si="59"/>
        <v>12171.428571428572</v>
      </c>
      <c r="AW208" s="1">
        <f t="shared" si="57"/>
        <v>12171.428571428571</v>
      </c>
      <c r="AX208" s="1">
        <f t="shared" si="57"/>
        <v>12171.428571428571</v>
      </c>
      <c r="AY208" s="1">
        <f t="shared" si="57"/>
        <v>12171.428571428572</v>
      </c>
      <c r="AZ208" s="1">
        <f t="shared" si="57"/>
        <v>12171.428571428571</v>
      </c>
      <c r="BA208" s="1" t="str">
        <f t="shared" si="57"/>
        <v/>
      </c>
      <c r="BB208" s="1">
        <f t="shared" si="57"/>
        <v>0</v>
      </c>
      <c r="BC208" s="1">
        <f t="shared" si="57"/>
        <v>0</v>
      </c>
    </row>
    <row r="209" spans="1:55" x14ac:dyDescent="0.25">
      <c r="A209" s="30" t="s">
        <v>60</v>
      </c>
      <c r="B209" s="32" t="s">
        <v>65</v>
      </c>
      <c r="C209" s="31" t="s">
        <v>68</v>
      </c>
      <c r="D209" s="2"/>
      <c r="E209" s="2"/>
      <c r="F209" s="51">
        <v>0</v>
      </c>
      <c r="G209" s="51">
        <v>0</v>
      </c>
      <c r="H209" s="51">
        <v>0</v>
      </c>
      <c r="I209" s="51">
        <v>0</v>
      </c>
      <c r="J209" s="51">
        <v>0</v>
      </c>
      <c r="K209" s="51">
        <v>0</v>
      </c>
      <c r="L209" s="80">
        <f>L29/L164</f>
        <v>388.13333333333333</v>
      </c>
      <c r="M209" s="51">
        <v>0</v>
      </c>
      <c r="N209" s="51">
        <v>0</v>
      </c>
      <c r="O209" s="51">
        <v>0</v>
      </c>
      <c r="P209" s="51">
        <v>0</v>
      </c>
      <c r="Q209" s="51">
        <v>0</v>
      </c>
      <c r="R209" s="51">
        <v>0</v>
      </c>
      <c r="S209" s="51">
        <v>0</v>
      </c>
      <c r="T209" s="51">
        <v>0</v>
      </c>
      <c r="U209" s="51">
        <v>0</v>
      </c>
      <c r="V209" s="51">
        <v>0</v>
      </c>
      <c r="W209" s="51">
        <v>0</v>
      </c>
      <c r="X209" s="55">
        <v>0</v>
      </c>
      <c r="Y209" s="59">
        <f t="shared" si="44"/>
        <v>0</v>
      </c>
      <c r="Z209" s="51">
        <f t="shared" si="45"/>
        <v>0</v>
      </c>
      <c r="AA209" s="51">
        <f t="shared" si="46"/>
        <v>388.13333333333333</v>
      </c>
      <c r="AC209" s="30" t="s">
        <v>60</v>
      </c>
      <c r="AD209" s="32" t="s">
        <v>65</v>
      </c>
      <c r="AE209" s="31" t="s">
        <v>68</v>
      </c>
      <c r="AF209" s="2"/>
      <c r="AG209" s="2"/>
      <c r="AH209" s="1" t="str">
        <f t="shared" si="59"/>
        <v/>
      </c>
      <c r="AI209" s="1" t="str">
        <f t="shared" si="59"/>
        <v/>
      </c>
      <c r="AJ209" s="1" t="str">
        <f t="shared" si="59"/>
        <v/>
      </c>
      <c r="AK209" s="1" t="str">
        <f t="shared" si="59"/>
        <v/>
      </c>
      <c r="AL209" s="1" t="str">
        <f t="shared" si="59"/>
        <v/>
      </c>
      <c r="AM209" s="1" t="str">
        <f t="shared" si="59"/>
        <v/>
      </c>
      <c r="AN209" s="52">
        <f t="shared" si="59"/>
        <v>18750</v>
      </c>
      <c r="AO209" s="1" t="str">
        <f t="shared" si="59"/>
        <v/>
      </c>
      <c r="AP209" s="1" t="str">
        <f t="shared" si="59"/>
        <v/>
      </c>
      <c r="AQ209" s="1" t="str">
        <f t="shared" si="59"/>
        <v/>
      </c>
      <c r="AR209" s="1" t="str">
        <f t="shared" si="59"/>
        <v/>
      </c>
      <c r="AS209" s="1" t="str">
        <f t="shared" si="59"/>
        <v/>
      </c>
      <c r="AT209" s="1" t="str">
        <f t="shared" si="59"/>
        <v/>
      </c>
      <c r="AU209" s="1" t="str">
        <f t="shared" si="59"/>
        <v/>
      </c>
      <c r="AV209" s="1" t="str">
        <f t="shared" si="59"/>
        <v/>
      </c>
      <c r="AW209" s="1" t="str">
        <f t="shared" si="57"/>
        <v/>
      </c>
      <c r="AX209" s="1" t="str">
        <f t="shared" si="57"/>
        <v/>
      </c>
      <c r="AY209" s="1" t="str">
        <f t="shared" si="57"/>
        <v/>
      </c>
      <c r="AZ209" s="1" t="str">
        <f t="shared" si="57"/>
        <v/>
      </c>
      <c r="BA209" s="1" t="str">
        <f t="shared" si="57"/>
        <v/>
      </c>
      <c r="BB209" s="1" t="str">
        <f t="shared" si="57"/>
        <v/>
      </c>
      <c r="BC209" s="1">
        <f t="shared" si="57"/>
        <v>0</v>
      </c>
    </row>
    <row r="210" spans="1:55" x14ac:dyDescent="0.25">
      <c r="A210" s="30" t="s">
        <v>60</v>
      </c>
      <c r="B210" s="32" t="s">
        <v>9</v>
      </c>
      <c r="C210" s="31" t="s">
        <v>69</v>
      </c>
      <c r="D210" s="2"/>
      <c r="E210" s="2"/>
      <c r="F210" s="51">
        <v>0</v>
      </c>
      <c r="G210" s="51">
        <v>0</v>
      </c>
      <c r="H210" s="51">
        <v>0</v>
      </c>
      <c r="I210" s="51">
        <v>0</v>
      </c>
      <c r="J210" s="51">
        <v>0</v>
      </c>
      <c r="K210" s="51">
        <v>0</v>
      </c>
      <c r="L210" s="52">
        <v>0</v>
      </c>
      <c r="M210" s="51">
        <v>0</v>
      </c>
      <c r="N210" s="51">
        <v>0</v>
      </c>
      <c r="O210" s="51">
        <v>0</v>
      </c>
      <c r="P210" s="51">
        <v>0</v>
      </c>
      <c r="Q210" s="51">
        <v>0</v>
      </c>
      <c r="R210" s="51">
        <v>0</v>
      </c>
      <c r="S210" s="51">
        <v>0</v>
      </c>
      <c r="T210" s="51">
        <v>0</v>
      </c>
      <c r="U210" s="51">
        <v>0</v>
      </c>
      <c r="V210" s="51">
        <v>0</v>
      </c>
      <c r="W210" s="51">
        <v>0</v>
      </c>
      <c r="X210" s="80">
        <f>X30/X165</f>
        <v>3.4931813100827185</v>
      </c>
      <c r="Y210" s="80">
        <f t="shared" si="44"/>
        <v>0</v>
      </c>
      <c r="Z210" s="80">
        <f t="shared" si="45"/>
        <v>3.4931813100827185</v>
      </c>
      <c r="AA210" s="51">
        <f t="shared" si="46"/>
        <v>3.4931813100827185</v>
      </c>
      <c r="AC210" s="30" t="s">
        <v>60</v>
      </c>
      <c r="AD210" s="32" t="s">
        <v>9</v>
      </c>
      <c r="AE210" s="31" t="s">
        <v>69</v>
      </c>
      <c r="AF210" s="2"/>
      <c r="AG210" s="2"/>
      <c r="AH210" s="1" t="str">
        <f t="shared" si="59"/>
        <v/>
      </c>
      <c r="AI210" s="1" t="str">
        <f t="shared" si="59"/>
        <v/>
      </c>
      <c r="AJ210" s="1" t="str">
        <f t="shared" si="59"/>
        <v/>
      </c>
      <c r="AK210" s="1" t="str">
        <f t="shared" si="59"/>
        <v/>
      </c>
      <c r="AL210" s="1" t="str">
        <f t="shared" si="59"/>
        <v/>
      </c>
      <c r="AM210" s="1" t="str">
        <f t="shared" si="59"/>
        <v/>
      </c>
      <c r="AN210" s="52" t="str">
        <f t="shared" si="59"/>
        <v/>
      </c>
      <c r="AO210" s="1" t="str">
        <f t="shared" si="59"/>
        <v/>
      </c>
      <c r="AP210" s="1" t="str">
        <f t="shared" si="59"/>
        <v/>
      </c>
      <c r="AQ210" s="1" t="str">
        <f t="shared" si="59"/>
        <v/>
      </c>
      <c r="AR210" s="1" t="str">
        <f t="shared" si="59"/>
        <v/>
      </c>
      <c r="AS210" s="1" t="str">
        <f t="shared" si="59"/>
        <v/>
      </c>
      <c r="AT210" s="1" t="str">
        <f t="shared" si="59"/>
        <v/>
      </c>
      <c r="AU210" s="1" t="str">
        <f t="shared" si="59"/>
        <v/>
      </c>
      <c r="AV210" s="1" t="str">
        <f t="shared" si="59"/>
        <v/>
      </c>
      <c r="AW210" s="1" t="str">
        <f t="shared" si="57"/>
        <v/>
      </c>
      <c r="AX210" s="1" t="str">
        <f t="shared" si="57"/>
        <v/>
      </c>
      <c r="AY210" s="1" t="str">
        <f t="shared" si="57"/>
        <v/>
      </c>
      <c r="AZ210" s="1">
        <f t="shared" si="57"/>
        <v>7100</v>
      </c>
      <c r="BA210" s="1" t="str">
        <f t="shared" si="57"/>
        <v/>
      </c>
      <c r="BB210" s="1">
        <f t="shared" si="57"/>
        <v>0</v>
      </c>
      <c r="BC210" s="1">
        <f t="shared" si="57"/>
        <v>0</v>
      </c>
    </row>
    <row r="211" spans="1:55" x14ac:dyDescent="0.25">
      <c r="A211" s="15" t="s">
        <v>51</v>
      </c>
      <c r="B211" s="16" t="s">
        <v>56</v>
      </c>
      <c r="C211" s="27" t="s">
        <v>57</v>
      </c>
      <c r="D211" s="16" t="s">
        <v>70</v>
      </c>
      <c r="E211" s="16"/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52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54">
        <v>0</v>
      </c>
      <c r="Y211" s="58">
        <f t="shared" si="44"/>
        <v>0</v>
      </c>
      <c r="Z211" s="1">
        <f t="shared" si="45"/>
        <v>0</v>
      </c>
      <c r="AA211" s="1">
        <f t="shared" si="46"/>
        <v>0</v>
      </c>
      <c r="AC211" s="15" t="s">
        <v>51</v>
      </c>
      <c r="AD211" s="16" t="s">
        <v>56</v>
      </c>
      <c r="AE211" s="27" t="s">
        <v>57</v>
      </c>
      <c r="AF211" s="16" t="s">
        <v>70</v>
      </c>
      <c r="AG211" s="16"/>
      <c r="AH211" s="90" t="str">
        <f t="shared" si="59"/>
        <v/>
      </c>
      <c r="AI211" s="90" t="str">
        <f t="shared" si="59"/>
        <v/>
      </c>
      <c r="AJ211" s="90" t="str">
        <f t="shared" si="59"/>
        <v/>
      </c>
      <c r="AK211" s="90" t="str">
        <f t="shared" si="59"/>
        <v/>
      </c>
      <c r="AL211" s="90" t="str">
        <f t="shared" si="59"/>
        <v/>
      </c>
      <c r="AM211" s="90" t="str">
        <f t="shared" si="59"/>
        <v/>
      </c>
      <c r="AN211" s="90" t="str">
        <f t="shared" si="59"/>
        <v/>
      </c>
      <c r="AO211" s="90" t="str">
        <f t="shared" si="59"/>
        <v/>
      </c>
      <c r="AP211" s="90" t="str">
        <f t="shared" si="59"/>
        <v/>
      </c>
      <c r="AQ211" s="90" t="str">
        <f t="shared" si="59"/>
        <v/>
      </c>
      <c r="AR211" s="90" t="str">
        <f t="shared" si="59"/>
        <v/>
      </c>
      <c r="AS211" s="90" t="str">
        <f t="shared" si="59"/>
        <v/>
      </c>
      <c r="AT211" s="90" t="str">
        <f t="shared" si="59"/>
        <v/>
      </c>
      <c r="AU211" s="90" t="str">
        <f t="shared" si="59"/>
        <v/>
      </c>
      <c r="AV211" s="90" t="str">
        <f t="shared" si="59"/>
        <v/>
      </c>
      <c r="AW211" s="90" t="str">
        <f t="shared" si="57"/>
        <v/>
      </c>
      <c r="AX211" s="90" t="str">
        <f t="shared" si="57"/>
        <v/>
      </c>
      <c r="AY211" s="90" t="str">
        <f t="shared" si="57"/>
        <v/>
      </c>
      <c r="AZ211" s="90" t="str">
        <f t="shared" si="57"/>
        <v/>
      </c>
      <c r="BA211" s="90" t="str">
        <f t="shared" si="57"/>
        <v/>
      </c>
      <c r="BB211" s="90" t="str">
        <f t="shared" si="57"/>
        <v/>
      </c>
      <c r="BC211" s="90" t="str">
        <f t="shared" si="57"/>
        <v/>
      </c>
    </row>
    <row r="212" spans="1:55" x14ac:dyDescent="0.25">
      <c r="A212" s="15" t="s">
        <v>51</v>
      </c>
      <c r="B212" s="16" t="s">
        <v>56</v>
      </c>
      <c r="C212" s="27" t="s">
        <v>57</v>
      </c>
      <c r="D212" s="16" t="s">
        <v>71</v>
      </c>
      <c r="E212" s="16"/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52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54">
        <v>0</v>
      </c>
      <c r="Y212" s="58">
        <f t="shared" si="44"/>
        <v>0</v>
      </c>
      <c r="Z212" s="1">
        <f t="shared" si="45"/>
        <v>0</v>
      </c>
      <c r="AA212" s="1">
        <f t="shared" si="46"/>
        <v>0</v>
      </c>
      <c r="AC212" s="15" t="s">
        <v>51</v>
      </c>
      <c r="AD212" s="16" t="s">
        <v>56</v>
      </c>
      <c r="AE212" s="27" t="s">
        <v>57</v>
      </c>
      <c r="AF212" s="16" t="s">
        <v>71</v>
      </c>
      <c r="AG212" s="16"/>
      <c r="AH212" s="90" t="str">
        <f t="shared" si="59"/>
        <v/>
      </c>
      <c r="AI212" s="90" t="str">
        <f t="shared" si="59"/>
        <v/>
      </c>
      <c r="AJ212" s="90" t="str">
        <f t="shared" si="59"/>
        <v/>
      </c>
      <c r="AK212" s="90" t="str">
        <f t="shared" si="59"/>
        <v/>
      </c>
      <c r="AL212" s="90" t="str">
        <f t="shared" si="59"/>
        <v/>
      </c>
      <c r="AM212" s="90" t="str">
        <f t="shared" si="59"/>
        <v/>
      </c>
      <c r="AN212" s="90" t="str">
        <f t="shared" si="59"/>
        <v/>
      </c>
      <c r="AO212" s="90" t="str">
        <f t="shared" si="59"/>
        <v/>
      </c>
      <c r="AP212" s="90" t="str">
        <f t="shared" si="59"/>
        <v/>
      </c>
      <c r="AQ212" s="90" t="str">
        <f t="shared" si="59"/>
        <v/>
      </c>
      <c r="AR212" s="90" t="str">
        <f t="shared" si="59"/>
        <v/>
      </c>
      <c r="AS212" s="90" t="str">
        <f t="shared" si="59"/>
        <v/>
      </c>
      <c r="AT212" s="90" t="str">
        <f t="shared" si="59"/>
        <v/>
      </c>
      <c r="AU212" s="90" t="str">
        <f t="shared" si="59"/>
        <v/>
      </c>
      <c r="AV212" s="90" t="str">
        <f t="shared" si="59"/>
        <v/>
      </c>
      <c r="AW212" s="90" t="str">
        <f t="shared" si="57"/>
        <v/>
      </c>
      <c r="AX212" s="90" t="str">
        <f t="shared" si="57"/>
        <v/>
      </c>
      <c r="AY212" s="90" t="str">
        <f t="shared" si="57"/>
        <v/>
      </c>
      <c r="AZ212" s="90" t="str">
        <f t="shared" si="57"/>
        <v/>
      </c>
      <c r="BA212" s="90" t="str">
        <f t="shared" si="57"/>
        <v/>
      </c>
      <c r="BB212" s="90" t="str">
        <f t="shared" si="57"/>
        <v/>
      </c>
      <c r="BC212" s="90" t="str">
        <f t="shared" si="57"/>
        <v/>
      </c>
    </row>
    <row r="213" spans="1:55" x14ac:dyDescent="0.25">
      <c r="A213" s="15" t="s">
        <v>51</v>
      </c>
      <c r="B213" s="16" t="s">
        <v>56</v>
      </c>
      <c r="C213" s="27" t="s">
        <v>27</v>
      </c>
      <c r="D213" s="16" t="s">
        <v>72</v>
      </c>
      <c r="E213" s="16"/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52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54">
        <v>0</v>
      </c>
      <c r="Y213" s="58">
        <f t="shared" si="44"/>
        <v>0</v>
      </c>
      <c r="Z213" s="1">
        <f t="shared" si="45"/>
        <v>0</v>
      </c>
      <c r="AA213" s="1">
        <f t="shared" si="46"/>
        <v>0</v>
      </c>
      <c r="AC213" s="15" t="s">
        <v>51</v>
      </c>
      <c r="AD213" s="16" t="s">
        <v>56</v>
      </c>
      <c r="AE213" s="27" t="s">
        <v>27</v>
      </c>
      <c r="AF213" s="16" t="s">
        <v>72</v>
      </c>
      <c r="AG213" s="16"/>
      <c r="AH213" s="90" t="str">
        <f t="shared" si="59"/>
        <v/>
      </c>
      <c r="AI213" s="90" t="str">
        <f t="shared" si="59"/>
        <v/>
      </c>
      <c r="AJ213" s="90" t="str">
        <f t="shared" si="59"/>
        <v/>
      </c>
      <c r="AK213" s="90" t="str">
        <f t="shared" si="59"/>
        <v/>
      </c>
      <c r="AL213" s="90" t="str">
        <f t="shared" si="59"/>
        <v/>
      </c>
      <c r="AM213" s="90" t="str">
        <f t="shared" si="59"/>
        <v/>
      </c>
      <c r="AN213" s="90" t="str">
        <f t="shared" si="59"/>
        <v/>
      </c>
      <c r="AO213" s="90" t="str">
        <f t="shared" si="59"/>
        <v/>
      </c>
      <c r="AP213" s="90" t="str">
        <f t="shared" si="59"/>
        <v/>
      </c>
      <c r="AQ213" s="90" t="str">
        <f t="shared" si="59"/>
        <v/>
      </c>
      <c r="AR213" s="90" t="str">
        <f t="shared" si="59"/>
        <v/>
      </c>
      <c r="AS213" s="90" t="str">
        <f t="shared" si="59"/>
        <v/>
      </c>
      <c r="AT213" s="90" t="str">
        <f t="shared" si="59"/>
        <v/>
      </c>
      <c r="AU213" s="90" t="str">
        <f t="shared" si="59"/>
        <v/>
      </c>
      <c r="AV213" s="90" t="str">
        <f t="shared" si="59"/>
        <v/>
      </c>
      <c r="AW213" s="90" t="str">
        <f t="shared" si="57"/>
        <v/>
      </c>
      <c r="AX213" s="90" t="str">
        <f t="shared" si="57"/>
        <v/>
      </c>
      <c r="AY213" s="90" t="str">
        <f t="shared" si="57"/>
        <v/>
      </c>
      <c r="AZ213" s="90" t="str">
        <f t="shared" si="57"/>
        <v/>
      </c>
      <c r="BA213" s="90" t="str">
        <f t="shared" si="57"/>
        <v/>
      </c>
      <c r="BB213" s="90" t="str">
        <f t="shared" si="57"/>
        <v/>
      </c>
      <c r="BC213" s="90" t="str">
        <f t="shared" si="57"/>
        <v/>
      </c>
    </row>
    <row r="214" spans="1:55" x14ac:dyDescent="0.25">
      <c r="A214" s="15" t="s">
        <v>51</v>
      </c>
      <c r="B214" s="16" t="s">
        <v>56</v>
      </c>
      <c r="C214" s="27" t="s">
        <v>57</v>
      </c>
      <c r="D214" s="16" t="s">
        <v>73</v>
      </c>
      <c r="E214" s="16"/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52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54">
        <v>0</v>
      </c>
      <c r="Y214" s="58">
        <f t="shared" si="44"/>
        <v>0</v>
      </c>
      <c r="Z214" s="1">
        <f t="shared" si="45"/>
        <v>0</v>
      </c>
      <c r="AA214" s="1">
        <f t="shared" si="46"/>
        <v>0</v>
      </c>
      <c r="AC214" s="15" t="s">
        <v>51</v>
      </c>
      <c r="AD214" s="16" t="s">
        <v>56</v>
      </c>
      <c r="AE214" s="27" t="s">
        <v>57</v>
      </c>
      <c r="AF214" s="16" t="s">
        <v>73</v>
      </c>
      <c r="AG214" s="16"/>
      <c r="AH214" s="90" t="str">
        <f t="shared" si="59"/>
        <v/>
      </c>
      <c r="AI214" s="90" t="str">
        <f t="shared" si="59"/>
        <v/>
      </c>
      <c r="AJ214" s="90" t="str">
        <f t="shared" si="59"/>
        <v/>
      </c>
      <c r="AK214" s="90" t="str">
        <f t="shared" si="59"/>
        <v/>
      </c>
      <c r="AL214" s="90" t="str">
        <f t="shared" si="59"/>
        <v/>
      </c>
      <c r="AM214" s="90" t="str">
        <f t="shared" si="59"/>
        <v/>
      </c>
      <c r="AN214" s="90" t="str">
        <f t="shared" si="59"/>
        <v/>
      </c>
      <c r="AO214" s="90" t="str">
        <f t="shared" si="59"/>
        <v/>
      </c>
      <c r="AP214" s="90" t="str">
        <f t="shared" si="59"/>
        <v/>
      </c>
      <c r="AQ214" s="90" t="str">
        <f t="shared" si="59"/>
        <v/>
      </c>
      <c r="AR214" s="90" t="str">
        <f t="shared" si="59"/>
        <v/>
      </c>
      <c r="AS214" s="90" t="str">
        <f t="shared" si="59"/>
        <v/>
      </c>
      <c r="AT214" s="90" t="str">
        <f t="shared" si="59"/>
        <v/>
      </c>
      <c r="AU214" s="90" t="str">
        <f t="shared" si="59"/>
        <v/>
      </c>
      <c r="AV214" s="90" t="str">
        <f t="shared" si="59"/>
        <v/>
      </c>
      <c r="AW214" s="90" t="str">
        <f t="shared" si="57"/>
        <v/>
      </c>
      <c r="AX214" s="90" t="str">
        <f t="shared" si="57"/>
        <v/>
      </c>
      <c r="AY214" s="90" t="str">
        <f t="shared" si="57"/>
        <v/>
      </c>
      <c r="AZ214" s="90" t="str">
        <f t="shared" si="57"/>
        <v/>
      </c>
      <c r="BA214" s="90" t="str">
        <f t="shared" si="57"/>
        <v/>
      </c>
      <c r="BB214" s="90" t="str">
        <f t="shared" si="57"/>
        <v/>
      </c>
      <c r="BC214" s="90" t="str">
        <f t="shared" si="57"/>
        <v/>
      </c>
    </row>
    <row r="215" spans="1:55" x14ac:dyDescent="0.25">
      <c r="A215" s="15" t="s">
        <v>51</v>
      </c>
      <c r="B215" s="16" t="s">
        <v>56</v>
      </c>
      <c r="C215" s="27" t="s">
        <v>57</v>
      </c>
      <c r="D215" s="16" t="s">
        <v>74</v>
      </c>
      <c r="E215" s="16"/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52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54">
        <v>0</v>
      </c>
      <c r="Y215" s="58">
        <f t="shared" si="44"/>
        <v>0</v>
      </c>
      <c r="Z215" s="1">
        <f t="shared" si="45"/>
        <v>0</v>
      </c>
      <c r="AA215" s="1">
        <f t="shared" si="46"/>
        <v>0</v>
      </c>
      <c r="AC215" s="15" t="s">
        <v>51</v>
      </c>
      <c r="AD215" s="16" t="s">
        <v>56</v>
      </c>
      <c r="AE215" s="27" t="s">
        <v>57</v>
      </c>
      <c r="AF215" s="16" t="s">
        <v>74</v>
      </c>
      <c r="AG215" s="16"/>
      <c r="AH215" s="90" t="str">
        <f t="shared" si="59"/>
        <v/>
      </c>
      <c r="AI215" s="90" t="str">
        <f t="shared" si="59"/>
        <v/>
      </c>
      <c r="AJ215" s="90" t="str">
        <f t="shared" si="59"/>
        <v/>
      </c>
      <c r="AK215" s="90" t="str">
        <f t="shared" si="59"/>
        <v/>
      </c>
      <c r="AL215" s="90" t="str">
        <f t="shared" si="59"/>
        <v/>
      </c>
      <c r="AM215" s="90" t="str">
        <f t="shared" si="59"/>
        <v/>
      </c>
      <c r="AN215" s="90" t="str">
        <f t="shared" si="59"/>
        <v/>
      </c>
      <c r="AO215" s="90" t="str">
        <f t="shared" si="59"/>
        <v/>
      </c>
      <c r="AP215" s="90" t="str">
        <f t="shared" si="59"/>
        <v/>
      </c>
      <c r="AQ215" s="90" t="str">
        <f t="shared" si="59"/>
        <v/>
      </c>
      <c r="AR215" s="90" t="str">
        <f t="shared" si="59"/>
        <v/>
      </c>
      <c r="AS215" s="90" t="str">
        <f t="shared" si="59"/>
        <v/>
      </c>
      <c r="AT215" s="90" t="str">
        <f t="shared" si="59"/>
        <v/>
      </c>
      <c r="AU215" s="90" t="str">
        <f t="shared" si="59"/>
        <v/>
      </c>
      <c r="AV215" s="90" t="str">
        <f t="shared" si="59"/>
        <v/>
      </c>
      <c r="AW215" s="90" t="str">
        <f t="shared" si="57"/>
        <v/>
      </c>
      <c r="AX215" s="90" t="str">
        <f t="shared" si="57"/>
        <v/>
      </c>
      <c r="AY215" s="90" t="str">
        <f t="shared" si="57"/>
        <v/>
      </c>
      <c r="AZ215" s="90" t="str">
        <f t="shared" si="57"/>
        <v/>
      </c>
      <c r="BA215" s="90" t="str">
        <f t="shared" si="57"/>
        <v/>
      </c>
      <c r="BB215" s="90" t="str">
        <f t="shared" si="57"/>
        <v/>
      </c>
      <c r="BC215" s="90" t="str">
        <f t="shared" si="57"/>
        <v/>
      </c>
    </row>
    <row r="216" spans="1:55" x14ac:dyDescent="0.25">
      <c r="A216" s="30" t="s">
        <v>60</v>
      </c>
      <c r="B216" s="31" t="s">
        <v>13</v>
      </c>
      <c r="C216" s="32" t="s">
        <v>61</v>
      </c>
      <c r="D216" s="31" t="s">
        <v>75</v>
      </c>
      <c r="E216" s="31"/>
      <c r="F216" s="51">
        <f>F201*0.9</f>
        <v>81</v>
      </c>
      <c r="G216" s="73"/>
      <c r="H216" s="51">
        <f>H201</f>
        <v>250</v>
      </c>
      <c r="I216" s="51">
        <f>I201*0.9</f>
        <v>127.73793103448277</v>
      </c>
      <c r="J216" s="51">
        <f>J201*0.3</f>
        <v>24</v>
      </c>
      <c r="K216" s="51">
        <f>K201*0.8</f>
        <v>82.758620689655174</v>
      </c>
      <c r="L216" s="52">
        <v>0</v>
      </c>
      <c r="M216" s="73">
        <f>M201*0.1</f>
        <v>1.5</v>
      </c>
      <c r="N216" s="73">
        <v>0</v>
      </c>
      <c r="O216" s="73">
        <v>0</v>
      </c>
      <c r="P216" s="73">
        <v>0</v>
      </c>
      <c r="Q216" s="73"/>
      <c r="R216" s="73"/>
      <c r="S216" s="51"/>
      <c r="T216" s="51"/>
      <c r="U216" s="51"/>
      <c r="V216" s="51"/>
      <c r="W216" s="51">
        <f>W201</f>
        <v>0.32276995305164319</v>
      </c>
      <c r="X216" s="55">
        <f>X246*0.1</f>
        <v>4.7619047619047628</v>
      </c>
      <c r="Y216" s="59">
        <f t="shared" si="44"/>
        <v>565.49655172413793</v>
      </c>
      <c r="Z216" s="51">
        <f t="shared" si="45"/>
        <v>6.5846747149564058</v>
      </c>
      <c r="AA216" s="51">
        <f t="shared" si="46"/>
        <v>572.08122643909428</v>
      </c>
      <c r="AC216" s="30" t="s">
        <v>60</v>
      </c>
      <c r="AD216" s="31" t="s">
        <v>13</v>
      </c>
      <c r="AE216" s="32" t="s">
        <v>61</v>
      </c>
      <c r="AF216" s="31" t="s">
        <v>75</v>
      </c>
      <c r="AG216" s="31"/>
      <c r="AH216" s="1">
        <f t="shared" si="59"/>
        <v>274.44444444444446</v>
      </c>
      <c r="AI216" s="1" t="str">
        <f t="shared" si="59"/>
        <v/>
      </c>
      <c r="AJ216" s="1">
        <f t="shared" si="59"/>
        <v>26.342399999999998</v>
      </c>
      <c r="AK216" s="1">
        <f t="shared" si="59"/>
        <v>161.11111111111111</v>
      </c>
      <c r="AL216" s="1">
        <f t="shared" si="59"/>
        <v>286.76470588235293</v>
      </c>
      <c r="AM216" s="1">
        <f t="shared" si="59"/>
        <v>170.58823529411765</v>
      </c>
      <c r="AN216" s="52" t="str">
        <f t="shared" si="59"/>
        <v/>
      </c>
      <c r="AO216" s="1">
        <f t="shared" si="59"/>
        <v>2222.2222222222226</v>
      </c>
      <c r="AP216" s="1" t="str">
        <f t="shared" si="59"/>
        <v/>
      </c>
      <c r="AQ216" s="1" t="str">
        <f t="shared" si="59"/>
        <v/>
      </c>
      <c r="AR216" s="1" t="str">
        <f t="shared" si="59"/>
        <v/>
      </c>
      <c r="AS216" s="1" t="str">
        <f t="shared" si="59"/>
        <v/>
      </c>
      <c r="AT216" s="1" t="str">
        <f t="shared" si="59"/>
        <v/>
      </c>
      <c r="AU216" s="1" t="str">
        <f t="shared" si="59"/>
        <v/>
      </c>
      <c r="AV216" s="1" t="str">
        <f t="shared" si="59"/>
        <v/>
      </c>
      <c r="AW216" s="1" t="str">
        <f t="shared" si="57"/>
        <v/>
      </c>
      <c r="AX216" s="1" t="str">
        <f t="shared" si="57"/>
        <v/>
      </c>
      <c r="AY216" s="1">
        <f t="shared" si="57"/>
        <v>2366.6666666666665</v>
      </c>
      <c r="AZ216" s="1">
        <f t="shared" si="57"/>
        <v>3779.9999999999995</v>
      </c>
      <c r="BA216" s="1">
        <f t="shared" si="57"/>
        <v>0</v>
      </c>
      <c r="BB216" s="1">
        <f t="shared" si="57"/>
        <v>0</v>
      </c>
      <c r="BC216" s="1">
        <f t="shared" si="57"/>
        <v>0</v>
      </c>
    </row>
    <row r="217" spans="1:55" x14ac:dyDescent="0.25">
      <c r="A217" s="30" t="s">
        <v>60</v>
      </c>
      <c r="B217" s="31" t="s">
        <v>13</v>
      </c>
      <c r="C217" s="32" t="s">
        <v>61</v>
      </c>
      <c r="D217" s="31" t="s">
        <v>76</v>
      </c>
      <c r="E217" s="31"/>
      <c r="F217" s="51">
        <f>F201*0.1</f>
        <v>9</v>
      </c>
      <c r="G217" s="51">
        <v>0</v>
      </c>
      <c r="H217" s="51">
        <v>0</v>
      </c>
      <c r="I217" s="51">
        <f>I201*0.05</f>
        <v>7.0965517241379317</v>
      </c>
      <c r="J217" s="51">
        <f>J201*0.7</f>
        <v>56</v>
      </c>
      <c r="K217" s="51">
        <f>K201*0.05</f>
        <v>5.1724137931034484</v>
      </c>
      <c r="L217" s="52">
        <v>0</v>
      </c>
      <c r="M217" s="73">
        <f>M201*0.5</f>
        <v>7.5</v>
      </c>
      <c r="N217" s="73">
        <f>N201</f>
        <v>3.1</v>
      </c>
      <c r="O217" s="73">
        <f>O201*0.5</f>
        <v>0.45</v>
      </c>
      <c r="P217" s="73">
        <f>P201*0.49</f>
        <v>0.32340000000000002</v>
      </c>
      <c r="Q217" s="73"/>
      <c r="R217" s="73">
        <f>R201</f>
        <v>10.954616588419405</v>
      </c>
      <c r="S217" s="51"/>
      <c r="T217" s="51"/>
      <c r="U217" s="51"/>
      <c r="V217" s="51"/>
      <c r="W217" s="51"/>
      <c r="X217" s="55">
        <f>X246*0.1</f>
        <v>4.7619047619047628</v>
      </c>
      <c r="Y217" s="59">
        <f t="shared" si="44"/>
        <v>77.268965517241369</v>
      </c>
      <c r="Z217" s="51">
        <f t="shared" si="45"/>
        <v>27.089921350324165</v>
      </c>
      <c r="AA217" s="51">
        <f t="shared" si="46"/>
        <v>104.35888686756553</v>
      </c>
      <c r="AC217" s="30" t="s">
        <v>60</v>
      </c>
      <c r="AD217" s="31" t="s">
        <v>13</v>
      </c>
      <c r="AE217" s="32" t="s">
        <v>61</v>
      </c>
      <c r="AF217" s="31" t="s">
        <v>76</v>
      </c>
      <c r="AG217" s="31"/>
      <c r="AH217" s="1">
        <f t="shared" si="59"/>
        <v>274.44444444444451</v>
      </c>
      <c r="AI217" s="1" t="str">
        <f t="shared" si="59"/>
        <v/>
      </c>
      <c r="AJ217" s="1" t="str">
        <f t="shared" si="59"/>
        <v/>
      </c>
      <c r="AK217" s="1">
        <f t="shared" si="59"/>
        <v>161.11111111111109</v>
      </c>
      <c r="AL217" s="1">
        <f t="shared" si="59"/>
        <v>286.76470588235293</v>
      </c>
      <c r="AM217" s="1">
        <f t="shared" si="59"/>
        <v>170.58823529411765</v>
      </c>
      <c r="AN217" s="52" t="str">
        <f t="shared" si="59"/>
        <v/>
      </c>
      <c r="AO217" s="1">
        <f t="shared" si="59"/>
        <v>2222.2222222222222</v>
      </c>
      <c r="AP217" s="1">
        <f t="shared" si="59"/>
        <v>4879.0322580645161</v>
      </c>
      <c r="AQ217" s="1">
        <f t="shared" si="59"/>
        <v>49833.333333333336</v>
      </c>
      <c r="AR217" s="1">
        <f t="shared" si="59"/>
        <v>484848.48484848486</v>
      </c>
      <c r="AS217" s="1" t="str">
        <f t="shared" si="59"/>
        <v/>
      </c>
      <c r="AT217" s="1">
        <f t="shared" si="59"/>
        <v>2366.6666666666665</v>
      </c>
      <c r="AU217" s="1" t="str">
        <f t="shared" si="59"/>
        <v/>
      </c>
      <c r="AV217" s="1" t="str">
        <f t="shared" si="59"/>
        <v/>
      </c>
      <c r="AW217" s="1" t="str">
        <f t="shared" si="57"/>
        <v/>
      </c>
      <c r="AX217" s="1" t="str">
        <f t="shared" si="57"/>
        <v/>
      </c>
      <c r="AY217" s="1" t="str">
        <f t="shared" si="57"/>
        <v/>
      </c>
      <c r="AZ217" s="1">
        <f t="shared" si="57"/>
        <v>3779.9999999999995</v>
      </c>
      <c r="BA217" s="1">
        <f t="shared" si="57"/>
        <v>0</v>
      </c>
      <c r="BB217" s="1">
        <f t="shared" si="57"/>
        <v>0</v>
      </c>
      <c r="BC217" s="1">
        <f t="shared" si="57"/>
        <v>0</v>
      </c>
    </row>
    <row r="218" spans="1:55" x14ac:dyDescent="0.25">
      <c r="A218" s="30" t="s">
        <v>60</v>
      </c>
      <c r="B218" s="31" t="s">
        <v>13</v>
      </c>
      <c r="C218" s="32" t="s">
        <v>61</v>
      </c>
      <c r="D218" s="31" t="s">
        <v>77</v>
      </c>
      <c r="E218" s="31"/>
      <c r="F218" s="51">
        <v>0</v>
      </c>
      <c r="G218" s="51">
        <v>0</v>
      </c>
      <c r="H218" s="51">
        <v>0</v>
      </c>
      <c r="I218" s="51">
        <v>0</v>
      </c>
      <c r="J218" s="51">
        <v>0</v>
      </c>
      <c r="K218" s="51">
        <f>K201*0.1</f>
        <v>10.344827586206897</v>
      </c>
      <c r="L218" s="52">
        <v>0</v>
      </c>
      <c r="M218" s="73">
        <f>M201*0.4</f>
        <v>6</v>
      </c>
      <c r="N218" s="73">
        <v>0</v>
      </c>
      <c r="O218" s="73">
        <f>O201*0.5</f>
        <v>0.45</v>
      </c>
      <c r="P218" s="73">
        <f>P201*0.5</f>
        <v>0.33</v>
      </c>
      <c r="Q218" s="73"/>
      <c r="R218" s="73"/>
      <c r="S218" s="51"/>
      <c r="T218" s="51">
        <f>T201</f>
        <v>3.1298904538341161</v>
      </c>
      <c r="U218" s="51">
        <f>U201</f>
        <v>7.042253521126761</v>
      </c>
      <c r="V218" s="51"/>
      <c r="W218" s="51"/>
      <c r="X218" s="55">
        <f>X246*0.7</f>
        <v>33.333333333333336</v>
      </c>
      <c r="Y218" s="59">
        <f t="shared" si="44"/>
        <v>10.344827586206897</v>
      </c>
      <c r="Z218" s="51">
        <f t="shared" si="45"/>
        <v>50.285477308294212</v>
      </c>
      <c r="AA218" s="51">
        <f t="shared" si="46"/>
        <v>60.630304894501108</v>
      </c>
      <c r="AC218" s="30" t="s">
        <v>60</v>
      </c>
      <c r="AD218" s="31" t="s">
        <v>13</v>
      </c>
      <c r="AE218" s="32" t="s">
        <v>61</v>
      </c>
      <c r="AF218" s="31" t="s">
        <v>77</v>
      </c>
      <c r="AG218" s="31"/>
      <c r="AH218" s="1" t="str">
        <f t="shared" ref="AH218:AV225" si="61">IF(F218&gt;0,F263/F218*1000,"")</f>
        <v/>
      </c>
      <c r="AI218" s="1" t="str">
        <f t="shared" si="61"/>
        <v/>
      </c>
      <c r="AJ218" s="1" t="str">
        <f t="shared" si="61"/>
        <v/>
      </c>
      <c r="AK218" s="1" t="str">
        <f t="shared" si="61"/>
        <v/>
      </c>
      <c r="AL218" s="1" t="str">
        <f t="shared" si="61"/>
        <v/>
      </c>
      <c r="AM218" s="1">
        <f t="shared" si="61"/>
        <v>170.58823529411765</v>
      </c>
      <c r="AN218" s="52" t="str">
        <f t="shared" si="61"/>
        <v/>
      </c>
      <c r="AO218" s="1">
        <f t="shared" si="61"/>
        <v>2222.2222222222226</v>
      </c>
      <c r="AP218" s="1" t="str">
        <f t="shared" si="61"/>
        <v/>
      </c>
      <c r="AQ218" s="1">
        <f t="shared" si="61"/>
        <v>49833.333333333336</v>
      </c>
      <c r="AR218" s="1">
        <f t="shared" si="61"/>
        <v>484848.4848484848</v>
      </c>
      <c r="AS218" s="1" t="str">
        <f t="shared" si="61"/>
        <v/>
      </c>
      <c r="AT218" s="1" t="str">
        <f t="shared" si="61"/>
        <v/>
      </c>
      <c r="AU218" s="1" t="str">
        <f t="shared" si="61"/>
        <v/>
      </c>
      <c r="AV218" s="1">
        <f t="shared" si="61"/>
        <v>2366.6666666666665</v>
      </c>
      <c r="AW218" s="1">
        <f t="shared" si="57"/>
        <v>2366.6666666666665</v>
      </c>
      <c r="AX218" s="1" t="str">
        <f t="shared" si="57"/>
        <v/>
      </c>
      <c r="AY218" s="1" t="str">
        <f t="shared" si="57"/>
        <v/>
      </c>
      <c r="AZ218" s="1">
        <f t="shared" si="57"/>
        <v>3779.9999999999995</v>
      </c>
      <c r="BA218" s="1">
        <f t="shared" si="57"/>
        <v>0</v>
      </c>
      <c r="BB218" s="1">
        <f t="shared" si="57"/>
        <v>0</v>
      </c>
      <c r="BC218" s="1">
        <f t="shared" si="57"/>
        <v>0</v>
      </c>
    </row>
    <row r="219" spans="1:55" x14ac:dyDescent="0.25">
      <c r="A219" s="30" t="s">
        <v>60</v>
      </c>
      <c r="B219" s="31" t="s">
        <v>13</v>
      </c>
      <c r="C219" s="32" t="s">
        <v>61</v>
      </c>
      <c r="D219" s="31" t="s">
        <v>78</v>
      </c>
      <c r="E219" s="31"/>
      <c r="F219" s="51">
        <v>0</v>
      </c>
      <c r="G219" s="51">
        <v>0</v>
      </c>
      <c r="H219" s="51">
        <v>0</v>
      </c>
      <c r="I219" s="51">
        <f>I201*0.05</f>
        <v>7.0965517241379317</v>
      </c>
      <c r="J219" s="51">
        <v>0</v>
      </c>
      <c r="K219" s="51">
        <f>K201*0.05</f>
        <v>5.1724137931034484</v>
      </c>
      <c r="L219" s="52">
        <v>0</v>
      </c>
      <c r="M219" s="73">
        <f>M201*0</f>
        <v>0</v>
      </c>
      <c r="N219" s="73">
        <v>0</v>
      </c>
      <c r="O219" s="73">
        <f>O201*0</f>
        <v>0</v>
      </c>
      <c r="P219" s="73">
        <f>(P201)*0.01</f>
        <v>6.6000000000000008E-3</v>
      </c>
      <c r="Q219" s="73">
        <f>Q201</f>
        <v>6.0790273556230998</v>
      </c>
      <c r="R219" s="73"/>
      <c r="S219" s="51"/>
      <c r="T219" s="51"/>
      <c r="U219" s="51"/>
      <c r="V219" s="51"/>
      <c r="W219" s="51"/>
      <c r="X219" s="55">
        <f>X201*0.1</f>
        <v>2.0120724346076462</v>
      </c>
      <c r="Y219" s="59">
        <f t="shared" si="44"/>
        <v>12.26896551724138</v>
      </c>
      <c r="Z219" s="51">
        <f t="shared" si="45"/>
        <v>8.0976997902307453</v>
      </c>
      <c r="AA219" s="51">
        <f t="shared" si="46"/>
        <v>20.366665307472125</v>
      </c>
      <c r="AC219" s="30" t="s">
        <v>60</v>
      </c>
      <c r="AD219" s="31" t="s">
        <v>13</v>
      </c>
      <c r="AE219" s="32" t="s">
        <v>61</v>
      </c>
      <c r="AF219" s="31" t="s">
        <v>78</v>
      </c>
      <c r="AG219" s="31"/>
      <c r="AH219" s="1" t="str">
        <f t="shared" si="61"/>
        <v/>
      </c>
      <c r="AI219" s="1" t="str">
        <f t="shared" si="61"/>
        <v/>
      </c>
      <c r="AJ219" s="1" t="str">
        <f t="shared" si="61"/>
        <v/>
      </c>
      <c r="AK219" s="1">
        <f t="shared" si="61"/>
        <v>161.11111111111109</v>
      </c>
      <c r="AL219" s="1" t="str">
        <f t="shared" si="61"/>
        <v/>
      </c>
      <c r="AM219" s="1">
        <f t="shared" si="61"/>
        <v>170.58823529411765</v>
      </c>
      <c r="AN219" s="52" t="str">
        <f t="shared" si="61"/>
        <v/>
      </c>
      <c r="AO219" s="1" t="str">
        <f t="shared" si="61"/>
        <v/>
      </c>
      <c r="AP219" s="1" t="str">
        <f t="shared" si="61"/>
        <v/>
      </c>
      <c r="AQ219" s="1" t="str">
        <f t="shared" si="61"/>
        <v/>
      </c>
      <c r="AR219" s="1">
        <f t="shared" si="61"/>
        <v>484848.4848484848</v>
      </c>
      <c r="AS219" s="1">
        <f t="shared" si="61"/>
        <v>5222.2222222222226</v>
      </c>
      <c r="AT219" s="1" t="str">
        <f t="shared" si="61"/>
        <v/>
      </c>
      <c r="AU219" s="1" t="str">
        <f t="shared" si="61"/>
        <v/>
      </c>
      <c r="AV219" s="1" t="str">
        <f t="shared" si="61"/>
        <v/>
      </c>
      <c r="AW219" s="1" t="str">
        <f t="shared" si="57"/>
        <v/>
      </c>
      <c r="AX219" s="1" t="str">
        <f t="shared" si="57"/>
        <v/>
      </c>
      <c r="AY219" s="1" t="str">
        <f t="shared" si="57"/>
        <v/>
      </c>
      <c r="AZ219" s="1">
        <f t="shared" si="57"/>
        <v>2366.6666666666665</v>
      </c>
      <c r="BA219" s="1">
        <f t="shared" si="57"/>
        <v>0</v>
      </c>
      <c r="BB219" s="1">
        <f t="shared" si="57"/>
        <v>0</v>
      </c>
      <c r="BC219" s="1">
        <f t="shared" si="57"/>
        <v>0</v>
      </c>
    </row>
    <row r="220" spans="1:55" ht="15.75" thickBot="1" x14ac:dyDescent="0.3">
      <c r="A220" s="33" t="s">
        <v>60</v>
      </c>
      <c r="B220" s="34" t="s">
        <v>13</v>
      </c>
      <c r="C220" s="35" t="s">
        <v>61</v>
      </c>
      <c r="D220" s="34" t="s">
        <v>79</v>
      </c>
      <c r="E220" s="31"/>
      <c r="F220" s="51">
        <v>0</v>
      </c>
      <c r="G220" s="51">
        <v>0</v>
      </c>
      <c r="H220" s="51">
        <v>0</v>
      </c>
      <c r="I220" s="51">
        <v>0</v>
      </c>
      <c r="J220" s="51">
        <v>0</v>
      </c>
      <c r="K220" s="51">
        <v>0</v>
      </c>
      <c r="L220" s="52">
        <v>0</v>
      </c>
      <c r="M220" s="51">
        <v>0</v>
      </c>
      <c r="N220" s="51">
        <v>0</v>
      </c>
      <c r="O220" s="51">
        <v>0</v>
      </c>
      <c r="P220" s="51">
        <v>0</v>
      </c>
      <c r="Q220" s="51">
        <v>0</v>
      </c>
      <c r="R220" s="51">
        <v>0</v>
      </c>
      <c r="S220" s="51">
        <v>0</v>
      </c>
      <c r="T220" s="51">
        <v>0</v>
      </c>
      <c r="U220" s="51">
        <v>0</v>
      </c>
      <c r="V220" s="51">
        <v>0</v>
      </c>
      <c r="W220" s="51">
        <v>0</v>
      </c>
      <c r="X220" s="55">
        <v>0</v>
      </c>
      <c r="Y220" s="59">
        <f t="shared" si="44"/>
        <v>0</v>
      </c>
      <c r="Z220" s="51">
        <f t="shared" si="45"/>
        <v>0</v>
      </c>
      <c r="AA220" s="51">
        <f t="shared" si="46"/>
        <v>0</v>
      </c>
      <c r="AC220" s="33" t="s">
        <v>60</v>
      </c>
      <c r="AD220" s="34" t="s">
        <v>13</v>
      </c>
      <c r="AE220" s="35" t="s">
        <v>61</v>
      </c>
      <c r="AF220" s="34" t="s">
        <v>79</v>
      </c>
      <c r="AG220" s="31"/>
      <c r="AH220" s="1" t="str">
        <f t="shared" si="61"/>
        <v/>
      </c>
      <c r="AI220" s="1" t="str">
        <f t="shared" si="61"/>
        <v/>
      </c>
      <c r="AJ220" s="1" t="str">
        <f t="shared" si="61"/>
        <v/>
      </c>
      <c r="AK220" s="1" t="str">
        <f t="shared" si="61"/>
        <v/>
      </c>
      <c r="AL220" s="1" t="str">
        <f t="shared" si="61"/>
        <v/>
      </c>
      <c r="AM220" s="1" t="str">
        <f t="shared" si="61"/>
        <v/>
      </c>
      <c r="AN220" s="52" t="str">
        <f t="shared" si="61"/>
        <v/>
      </c>
      <c r="AO220" s="1" t="str">
        <f t="shared" si="61"/>
        <v/>
      </c>
      <c r="AP220" s="1" t="str">
        <f t="shared" si="61"/>
        <v/>
      </c>
      <c r="AQ220" s="1" t="str">
        <f t="shared" si="61"/>
        <v/>
      </c>
      <c r="AR220" s="1" t="str">
        <f t="shared" si="61"/>
        <v/>
      </c>
      <c r="AS220" s="1" t="str">
        <f t="shared" si="61"/>
        <v/>
      </c>
      <c r="AT220" s="1" t="str">
        <f t="shared" si="61"/>
        <v/>
      </c>
      <c r="AU220" s="1" t="str">
        <f t="shared" si="61"/>
        <v/>
      </c>
      <c r="AV220" s="1" t="str">
        <f t="shared" si="61"/>
        <v/>
      </c>
      <c r="AW220" s="1" t="str">
        <f t="shared" si="57"/>
        <v/>
      </c>
      <c r="AX220" s="1" t="str">
        <f t="shared" si="57"/>
        <v/>
      </c>
      <c r="AY220" s="1" t="str">
        <f t="shared" si="57"/>
        <v/>
      </c>
      <c r="AZ220" s="1" t="str">
        <f t="shared" si="57"/>
        <v/>
      </c>
      <c r="BA220" s="1" t="str">
        <f t="shared" si="57"/>
        <v/>
      </c>
      <c r="BB220" s="1" t="str">
        <f t="shared" si="57"/>
        <v/>
      </c>
      <c r="BC220" s="1" t="str">
        <f t="shared" si="57"/>
        <v/>
      </c>
    </row>
    <row r="221" spans="1:55" x14ac:dyDescent="0.25">
      <c r="A221" s="30" t="s">
        <v>60</v>
      </c>
      <c r="B221" s="31" t="s">
        <v>13</v>
      </c>
      <c r="C221" s="32" t="s">
        <v>62</v>
      </c>
      <c r="D221" s="31" t="s">
        <v>75</v>
      </c>
      <c r="E221" s="31"/>
      <c r="F221" s="51"/>
      <c r="G221" s="73">
        <f>G202</f>
        <v>150</v>
      </c>
      <c r="H221" s="51">
        <f>H202*0.4</f>
        <v>500</v>
      </c>
      <c r="I221" s="51">
        <v>0</v>
      </c>
      <c r="J221" s="51">
        <v>0</v>
      </c>
      <c r="K221" s="51">
        <v>0</v>
      </c>
      <c r="L221" s="52">
        <v>0</v>
      </c>
      <c r="M221" s="51">
        <v>0</v>
      </c>
      <c r="N221" s="51">
        <v>0</v>
      </c>
      <c r="O221" s="51">
        <v>0</v>
      </c>
      <c r="P221" s="51">
        <v>0</v>
      </c>
      <c r="Q221" s="51">
        <v>0</v>
      </c>
      <c r="R221" s="51">
        <v>0</v>
      </c>
      <c r="S221" s="51">
        <v>0</v>
      </c>
      <c r="T221" s="51">
        <v>0</v>
      </c>
      <c r="U221" s="51">
        <v>0</v>
      </c>
      <c r="V221" s="51">
        <v>0</v>
      </c>
      <c r="W221" s="51">
        <v>0</v>
      </c>
      <c r="X221" s="55">
        <v>0</v>
      </c>
      <c r="Y221" s="59">
        <f t="shared" si="44"/>
        <v>650</v>
      </c>
      <c r="Z221" s="51">
        <f t="shared" si="45"/>
        <v>0</v>
      </c>
      <c r="AA221" s="51">
        <f t="shared" si="46"/>
        <v>650</v>
      </c>
      <c r="AC221" s="30" t="s">
        <v>60</v>
      </c>
      <c r="AD221" s="31" t="s">
        <v>13</v>
      </c>
      <c r="AE221" s="32" t="s">
        <v>62</v>
      </c>
      <c r="AF221" s="31" t="s">
        <v>75</v>
      </c>
      <c r="AG221" s="31"/>
      <c r="AH221" s="1" t="str">
        <f t="shared" si="61"/>
        <v/>
      </c>
      <c r="AI221" s="1">
        <f t="shared" si="61"/>
        <v>115.99999999999999</v>
      </c>
      <c r="AJ221" s="1">
        <f t="shared" si="61"/>
        <v>38.63552</v>
      </c>
      <c r="AK221" s="1" t="str">
        <f t="shared" si="61"/>
        <v/>
      </c>
      <c r="AL221" s="1" t="str">
        <f t="shared" si="61"/>
        <v/>
      </c>
      <c r="AM221" s="1" t="str">
        <f t="shared" si="61"/>
        <v/>
      </c>
      <c r="AN221" s="52" t="str">
        <f t="shared" si="61"/>
        <v/>
      </c>
      <c r="AO221" s="1" t="str">
        <f t="shared" si="61"/>
        <v/>
      </c>
      <c r="AP221" s="1" t="str">
        <f t="shared" si="61"/>
        <v/>
      </c>
      <c r="AQ221" s="1" t="str">
        <f t="shared" si="61"/>
        <v/>
      </c>
      <c r="AR221" s="1" t="str">
        <f t="shared" si="61"/>
        <v/>
      </c>
      <c r="AS221" s="1" t="str">
        <f t="shared" si="61"/>
        <v/>
      </c>
      <c r="AT221" s="1" t="str">
        <f t="shared" si="61"/>
        <v/>
      </c>
      <c r="AU221" s="1" t="str">
        <f t="shared" si="61"/>
        <v/>
      </c>
      <c r="AV221" s="1" t="str">
        <f t="shared" si="61"/>
        <v/>
      </c>
      <c r="AW221" s="1" t="str">
        <f t="shared" si="57"/>
        <v/>
      </c>
      <c r="AX221" s="1" t="str">
        <f t="shared" si="57"/>
        <v/>
      </c>
      <c r="AY221" s="1" t="str">
        <f t="shared" si="57"/>
        <v/>
      </c>
      <c r="AZ221" s="1" t="str">
        <f t="shared" si="57"/>
        <v/>
      </c>
      <c r="BA221" s="1">
        <f t="shared" si="57"/>
        <v>0</v>
      </c>
      <c r="BB221" s="1" t="str">
        <f t="shared" si="57"/>
        <v/>
      </c>
      <c r="BC221" s="1">
        <f t="shared" si="57"/>
        <v>0</v>
      </c>
    </row>
    <row r="222" spans="1:55" x14ac:dyDescent="0.25">
      <c r="A222" s="30" t="s">
        <v>60</v>
      </c>
      <c r="B222" s="31" t="s">
        <v>13</v>
      </c>
      <c r="C222" s="32" t="s">
        <v>62</v>
      </c>
      <c r="D222" s="31" t="s">
        <v>76</v>
      </c>
      <c r="E222" s="31"/>
      <c r="F222" s="51">
        <f>F202</f>
        <v>55</v>
      </c>
      <c r="G222" s="51">
        <f>G202*0</f>
        <v>0</v>
      </c>
      <c r="H222" s="51">
        <f>H202*0.6</f>
        <v>750</v>
      </c>
      <c r="I222" s="51">
        <v>0</v>
      </c>
      <c r="J222" s="51">
        <v>0</v>
      </c>
      <c r="K222" s="51">
        <v>0</v>
      </c>
      <c r="L222" s="52">
        <v>0</v>
      </c>
      <c r="M222" s="51">
        <v>0</v>
      </c>
      <c r="N222" s="51">
        <v>0</v>
      </c>
      <c r="O222" s="51">
        <v>0</v>
      </c>
      <c r="P222" s="51">
        <f>P202</f>
        <v>1.54</v>
      </c>
      <c r="Q222" s="51">
        <v>0</v>
      </c>
      <c r="R222" s="51">
        <v>0</v>
      </c>
      <c r="S222" s="51">
        <v>0</v>
      </c>
      <c r="T222" s="51">
        <v>0</v>
      </c>
      <c r="U222" s="51">
        <v>0</v>
      </c>
      <c r="V222" s="51">
        <v>0</v>
      </c>
      <c r="W222" s="51">
        <v>0</v>
      </c>
      <c r="X222" s="55">
        <v>0</v>
      </c>
      <c r="Y222" s="59">
        <f t="shared" si="44"/>
        <v>805</v>
      </c>
      <c r="Z222" s="51">
        <f t="shared" si="45"/>
        <v>1.54</v>
      </c>
      <c r="AA222" s="51">
        <f t="shared" si="46"/>
        <v>806.54</v>
      </c>
      <c r="AC222" s="30" t="s">
        <v>60</v>
      </c>
      <c r="AD222" s="31" t="s">
        <v>13</v>
      </c>
      <c r="AE222" s="32" t="s">
        <v>62</v>
      </c>
      <c r="AF222" s="31" t="s">
        <v>76</v>
      </c>
      <c r="AG222" s="31"/>
      <c r="AH222" s="1">
        <f t="shared" si="61"/>
        <v>241.81818181818181</v>
      </c>
      <c r="AI222" s="1" t="str">
        <f t="shared" si="61"/>
        <v/>
      </c>
      <c r="AJ222" s="1">
        <f t="shared" si="61"/>
        <v>38.635519999999993</v>
      </c>
      <c r="AK222" s="1" t="str">
        <f t="shared" si="61"/>
        <v/>
      </c>
      <c r="AL222" s="1" t="str">
        <f t="shared" si="61"/>
        <v/>
      </c>
      <c r="AM222" s="1" t="str">
        <f t="shared" si="61"/>
        <v/>
      </c>
      <c r="AN222" s="52" t="str">
        <f t="shared" si="61"/>
        <v/>
      </c>
      <c r="AO222" s="1" t="str">
        <f t="shared" si="61"/>
        <v/>
      </c>
      <c r="AP222" s="1" t="str">
        <f t="shared" si="61"/>
        <v/>
      </c>
      <c r="AQ222" s="1" t="str">
        <f t="shared" si="61"/>
        <v/>
      </c>
      <c r="AR222" s="1">
        <f t="shared" si="61"/>
        <v>311688.31168831169</v>
      </c>
      <c r="AS222" s="1" t="str">
        <f t="shared" si="61"/>
        <v/>
      </c>
      <c r="AT222" s="1" t="str">
        <f t="shared" si="61"/>
        <v/>
      </c>
      <c r="AU222" s="1" t="str">
        <f t="shared" si="61"/>
        <v/>
      </c>
      <c r="AV222" s="1" t="str">
        <f t="shared" si="61"/>
        <v/>
      </c>
      <c r="AW222" s="1" t="str">
        <f t="shared" si="57"/>
        <v/>
      </c>
      <c r="AX222" s="1" t="str">
        <f t="shared" si="57"/>
        <v/>
      </c>
      <c r="AY222" s="1" t="str">
        <f t="shared" si="57"/>
        <v/>
      </c>
      <c r="AZ222" s="1" t="str">
        <f t="shared" si="57"/>
        <v/>
      </c>
      <c r="BA222" s="1">
        <f t="shared" si="57"/>
        <v>0</v>
      </c>
      <c r="BB222" s="1">
        <f t="shared" si="57"/>
        <v>0</v>
      </c>
      <c r="BC222" s="1">
        <f t="shared" si="57"/>
        <v>0</v>
      </c>
    </row>
    <row r="223" spans="1:55" x14ac:dyDescent="0.25">
      <c r="A223" s="30" t="s">
        <v>60</v>
      </c>
      <c r="B223" s="31" t="s">
        <v>13</v>
      </c>
      <c r="C223" s="32" t="s">
        <v>62</v>
      </c>
      <c r="D223" s="31" t="s">
        <v>77</v>
      </c>
      <c r="E223" s="31"/>
      <c r="F223" s="51">
        <v>0</v>
      </c>
      <c r="G223" s="51">
        <v>0</v>
      </c>
      <c r="H223" s="51">
        <v>0</v>
      </c>
      <c r="I223" s="51">
        <v>0</v>
      </c>
      <c r="J223" s="51">
        <v>0</v>
      </c>
      <c r="K223" s="51">
        <v>0</v>
      </c>
      <c r="L223" s="52">
        <v>0</v>
      </c>
      <c r="M223" s="51">
        <v>0</v>
      </c>
      <c r="N223" s="51">
        <v>0</v>
      </c>
      <c r="O223" s="51">
        <v>0</v>
      </c>
      <c r="P223" s="51">
        <v>0</v>
      </c>
      <c r="Q223" s="51">
        <v>0</v>
      </c>
      <c r="R223" s="51">
        <v>0</v>
      </c>
      <c r="S223" s="51">
        <v>0</v>
      </c>
      <c r="T223" s="51">
        <v>0</v>
      </c>
      <c r="U223" s="51">
        <v>0</v>
      </c>
      <c r="V223" s="51">
        <v>0</v>
      </c>
      <c r="W223" s="51">
        <v>0</v>
      </c>
      <c r="X223" s="55">
        <v>0</v>
      </c>
      <c r="Y223" s="59">
        <f t="shared" si="44"/>
        <v>0</v>
      </c>
      <c r="Z223" s="51">
        <f t="shared" si="45"/>
        <v>0</v>
      </c>
      <c r="AA223" s="51">
        <f t="shared" si="46"/>
        <v>0</v>
      </c>
      <c r="AC223" s="30" t="s">
        <v>60</v>
      </c>
      <c r="AD223" s="31" t="s">
        <v>13</v>
      </c>
      <c r="AE223" s="32" t="s">
        <v>62</v>
      </c>
      <c r="AF223" s="31" t="s">
        <v>77</v>
      </c>
      <c r="AG223" s="31"/>
      <c r="AH223" s="1" t="str">
        <f t="shared" si="61"/>
        <v/>
      </c>
      <c r="AI223" s="1" t="str">
        <f t="shared" si="61"/>
        <v/>
      </c>
      <c r="AJ223" s="1" t="str">
        <f t="shared" si="61"/>
        <v/>
      </c>
      <c r="AK223" s="1" t="str">
        <f t="shared" si="61"/>
        <v/>
      </c>
      <c r="AL223" s="1" t="str">
        <f t="shared" si="61"/>
        <v/>
      </c>
      <c r="AM223" s="1" t="str">
        <f t="shared" si="61"/>
        <v/>
      </c>
      <c r="AN223" s="52" t="str">
        <f t="shared" si="61"/>
        <v/>
      </c>
      <c r="AO223" s="1" t="str">
        <f t="shared" si="61"/>
        <v/>
      </c>
      <c r="AP223" s="1" t="str">
        <f t="shared" si="61"/>
        <v/>
      </c>
      <c r="AQ223" s="1" t="str">
        <f t="shared" si="61"/>
        <v/>
      </c>
      <c r="AR223" s="1" t="str">
        <f t="shared" si="61"/>
        <v/>
      </c>
      <c r="AS223" s="1" t="str">
        <f t="shared" si="61"/>
        <v/>
      </c>
      <c r="AT223" s="1" t="str">
        <f t="shared" si="61"/>
        <v/>
      </c>
      <c r="AU223" s="1" t="str">
        <f t="shared" si="61"/>
        <v/>
      </c>
      <c r="AV223" s="1" t="str">
        <f t="shared" si="61"/>
        <v/>
      </c>
      <c r="AW223" s="1" t="str">
        <f t="shared" si="57"/>
        <v/>
      </c>
      <c r="AX223" s="1" t="str">
        <f t="shared" si="57"/>
        <v/>
      </c>
      <c r="AY223" s="1" t="str">
        <f t="shared" si="57"/>
        <v/>
      </c>
      <c r="AZ223" s="1" t="str">
        <f t="shared" si="57"/>
        <v/>
      </c>
      <c r="BA223" s="1" t="str">
        <f t="shared" si="57"/>
        <v/>
      </c>
      <c r="BB223" s="1" t="str">
        <f t="shared" si="57"/>
        <v/>
      </c>
      <c r="BC223" s="1" t="str">
        <f t="shared" si="57"/>
        <v/>
      </c>
    </row>
    <row r="224" spans="1:55" x14ac:dyDescent="0.25">
      <c r="A224" s="30" t="s">
        <v>60</v>
      </c>
      <c r="B224" s="31" t="s">
        <v>13</v>
      </c>
      <c r="C224" s="32" t="s">
        <v>62</v>
      </c>
      <c r="D224" s="31" t="s">
        <v>78</v>
      </c>
      <c r="E224" s="31"/>
      <c r="F224" s="51">
        <v>0</v>
      </c>
      <c r="G224" s="51">
        <v>0</v>
      </c>
      <c r="H224" s="51">
        <v>0</v>
      </c>
      <c r="I224" s="51">
        <v>0</v>
      </c>
      <c r="J224" s="51">
        <v>0</v>
      </c>
      <c r="K224" s="51">
        <v>0</v>
      </c>
      <c r="L224" s="52">
        <v>0</v>
      </c>
      <c r="M224" s="51">
        <v>0</v>
      </c>
      <c r="N224" s="51">
        <v>0</v>
      </c>
      <c r="O224" s="51">
        <v>0</v>
      </c>
      <c r="P224" s="51">
        <v>0</v>
      </c>
      <c r="Q224" s="51">
        <v>0</v>
      </c>
      <c r="R224" s="51">
        <v>0</v>
      </c>
      <c r="S224" s="51">
        <v>0</v>
      </c>
      <c r="T224" s="51">
        <v>0</v>
      </c>
      <c r="U224" s="51">
        <v>0</v>
      </c>
      <c r="V224" s="51">
        <v>0</v>
      </c>
      <c r="W224" s="51">
        <v>0</v>
      </c>
      <c r="X224" s="55">
        <v>0</v>
      </c>
      <c r="Y224" s="59">
        <f t="shared" si="44"/>
        <v>0</v>
      </c>
      <c r="Z224" s="51">
        <f t="shared" si="45"/>
        <v>0</v>
      </c>
      <c r="AA224" s="51">
        <f t="shared" si="46"/>
        <v>0</v>
      </c>
      <c r="AC224" s="30" t="s">
        <v>60</v>
      </c>
      <c r="AD224" s="31" t="s">
        <v>13</v>
      </c>
      <c r="AE224" s="32" t="s">
        <v>62</v>
      </c>
      <c r="AF224" s="31" t="s">
        <v>78</v>
      </c>
      <c r="AG224" s="31"/>
      <c r="AH224" s="1" t="str">
        <f t="shared" si="61"/>
        <v/>
      </c>
      <c r="AI224" s="1" t="str">
        <f t="shared" si="61"/>
        <v/>
      </c>
      <c r="AJ224" s="1" t="str">
        <f t="shared" si="61"/>
        <v/>
      </c>
      <c r="AK224" s="1" t="str">
        <f t="shared" si="61"/>
        <v/>
      </c>
      <c r="AL224" s="1" t="str">
        <f t="shared" si="61"/>
        <v/>
      </c>
      <c r="AM224" s="1" t="str">
        <f t="shared" si="61"/>
        <v/>
      </c>
      <c r="AN224" s="52" t="str">
        <f t="shared" si="61"/>
        <v/>
      </c>
      <c r="AO224" s="1" t="str">
        <f t="shared" si="61"/>
        <v/>
      </c>
      <c r="AP224" s="1" t="str">
        <f t="shared" si="61"/>
        <v/>
      </c>
      <c r="AQ224" s="1" t="str">
        <f t="shared" si="61"/>
        <v/>
      </c>
      <c r="AR224" s="1" t="str">
        <f t="shared" si="61"/>
        <v/>
      </c>
      <c r="AS224" s="1" t="str">
        <f t="shared" si="61"/>
        <v/>
      </c>
      <c r="AT224" s="1" t="str">
        <f t="shared" si="61"/>
        <v/>
      </c>
      <c r="AU224" s="1" t="str">
        <f t="shared" si="61"/>
        <v/>
      </c>
      <c r="AV224" s="1" t="str">
        <f t="shared" si="61"/>
        <v/>
      </c>
      <c r="AW224" s="1" t="str">
        <f t="shared" si="57"/>
        <v/>
      </c>
      <c r="AX224" s="1" t="str">
        <f t="shared" si="57"/>
        <v/>
      </c>
      <c r="AY224" s="1" t="str">
        <f t="shared" si="57"/>
        <v/>
      </c>
      <c r="AZ224" s="1" t="str">
        <f t="shared" si="57"/>
        <v/>
      </c>
      <c r="BA224" s="1" t="str">
        <f t="shared" si="57"/>
        <v/>
      </c>
      <c r="BB224" s="1" t="str">
        <f t="shared" si="57"/>
        <v/>
      </c>
      <c r="BC224" s="1" t="str">
        <f t="shared" si="57"/>
        <v/>
      </c>
    </row>
    <row r="225" spans="1:55" ht="15.75" thickBot="1" x14ac:dyDescent="0.3">
      <c r="A225" s="33" t="s">
        <v>60</v>
      </c>
      <c r="B225" s="34" t="s">
        <v>13</v>
      </c>
      <c r="C225" s="32" t="s">
        <v>62</v>
      </c>
      <c r="D225" s="34" t="s">
        <v>79</v>
      </c>
      <c r="E225" s="31"/>
      <c r="F225" s="51">
        <v>0</v>
      </c>
      <c r="G225" s="51">
        <v>0</v>
      </c>
      <c r="H225" s="51">
        <v>0</v>
      </c>
      <c r="I225" s="51">
        <v>0</v>
      </c>
      <c r="J225" s="51">
        <v>0</v>
      </c>
      <c r="K225" s="51">
        <v>0</v>
      </c>
      <c r="L225" s="52">
        <v>0</v>
      </c>
      <c r="M225" s="51">
        <v>0</v>
      </c>
      <c r="N225" s="51">
        <v>0</v>
      </c>
      <c r="O225" s="51">
        <v>0</v>
      </c>
      <c r="P225" s="51">
        <v>0</v>
      </c>
      <c r="Q225" s="51">
        <v>0</v>
      </c>
      <c r="R225" s="51">
        <v>0</v>
      </c>
      <c r="S225" s="51">
        <v>0</v>
      </c>
      <c r="T225" s="51">
        <v>0</v>
      </c>
      <c r="U225" s="51">
        <v>0</v>
      </c>
      <c r="V225" s="51">
        <v>0</v>
      </c>
      <c r="W225" s="51">
        <v>0</v>
      </c>
      <c r="X225" s="55">
        <v>0</v>
      </c>
      <c r="Y225" s="59">
        <f t="shared" si="44"/>
        <v>0</v>
      </c>
      <c r="Z225" s="51">
        <f t="shared" si="45"/>
        <v>0</v>
      </c>
      <c r="AA225" s="51">
        <f t="shared" si="46"/>
        <v>0</v>
      </c>
      <c r="AC225" s="33" t="s">
        <v>60</v>
      </c>
      <c r="AD225" s="34" t="s">
        <v>13</v>
      </c>
      <c r="AE225" s="32" t="s">
        <v>62</v>
      </c>
      <c r="AF225" s="34" t="s">
        <v>79</v>
      </c>
      <c r="AG225" s="31"/>
      <c r="AH225" s="1" t="str">
        <f t="shared" si="61"/>
        <v/>
      </c>
      <c r="AI225" s="1" t="str">
        <f t="shared" si="61"/>
        <v/>
      </c>
      <c r="AJ225" s="1" t="str">
        <f t="shared" si="61"/>
        <v/>
      </c>
      <c r="AK225" s="1" t="str">
        <f t="shared" si="61"/>
        <v/>
      </c>
      <c r="AL225" s="1" t="str">
        <f t="shared" si="61"/>
        <v/>
      </c>
      <c r="AM225" s="1" t="str">
        <f t="shared" si="61"/>
        <v/>
      </c>
      <c r="AN225" s="52" t="str">
        <f t="shared" si="61"/>
        <v/>
      </c>
      <c r="AO225" s="1" t="str">
        <f t="shared" si="61"/>
        <v/>
      </c>
      <c r="AP225" s="1" t="str">
        <f t="shared" si="61"/>
        <v/>
      </c>
      <c r="AQ225" s="1" t="str">
        <f t="shared" si="61"/>
        <v/>
      </c>
      <c r="AR225" s="1" t="str">
        <f t="shared" si="61"/>
        <v/>
      </c>
      <c r="AS225" s="1" t="str">
        <f t="shared" si="61"/>
        <v/>
      </c>
      <c r="AT225" s="1" t="str">
        <f t="shared" si="61"/>
        <v/>
      </c>
      <c r="AU225" s="1" t="str">
        <f t="shared" si="61"/>
        <v/>
      </c>
      <c r="AV225" s="1" t="str">
        <f t="shared" si="61"/>
        <v/>
      </c>
      <c r="AW225" s="1" t="str">
        <f t="shared" si="57"/>
        <v/>
      </c>
      <c r="AX225" s="1" t="str">
        <f t="shared" si="57"/>
        <v/>
      </c>
      <c r="AY225" s="1" t="str">
        <f t="shared" si="57"/>
        <v/>
      </c>
      <c r="AZ225" s="1" t="str">
        <f t="shared" si="57"/>
        <v/>
      </c>
      <c r="BA225" s="1" t="str">
        <f t="shared" si="57"/>
        <v/>
      </c>
      <c r="BB225" s="1" t="str">
        <f t="shared" si="57"/>
        <v/>
      </c>
      <c r="BC225" s="1" t="str">
        <f t="shared" si="57"/>
        <v/>
      </c>
    </row>
    <row r="227" spans="1:55" x14ac:dyDescent="0.25">
      <c r="D227" s="41" t="s">
        <v>33</v>
      </c>
      <c r="E227" s="41"/>
      <c r="M227" s="24" t="s">
        <v>81</v>
      </c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</row>
    <row r="228" spans="1:55" x14ac:dyDescent="0.25">
      <c r="F228" s="23" t="s">
        <v>44</v>
      </c>
      <c r="G228" s="23"/>
      <c r="H228" s="23"/>
      <c r="I228" s="23"/>
      <c r="J228" s="23"/>
      <c r="K228" s="23"/>
      <c r="L228" s="7" t="s">
        <v>30</v>
      </c>
      <c r="M228" s="24" t="s">
        <v>46</v>
      </c>
      <c r="N228" s="24"/>
      <c r="O228" s="24"/>
      <c r="P228" s="24"/>
      <c r="Q228" s="24"/>
      <c r="R228" s="24" t="s">
        <v>47</v>
      </c>
      <c r="S228" s="24"/>
      <c r="T228" s="24"/>
      <c r="U228" s="24"/>
      <c r="V228" s="24"/>
      <c r="W228" s="24"/>
      <c r="X228" s="24"/>
      <c r="Y228" s="44" t="s">
        <v>85</v>
      </c>
      <c r="Z228" s="44" t="s">
        <v>48</v>
      </c>
      <c r="AA228" s="44" t="s">
        <v>3</v>
      </c>
    </row>
    <row r="229" spans="1:55" ht="63" x14ac:dyDescent="0.25">
      <c r="F229" s="38" t="s">
        <v>36</v>
      </c>
      <c r="G229" s="38" t="s">
        <v>37</v>
      </c>
      <c r="H229" s="38" t="s">
        <v>38</v>
      </c>
      <c r="I229" s="38" t="s">
        <v>80</v>
      </c>
      <c r="J229" s="38" t="s">
        <v>39</v>
      </c>
      <c r="K229" s="38" t="s">
        <v>45</v>
      </c>
      <c r="L229" s="39" t="s">
        <v>16</v>
      </c>
      <c r="M229" s="40" t="s">
        <v>34</v>
      </c>
      <c r="N229" s="40" t="s">
        <v>5</v>
      </c>
      <c r="O229" s="40" t="s">
        <v>7</v>
      </c>
      <c r="P229" s="40" t="s">
        <v>8</v>
      </c>
      <c r="Q229" s="40" t="s">
        <v>40</v>
      </c>
      <c r="R229" s="40" t="s">
        <v>41</v>
      </c>
      <c r="S229" s="40" t="s">
        <v>42</v>
      </c>
      <c r="T229" s="40" t="s">
        <v>31</v>
      </c>
      <c r="U229" s="40" t="s">
        <v>43</v>
      </c>
      <c r="V229" s="40" t="s">
        <v>82</v>
      </c>
      <c r="W229" s="40" t="s">
        <v>87</v>
      </c>
      <c r="X229" s="40" t="s">
        <v>83</v>
      </c>
      <c r="Y229" s="45" t="s">
        <v>3</v>
      </c>
      <c r="Z229" s="45" t="s">
        <v>86</v>
      </c>
      <c r="AA229" s="45" t="s">
        <v>3</v>
      </c>
    </row>
    <row r="230" spans="1:55" x14ac:dyDescent="0.25">
      <c r="A230" s="15" t="s">
        <v>51</v>
      </c>
      <c r="B230" s="2"/>
      <c r="C230" s="2"/>
      <c r="F230" s="1">
        <f t="shared" ref="F230:X230" si="62">F232+F233+F234</f>
        <v>0</v>
      </c>
      <c r="G230" s="1">
        <f t="shared" si="62"/>
        <v>0</v>
      </c>
      <c r="H230" s="1">
        <f t="shared" si="62"/>
        <v>0</v>
      </c>
      <c r="I230" s="1">
        <f t="shared" si="62"/>
        <v>0</v>
      </c>
      <c r="J230" s="1">
        <f t="shared" si="62"/>
        <v>0</v>
      </c>
      <c r="K230" s="1">
        <f t="shared" si="62"/>
        <v>0</v>
      </c>
      <c r="L230" s="52">
        <f t="shared" si="62"/>
        <v>0</v>
      </c>
      <c r="M230" s="1">
        <f t="shared" si="62"/>
        <v>0</v>
      </c>
      <c r="N230" s="1">
        <f t="shared" si="62"/>
        <v>0</v>
      </c>
      <c r="O230" s="1">
        <f t="shared" si="62"/>
        <v>0</v>
      </c>
      <c r="P230" s="1">
        <f t="shared" si="62"/>
        <v>0</v>
      </c>
      <c r="Q230" s="1">
        <f t="shared" si="62"/>
        <v>0</v>
      </c>
      <c r="R230" s="1">
        <f t="shared" si="62"/>
        <v>0</v>
      </c>
      <c r="S230" s="1">
        <f t="shared" si="62"/>
        <v>0</v>
      </c>
      <c r="T230" s="1">
        <f t="shared" si="62"/>
        <v>0</v>
      </c>
      <c r="U230" s="1">
        <f t="shared" si="62"/>
        <v>0</v>
      </c>
      <c r="V230" s="1">
        <f t="shared" si="62"/>
        <v>0</v>
      </c>
      <c r="W230" s="1">
        <f t="shared" si="62"/>
        <v>0</v>
      </c>
      <c r="X230" s="1">
        <f t="shared" si="62"/>
        <v>0</v>
      </c>
      <c r="Y230" s="58">
        <f t="shared" ref="Y230:Y238" si="63">SUM(F230:K230)</f>
        <v>0</v>
      </c>
      <c r="Z230" s="1">
        <f t="shared" ref="Z230:Z238" si="64">SUM(M230:X230)</f>
        <v>0</v>
      </c>
      <c r="AA230" s="1">
        <f t="shared" ref="AA230:AA238" si="65">L230+Y230+Z230</f>
        <v>0</v>
      </c>
    </row>
    <row r="231" spans="1:55" x14ac:dyDescent="0.25">
      <c r="A231" s="30" t="s">
        <v>60</v>
      </c>
      <c r="B231" s="2"/>
      <c r="C231" s="2"/>
      <c r="F231" s="1">
        <f>F235+F236+F237+F238</f>
        <v>38</v>
      </c>
      <c r="G231" s="1">
        <f t="shared" ref="G231:X231" si="66">G235+G236+G237+G238</f>
        <v>17.399999999999999</v>
      </c>
      <c r="H231" s="1">
        <f t="shared" si="66"/>
        <v>54.879999999999995</v>
      </c>
      <c r="I231" s="1">
        <f t="shared" si="66"/>
        <v>22.866666666666667</v>
      </c>
      <c r="J231" s="1">
        <f t="shared" si="66"/>
        <v>479.63006535947716</v>
      </c>
      <c r="K231" s="1">
        <f t="shared" si="66"/>
        <v>24.053408029878618</v>
      </c>
      <c r="L231" s="52">
        <f t="shared" si="66"/>
        <v>7277.5</v>
      </c>
      <c r="M231" s="1">
        <f t="shared" si="66"/>
        <v>453.33333333333331</v>
      </c>
      <c r="N231" s="1">
        <f t="shared" si="66"/>
        <v>51.678846153846152</v>
      </c>
      <c r="O231" s="1">
        <f t="shared" si="66"/>
        <v>44.85</v>
      </c>
      <c r="P231" s="1">
        <f t="shared" si="66"/>
        <v>800</v>
      </c>
      <c r="Q231" s="1">
        <f t="shared" si="66"/>
        <v>957.46031746031736</v>
      </c>
      <c r="R231" s="1">
        <f t="shared" si="66"/>
        <v>437.35449735449737</v>
      </c>
      <c r="S231" s="1">
        <f t="shared" si="66"/>
        <v>2.4888888888888894</v>
      </c>
      <c r="T231" s="1">
        <f t="shared" si="66"/>
        <v>394.83597883597884</v>
      </c>
      <c r="U231" s="1">
        <f t="shared" si="66"/>
        <v>366.38095238095241</v>
      </c>
      <c r="V231" s="1">
        <f t="shared" si="66"/>
        <v>72.277777777777771</v>
      </c>
      <c r="W231" s="1">
        <f t="shared" si="66"/>
        <v>120.76388888888889</v>
      </c>
      <c r="X231" s="54">
        <f t="shared" si="66"/>
        <v>146.64285714285714</v>
      </c>
      <c r="Y231" s="58">
        <f t="shared" si="63"/>
        <v>636.8301400560224</v>
      </c>
      <c r="Z231" s="1">
        <f t="shared" si="64"/>
        <v>3848.0673382173381</v>
      </c>
      <c r="AA231" s="1">
        <f t="shared" si="65"/>
        <v>11762.39747827336</v>
      </c>
      <c r="AE231" s="98" t="s">
        <v>168</v>
      </c>
      <c r="AF231" s="98"/>
      <c r="AG231" s="98"/>
    </row>
    <row r="232" spans="1:55" x14ac:dyDescent="0.25">
      <c r="A232" s="15" t="s">
        <v>51</v>
      </c>
      <c r="B232" s="16" t="s">
        <v>52</v>
      </c>
      <c r="C232" s="2"/>
      <c r="F232" s="1">
        <f>F239+F240+F241</f>
        <v>0</v>
      </c>
      <c r="G232" s="1">
        <f t="shared" ref="G232:X232" si="67">G239+G240+G241</f>
        <v>0</v>
      </c>
      <c r="H232" s="1">
        <f t="shared" si="67"/>
        <v>0</v>
      </c>
      <c r="I232" s="1">
        <f t="shared" si="67"/>
        <v>0</v>
      </c>
      <c r="J232" s="1">
        <f t="shared" si="67"/>
        <v>0</v>
      </c>
      <c r="K232" s="1">
        <f t="shared" si="67"/>
        <v>0</v>
      </c>
      <c r="L232" s="52">
        <f t="shared" si="67"/>
        <v>0</v>
      </c>
      <c r="M232" s="1">
        <f t="shared" si="67"/>
        <v>0</v>
      </c>
      <c r="N232" s="1">
        <f t="shared" si="67"/>
        <v>0</v>
      </c>
      <c r="O232" s="1">
        <f t="shared" si="67"/>
        <v>0</v>
      </c>
      <c r="P232" s="1">
        <f t="shared" si="67"/>
        <v>0</v>
      </c>
      <c r="Q232" s="1">
        <f t="shared" si="67"/>
        <v>0</v>
      </c>
      <c r="R232" s="1">
        <f t="shared" si="67"/>
        <v>0</v>
      </c>
      <c r="S232" s="1">
        <f t="shared" si="67"/>
        <v>0</v>
      </c>
      <c r="T232" s="1">
        <f t="shared" si="67"/>
        <v>0</v>
      </c>
      <c r="U232" s="1">
        <f t="shared" si="67"/>
        <v>0</v>
      </c>
      <c r="V232" s="1">
        <f t="shared" si="67"/>
        <v>0</v>
      </c>
      <c r="W232" s="1">
        <f t="shared" si="67"/>
        <v>0</v>
      </c>
      <c r="X232" s="54">
        <f t="shared" si="67"/>
        <v>0</v>
      </c>
      <c r="Y232" s="58">
        <f t="shared" si="63"/>
        <v>0</v>
      </c>
      <c r="Z232" s="1">
        <f t="shared" si="64"/>
        <v>0</v>
      </c>
      <c r="AA232" s="1">
        <f t="shared" si="65"/>
        <v>0</v>
      </c>
      <c r="AE232" s="98">
        <f>52+38+32+29+14+13+9+7+25+20</f>
        <v>239</v>
      </c>
      <c r="AF232" s="98" t="s">
        <v>98</v>
      </c>
      <c r="AG232" s="98"/>
    </row>
    <row r="233" spans="1:55" x14ac:dyDescent="0.25">
      <c r="A233" s="15" t="s">
        <v>51</v>
      </c>
      <c r="B233" s="16" t="s">
        <v>56</v>
      </c>
      <c r="C233" s="2"/>
      <c r="F233" s="1">
        <f>F242+F243+F244</f>
        <v>0</v>
      </c>
      <c r="G233" s="1">
        <f t="shared" ref="G233:X233" si="68">G242+G243+G244</f>
        <v>0</v>
      </c>
      <c r="H233" s="1">
        <f t="shared" si="68"/>
        <v>0</v>
      </c>
      <c r="I233" s="1">
        <f t="shared" si="68"/>
        <v>0</v>
      </c>
      <c r="J233" s="1">
        <f t="shared" si="68"/>
        <v>0</v>
      </c>
      <c r="K233" s="1">
        <f t="shared" si="68"/>
        <v>0</v>
      </c>
      <c r="L233" s="52">
        <f t="shared" si="68"/>
        <v>0</v>
      </c>
      <c r="M233" s="1">
        <f t="shared" si="68"/>
        <v>0</v>
      </c>
      <c r="N233" s="1">
        <f t="shared" si="68"/>
        <v>0</v>
      </c>
      <c r="O233" s="1">
        <f t="shared" si="68"/>
        <v>0</v>
      </c>
      <c r="P233" s="1">
        <f t="shared" si="68"/>
        <v>0</v>
      </c>
      <c r="Q233" s="1">
        <f t="shared" si="68"/>
        <v>0</v>
      </c>
      <c r="R233" s="1">
        <f t="shared" si="68"/>
        <v>0</v>
      </c>
      <c r="S233" s="1">
        <f t="shared" si="68"/>
        <v>0</v>
      </c>
      <c r="T233" s="1">
        <f t="shared" si="68"/>
        <v>0</v>
      </c>
      <c r="U233" s="1">
        <f t="shared" si="68"/>
        <v>0</v>
      </c>
      <c r="V233" s="1">
        <f t="shared" si="68"/>
        <v>0</v>
      </c>
      <c r="W233" s="1">
        <f t="shared" si="68"/>
        <v>0</v>
      </c>
      <c r="X233" s="54">
        <f t="shared" si="68"/>
        <v>0</v>
      </c>
      <c r="Y233" s="58">
        <f t="shared" si="63"/>
        <v>0</v>
      </c>
      <c r="Z233" s="1">
        <f t="shared" si="64"/>
        <v>0</v>
      </c>
      <c r="AA233" s="1">
        <f t="shared" si="65"/>
        <v>0</v>
      </c>
      <c r="AE233" s="98"/>
      <c r="AF233" s="98" t="s">
        <v>169</v>
      </c>
      <c r="AG233" s="98"/>
    </row>
    <row r="234" spans="1:55" x14ac:dyDescent="0.25">
      <c r="A234" s="15" t="s">
        <v>51</v>
      </c>
      <c r="B234" s="16" t="s">
        <v>9</v>
      </c>
      <c r="C234" s="2"/>
      <c r="F234" s="1">
        <f>F245</f>
        <v>0</v>
      </c>
      <c r="G234" s="1">
        <f t="shared" ref="G234:X234" si="69">G245</f>
        <v>0</v>
      </c>
      <c r="H234" s="1">
        <f t="shared" si="69"/>
        <v>0</v>
      </c>
      <c r="I234" s="1">
        <f t="shared" si="69"/>
        <v>0</v>
      </c>
      <c r="J234" s="1">
        <f t="shared" si="69"/>
        <v>0</v>
      </c>
      <c r="K234" s="1">
        <f t="shared" si="69"/>
        <v>0</v>
      </c>
      <c r="L234" s="52">
        <f t="shared" si="69"/>
        <v>0</v>
      </c>
      <c r="M234" s="1">
        <f t="shared" si="69"/>
        <v>0</v>
      </c>
      <c r="N234" s="1">
        <f t="shared" si="69"/>
        <v>0</v>
      </c>
      <c r="O234" s="1">
        <f t="shared" si="69"/>
        <v>0</v>
      </c>
      <c r="P234" s="1">
        <f t="shared" si="69"/>
        <v>0</v>
      </c>
      <c r="Q234" s="1">
        <f t="shared" si="69"/>
        <v>0</v>
      </c>
      <c r="R234" s="1">
        <f t="shared" si="69"/>
        <v>0</v>
      </c>
      <c r="S234" s="1">
        <f t="shared" si="69"/>
        <v>0</v>
      </c>
      <c r="T234" s="1">
        <f t="shared" si="69"/>
        <v>0</v>
      </c>
      <c r="U234" s="1">
        <f t="shared" si="69"/>
        <v>0</v>
      </c>
      <c r="V234" s="1">
        <f t="shared" si="69"/>
        <v>0</v>
      </c>
      <c r="W234" s="1">
        <f t="shared" si="69"/>
        <v>0</v>
      </c>
      <c r="X234" s="54">
        <f t="shared" si="69"/>
        <v>0</v>
      </c>
      <c r="Y234" s="58">
        <f t="shared" si="63"/>
        <v>0</v>
      </c>
      <c r="Z234" s="1">
        <f t="shared" si="64"/>
        <v>0</v>
      </c>
      <c r="AA234" s="1">
        <f t="shared" si="65"/>
        <v>0</v>
      </c>
      <c r="AE234" s="98"/>
      <c r="AF234" t="s">
        <v>170</v>
      </c>
    </row>
    <row r="235" spans="1:55" x14ac:dyDescent="0.25">
      <c r="A235" s="30" t="s">
        <v>60</v>
      </c>
      <c r="B235" s="32" t="s">
        <v>13</v>
      </c>
      <c r="C235" s="2"/>
      <c r="F235" s="51">
        <f>F246+F247+F248</f>
        <v>38</v>
      </c>
      <c r="G235" s="51">
        <f t="shared" ref="G235:X235" si="70">G246+G247+G248</f>
        <v>17.399999999999999</v>
      </c>
      <c r="H235" s="51">
        <f t="shared" si="70"/>
        <v>54.879999999999995</v>
      </c>
      <c r="I235" s="51">
        <f t="shared" si="70"/>
        <v>22.866666666666667</v>
      </c>
      <c r="J235" s="51">
        <f t="shared" si="70"/>
        <v>22.941176470588236</v>
      </c>
      <c r="K235" s="51">
        <f t="shared" si="70"/>
        <v>17.647058823529413</v>
      </c>
      <c r="L235" s="52">
        <f t="shared" si="70"/>
        <v>0</v>
      </c>
      <c r="M235" s="51">
        <f t="shared" si="70"/>
        <v>33.333333333333336</v>
      </c>
      <c r="N235" s="51">
        <f t="shared" si="70"/>
        <v>15.125</v>
      </c>
      <c r="O235" s="51">
        <f t="shared" si="70"/>
        <v>44.85</v>
      </c>
      <c r="P235" s="51">
        <f t="shared" si="70"/>
        <v>800</v>
      </c>
      <c r="Q235" s="51">
        <f t="shared" si="70"/>
        <v>31.746031746031743</v>
      </c>
      <c r="R235" s="51">
        <f t="shared" si="70"/>
        <v>25.925925925925927</v>
      </c>
      <c r="S235" s="51">
        <f t="shared" si="70"/>
        <v>0</v>
      </c>
      <c r="T235" s="51">
        <f t="shared" si="70"/>
        <v>7.4074074074074083</v>
      </c>
      <c r="U235" s="51">
        <f t="shared" si="70"/>
        <v>16.666666666666668</v>
      </c>
      <c r="V235" s="51">
        <f t="shared" si="70"/>
        <v>0.27777777777777779</v>
      </c>
      <c r="W235" s="51">
        <f t="shared" si="70"/>
        <v>0.76388888888888884</v>
      </c>
      <c r="X235" s="55">
        <f t="shared" si="70"/>
        <v>47.619047619047628</v>
      </c>
      <c r="Y235" s="59">
        <f t="shared" si="63"/>
        <v>173.73490196078433</v>
      </c>
      <c r="Z235" s="51">
        <f t="shared" si="64"/>
        <v>1023.7150793650794</v>
      </c>
      <c r="AA235" s="51">
        <f t="shared" si="65"/>
        <v>1197.4499813258637</v>
      </c>
    </row>
    <row r="236" spans="1:55" x14ac:dyDescent="0.25">
      <c r="A236" s="30" t="s">
        <v>60</v>
      </c>
      <c r="B236" s="31" t="s">
        <v>23</v>
      </c>
      <c r="C236" s="2"/>
      <c r="F236" s="51">
        <f>F249+F250+F251</f>
        <v>0</v>
      </c>
      <c r="G236" s="51">
        <f t="shared" ref="G236:X236" si="71">G249+G250+G251</f>
        <v>0</v>
      </c>
      <c r="H236" s="51">
        <f t="shared" si="71"/>
        <v>0</v>
      </c>
      <c r="I236" s="51">
        <f t="shared" si="71"/>
        <v>0</v>
      </c>
      <c r="J236" s="51">
        <f t="shared" si="71"/>
        <v>19.18888888888889</v>
      </c>
      <c r="K236" s="51">
        <f t="shared" si="71"/>
        <v>6.4063492063492067</v>
      </c>
      <c r="L236" s="52">
        <f t="shared" si="71"/>
        <v>0</v>
      </c>
      <c r="M236" s="51">
        <f t="shared" si="71"/>
        <v>0</v>
      </c>
      <c r="N236" s="51">
        <f t="shared" si="71"/>
        <v>36.553846153846152</v>
      </c>
      <c r="O236" s="51">
        <f t="shared" si="71"/>
        <v>0</v>
      </c>
      <c r="P236" s="51">
        <f t="shared" si="71"/>
        <v>0</v>
      </c>
      <c r="Q236" s="51">
        <f t="shared" si="71"/>
        <v>0</v>
      </c>
      <c r="R236" s="51">
        <f t="shared" si="71"/>
        <v>0</v>
      </c>
      <c r="S236" s="51">
        <f t="shared" si="71"/>
        <v>2.4888888888888894</v>
      </c>
      <c r="T236" s="51">
        <f t="shared" si="71"/>
        <v>17.142857142857142</v>
      </c>
      <c r="U236" s="51">
        <f t="shared" si="71"/>
        <v>0</v>
      </c>
      <c r="V236" s="51">
        <f t="shared" si="71"/>
        <v>0</v>
      </c>
      <c r="W236" s="51">
        <f t="shared" si="71"/>
        <v>0</v>
      </c>
      <c r="X236" s="55">
        <f t="shared" si="71"/>
        <v>2.2222222222222223</v>
      </c>
      <c r="Y236" s="59">
        <f t="shared" si="63"/>
        <v>25.595238095238095</v>
      </c>
      <c r="Z236" s="51">
        <f t="shared" si="64"/>
        <v>58.407814407814406</v>
      </c>
      <c r="AA236" s="51">
        <f t="shared" si="65"/>
        <v>84.003052503052501</v>
      </c>
    </row>
    <row r="237" spans="1:55" x14ac:dyDescent="0.25">
      <c r="A237" s="30" t="s">
        <v>60</v>
      </c>
      <c r="B237" s="31" t="s">
        <v>65</v>
      </c>
      <c r="C237" s="46"/>
      <c r="F237" s="51">
        <f>F252+F253+F254</f>
        <v>0</v>
      </c>
      <c r="G237" s="51">
        <f t="shared" ref="G237:X237" si="72">G252+G253+G254</f>
        <v>0</v>
      </c>
      <c r="H237" s="51">
        <f t="shared" si="72"/>
        <v>0</v>
      </c>
      <c r="I237" s="51">
        <f t="shared" si="72"/>
        <v>0</v>
      </c>
      <c r="J237" s="51">
        <f t="shared" si="72"/>
        <v>437.5</v>
      </c>
      <c r="K237" s="51">
        <f t="shared" si="72"/>
        <v>0</v>
      </c>
      <c r="L237" s="52">
        <f t="shared" si="72"/>
        <v>7277.5</v>
      </c>
      <c r="M237" s="51">
        <f t="shared" si="72"/>
        <v>420</v>
      </c>
      <c r="N237" s="51">
        <f t="shared" si="72"/>
        <v>0</v>
      </c>
      <c r="O237" s="51">
        <f t="shared" si="72"/>
        <v>0</v>
      </c>
      <c r="P237" s="51">
        <f t="shared" si="72"/>
        <v>0</v>
      </c>
      <c r="Q237" s="51">
        <f t="shared" si="72"/>
        <v>925.71428571428567</v>
      </c>
      <c r="R237" s="51">
        <f t="shared" si="72"/>
        <v>411.42857142857144</v>
      </c>
      <c r="S237" s="51">
        <f t="shared" si="72"/>
        <v>0</v>
      </c>
      <c r="T237" s="51">
        <f t="shared" si="72"/>
        <v>370.28571428571428</v>
      </c>
      <c r="U237" s="51">
        <f t="shared" si="72"/>
        <v>349.71428571428572</v>
      </c>
      <c r="V237" s="51">
        <f t="shared" si="72"/>
        <v>72</v>
      </c>
      <c r="W237" s="51">
        <f t="shared" si="72"/>
        <v>120</v>
      </c>
      <c r="X237" s="55">
        <f t="shared" si="72"/>
        <v>72</v>
      </c>
      <c r="Y237" s="59">
        <f t="shared" si="63"/>
        <v>437.5</v>
      </c>
      <c r="Z237" s="51">
        <f t="shared" si="64"/>
        <v>2741.1428571428573</v>
      </c>
      <c r="AA237" s="51">
        <f t="shared" si="65"/>
        <v>10456.142857142857</v>
      </c>
    </row>
    <row r="238" spans="1:55" ht="15.75" thickBot="1" x14ac:dyDescent="0.3">
      <c r="A238" s="48" t="s">
        <v>60</v>
      </c>
      <c r="B238" s="49" t="s">
        <v>9</v>
      </c>
      <c r="C238" s="50"/>
      <c r="D238" s="50"/>
      <c r="E238" s="50"/>
      <c r="F238" s="53">
        <f>F255</f>
        <v>0</v>
      </c>
      <c r="G238" s="53">
        <f t="shared" ref="G238:X238" si="73">G255</f>
        <v>0</v>
      </c>
      <c r="H238" s="53">
        <f t="shared" si="73"/>
        <v>0</v>
      </c>
      <c r="I238" s="53">
        <f t="shared" si="73"/>
        <v>0</v>
      </c>
      <c r="J238" s="53">
        <f t="shared" si="73"/>
        <v>0</v>
      </c>
      <c r="K238" s="53">
        <f t="shared" si="73"/>
        <v>0</v>
      </c>
      <c r="L238" s="62">
        <f t="shared" si="73"/>
        <v>0</v>
      </c>
      <c r="M238" s="53">
        <f t="shared" si="73"/>
        <v>0</v>
      </c>
      <c r="N238" s="53">
        <f t="shared" si="73"/>
        <v>0</v>
      </c>
      <c r="O238" s="53">
        <f t="shared" si="73"/>
        <v>0</v>
      </c>
      <c r="P238" s="53">
        <f t="shared" si="73"/>
        <v>0</v>
      </c>
      <c r="Q238" s="53">
        <f t="shared" si="73"/>
        <v>0</v>
      </c>
      <c r="R238" s="53">
        <f t="shared" si="73"/>
        <v>0</v>
      </c>
      <c r="S238" s="53">
        <f t="shared" si="73"/>
        <v>0</v>
      </c>
      <c r="T238" s="53">
        <f t="shared" si="73"/>
        <v>0</v>
      </c>
      <c r="U238" s="53">
        <f t="shared" si="73"/>
        <v>0</v>
      </c>
      <c r="V238" s="53">
        <f t="shared" si="73"/>
        <v>0</v>
      </c>
      <c r="W238" s="53">
        <f t="shared" si="73"/>
        <v>0</v>
      </c>
      <c r="X238" s="56">
        <f t="shared" si="73"/>
        <v>24.801587301587301</v>
      </c>
      <c r="Y238" s="60">
        <f t="shared" si="63"/>
        <v>0</v>
      </c>
      <c r="Z238" s="53">
        <f t="shared" si="64"/>
        <v>24.801587301587301</v>
      </c>
      <c r="AA238" s="53">
        <f t="shared" si="65"/>
        <v>24.801587301587301</v>
      </c>
    </row>
    <row r="239" spans="1:55" ht="15.75" thickTop="1" x14ac:dyDescent="0.25">
      <c r="A239" s="15" t="s">
        <v>51</v>
      </c>
      <c r="B239" s="16" t="s">
        <v>52</v>
      </c>
      <c r="C239" s="16" t="s">
        <v>53</v>
      </c>
      <c r="D239" s="2"/>
      <c r="E239" s="2"/>
      <c r="F239" s="47">
        <f t="shared" ref="F239:AA250" si="74">IF(F284&gt;0,F14/F284,0)</f>
        <v>0</v>
      </c>
      <c r="G239" s="47">
        <f t="shared" si="74"/>
        <v>0</v>
      </c>
      <c r="H239" s="47">
        <f t="shared" si="74"/>
        <v>0</v>
      </c>
      <c r="I239" s="47">
        <f t="shared" si="74"/>
        <v>0</v>
      </c>
      <c r="J239" s="47">
        <f t="shared" si="74"/>
        <v>0</v>
      </c>
      <c r="K239" s="47">
        <f t="shared" si="74"/>
        <v>0</v>
      </c>
      <c r="L239" s="63">
        <f t="shared" si="74"/>
        <v>0</v>
      </c>
      <c r="M239" s="47">
        <f t="shared" si="74"/>
        <v>0</v>
      </c>
      <c r="N239" s="47">
        <f t="shared" si="74"/>
        <v>0</v>
      </c>
      <c r="O239" s="47">
        <f t="shared" si="74"/>
        <v>0</v>
      </c>
      <c r="P239" s="47">
        <f t="shared" si="74"/>
        <v>0</v>
      </c>
      <c r="Q239" s="47">
        <f t="shared" si="74"/>
        <v>0</v>
      </c>
      <c r="R239" s="47">
        <f t="shared" si="74"/>
        <v>0</v>
      </c>
      <c r="S239" s="47">
        <f t="shared" si="74"/>
        <v>0</v>
      </c>
      <c r="T239" s="47">
        <f t="shared" si="74"/>
        <v>0</v>
      </c>
      <c r="U239" s="47">
        <f t="shared" si="74"/>
        <v>0</v>
      </c>
      <c r="V239" s="47">
        <f t="shared" si="74"/>
        <v>0</v>
      </c>
      <c r="W239" s="47">
        <f t="shared" si="74"/>
        <v>0</v>
      </c>
      <c r="X239" s="57">
        <f t="shared" si="74"/>
        <v>0</v>
      </c>
      <c r="Y239" s="61">
        <f t="shared" si="74"/>
        <v>0</v>
      </c>
      <c r="Z239" s="47">
        <f t="shared" si="74"/>
        <v>0</v>
      </c>
      <c r="AA239" s="47">
        <f t="shared" si="74"/>
        <v>0</v>
      </c>
    </row>
    <row r="240" spans="1:55" x14ac:dyDescent="0.25">
      <c r="A240" s="15" t="s">
        <v>51</v>
      </c>
      <c r="B240" s="16" t="s">
        <v>52</v>
      </c>
      <c r="C240" s="16" t="s">
        <v>54</v>
      </c>
      <c r="D240" s="2"/>
      <c r="E240" s="2"/>
      <c r="F240" s="1">
        <f t="shared" si="74"/>
        <v>0</v>
      </c>
      <c r="G240" s="1">
        <f t="shared" si="74"/>
        <v>0</v>
      </c>
      <c r="H240" s="1">
        <f t="shared" si="74"/>
        <v>0</v>
      </c>
      <c r="I240" s="1">
        <f t="shared" si="74"/>
        <v>0</v>
      </c>
      <c r="J240" s="1">
        <f t="shared" si="74"/>
        <v>0</v>
      </c>
      <c r="K240" s="1">
        <f t="shared" si="74"/>
        <v>0</v>
      </c>
      <c r="L240" s="52">
        <f t="shared" si="74"/>
        <v>0</v>
      </c>
      <c r="M240" s="1">
        <f t="shared" si="74"/>
        <v>0</v>
      </c>
      <c r="N240" s="1">
        <f t="shared" si="74"/>
        <v>0</v>
      </c>
      <c r="O240" s="1">
        <f t="shared" si="74"/>
        <v>0</v>
      </c>
      <c r="P240" s="1">
        <f t="shared" si="74"/>
        <v>0</v>
      </c>
      <c r="Q240" s="1">
        <f t="shared" si="74"/>
        <v>0</v>
      </c>
      <c r="R240" s="1">
        <f t="shared" si="74"/>
        <v>0</v>
      </c>
      <c r="S240" s="1">
        <f t="shared" si="74"/>
        <v>0</v>
      </c>
      <c r="T240" s="1">
        <f t="shared" si="74"/>
        <v>0</v>
      </c>
      <c r="U240" s="1">
        <f t="shared" si="74"/>
        <v>0</v>
      </c>
      <c r="V240" s="1">
        <f t="shared" si="74"/>
        <v>0</v>
      </c>
      <c r="W240" s="1">
        <f t="shared" si="74"/>
        <v>0</v>
      </c>
      <c r="X240" s="54">
        <f t="shared" si="74"/>
        <v>0</v>
      </c>
      <c r="Y240" s="58">
        <f t="shared" si="74"/>
        <v>0</v>
      </c>
      <c r="Z240" s="1">
        <f t="shared" si="74"/>
        <v>0</v>
      </c>
      <c r="AA240" s="1">
        <f t="shared" si="74"/>
        <v>0</v>
      </c>
    </row>
    <row r="241" spans="1:29" x14ac:dyDescent="0.25">
      <c r="A241" s="15" t="s">
        <v>51</v>
      </c>
      <c r="B241" s="16" t="s">
        <v>52</v>
      </c>
      <c r="C241" s="16" t="s">
        <v>55</v>
      </c>
      <c r="D241" s="2"/>
      <c r="E241" s="2"/>
      <c r="F241" s="1">
        <f t="shared" si="74"/>
        <v>0</v>
      </c>
      <c r="G241" s="1">
        <f t="shared" si="74"/>
        <v>0</v>
      </c>
      <c r="H241" s="1">
        <f t="shared" si="74"/>
        <v>0</v>
      </c>
      <c r="I241" s="1">
        <f t="shared" si="74"/>
        <v>0</v>
      </c>
      <c r="J241" s="1">
        <f t="shared" si="74"/>
        <v>0</v>
      </c>
      <c r="K241" s="1">
        <f t="shared" si="74"/>
        <v>0</v>
      </c>
      <c r="L241" s="52">
        <f t="shared" si="74"/>
        <v>0</v>
      </c>
      <c r="M241" s="1">
        <f t="shared" si="74"/>
        <v>0</v>
      </c>
      <c r="N241" s="1">
        <f t="shared" si="74"/>
        <v>0</v>
      </c>
      <c r="O241" s="1">
        <f t="shared" si="74"/>
        <v>0</v>
      </c>
      <c r="P241" s="1">
        <f t="shared" si="74"/>
        <v>0</v>
      </c>
      <c r="Q241" s="1">
        <f t="shared" si="74"/>
        <v>0</v>
      </c>
      <c r="R241" s="1">
        <f t="shared" si="74"/>
        <v>0</v>
      </c>
      <c r="S241" s="1">
        <f t="shared" si="74"/>
        <v>0</v>
      </c>
      <c r="T241" s="1">
        <f t="shared" si="74"/>
        <v>0</v>
      </c>
      <c r="U241" s="1">
        <f t="shared" si="74"/>
        <v>0</v>
      </c>
      <c r="V241" s="1">
        <f t="shared" si="74"/>
        <v>0</v>
      </c>
      <c r="W241" s="1">
        <f t="shared" si="74"/>
        <v>0</v>
      </c>
      <c r="X241" s="54">
        <f t="shared" si="74"/>
        <v>0</v>
      </c>
      <c r="Y241" s="58">
        <f t="shared" si="74"/>
        <v>0</v>
      </c>
      <c r="Z241" s="1">
        <f t="shared" si="74"/>
        <v>0</v>
      </c>
      <c r="AA241" s="1">
        <f t="shared" si="74"/>
        <v>0</v>
      </c>
    </row>
    <row r="242" spans="1:29" x14ac:dyDescent="0.25">
      <c r="A242" s="25" t="s">
        <v>51</v>
      </c>
      <c r="B242" s="26" t="s">
        <v>56</v>
      </c>
      <c r="C242" s="26" t="s">
        <v>57</v>
      </c>
      <c r="D242" s="2"/>
      <c r="E242" s="2"/>
      <c r="F242" s="1">
        <f t="shared" si="74"/>
        <v>0</v>
      </c>
      <c r="G242" s="1">
        <f t="shared" si="74"/>
        <v>0</v>
      </c>
      <c r="H242" s="1">
        <f t="shared" si="74"/>
        <v>0</v>
      </c>
      <c r="I242" s="1">
        <f t="shared" si="74"/>
        <v>0</v>
      </c>
      <c r="J242" s="1">
        <f t="shared" si="74"/>
        <v>0</v>
      </c>
      <c r="K242" s="1">
        <f t="shared" si="74"/>
        <v>0</v>
      </c>
      <c r="L242" s="52">
        <f t="shared" si="74"/>
        <v>0</v>
      </c>
      <c r="M242" s="1">
        <f t="shared" si="74"/>
        <v>0</v>
      </c>
      <c r="N242" s="1">
        <f t="shared" si="74"/>
        <v>0</v>
      </c>
      <c r="O242" s="1">
        <f t="shared" si="74"/>
        <v>0</v>
      </c>
      <c r="P242" s="1">
        <f t="shared" si="74"/>
        <v>0</v>
      </c>
      <c r="Q242" s="1">
        <f t="shared" si="74"/>
        <v>0</v>
      </c>
      <c r="R242" s="1">
        <f t="shared" si="74"/>
        <v>0</v>
      </c>
      <c r="S242" s="1">
        <f t="shared" si="74"/>
        <v>0</v>
      </c>
      <c r="T242" s="1">
        <f t="shared" si="74"/>
        <v>0</v>
      </c>
      <c r="U242" s="1">
        <f t="shared" si="74"/>
        <v>0</v>
      </c>
      <c r="V242" s="1">
        <f t="shared" si="74"/>
        <v>0</v>
      </c>
      <c r="W242" s="1">
        <f t="shared" si="74"/>
        <v>0</v>
      </c>
      <c r="X242" s="54">
        <f t="shared" si="74"/>
        <v>0</v>
      </c>
      <c r="Y242" s="58">
        <f t="shared" si="74"/>
        <v>0</v>
      </c>
      <c r="Z242" s="1">
        <f t="shared" si="74"/>
        <v>0</v>
      </c>
      <c r="AA242" s="1">
        <f t="shared" si="74"/>
        <v>0</v>
      </c>
    </row>
    <row r="243" spans="1:29" x14ac:dyDescent="0.25">
      <c r="A243" s="15" t="s">
        <v>51</v>
      </c>
      <c r="B243" s="16" t="s">
        <v>56</v>
      </c>
      <c r="C243" s="27" t="s">
        <v>58</v>
      </c>
      <c r="D243" s="2"/>
      <c r="E243" s="2"/>
      <c r="F243" s="1">
        <f t="shared" si="74"/>
        <v>0</v>
      </c>
      <c r="G243" s="1">
        <f t="shared" si="74"/>
        <v>0</v>
      </c>
      <c r="H243" s="1">
        <f t="shared" si="74"/>
        <v>0</v>
      </c>
      <c r="I243" s="1">
        <f t="shared" si="74"/>
        <v>0</v>
      </c>
      <c r="J243" s="1">
        <f t="shared" si="74"/>
        <v>0</v>
      </c>
      <c r="K243" s="1">
        <f t="shared" si="74"/>
        <v>0</v>
      </c>
      <c r="L243" s="52">
        <f t="shared" si="74"/>
        <v>0</v>
      </c>
      <c r="M243" s="1">
        <f t="shared" si="74"/>
        <v>0</v>
      </c>
      <c r="N243" s="1">
        <f t="shared" si="74"/>
        <v>0</v>
      </c>
      <c r="O243" s="1">
        <f t="shared" si="74"/>
        <v>0</v>
      </c>
      <c r="P243" s="1">
        <f t="shared" si="74"/>
        <v>0</v>
      </c>
      <c r="Q243" s="1">
        <f t="shared" si="74"/>
        <v>0</v>
      </c>
      <c r="R243" s="1">
        <f t="shared" si="74"/>
        <v>0</v>
      </c>
      <c r="S243" s="1">
        <f t="shared" si="74"/>
        <v>0</v>
      </c>
      <c r="T243" s="1">
        <f t="shared" si="74"/>
        <v>0</v>
      </c>
      <c r="U243" s="1">
        <f t="shared" si="74"/>
        <v>0</v>
      </c>
      <c r="V243" s="1">
        <f t="shared" si="74"/>
        <v>0</v>
      </c>
      <c r="W243" s="1">
        <f t="shared" si="74"/>
        <v>0</v>
      </c>
      <c r="X243" s="54">
        <f t="shared" si="74"/>
        <v>0</v>
      </c>
      <c r="Y243" s="58">
        <f t="shared" si="74"/>
        <v>0</v>
      </c>
      <c r="Z243" s="1">
        <f t="shared" si="74"/>
        <v>0</v>
      </c>
      <c r="AA243" s="1">
        <f t="shared" si="74"/>
        <v>0</v>
      </c>
    </row>
    <row r="244" spans="1:29" x14ac:dyDescent="0.25">
      <c r="A244" s="15" t="s">
        <v>51</v>
      </c>
      <c r="B244" s="16" t="s">
        <v>9</v>
      </c>
      <c r="C244" s="27" t="s">
        <v>59</v>
      </c>
      <c r="D244" s="2"/>
      <c r="E244" s="2"/>
      <c r="F244" s="1">
        <f t="shared" si="74"/>
        <v>0</v>
      </c>
      <c r="G244" s="1">
        <f t="shared" si="74"/>
        <v>0</v>
      </c>
      <c r="H244" s="1">
        <f t="shared" si="74"/>
        <v>0</v>
      </c>
      <c r="I244" s="1">
        <f t="shared" si="74"/>
        <v>0</v>
      </c>
      <c r="J244" s="1">
        <f t="shared" si="74"/>
        <v>0</v>
      </c>
      <c r="K244" s="1">
        <f t="shared" si="74"/>
        <v>0</v>
      </c>
      <c r="L244" s="52">
        <f t="shared" si="74"/>
        <v>0</v>
      </c>
      <c r="M244" s="1">
        <f t="shared" si="74"/>
        <v>0</v>
      </c>
      <c r="N244" s="1">
        <f t="shared" si="74"/>
        <v>0</v>
      </c>
      <c r="O244" s="1">
        <f t="shared" si="74"/>
        <v>0</v>
      </c>
      <c r="P244" s="1">
        <f t="shared" si="74"/>
        <v>0</v>
      </c>
      <c r="Q244" s="1">
        <f t="shared" si="74"/>
        <v>0</v>
      </c>
      <c r="R244" s="1">
        <f t="shared" si="74"/>
        <v>0</v>
      </c>
      <c r="S244" s="1">
        <f t="shared" si="74"/>
        <v>0</v>
      </c>
      <c r="T244" s="1">
        <f t="shared" si="74"/>
        <v>0</v>
      </c>
      <c r="U244" s="1">
        <f t="shared" si="74"/>
        <v>0</v>
      </c>
      <c r="V244" s="1">
        <f t="shared" si="74"/>
        <v>0</v>
      </c>
      <c r="W244" s="1">
        <f t="shared" si="74"/>
        <v>0</v>
      </c>
      <c r="X244" s="54">
        <f t="shared" si="74"/>
        <v>0</v>
      </c>
      <c r="Y244" s="58">
        <f t="shared" si="74"/>
        <v>0</v>
      </c>
      <c r="Z244" s="1">
        <f t="shared" si="74"/>
        <v>0</v>
      </c>
      <c r="AA244" s="1">
        <f t="shared" si="74"/>
        <v>0</v>
      </c>
    </row>
    <row r="245" spans="1:29" x14ac:dyDescent="0.25">
      <c r="A245" s="15" t="s">
        <v>51</v>
      </c>
      <c r="B245" s="16" t="s">
        <v>9</v>
      </c>
      <c r="C245" s="27" t="s">
        <v>9</v>
      </c>
      <c r="D245" s="2"/>
      <c r="E245" s="2"/>
      <c r="F245" s="1">
        <f t="shared" si="74"/>
        <v>0</v>
      </c>
      <c r="G245" s="1">
        <f t="shared" si="74"/>
        <v>0</v>
      </c>
      <c r="H245" s="1">
        <f t="shared" si="74"/>
        <v>0</v>
      </c>
      <c r="I245" s="1">
        <f t="shared" si="74"/>
        <v>0</v>
      </c>
      <c r="J245" s="1">
        <f t="shared" si="74"/>
        <v>0</v>
      </c>
      <c r="K245" s="1">
        <f t="shared" si="74"/>
        <v>0</v>
      </c>
      <c r="L245" s="52">
        <f t="shared" si="74"/>
        <v>0</v>
      </c>
      <c r="M245" s="1">
        <f t="shared" si="74"/>
        <v>0</v>
      </c>
      <c r="N245" s="1">
        <f t="shared" si="74"/>
        <v>0</v>
      </c>
      <c r="O245" s="1">
        <f t="shared" si="74"/>
        <v>0</v>
      </c>
      <c r="P245" s="1">
        <f t="shared" si="74"/>
        <v>0</v>
      </c>
      <c r="Q245" s="1">
        <f t="shared" si="74"/>
        <v>0</v>
      </c>
      <c r="R245" s="1">
        <f t="shared" si="74"/>
        <v>0</v>
      </c>
      <c r="S245" s="1">
        <f t="shared" si="74"/>
        <v>0</v>
      </c>
      <c r="T245" s="1">
        <f t="shared" si="74"/>
        <v>0</v>
      </c>
      <c r="U245" s="1">
        <f t="shared" si="74"/>
        <v>0</v>
      </c>
      <c r="V245" s="1">
        <f t="shared" si="74"/>
        <v>0</v>
      </c>
      <c r="W245" s="1">
        <f t="shared" si="74"/>
        <v>0</v>
      </c>
      <c r="X245" s="54">
        <f t="shared" si="74"/>
        <v>0</v>
      </c>
      <c r="Y245" s="58">
        <f t="shared" si="74"/>
        <v>0</v>
      </c>
      <c r="Z245" s="1">
        <f t="shared" si="74"/>
        <v>0</v>
      </c>
      <c r="AA245" s="1">
        <f t="shared" si="74"/>
        <v>0</v>
      </c>
    </row>
    <row r="246" spans="1:29" x14ac:dyDescent="0.25">
      <c r="A246" s="28" t="s">
        <v>60</v>
      </c>
      <c r="B246" s="29" t="s">
        <v>13</v>
      </c>
      <c r="C246" s="29" t="s">
        <v>61</v>
      </c>
      <c r="D246" s="2"/>
      <c r="E246" s="2"/>
      <c r="F246" s="86">
        <f t="shared" si="74"/>
        <v>24.7</v>
      </c>
      <c r="G246" s="86">
        <f t="shared" si="74"/>
        <v>0</v>
      </c>
      <c r="H246" s="86">
        <f t="shared" si="74"/>
        <v>6.5855999999999995</v>
      </c>
      <c r="I246" s="86">
        <f t="shared" si="74"/>
        <v>22.866666666666667</v>
      </c>
      <c r="J246" s="86">
        <f t="shared" si="74"/>
        <v>22.941176470588236</v>
      </c>
      <c r="K246" s="51">
        <f t="shared" si="74"/>
        <v>17.647058823529413</v>
      </c>
      <c r="L246" s="52">
        <f t="shared" si="74"/>
        <v>0</v>
      </c>
      <c r="M246" s="85">
        <f t="shared" si="74"/>
        <v>33.333333333333336</v>
      </c>
      <c r="N246" s="85">
        <f t="shared" si="74"/>
        <v>15.125</v>
      </c>
      <c r="O246" s="85">
        <f t="shared" si="74"/>
        <v>44.85</v>
      </c>
      <c r="P246" s="85">
        <f t="shared" si="74"/>
        <v>320</v>
      </c>
      <c r="Q246" s="85">
        <f t="shared" si="74"/>
        <v>31.746031746031743</v>
      </c>
      <c r="R246" s="85">
        <f t="shared" si="74"/>
        <v>25.925925925925927</v>
      </c>
      <c r="S246" s="85">
        <f t="shared" si="74"/>
        <v>0</v>
      </c>
      <c r="T246" s="85">
        <f t="shared" si="74"/>
        <v>7.4074074074074083</v>
      </c>
      <c r="U246" s="85">
        <f t="shared" si="74"/>
        <v>16.666666666666668</v>
      </c>
      <c r="V246" s="85">
        <f t="shared" si="74"/>
        <v>0.27777777777777779</v>
      </c>
      <c r="W246" s="85">
        <f t="shared" si="74"/>
        <v>0.76388888888888884</v>
      </c>
      <c r="X246" s="87">
        <f t="shared" si="74"/>
        <v>47.619047619047628</v>
      </c>
      <c r="Y246" s="59">
        <f t="shared" si="74"/>
        <v>0</v>
      </c>
      <c r="Z246" s="51">
        <f t="shared" si="74"/>
        <v>0</v>
      </c>
      <c r="AA246" s="51">
        <f t="shared" si="74"/>
        <v>0</v>
      </c>
    </row>
    <row r="247" spans="1:29" x14ac:dyDescent="0.25">
      <c r="A247" s="36" t="s">
        <v>60</v>
      </c>
      <c r="B247" s="37" t="s">
        <v>13</v>
      </c>
      <c r="C247" s="29" t="s">
        <v>62</v>
      </c>
      <c r="D247" s="2"/>
      <c r="E247" s="2"/>
      <c r="F247" s="86">
        <f t="shared" si="74"/>
        <v>13.3</v>
      </c>
      <c r="G247" s="86">
        <f t="shared" si="74"/>
        <v>17.399999999999999</v>
      </c>
      <c r="H247" s="86">
        <f t="shared" si="74"/>
        <v>48.294399999999996</v>
      </c>
      <c r="I247" s="51">
        <f t="shared" si="74"/>
        <v>0</v>
      </c>
      <c r="J247" s="51">
        <f t="shared" si="74"/>
        <v>0</v>
      </c>
      <c r="K247" s="51">
        <f t="shared" si="74"/>
        <v>0</v>
      </c>
      <c r="L247" s="52">
        <f t="shared" si="74"/>
        <v>0</v>
      </c>
      <c r="M247" s="51">
        <f t="shared" si="74"/>
        <v>0</v>
      </c>
      <c r="N247" s="51">
        <f t="shared" si="74"/>
        <v>0</v>
      </c>
      <c r="O247" s="51">
        <f t="shared" si="74"/>
        <v>0</v>
      </c>
      <c r="P247" s="85">
        <f>IF(P292&gt;0,P22/P292,0)</f>
        <v>480</v>
      </c>
      <c r="Q247" s="51">
        <f t="shared" si="74"/>
        <v>0</v>
      </c>
      <c r="R247" s="51">
        <f t="shared" si="74"/>
        <v>0</v>
      </c>
      <c r="S247" s="51">
        <f t="shared" si="74"/>
        <v>0</v>
      </c>
      <c r="T247" s="51">
        <f t="shared" si="74"/>
        <v>0</v>
      </c>
      <c r="U247" s="51">
        <f t="shared" si="74"/>
        <v>0</v>
      </c>
      <c r="V247" s="51">
        <f t="shared" si="74"/>
        <v>0</v>
      </c>
      <c r="W247" s="51">
        <f t="shared" si="74"/>
        <v>0</v>
      </c>
      <c r="X247" s="55">
        <f t="shared" si="74"/>
        <v>0</v>
      </c>
      <c r="Y247" s="59">
        <f t="shared" si="74"/>
        <v>0</v>
      </c>
      <c r="Z247" s="51">
        <f t="shared" si="74"/>
        <v>0</v>
      </c>
      <c r="AA247" s="51">
        <f t="shared" si="74"/>
        <v>0</v>
      </c>
    </row>
    <row r="248" spans="1:29" x14ac:dyDescent="0.25">
      <c r="A248" s="30" t="s">
        <v>60</v>
      </c>
      <c r="B248" s="31" t="s">
        <v>13</v>
      </c>
      <c r="C248" s="32" t="s">
        <v>63</v>
      </c>
      <c r="D248" s="2"/>
      <c r="E248" s="2"/>
      <c r="F248" s="51">
        <f t="shared" si="74"/>
        <v>0</v>
      </c>
      <c r="G248" s="51">
        <f t="shared" si="74"/>
        <v>0</v>
      </c>
      <c r="H248" s="51">
        <f t="shared" si="74"/>
        <v>0</v>
      </c>
      <c r="I248" s="51">
        <f t="shared" si="74"/>
        <v>0</v>
      </c>
      <c r="J248" s="51">
        <f t="shared" si="74"/>
        <v>0</v>
      </c>
      <c r="K248" s="51">
        <f t="shared" si="74"/>
        <v>0</v>
      </c>
      <c r="L248" s="52">
        <f t="shared" si="74"/>
        <v>0</v>
      </c>
      <c r="M248" s="51">
        <f t="shared" si="74"/>
        <v>0</v>
      </c>
      <c r="N248" s="51">
        <f t="shared" si="74"/>
        <v>0</v>
      </c>
      <c r="O248" s="51">
        <f t="shared" si="74"/>
        <v>0</v>
      </c>
      <c r="P248" s="51">
        <f t="shared" si="74"/>
        <v>0</v>
      </c>
      <c r="Q248" s="51">
        <f t="shared" si="74"/>
        <v>0</v>
      </c>
      <c r="R248" s="51">
        <f t="shared" si="74"/>
        <v>0</v>
      </c>
      <c r="S248" s="51">
        <f t="shared" si="74"/>
        <v>0</v>
      </c>
      <c r="T248" s="51">
        <f t="shared" si="74"/>
        <v>0</v>
      </c>
      <c r="U248" s="51">
        <f t="shared" si="74"/>
        <v>0</v>
      </c>
      <c r="V248" s="51">
        <f t="shared" si="74"/>
        <v>0</v>
      </c>
      <c r="W248" s="51">
        <f t="shared" si="74"/>
        <v>0</v>
      </c>
      <c r="X248" s="55">
        <f t="shared" si="74"/>
        <v>0</v>
      </c>
      <c r="Y248" s="59">
        <f t="shared" si="74"/>
        <v>0</v>
      </c>
      <c r="Z248" s="51">
        <f t="shared" si="74"/>
        <v>0</v>
      </c>
      <c r="AA248" s="51">
        <f t="shared" si="74"/>
        <v>0</v>
      </c>
    </row>
    <row r="249" spans="1:29" x14ac:dyDescent="0.25">
      <c r="A249" s="30" t="s">
        <v>60</v>
      </c>
      <c r="B249" s="32" t="s">
        <v>23</v>
      </c>
      <c r="C249" s="31" t="s">
        <v>50</v>
      </c>
      <c r="D249" s="2"/>
      <c r="E249" s="2"/>
      <c r="F249" s="51">
        <f t="shared" si="74"/>
        <v>0</v>
      </c>
      <c r="G249" s="51">
        <f t="shared" si="74"/>
        <v>0</v>
      </c>
      <c r="H249" s="51">
        <f t="shared" si="74"/>
        <v>0</v>
      </c>
      <c r="I249" s="51">
        <f t="shared" si="74"/>
        <v>0</v>
      </c>
      <c r="J249" s="86">
        <f t="shared" si="74"/>
        <v>0.3</v>
      </c>
      <c r="K249" s="51">
        <f t="shared" si="74"/>
        <v>4.628571428571429</v>
      </c>
      <c r="L249" s="52">
        <f t="shared" si="74"/>
        <v>0</v>
      </c>
      <c r="M249" s="51">
        <f t="shared" si="74"/>
        <v>0</v>
      </c>
      <c r="N249" s="86">
        <f t="shared" si="74"/>
        <v>36.553846153846152</v>
      </c>
      <c r="O249" s="51">
        <f t="shared" si="74"/>
        <v>0</v>
      </c>
      <c r="P249" s="51">
        <f t="shared" si="74"/>
        <v>0</v>
      </c>
      <c r="Q249" s="51">
        <f t="shared" si="74"/>
        <v>0</v>
      </c>
      <c r="R249" s="51">
        <f t="shared" si="74"/>
        <v>0</v>
      </c>
      <c r="S249" s="51">
        <f t="shared" si="74"/>
        <v>0</v>
      </c>
      <c r="T249" s="51">
        <f t="shared" si="74"/>
        <v>0</v>
      </c>
      <c r="U249" s="51">
        <f t="shared" si="74"/>
        <v>0</v>
      </c>
      <c r="V249" s="51">
        <f t="shared" si="74"/>
        <v>0</v>
      </c>
      <c r="W249" s="51">
        <f t="shared" si="74"/>
        <v>0</v>
      </c>
      <c r="X249" s="55">
        <f t="shared" si="74"/>
        <v>0</v>
      </c>
      <c r="Y249" s="59">
        <f t="shared" si="74"/>
        <v>0</v>
      </c>
      <c r="Z249" s="51">
        <f t="shared" si="74"/>
        <v>0</v>
      </c>
      <c r="AA249" s="51">
        <f t="shared" si="74"/>
        <v>0</v>
      </c>
    </row>
    <row r="250" spans="1:29" x14ac:dyDescent="0.25">
      <c r="A250" s="30" t="s">
        <v>60</v>
      </c>
      <c r="B250" s="32" t="s">
        <v>23</v>
      </c>
      <c r="C250" s="31" t="s">
        <v>49</v>
      </c>
      <c r="D250" s="2"/>
      <c r="E250" s="2"/>
      <c r="F250" s="51">
        <f t="shared" si="74"/>
        <v>0</v>
      </c>
      <c r="G250" s="51">
        <f t="shared" si="74"/>
        <v>0</v>
      </c>
      <c r="H250" s="51">
        <f t="shared" si="74"/>
        <v>0</v>
      </c>
      <c r="I250" s="51">
        <f t="shared" si="74"/>
        <v>0</v>
      </c>
      <c r="J250" s="86">
        <f t="shared" si="74"/>
        <v>18.888888888888889</v>
      </c>
      <c r="K250" s="51">
        <f t="shared" si="74"/>
        <v>1.7777777777777777</v>
      </c>
      <c r="L250" s="52">
        <f t="shared" si="74"/>
        <v>0</v>
      </c>
      <c r="M250" s="51">
        <f t="shared" si="74"/>
        <v>0</v>
      </c>
      <c r="N250" s="51">
        <f t="shared" si="74"/>
        <v>0</v>
      </c>
      <c r="O250" s="51">
        <f t="shared" si="74"/>
        <v>0</v>
      </c>
      <c r="P250" s="51">
        <f t="shared" si="74"/>
        <v>0</v>
      </c>
      <c r="Q250" s="51">
        <f t="shared" si="74"/>
        <v>0</v>
      </c>
      <c r="R250" s="51">
        <f t="shared" si="74"/>
        <v>0</v>
      </c>
      <c r="S250" s="51">
        <f t="shared" si="74"/>
        <v>2.4888888888888894</v>
      </c>
      <c r="T250" s="51">
        <f t="shared" ref="G250:AA265" si="75">IF(T295&gt;0,T25/T295,0)</f>
        <v>17.142857142857142</v>
      </c>
      <c r="U250" s="51">
        <f t="shared" si="75"/>
        <v>0</v>
      </c>
      <c r="V250" s="51">
        <f t="shared" si="75"/>
        <v>0</v>
      </c>
      <c r="W250" s="51">
        <f t="shared" si="75"/>
        <v>0</v>
      </c>
      <c r="X250" s="95">
        <f t="shared" si="75"/>
        <v>2.2222222222222223</v>
      </c>
      <c r="Y250" s="59">
        <f t="shared" si="75"/>
        <v>0</v>
      </c>
      <c r="Z250" s="51">
        <f t="shared" si="75"/>
        <v>0</v>
      </c>
      <c r="AA250" s="51">
        <f t="shared" si="75"/>
        <v>0</v>
      </c>
      <c r="AC250" s="14">
        <f>28.5*0.26</f>
        <v>7.41</v>
      </c>
    </row>
    <row r="251" spans="1:29" x14ac:dyDescent="0.25">
      <c r="A251" s="30" t="s">
        <v>60</v>
      </c>
      <c r="B251" s="32" t="s">
        <v>23</v>
      </c>
      <c r="C251" s="31" t="s">
        <v>64</v>
      </c>
      <c r="D251" s="2"/>
      <c r="E251" s="2"/>
      <c r="F251" s="51">
        <f t="shared" ref="F251:F260" si="76">IF(F296&gt;0,F26/F296,0)</f>
        <v>0</v>
      </c>
      <c r="G251" s="51">
        <f t="shared" si="75"/>
        <v>0</v>
      </c>
      <c r="H251" s="51">
        <f t="shared" si="75"/>
        <v>0</v>
      </c>
      <c r="I251" s="51">
        <f t="shared" si="75"/>
        <v>0</v>
      </c>
      <c r="J251" s="86">
        <f t="shared" si="75"/>
        <v>0</v>
      </c>
      <c r="K251" s="51">
        <f t="shared" si="75"/>
        <v>0</v>
      </c>
      <c r="L251" s="52">
        <f t="shared" si="75"/>
        <v>0</v>
      </c>
      <c r="M251" s="51">
        <f t="shared" si="75"/>
        <v>0</v>
      </c>
      <c r="N251" s="51">
        <f t="shared" si="75"/>
        <v>0</v>
      </c>
      <c r="O251" s="51">
        <f t="shared" si="75"/>
        <v>0</v>
      </c>
      <c r="P251" s="51">
        <f t="shared" si="75"/>
        <v>0</v>
      </c>
      <c r="Q251" s="51">
        <f t="shared" si="75"/>
        <v>0</v>
      </c>
      <c r="R251" s="51">
        <f t="shared" si="75"/>
        <v>0</v>
      </c>
      <c r="S251" s="51">
        <f t="shared" si="75"/>
        <v>0</v>
      </c>
      <c r="T251" s="51">
        <f t="shared" si="75"/>
        <v>0</v>
      </c>
      <c r="U251" s="51">
        <f t="shared" si="75"/>
        <v>0</v>
      </c>
      <c r="V251" s="51">
        <f t="shared" si="75"/>
        <v>0</v>
      </c>
      <c r="W251" s="51">
        <f t="shared" si="75"/>
        <v>0</v>
      </c>
      <c r="X251" s="55">
        <f t="shared" si="75"/>
        <v>0</v>
      </c>
      <c r="Y251" s="59">
        <f t="shared" si="75"/>
        <v>0</v>
      </c>
      <c r="Z251" s="51">
        <f t="shared" si="75"/>
        <v>0</v>
      </c>
      <c r="AA251" s="51">
        <f t="shared" si="75"/>
        <v>0</v>
      </c>
    </row>
    <row r="252" spans="1:29" x14ac:dyDescent="0.25">
      <c r="A252" s="30" t="s">
        <v>60</v>
      </c>
      <c r="B252" s="32" t="s">
        <v>65</v>
      </c>
      <c r="C252" s="31" t="s">
        <v>66</v>
      </c>
      <c r="D252" s="2"/>
      <c r="E252" s="2"/>
      <c r="F252" s="51">
        <f t="shared" si="76"/>
        <v>0</v>
      </c>
      <c r="G252" s="51">
        <f t="shared" si="75"/>
        <v>0</v>
      </c>
      <c r="H252" s="51">
        <f t="shared" si="75"/>
        <v>0</v>
      </c>
      <c r="I252" s="51">
        <f t="shared" si="75"/>
        <v>0</v>
      </c>
      <c r="J252" s="86">
        <f t="shared" si="75"/>
        <v>437.5</v>
      </c>
      <c r="K252" s="51">
        <f t="shared" si="75"/>
        <v>0</v>
      </c>
      <c r="L252" s="52">
        <f t="shared" si="75"/>
        <v>0</v>
      </c>
      <c r="M252" s="73">
        <f t="shared" si="75"/>
        <v>420</v>
      </c>
      <c r="N252" s="51">
        <f t="shared" si="75"/>
        <v>0</v>
      </c>
      <c r="O252" s="51">
        <f t="shared" si="75"/>
        <v>0</v>
      </c>
      <c r="P252" s="51">
        <f t="shared" si="75"/>
        <v>0</v>
      </c>
      <c r="Q252" s="51">
        <f t="shared" si="75"/>
        <v>0</v>
      </c>
      <c r="R252" s="51">
        <f t="shared" si="75"/>
        <v>0</v>
      </c>
      <c r="S252" s="51">
        <f t="shared" si="75"/>
        <v>0</v>
      </c>
      <c r="T252" s="51">
        <f t="shared" si="75"/>
        <v>0</v>
      </c>
      <c r="U252" s="51">
        <f t="shared" si="75"/>
        <v>0</v>
      </c>
      <c r="V252" s="51">
        <f t="shared" si="75"/>
        <v>0</v>
      </c>
      <c r="W252" s="51">
        <f t="shared" si="75"/>
        <v>0</v>
      </c>
      <c r="X252" s="55">
        <f t="shared" si="75"/>
        <v>0</v>
      </c>
      <c r="Y252" s="59">
        <f t="shared" si="75"/>
        <v>0</v>
      </c>
      <c r="Z252" s="51">
        <f t="shared" si="75"/>
        <v>0</v>
      </c>
      <c r="AA252" s="51">
        <f t="shared" si="75"/>
        <v>0</v>
      </c>
    </row>
    <row r="253" spans="1:29" x14ac:dyDescent="0.25">
      <c r="A253" s="30" t="s">
        <v>60</v>
      </c>
      <c r="B253" s="32" t="s">
        <v>65</v>
      </c>
      <c r="C253" s="31" t="s">
        <v>67</v>
      </c>
      <c r="D253" s="2"/>
      <c r="E253" s="2"/>
      <c r="F253" s="51">
        <f t="shared" si="76"/>
        <v>0</v>
      </c>
      <c r="G253" s="51">
        <f t="shared" si="75"/>
        <v>0</v>
      </c>
      <c r="H253" s="51">
        <f t="shared" si="75"/>
        <v>0</v>
      </c>
      <c r="I253" s="51">
        <f t="shared" si="75"/>
        <v>0</v>
      </c>
      <c r="J253" s="51">
        <f t="shared" si="75"/>
        <v>0</v>
      </c>
      <c r="K253" s="51">
        <f t="shared" si="75"/>
        <v>0</v>
      </c>
      <c r="L253" s="52">
        <f t="shared" si="75"/>
        <v>0</v>
      </c>
      <c r="M253" s="51">
        <f t="shared" si="75"/>
        <v>0</v>
      </c>
      <c r="N253" s="51">
        <f t="shared" si="75"/>
        <v>0</v>
      </c>
      <c r="O253" s="51">
        <f t="shared" si="75"/>
        <v>0</v>
      </c>
      <c r="P253" s="51">
        <f t="shared" si="75"/>
        <v>0</v>
      </c>
      <c r="Q253" s="73">
        <f t="shared" si="75"/>
        <v>925.71428571428567</v>
      </c>
      <c r="R253" s="73">
        <f t="shared" si="75"/>
        <v>411.42857142857144</v>
      </c>
      <c r="S253" s="73">
        <f t="shared" si="75"/>
        <v>0</v>
      </c>
      <c r="T253" s="73">
        <f t="shared" si="75"/>
        <v>370.28571428571428</v>
      </c>
      <c r="U253" s="73">
        <f t="shared" si="75"/>
        <v>349.71428571428572</v>
      </c>
      <c r="V253" s="73">
        <f t="shared" si="75"/>
        <v>72</v>
      </c>
      <c r="W253" s="73">
        <f t="shared" si="75"/>
        <v>120</v>
      </c>
      <c r="X253" s="89">
        <f t="shared" si="75"/>
        <v>72</v>
      </c>
      <c r="Y253" s="59">
        <f t="shared" si="75"/>
        <v>0</v>
      </c>
      <c r="Z253" s="51">
        <f t="shared" si="75"/>
        <v>0</v>
      </c>
      <c r="AA253" s="51">
        <f t="shared" si="75"/>
        <v>0</v>
      </c>
    </row>
    <row r="254" spans="1:29" x14ac:dyDescent="0.25">
      <c r="A254" s="30" t="s">
        <v>60</v>
      </c>
      <c r="B254" s="32" t="s">
        <v>65</v>
      </c>
      <c r="C254" s="31" t="s">
        <v>68</v>
      </c>
      <c r="D254" s="2"/>
      <c r="E254" s="2"/>
      <c r="F254" s="51">
        <f t="shared" si="76"/>
        <v>0</v>
      </c>
      <c r="G254" s="51">
        <f t="shared" si="75"/>
        <v>0</v>
      </c>
      <c r="H254" s="51">
        <f t="shared" si="75"/>
        <v>0</v>
      </c>
      <c r="I254" s="51">
        <f t="shared" si="75"/>
        <v>0</v>
      </c>
      <c r="J254" s="51">
        <f t="shared" si="75"/>
        <v>0</v>
      </c>
      <c r="K254" s="51">
        <f t="shared" si="75"/>
        <v>0</v>
      </c>
      <c r="L254" s="88">
        <f t="shared" si="75"/>
        <v>7277.5</v>
      </c>
      <c r="M254" s="51">
        <f t="shared" si="75"/>
        <v>0</v>
      </c>
      <c r="N254" s="51">
        <f t="shared" si="75"/>
        <v>0</v>
      </c>
      <c r="O254" s="51">
        <f t="shared" si="75"/>
        <v>0</v>
      </c>
      <c r="P254" s="51">
        <f t="shared" si="75"/>
        <v>0</v>
      </c>
      <c r="Q254" s="51">
        <f t="shared" si="75"/>
        <v>0</v>
      </c>
      <c r="R254" s="51">
        <f t="shared" si="75"/>
        <v>0</v>
      </c>
      <c r="S254" s="51">
        <f t="shared" si="75"/>
        <v>0</v>
      </c>
      <c r="T254" s="51">
        <f t="shared" si="75"/>
        <v>0</v>
      </c>
      <c r="U254" s="51">
        <f t="shared" si="75"/>
        <v>0</v>
      </c>
      <c r="V254" s="51">
        <f t="shared" si="75"/>
        <v>0</v>
      </c>
      <c r="W254" s="51">
        <f t="shared" si="75"/>
        <v>0</v>
      </c>
      <c r="X254" s="55">
        <f t="shared" si="75"/>
        <v>0</v>
      </c>
      <c r="Y254" s="59">
        <f t="shared" si="75"/>
        <v>0</v>
      </c>
      <c r="Z254" s="51">
        <f t="shared" si="75"/>
        <v>0</v>
      </c>
      <c r="AA254" s="51">
        <f t="shared" si="75"/>
        <v>0</v>
      </c>
    </row>
    <row r="255" spans="1:29" x14ac:dyDescent="0.25">
      <c r="A255" s="30" t="s">
        <v>60</v>
      </c>
      <c r="B255" s="32" t="s">
        <v>9</v>
      </c>
      <c r="C255" s="31" t="s">
        <v>69</v>
      </c>
      <c r="D255" s="2"/>
      <c r="E255" s="2"/>
      <c r="F255" s="51">
        <f t="shared" si="76"/>
        <v>0</v>
      </c>
      <c r="G255" s="51">
        <f t="shared" si="75"/>
        <v>0</v>
      </c>
      <c r="H255" s="51">
        <f t="shared" si="75"/>
        <v>0</v>
      </c>
      <c r="I255" s="51">
        <f t="shared" si="75"/>
        <v>0</v>
      </c>
      <c r="J255" s="51">
        <f t="shared" si="75"/>
        <v>0</v>
      </c>
      <c r="K255" s="51">
        <f t="shared" si="75"/>
        <v>0</v>
      </c>
      <c r="L255" s="52">
        <f t="shared" si="75"/>
        <v>0</v>
      </c>
      <c r="M255" s="51">
        <f t="shared" si="75"/>
        <v>0</v>
      </c>
      <c r="N255" s="51">
        <f t="shared" si="75"/>
        <v>0</v>
      </c>
      <c r="O255" s="51">
        <f t="shared" si="75"/>
        <v>0</v>
      </c>
      <c r="P255" s="51">
        <f t="shared" si="75"/>
        <v>0</v>
      </c>
      <c r="Q255" s="51">
        <f t="shared" si="75"/>
        <v>0</v>
      </c>
      <c r="R255" s="51">
        <f t="shared" si="75"/>
        <v>0</v>
      </c>
      <c r="S255" s="51">
        <f t="shared" si="75"/>
        <v>0</v>
      </c>
      <c r="T255" s="51">
        <f t="shared" si="75"/>
        <v>0</v>
      </c>
      <c r="U255" s="51">
        <f t="shared" si="75"/>
        <v>0</v>
      </c>
      <c r="V255" s="51">
        <f t="shared" si="75"/>
        <v>0</v>
      </c>
      <c r="W255" s="51">
        <f t="shared" si="75"/>
        <v>0</v>
      </c>
      <c r="X255" s="89">
        <f t="shared" si="75"/>
        <v>24.801587301587301</v>
      </c>
      <c r="Y255" s="59">
        <f t="shared" si="75"/>
        <v>0</v>
      </c>
      <c r="Z255" s="51">
        <f t="shared" si="75"/>
        <v>0</v>
      </c>
      <c r="AA255" s="51">
        <f t="shared" si="75"/>
        <v>0</v>
      </c>
    </row>
    <row r="256" spans="1:29" x14ac:dyDescent="0.25">
      <c r="A256" s="15" t="s">
        <v>51</v>
      </c>
      <c r="B256" s="16" t="s">
        <v>56</v>
      </c>
      <c r="C256" s="27" t="s">
        <v>57</v>
      </c>
      <c r="D256" s="16" t="s">
        <v>70</v>
      </c>
      <c r="E256" s="16"/>
      <c r="F256" s="1">
        <f t="shared" si="76"/>
        <v>0</v>
      </c>
      <c r="G256" s="1">
        <f t="shared" si="75"/>
        <v>0</v>
      </c>
      <c r="H256" s="1">
        <f t="shared" si="75"/>
        <v>0</v>
      </c>
      <c r="I256" s="1">
        <f t="shared" si="75"/>
        <v>0</v>
      </c>
      <c r="J256" s="1">
        <f t="shared" si="75"/>
        <v>0</v>
      </c>
      <c r="K256" s="1">
        <f t="shared" si="75"/>
        <v>0</v>
      </c>
      <c r="L256" s="52">
        <f t="shared" si="75"/>
        <v>0</v>
      </c>
      <c r="M256" s="1">
        <f t="shared" si="75"/>
        <v>0</v>
      </c>
      <c r="N256" s="1">
        <f t="shared" si="75"/>
        <v>0</v>
      </c>
      <c r="O256" s="1">
        <f t="shared" si="75"/>
        <v>0</v>
      </c>
      <c r="P256" s="1">
        <f t="shared" si="75"/>
        <v>0</v>
      </c>
      <c r="Q256" s="1">
        <f t="shared" si="75"/>
        <v>0</v>
      </c>
      <c r="R256" s="1">
        <f t="shared" si="75"/>
        <v>0</v>
      </c>
      <c r="S256" s="1">
        <f t="shared" si="75"/>
        <v>0</v>
      </c>
      <c r="T256" s="1">
        <f t="shared" si="75"/>
        <v>0</v>
      </c>
      <c r="U256" s="1">
        <f t="shared" si="75"/>
        <v>0</v>
      </c>
      <c r="V256" s="1">
        <f t="shared" si="75"/>
        <v>0</v>
      </c>
      <c r="W256" s="1">
        <f t="shared" si="75"/>
        <v>0</v>
      </c>
      <c r="X256" s="54">
        <f t="shared" si="75"/>
        <v>0</v>
      </c>
      <c r="Y256" s="58">
        <f t="shared" si="75"/>
        <v>0</v>
      </c>
      <c r="Z256" s="1">
        <f t="shared" si="75"/>
        <v>0</v>
      </c>
      <c r="AA256" s="1">
        <f t="shared" si="75"/>
        <v>0</v>
      </c>
    </row>
    <row r="257" spans="1:27" x14ac:dyDescent="0.25">
      <c r="A257" s="15" t="s">
        <v>51</v>
      </c>
      <c r="B257" s="16" t="s">
        <v>56</v>
      </c>
      <c r="C257" s="27" t="s">
        <v>57</v>
      </c>
      <c r="D257" s="16" t="s">
        <v>71</v>
      </c>
      <c r="E257" s="16"/>
      <c r="F257" s="1">
        <f t="shared" si="76"/>
        <v>0</v>
      </c>
      <c r="G257" s="1">
        <f t="shared" si="75"/>
        <v>0</v>
      </c>
      <c r="H257" s="1">
        <f t="shared" si="75"/>
        <v>0</v>
      </c>
      <c r="I257" s="1">
        <f t="shared" si="75"/>
        <v>0</v>
      </c>
      <c r="J257" s="1">
        <f t="shared" si="75"/>
        <v>0</v>
      </c>
      <c r="K257" s="1">
        <f t="shared" si="75"/>
        <v>0</v>
      </c>
      <c r="L257" s="52">
        <f t="shared" si="75"/>
        <v>0</v>
      </c>
      <c r="M257" s="1">
        <f t="shared" si="75"/>
        <v>0</v>
      </c>
      <c r="N257" s="1">
        <f t="shared" si="75"/>
        <v>0</v>
      </c>
      <c r="O257" s="1">
        <f t="shared" si="75"/>
        <v>0</v>
      </c>
      <c r="P257" s="1">
        <f t="shared" si="75"/>
        <v>0</v>
      </c>
      <c r="Q257" s="1">
        <f t="shared" si="75"/>
        <v>0</v>
      </c>
      <c r="R257" s="1">
        <f t="shared" si="75"/>
        <v>0</v>
      </c>
      <c r="S257" s="1">
        <f t="shared" si="75"/>
        <v>0</v>
      </c>
      <c r="T257" s="1">
        <f t="shared" si="75"/>
        <v>0</v>
      </c>
      <c r="U257" s="1">
        <f t="shared" si="75"/>
        <v>0</v>
      </c>
      <c r="V257" s="1">
        <f t="shared" si="75"/>
        <v>0</v>
      </c>
      <c r="W257" s="1">
        <f t="shared" si="75"/>
        <v>0</v>
      </c>
      <c r="X257" s="54">
        <f t="shared" si="75"/>
        <v>0</v>
      </c>
      <c r="Y257" s="58">
        <f t="shared" si="75"/>
        <v>0</v>
      </c>
      <c r="Z257" s="1">
        <f t="shared" si="75"/>
        <v>0</v>
      </c>
      <c r="AA257" s="1">
        <f t="shared" si="75"/>
        <v>0</v>
      </c>
    </row>
    <row r="258" spans="1:27" x14ac:dyDescent="0.25">
      <c r="A258" s="15" t="s">
        <v>51</v>
      </c>
      <c r="B258" s="16" t="s">
        <v>56</v>
      </c>
      <c r="C258" s="27" t="s">
        <v>27</v>
      </c>
      <c r="D258" s="16" t="s">
        <v>72</v>
      </c>
      <c r="E258" s="16"/>
      <c r="F258" s="1">
        <f t="shared" si="76"/>
        <v>0</v>
      </c>
      <c r="G258" s="1">
        <f t="shared" si="75"/>
        <v>0</v>
      </c>
      <c r="H258" s="1">
        <f t="shared" si="75"/>
        <v>0</v>
      </c>
      <c r="I258" s="1">
        <f t="shared" si="75"/>
        <v>0</v>
      </c>
      <c r="J258" s="1">
        <f t="shared" si="75"/>
        <v>0</v>
      </c>
      <c r="K258" s="1">
        <f t="shared" si="75"/>
        <v>0</v>
      </c>
      <c r="L258" s="52">
        <f t="shared" si="75"/>
        <v>0</v>
      </c>
      <c r="M258" s="1">
        <f t="shared" si="75"/>
        <v>0</v>
      </c>
      <c r="N258" s="1">
        <f t="shared" si="75"/>
        <v>0</v>
      </c>
      <c r="O258" s="1">
        <f t="shared" si="75"/>
        <v>0</v>
      </c>
      <c r="P258" s="1">
        <f t="shared" si="75"/>
        <v>0</v>
      </c>
      <c r="Q258" s="1">
        <f t="shared" si="75"/>
        <v>0</v>
      </c>
      <c r="R258" s="1">
        <f t="shared" si="75"/>
        <v>0</v>
      </c>
      <c r="S258" s="1">
        <f t="shared" si="75"/>
        <v>0</v>
      </c>
      <c r="T258" s="1">
        <f t="shared" si="75"/>
        <v>0</v>
      </c>
      <c r="U258" s="1">
        <f t="shared" si="75"/>
        <v>0</v>
      </c>
      <c r="V258" s="1">
        <f t="shared" si="75"/>
        <v>0</v>
      </c>
      <c r="W258" s="1">
        <f t="shared" si="75"/>
        <v>0</v>
      </c>
      <c r="X258" s="54">
        <f t="shared" si="75"/>
        <v>0</v>
      </c>
      <c r="Y258" s="58">
        <f t="shared" si="75"/>
        <v>0</v>
      </c>
      <c r="Z258" s="1">
        <f t="shared" si="75"/>
        <v>0</v>
      </c>
      <c r="AA258" s="1">
        <f t="shared" si="75"/>
        <v>0</v>
      </c>
    </row>
    <row r="259" spans="1:27" x14ac:dyDescent="0.25">
      <c r="A259" s="15" t="s">
        <v>51</v>
      </c>
      <c r="B259" s="16" t="s">
        <v>56</v>
      </c>
      <c r="C259" s="27" t="s">
        <v>57</v>
      </c>
      <c r="D259" s="16" t="s">
        <v>73</v>
      </c>
      <c r="E259" s="16"/>
      <c r="F259" s="1">
        <f t="shared" si="76"/>
        <v>0</v>
      </c>
      <c r="G259" s="1">
        <f t="shared" si="75"/>
        <v>0</v>
      </c>
      <c r="H259" s="1">
        <f t="shared" si="75"/>
        <v>0</v>
      </c>
      <c r="I259" s="1">
        <f t="shared" si="75"/>
        <v>0</v>
      </c>
      <c r="J259" s="1">
        <f t="shared" si="75"/>
        <v>0</v>
      </c>
      <c r="K259" s="1">
        <f t="shared" si="75"/>
        <v>0</v>
      </c>
      <c r="L259" s="52">
        <f t="shared" si="75"/>
        <v>0</v>
      </c>
      <c r="M259" s="1">
        <f t="shared" si="75"/>
        <v>0</v>
      </c>
      <c r="N259" s="1">
        <f t="shared" si="75"/>
        <v>0</v>
      </c>
      <c r="O259" s="1">
        <f t="shared" si="75"/>
        <v>0</v>
      </c>
      <c r="P259" s="1">
        <f t="shared" si="75"/>
        <v>0</v>
      </c>
      <c r="Q259" s="1">
        <f t="shared" si="75"/>
        <v>0</v>
      </c>
      <c r="R259" s="1">
        <f t="shared" si="75"/>
        <v>0</v>
      </c>
      <c r="S259" s="1">
        <f t="shared" si="75"/>
        <v>0</v>
      </c>
      <c r="T259" s="1">
        <f t="shared" si="75"/>
        <v>0</v>
      </c>
      <c r="U259" s="1">
        <f t="shared" si="75"/>
        <v>0</v>
      </c>
      <c r="V259" s="1">
        <f t="shared" si="75"/>
        <v>0</v>
      </c>
      <c r="W259" s="1">
        <f t="shared" si="75"/>
        <v>0</v>
      </c>
      <c r="X259" s="54">
        <f t="shared" si="75"/>
        <v>0</v>
      </c>
      <c r="Y259" s="58">
        <f t="shared" si="75"/>
        <v>0</v>
      </c>
      <c r="Z259" s="1">
        <f t="shared" si="75"/>
        <v>0</v>
      </c>
      <c r="AA259" s="1">
        <f t="shared" si="75"/>
        <v>0</v>
      </c>
    </row>
    <row r="260" spans="1:27" x14ac:dyDescent="0.25">
      <c r="A260" s="15" t="s">
        <v>51</v>
      </c>
      <c r="B260" s="16" t="s">
        <v>56</v>
      </c>
      <c r="C260" s="27" t="s">
        <v>57</v>
      </c>
      <c r="D260" s="16" t="s">
        <v>74</v>
      </c>
      <c r="E260" s="16"/>
      <c r="F260" s="1">
        <f t="shared" si="76"/>
        <v>0</v>
      </c>
      <c r="G260" s="1">
        <f t="shared" si="75"/>
        <v>0</v>
      </c>
      <c r="H260" s="1">
        <f t="shared" si="75"/>
        <v>0</v>
      </c>
      <c r="I260" s="1">
        <f t="shared" si="75"/>
        <v>0</v>
      </c>
      <c r="J260" s="1">
        <f t="shared" si="75"/>
        <v>0</v>
      </c>
      <c r="K260" s="1">
        <f t="shared" si="75"/>
        <v>0</v>
      </c>
      <c r="L260" s="52">
        <f t="shared" si="75"/>
        <v>0</v>
      </c>
      <c r="M260" s="1">
        <f t="shared" si="75"/>
        <v>0</v>
      </c>
      <c r="N260" s="1">
        <f t="shared" si="75"/>
        <v>0</v>
      </c>
      <c r="O260" s="1">
        <f t="shared" si="75"/>
        <v>0</v>
      </c>
      <c r="P260" s="1">
        <f t="shared" si="75"/>
        <v>0</v>
      </c>
      <c r="Q260" s="1">
        <f t="shared" si="75"/>
        <v>0</v>
      </c>
      <c r="R260" s="1">
        <f t="shared" si="75"/>
        <v>0</v>
      </c>
      <c r="S260" s="1">
        <f t="shared" si="75"/>
        <v>0</v>
      </c>
      <c r="T260" s="1">
        <f t="shared" si="75"/>
        <v>0</v>
      </c>
      <c r="U260" s="1">
        <f t="shared" si="75"/>
        <v>0</v>
      </c>
      <c r="V260" s="1">
        <f t="shared" si="75"/>
        <v>0</v>
      </c>
      <c r="W260" s="1">
        <f t="shared" si="75"/>
        <v>0</v>
      </c>
      <c r="X260" s="54">
        <f t="shared" si="75"/>
        <v>0</v>
      </c>
      <c r="Y260" s="58">
        <f t="shared" si="75"/>
        <v>0</v>
      </c>
      <c r="Z260" s="1">
        <f t="shared" si="75"/>
        <v>0</v>
      </c>
      <c r="AA260" s="1">
        <f t="shared" si="75"/>
        <v>0</v>
      </c>
    </row>
    <row r="261" spans="1:27" x14ac:dyDescent="0.25">
      <c r="A261" s="30" t="s">
        <v>60</v>
      </c>
      <c r="B261" s="31" t="s">
        <v>13</v>
      </c>
      <c r="C261" s="32" t="s">
        <v>61</v>
      </c>
      <c r="D261" s="31" t="s">
        <v>75</v>
      </c>
      <c r="E261" s="31"/>
      <c r="F261" s="51">
        <f>F246*0.9</f>
        <v>22.23</v>
      </c>
      <c r="G261" s="73"/>
      <c r="H261" s="51">
        <f>H246</f>
        <v>6.5855999999999995</v>
      </c>
      <c r="I261" s="51">
        <f>I246*0.9</f>
        <v>20.580000000000002</v>
      </c>
      <c r="J261" s="51">
        <f>J246*0.3</f>
        <v>6.8823529411764701</v>
      </c>
      <c r="K261" s="51">
        <f>K246*0.8</f>
        <v>14.117647058823531</v>
      </c>
      <c r="L261" s="52">
        <v>0</v>
      </c>
      <c r="M261" s="73">
        <f>M246*0.1</f>
        <v>3.3333333333333339</v>
      </c>
      <c r="N261" s="73">
        <v>0</v>
      </c>
      <c r="O261" s="73">
        <v>0</v>
      </c>
      <c r="P261" s="73">
        <v>0</v>
      </c>
      <c r="Q261" s="73"/>
      <c r="R261" s="73"/>
      <c r="S261" s="51"/>
      <c r="T261" s="51"/>
      <c r="U261" s="51"/>
      <c r="V261" s="51"/>
      <c r="W261" s="51">
        <f>W246</f>
        <v>0.76388888888888884</v>
      </c>
      <c r="X261" s="55">
        <f>X291*0.1</f>
        <v>18</v>
      </c>
      <c r="Y261" s="59">
        <f t="shared" si="75"/>
        <v>0</v>
      </c>
      <c r="Z261" s="51">
        <f t="shared" si="75"/>
        <v>0</v>
      </c>
      <c r="AA261" s="51">
        <f t="shared" si="75"/>
        <v>0</v>
      </c>
    </row>
    <row r="262" spans="1:27" x14ac:dyDescent="0.25">
      <c r="A262" s="30" t="s">
        <v>60</v>
      </c>
      <c r="B262" s="31" t="s">
        <v>13</v>
      </c>
      <c r="C262" s="32" t="s">
        <v>61</v>
      </c>
      <c r="D262" s="31" t="s">
        <v>76</v>
      </c>
      <c r="E262" s="31"/>
      <c r="F262" s="51">
        <f>F246*0.1</f>
        <v>2.4700000000000002</v>
      </c>
      <c r="G262" s="51">
        <v>0</v>
      </c>
      <c r="H262" s="51">
        <v>0</v>
      </c>
      <c r="I262" s="51">
        <f>I246*0.05</f>
        <v>1.1433333333333333</v>
      </c>
      <c r="J262" s="51">
        <f>J246*0.7</f>
        <v>16.058823529411764</v>
      </c>
      <c r="K262" s="51">
        <f>K246*0.05</f>
        <v>0.88235294117647067</v>
      </c>
      <c r="L262" s="52">
        <v>0</v>
      </c>
      <c r="M262" s="73">
        <f>M246*0.5</f>
        <v>16.666666666666668</v>
      </c>
      <c r="N262" s="73">
        <f>N246</f>
        <v>15.125</v>
      </c>
      <c r="O262" s="73">
        <f>O246*0.5</f>
        <v>22.425000000000001</v>
      </c>
      <c r="P262" s="73">
        <f>P246*0.49</f>
        <v>156.80000000000001</v>
      </c>
      <c r="Q262" s="73"/>
      <c r="R262" s="73">
        <f>R246</f>
        <v>25.925925925925927</v>
      </c>
      <c r="S262" s="51"/>
      <c r="T262" s="51"/>
      <c r="U262" s="51"/>
      <c r="V262" s="51"/>
      <c r="W262" s="51"/>
      <c r="X262" s="55">
        <f>X291*0.1</f>
        <v>18</v>
      </c>
      <c r="Y262" s="59">
        <f t="shared" si="75"/>
        <v>0</v>
      </c>
      <c r="Z262" s="51">
        <f t="shared" si="75"/>
        <v>0</v>
      </c>
      <c r="AA262" s="51">
        <f t="shared" si="75"/>
        <v>0</v>
      </c>
    </row>
    <row r="263" spans="1:27" x14ac:dyDescent="0.25">
      <c r="A263" s="30" t="s">
        <v>60</v>
      </c>
      <c r="B263" s="31" t="s">
        <v>13</v>
      </c>
      <c r="C263" s="32" t="s">
        <v>61</v>
      </c>
      <c r="D263" s="31" t="s">
        <v>77</v>
      </c>
      <c r="E263" s="31"/>
      <c r="F263" s="51">
        <v>0</v>
      </c>
      <c r="G263" s="51">
        <v>0</v>
      </c>
      <c r="H263" s="51">
        <v>0</v>
      </c>
      <c r="I263" s="51">
        <v>0</v>
      </c>
      <c r="J263" s="51">
        <v>0</v>
      </c>
      <c r="K263" s="51">
        <f>K246*0.1</f>
        <v>1.7647058823529413</v>
      </c>
      <c r="L263" s="52">
        <v>0</v>
      </c>
      <c r="M263" s="73">
        <f>M246*0.4</f>
        <v>13.333333333333336</v>
      </c>
      <c r="N263" s="73">
        <v>0</v>
      </c>
      <c r="O263" s="73">
        <f>O246*0.5</f>
        <v>22.425000000000001</v>
      </c>
      <c r="P263" s="73">
        <f>P246*0.5</f>
        <v>160</v>
      </c>
      <c r="Q263" s="73"/>
      <c r="R263" s="73"/>
      <c r="S263" s="51"/>
      <c r="T263" s="51">
        <f>T246</f>
        <v>7.4074074074074083</v>
      </c>
      <c r="U263" s="51">
        <f>U246</f>
        <v>16.666666666666668</v>
      </c>
      <c r="V263" s="51"/>
      <c r="W263" s="51"/>
      <c r="X263" s="55">
        <f>X291*0.7</f>
        <v>125.99999999999999</v>
      </c>
      <c r="Y263" s="59">
        <f t="shared" si="75"/>
        <v>0</v>
      </c>
      <c r="Z263" s="51">
        <f t="shared" si="75"/>
        <v>0</v>
      </c>
      <c r="AA263" s="51">
        <f t="shared" si="75"/>
        <v>0</v>
      </c>
    </row>
    <row r="264" spans="1:27" x14ac:dyDescent="0.25">
      <c r="A264" s="30" t="s">
        <v>60</v>
      </c>
      <c r="B264" s="31" t="s">
        <v>13</v>
      </c>
      <c r="C264" s="32" t="s">
        <v>61</v>
      </c>
      <c r="D264" s="31" t="s">
        <v>78</v>
      </c>
      <c r="E264" s="31"/>
      <c r="F264" s="51">
        <v>0</v>
      </c>
      <c r="G264" s="51">
        <v>0</v>
      </c>
      <c r="H264" s="51">
        <v>0</v>
      </c>
      <c r="I264" s="51">
        <f>I246*0.05</f>
        <v>1.1433333333333333</v>
      </c>
      <c r="J264" s="51">
        <v>0</v>
      </c>
      <c r="K264" s="51">
        <f>K246*0.05</f>
        <v>0.88235294117647067</v>
      </c>
      <c r="L264" s="52">
        <v>0</v>
      </c>
      <c r="M264" s="73">
        <f>M246*0</f>
        <v>0</v>
      </c>
      <c r="N264" s="73">
        <v>0</v>
      </c>
      <c r="O264" s="73">
        <f>O246*0</f>
        <v>0</v>
      </c>
      <c r="P264" s="73">
        <f>(P246)*0.01</f>
        <v>3.2</v>
      </c>
      <c r="Q264" s="73">
        <f>Q246</f>
        <v>31.746031746031743</v>
      </c>
      <c r="R264" s="73"/>
      <c r="S264" s="51"/>
      <c r="T264" s="51"/>
      <c r="U264" s="51"/>
      <c r="V264" s="51"/>
      <c r="W264" s="51"/>
      <c r="X264" s="55">
        <f>X246*0.1</f>
        <v>4.7619047619047628</v>
      </c>
      <c r="Y264" s="59">
        <f t="shared" si="75"/>
        <v>0</v>
      </c>
      <c r="Z264" s="51">
        <f t="shared" si="75"/>
        <v>0</v>
      </c>
      <c r="AA264" s="51">
        <f t="shared" si="75"/>
        <v>0</v>
      </c>
    </row>
    <row r="265" spans="1:27" ht="15.75" thickBot="1" x14ac:dyDescent="0.3">
      <c r="A265" s="33" t="s">
        <v>60</v>
      </c>
      <c r="B265" s="34" t="s">
        <v>13</v>
      </c>
      <c r="C265" s="35" t="s">
        <v>61</v>
      </c>
      <c r="D265" s="34" t="s">
        <v>79</v>
      </c>
      <c r="E265" s="31"/>
      <c r="F265" s="51">
        <v>0</v>
      </c>
      <c r="G265" s="51">
        <v>0</v>
      </c>
      <c r="H265" s="51">
        <v>0</v>
      </c>
      <c r="I265" s="51">
        <v>0</v>
      </c>
      <c r="J265" s="51">
        <v>0</v>
      </c>
      <c r="K265" s="51">
        <v>0</v>
      </c>
      <c r="L265" s="52">
        <v>0</v>
      </c>
      <c r="M265" s="51">
        <v>0</v>
      </c>
      <c r="N265" s="51">
        <v>0</v>
      </c>
      <c r="O265" s="51">
        <v>0</v>
      </c>
      <c r="P265" s="51">
        <v>0</v>
      </c>
      <c r="Q265" s="51">
        <v>0</v>
      </c>
      <c r="R265" s="51">
        <v>0</v>
      </c>
      <c r="S265" s="51">
        <v>0</v>
      </c>
      <c r="T265" s="51">
        <v>0</v>
      </c>
      <c r="U265" s="51">
        <v>0</v>
      </c>
      <c r="V265" s="51">
        <v>0</v>
      </c>
      <c r="W265" s="51">
        <v>0</v>
      </c>
      <c r="X265" s="55">
        <v>0</v>
      </c>
      <c r="Y265" s="59">
        <f t="shared" si="75"/>
        <v>0</v>
      </c>
      <c r="Z265" s="51">
        <f t="shared" si="75"/>
        <v>0</v>
      </c>
      <c r="AA265" s="51">
        <f t="shared" si="75"/>
        <v>0</v>
      </c>
    </row>
    <row r="266" spans="1:27" x14ac:dyDescent="0.25">
      <c r="A266" s="30" t="s">
        <v>60</v>
      </c>
      <c r="B266" s="31" t="s">
        <v>13</v>
      </c>
      <c r="C266" s="32" t="s">
        <v>62</v>
      </c>
      <c r="D266" s="31" t="s">
        <v>75</v>
      </c>
      <c r="E266" s="31"/>
      <c r="F266" s="51"/>
      <c r="G266" s="73">
        <f>G247</f>
        <v>17.399999999999999</v>
      </c>
      <c r="H266" s="51">
        <f>H247*0.4</f>
        <v>19.31776</v>
      </c>
      <c r="I266" s="51">
        <v>0</v>
      </c>
      <c r="J266" s="51">
        <v>0</v>
      </c>
      <c r="K266" s="51">
        <v>0</v>
      </c>
      <c r="L266" s="52">
        <v>0</v>
      </c>
      <c r="M266" s="51">
        <v>0</v>
      </c>
      <c r="N266" s="51">
        <v>0</v>
      </c>
      <c r="O266" s="51">
        <v>0</v>
      </c>
      <c r="P266" s="51">
        <v>0</v>
      </c>
      <c r="Q266" s="51">
        <v>0</v>
      </c>
      <c r="R266" s="51">
        <v>0</v>
      </c>
      <c r="S266" s="51">
        <v>0</v>
      </c>
      <c r="T266" s="51">
        <v>0</v>
      </c>
      <c r="U266" s="51">
        <v>0</v>
      </c>
      <c r="V266" s="51">
        <v>0</v>
      </c>
      <c r="W266" s="51">
        <v>0</v>
      </c>
      <c r="X266" s="55">
        <v>0</v>
      </c>
      <c r="Y266" s="59">
        <f t="shared" ref="Y266:AA270" si="77">IF(Y311&gt;0,Y41/Y311,0)</f>
        <v>0</v>
      </c>
      <c r="Z266" s="51">
        <f t="shared" si="77"/>
        <v>0</v>
      </c>
      <c r="AA266" s="51">
        <f t="shared" si="77"/>
        <v>0</v>
      </c>
    </row>
    <row r="267" spans="1:27" x14ac:dyDescent="0.25">
      <c r="A267" s="30" t="s">
        <v>60</v>
      </c>
      <c r="B267" s="31" t="s">
        <v>13</v>
      </c>
      <c r="C267" s="32" t="s">
        <v>62</v>
      </c>
      <c r="D267" s="31" t="s">
        <v>76</v>
      </c>
      <c r="E267" s="31"/>
      <c r="F267" s="51">
        <f>F247</f>
        <v>13.3</v>
      </c>
      <c r="G267" s="51">
        <f>G247*0</f>
        <v>0</v>
      </c>
      <c r="H267" s="51">
        <f>H247*0.6</f>
        <v>28.976639999999996</v>
      </c>
      <c r="I267" s="51">
        <v>0</v>
      </c>
      <c r="J267" s="51">
        <v>0</v>
      </c>
      <c r="K267" s="51">
        <v>0</v>
      </c>
      <c r="L267" s="52">
        <v>0</v>
      </c>
      <c r="M267" s="51">
        <v>0</v>
      </c>
      <c r="N267" s="51">
        <v>0</v>
      </c>
      <c r="O267" s="51">
        <v>0</v>
      </c>
      <c r="P267" s="51">
        <f>P247</f>
        <v>480</v>
      </c>
      <c r="Q267" s="51">
        <v>0</v>
      </c>
      <c r="R267" s="51">
        <v>0</v>
      </c>
      <c r="S267" s="51">
        <v>0</v>
      </c>
      <c r="T267" s="51">
        <v>0</v>
      </c>
      <c r="U267" s="51">
        <v>0</v>
      </c>
      <c r="V267" s="51">
        <v>0</v>
      </c>
      <c r="W267" s="51">
        <v>0</v>
      </c>
      <c r="X267" s="55">
        <v>0</v>
      </c>
      <c r="Y267" s="59">
        <f t="shared" si="77"/>
        <v>0</v>
      </c>
      <c r="Z267" s="51">
        <f t="shared" si="77"/>
        <v>0</v>
      </c>
      <c r="AA267" s="51">
        <f t="shared" si="77"/>
        <v>0</v>
      </c>
    </row>
    <row r="268" spans="1:27" x14ac:dyDescent="0.25">
      <c r="A268" s="30" t="s">
        <v>60</v>
      </c>
      <c r="B268" s="31" t="s">
        <v>13</v>
      </c>
      <c r="C268" s="32" t="s">
        <v>62</v>
      </c>
      <c r="D268" s="31" t="s">
        <v>77</v>
      </c>
      <c r="E268" s="31"/>
      <c r="F268" s="51">
        <v>0</v>
      </c>
      <c r="G268" s="51">
        <v>0</v>
      </c>
      <c r="H268" s="51">
        <v>0</v>
      </c>
      <c r="I268" s="51">
        <v>0</v>
      </c>
      <c r="J268" s="51">
        <v>0</v>
      </c>
      <c r="K268" s="51">
        <v>0</v>
      </c>
      <c r="L268" s="52">
        <v>0</v>
      </c>
      <c r="M268" s="51">
        <v>0</v>
      </c>
      <c r="N268" s="51">
        <v>0</v>
      </c>
      <c r="O268" s="51">
        <v>0</v>
      </c>
      <c r="P268" s="51">
        <v>0</v>
      </c>
      <c r="Q268" s="51">
        <v>0</v>
      </c>
      <c r="R268" s="51">
        <v>0</v>
      </c>
      <c r="S268" s="51">
        <v>0</v>
      </c>
      <c r="T268" s="51">
        <v>0</v>
      </c>
      <c r="U268" s="51">
        <v>0</v>
      </c>
      <c r="V268" s="51">
        <v>0</v>
      </c>
      <c r="W268" s="51">
        <v>0</v>
      </c>
      <c r="X268" s="55">
        <v>0</v>
      </c>
      <c r="Y268" s="59">
        <f t="shared" si="77"/>
        <v>0</v>
      </c>
      <c r="Z268" s="51">
        <f t="shared" si="77"/>
        <v>0</v>
      </c>
      <c r="AA268" s="51">
        <f t="shared" si="77"/>
        <v>0</v>
      </c>
    </row>
    <row r="269" spans="1:27" x14ac:dyDescent="0.25">
      <c r="A269" s="30" t="s">
        <v>60</v>
      </c>
      <c r="B269" s="31" t="s">
        <v>13</v>
      </c>
      <c r="C269" s="32" t="s">
        <v>62</v>
      </c>
      <c r="D269" s="31" t="s">
        <v>78</v>
      </c>
      <c r="E269" s="31"/>
      <c r="F269" s="51">
        <v>0</v>
      </c>
      <c r="G269" s="51">
        <v>0</v>
      </c>
      <c r="H269" s="51">
        <v>0</v>
      </c>
      <c r="I269" s="51">
        <v>0</v>
      </c>
      <c r="J269" s="51">
        <v>0</v>
      </c>
      <c r="K269" s="51">
        <v>0</v>
      </c>
      <c r="L269" s="52">
        <v>0</v>
      </c>
      <c r="M269" s="51">
        <v>0</v>
      </c>
      <c r="N269" s="51">
        <v>0</v>
      </c>
      <c r="O269" s="51">
        <v>0</v>
      </c>
      <c r="P269" s="51">
        <v>0</v>
      </c>
      <c r="Q269" s="51">
        <v>0</v>
      </c>
      <c r="R269" s="51">
        <v>0</v>
      </c>
      <c r="S269" s="51">
        <v>0</v>
      </c>
      <c r="T269" s="51">
        <v>0</v>
      </c>
      <c r="U269" s="51">
        <v>0</v>
      </c>
      <c r="V269" s="51">
        <v>0</v>
      </c>
      <c r="W269" s="51">
        <v>0</v>
      </c>
      <c r="X269" s="55">
        <v>0</v>
      </c>
      <c r="Y269" s="59">
        <f t="shared" si="77"/>
        <v>0</v>
      </c>
      <c r="Z269" s="51">
        <f t="shared" si="77"/>
        <v>0</v>
      </c>
      <c r="AA269" s="51">
        <f t="shared" si="77"/>
        <v>0</v>
      </c>
    </row>
    <row r="270" spans="1:27" ht="15.75" thickBot="1" x14ac:dyDescent="0.3">
      <c r="A270" s="33" t="s">
        <v>60</v>
      </c>
      <c r="B270" s="34" t="s">
        <v>13</v>
      </c>
      <c r="C270" s="32" t="s">
        <v>62</v>
      </c>
      <c r="D270" s="34" t="s">
        <v>79</v>
      </c>
      <c r="E270" s="31"/>
      <c r="F270" s="51">
        <v>0</v>
      </c>
      <c r="G270" s="51">
        <v>0</v>
      </c>
      <c r="H270" s="51">
        <v>0</v>
      </c>
      <c r="I270" s="51">
        <v>0</v>
      </c>
      <c r="J270" s="51">
        <v>0</v>
      </c>
      <c r="K270" s="51">
        <v>0</v>
      </c>
      <c r="L270" s="52">
        <v>0</v>
      </c>
      <c r="M270" s="51">
        <v>0</v>
      </c>
      <c r="N270" s="51">
        <v>0</v>
      </c>
      <c r="O270" s="51">
        <v>0</v>
      </c>
      <c r="P270" s="51">
        <v>0</v>
      </c>
      <c r="Q270" s="51">
        <v>0</v>
      </c>
      <c r="R270" s="51">
        <v>0</v>
      </c>
      <c r="S270" s="51">
        <v>0</v>
      </c>
      <c r="T270" s="51">
        <v>0</v>
      </c>
      <c r="U270" s="51">
        <v>0</v>
      </c>
      <c r="V270" s="51">
        <v>0</v>
      </c>
      <c r="W270" s="51">
        <v>0</v>
      </c>
      <c r="X270" s="55">
        <v>0</v>
      </c>
      <c r="Y270" s="59">
        <f t="shared" si="77"/>
        <v>0</v>
      </c>
      <c r="Z270" s="51">
        <f t="shared" si="77"/>
        <v>0</v>
      </c>
      <c r="AA270" s="51">
        <f t="shared" si="77"/>
        <v>0</v>
      </c>
    </row>
    <row r="272" spans="1:27" x14ac:dyDescent="0.25">
      <c r="D272" s="41" t="s">
        <v>84</v>
      </c>
      <c r="E272" s="41"/>
      <c r="M272" s="24" t="s">
        <v>81</v>
      </c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</row>
    <row r="273" spans="1:27" x14ac:dyDescent="0.25">
      <c r="F273" s="23" t="s">
        <v>44</v>
      </c>
      <c r="G273" s="23"/>
      <c r="H273" s="23"/>
      <c r="I273" s="23"/>
      <c r="J273" s="23"/>
      <c r="K273" s="23"/>
      <c r="L273" s="7" t="s">
        <v>30</v>
      </c>
      <c r="M273" s="24" t="s">
        <v>46</v>
      </c>
      <c r="N273" s="24"/>
      <c r="O273" s="24"/>
      <c r="P273" s="24"/>
      <c r="Q273" s="24"/>
      <c r="R273" s="24" t="s">
        <v>47</v>
      </c>
      <c r="S273" s="24"/>
      <c r="T273" s="24"/>
      <c r="U273" s="24"/>
      <c r="V273" s="24"/>
      <c r="W273" s="24"/>
      <c r="X273" s="24"/>
      <c r="Y273" s="44" t="s">
        <v>85</v>
      </c>
      <c r="Z273" s="44" t="s">
        <v>48</v>
      </c>
      <c r="AA273" s="44" t="s">
        <v>3</v>
      </c>
    </row>
    <row r="274" spans="1:27" ht="63" x14ac:dyDescent="0.25">
      <c r="F274" s="38" t="s">
        <v>36</v>
      </c>
      <c r="G274" s="38" t="s">
        <v>37</v>
      </c>
      <c r="H274" s="38" t="s">
        <v>38</v>
      </c>
      <c r="I274" s="38" t="s">
        <v>80</v>
      </c>
      <c r="J274" s="38" t="s">
        <v>39</v>
      </c>
      <c r="K274" s="38" t="s">
        <v>45</v>
      </c>
      <c r="L274" s="39" t="s">
        <v>16</v>
      </c>
      <c r="M274" s="40" t="s">
        <v>34</v>
      </c>
      <c r="N274" s="40" t="s">
        <v>5</v>
      </c>
      <c r="O274" s="40" t="s">
        <v>7</v>
      </c>
      <c r="P274" s="40" t="s">
        <v>8</v>
      </c>
      <c r="Q274" s="40" t="s">
        <v>40</v>
      </c>
      <c r="R274" s="40" t="s">
        <v>41</v>
      </c>
      <c r="S274" s="40" t="s">
        <v>42</v>
      </c>
      <c r="T274" s="40" t="s">
        <v>31</v>
      </c>
      <c r="U274" s="40" t="s">
        <v>43</v>
      </c>
      <c r="V274" s="40" t="s">
        <v>82</v>
      </c>
      <c r="W274" s="40" t="s">
        <v>87</v>
      </c>
      <c r="X274" s="40" t="s">
        <v>83</v>
      </c>
      <c r="Y274" s="45" t="s">
        <v>3</v>
      </c>
      <c r="Z274" s="45" t="s">
        <v>86</v>
      </c>
      <c r="AA274" s="45" t="s">
        <v>3</v>
      </c>
    </row>
    <row r="275" spans="1:27" x14ac:dyDescent="0.25">
      <c r="A275" s="15" t="s">
        <v>51</v>
      </c>
      <c r="B275" s="2"/>
      <c r="C275" s="2"/>
      <c r="F275" s="1"/>
      <c r="G275" s="1"/>
      <c r="H275" s="1"/>
      <c r="I275" s="1"/>
      <c r="J275" s="1"/>
      <c r="K275" s="1"/>
      <c r="L275" s="5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54"/>
      <c r="Y275" s="58"/>
      <c r="Z275" s="1"/>
      <c r="AA275" s="1"/>
    </row>
    <row r="276" spans="1:27" x14ac:dyDescent="0.25">
      <c r="A276" s="30" t="s">
        <v>60</v>
      </c>
      <c r="B276" s="2"/>
      <c r="C276" s="2"/>
      <c r="F276" s="1"/>
      <c r="G276" s="1"/>
      <c r="H276" s="1"/>
      <c r="I276" s="1"/>
      <c r="J276" s="1"/>
      <c r="K276" s="1"/>
      <c r="L276" s="5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54"/>
      <c r="Y276" s="58"/>
      <c r="Z276" s="1"/>
      <c r="AA276" s="1"/>
    </row>
    <row r="277" spans="1:27" x14ac:dyDescent="0.25">
      <c r="A277" s="15" t="s">
        <v>51</v>
      </c>
      <c r="B277" s="16" t="s">
        <v>52</v>
      </c>
      <c r="C277" s="2"/>
      <c r="F277" s="1"/>
      <c r="G277" s="1"/>
      <c r="H277" s="1"/>
      <c r="I277" s="1"/>
      <c r="J277" s="1"/>
      <c r="K277" s="1"/>
      <c r="L277" s="5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54"/>
      <c r="Y277" s="58"/>
      <c r="Z277" s="1"/>
      <c r="AA277" s="1"/>
    </row>
    <row r="278" spans="1:27" x14ac:dyDescent="0.25">
      <c r="A278" s="15" t="s">
        <v>51</v>
      </c>
      <c r="B278" s="16" t="s">
        <v>56</v>
      </c>
      <c r="C278" s="2"/>
      <c r="F278" s="1"/>
      <c r="G278" s="1"/>
      <c r="H278" s="1"/>
      <c r="I278" s="1"/>
      <c r="J278" s="1"/>
      <c r="K278" s="1"/>
      <c r="L278" s="5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54"/>
      <c r="Y278" s="58"/>
      <c r="Z278" s="1"/>
      <c r="AA278" s="1"/>
    </row>
    <row r="279" spans="1:27" x14ac:dyDescent="0.25">
      <c r="A279" s="15" t="s">
        <v>51</v>
      </c>
      <c r="B279" s="16" t="s">
        <v>9</v>
      </c>
      <c r="C279" s="2"/>
      <c r="F279" s="1"/>
      <c r="G279" s="1"/>
      <c r="H279" s="1"/>
      <c r="I279" s="1"/>
      <c r="J279" s="1"/>
      <c r="K279" s="1"/>
      <c r="L279" s="5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54"/>
      <c r="Y279" s="58"/>
      <c r="Z279" s="1"/>
      <c r="AA279" s="1"/>
    </row>
    <row r="280" spans="1:27" x14ac:dyDescent="0.25">
      <c r="A280" s="30" t="s">
        <v>60</v>
      </c>
      <c r="B280" s="32" t="s">
        <v>13</v>
      </c>
      <c r="C280" s="2"/>
      <c r="F280" s="51"/>
      <c r="G280" s="51"/>
      <c r="H280" s="51"/>
      <c r="I280" s="51"/>
      <c r="J280" s="51"/>
      <c r="K280" s="51"/>
      <c r="L280" s="52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5"/>
      <c r="Y280" s="59"/>
      <c r="Z280" s="51"/>
      <c r="AA280" s="51"/>
    </row>
    <row r="281" spans="1:27" x14ac:dyDescent="0.25">
      <c r="A281" s="30" t="s">
        <v>60</v>
      </c>
      <c r="B281" s="31" t="s">
        <v>23</v>
      </c>
      <c r="C281" s="2"/>
      <c r="F281" s="51"/>
      <c r="G281" s="51"/>
      <c r="H281" s="51"/>
      <c r="I281" s="51"/>
      <c r="J281" s="51"/>
      <c r="K281" s="51"/>
      <c r="L281" s="52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5"/>
      <c r="Y281" s="59"/>
      <c r="Z281" s="51"/>
      <c r="AA281" s="51"/>
    </row>
    <row r="282" spans="1:27" x14ac:dyDescent="0.25">
      <c r="A282" s="30" t="s">
        <v>60</v>
      </c>
      <c r="B282" s="31" t="s">
        <v>65</v>
      </c>
      <c r="C282" s="46"/>
      <c r="F282" s="51"/>
      <c r="G282" s="51"/>
      <c r="H282" s="51"/>
      <c r="I282" s="51"/>
      <c r="J282" s="51"/>
      <c r="K282" s="51"/>
      <c r="L282" s="52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5"/>
      <c r="Y282" s="59"/>
      <c r="Z282" s="51"/>
      <c r="AA282" s="51"/>
    </row>
    <row r="283" spans="1:27" ht="15.75" thickBot="1" x14ac:dyDescent="0.3">
      <c r="A283" s="48" t="s">
        <v>60</v>
      </c>
      <c r="B283" s="49" t="s">
        <v>9</v>
      </c>
      <c r="C283" s="50"/>
      <c r="D283" s="50"/>
      <c r="E283" s="50"/>
      <c r="F283" s="53"/>
      <c r="G283" s="53"/>
      <c r="H283" s="53"/>
      <c r="I283" s="53"/>
      <c r="J283" s="53"/>
      <c r="K283" s="53"/>
      <c r="L283" s="62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6"/>
      <c r="Y283" s="60"/>
      <c r="Z283" s="53"/>
      <c r="AA283" s="53"/>
    </row>
    <row r="284" spans="1:27" ht="15.75" thickTop="1" x14ac:dyDescent="0.25">
      <c r="A284" s="15" t="s">
        <v>51</v>
      </c>
      <c r="B284" s="16" t="s">
        <v>52</v>
      </c>
      <c r="C284" s="16" t="s">
        <v>53</v>
      </c>
      <c r="D284" s="2"/>
      <c r="E284" s="2"/>
      <c r="F284" s="47"/>
      <c r="G284" s="47"/>
      <c r="H284" s="47"/>
      <c r="I284" s="47"/>
      <c r="J284" s="47"/>
      <c r="K284" s="47"/>
      <c r="L284" s="6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57"/>
      <c r="Y284" s="61"/>
      <c r="Z284" s="47"/>
      <c r="AA284" s="47"/>
    </row>
    <row r="285" spans="1:27" x14ac:dyDescent="0.25">
      <c r="A285" s="15" t="s">
        <v>51</v>
      </c>
      <c r="B285" s="16" t="s">
        <v>52</v>
      </c>
      <c r="C285" s="16" t="s">
        <v>54</v>
      </c>
      <c r="D285" s="2"/>
      <c r="E285" s="2"/>
      <c r="F285" s="1"/>
      <c r="G285" s="1"/>
      <c r="H285" s="1"/>
      <c r="I285" s="1"/>
      <c r="J285" s="1"/>
      <c r="K285" s="1"/>
      <c r="L285" s="5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54"/>
      <c r="Y285" s="58"/>
      <c r="Z285" s="1"/>
      <c r="AA285" s="1"/>
    </row>
    <row r="286" spans="1:27" x14ac:dyDescent="0.25">
      <c r="A286" s="15" t="s">
        <v>51</v>
      </c>
      <c r="B286" s="16" t="s">
        <v>52</v>
      </c>
      <c r="C286" s="16" t="s">
        <v>55</v>
      </c>
      <c r="D286" s="2"/>
      <c r="E286" s="2"/>
      <c r="F286" s="1"/>
      <c r="G286" s="1"/>
      <c r="H286" s="1"/>
      <c r="I286" s="1"/>
      <c r="J286" s="1"/>
      <c r="K286" s="1"/>
      <c r="L286" s="5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54"/>
      <c r="Y286" s="58"/>
      <c r="Z286" s="1"/>
      <c r="AA286" s="1"/>
    </row>
    <row r="287" spans="1:27" x14ac:dyDescent="0.25">
      <c r="A287" s="25" t="s">
        <v>51</v>
      </c>
      <c r="B287" s="26" t="s">
        <v>56</v>
      </c>
      <c r="C287" s="26" t="s">
        <v>57</v>
      </c>
      <c r="D287" s="2"/>
      <c r="E287" s="2"/>
      <c r="F287" s="1"/>
      <c r="G287" s="1"/>
      <c r="H287" s="1"/>
      <c r="I287" s="1"/>
      <c r="J287" s="1"/>
      <c r="K287" s="1"/>
      <c r="L287" s="5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54"/>
      <c r="Y287" s="58"/>
      <c r="Z287" s="1"/>
      <c r="AA287" s="1"/>
    </row>
    <row r="288" spans="1:27" x14ac:dyDescent="0.25">
      <c r="A288" s="15" t="s">
        <v>51</v>
      </c>
      <c r="B288" s="16" t="s">
        <v>56</v>
      </c>
      <c r="C288" s="27" t="s">
        <v>58</v>
      </c>
      <c r="D288" s="2"/>
      <c r="E288" s="2"/>
      <c r="F288" s="1"/>
      <c r="G288" s="1"/>
      <c r="H288" s="1"/>
      <c r="I288" s="1"/>
      <c r="J288" s="1"/>
      <c r="K288" s="1"/>
      <c r="L288" s="5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54"/>
      <c r="Y288" s="58"/>
      <c r="Z288" s="1"/>
      <c r="AA288" s="1"/>
    </row>
    <row r="289" spans="1:31" x14ac:dyDescent="0.25">
      <c r="A289" s="15" t="s">
        <v>51</v>
      </c>
      <c r="B289" s="16" t="s">
        <v>9</v>
      </c>
      <c r="C289" s="27" t="s">
        <v>59</v>
      </c>
      <c r="D289" s="2"/>
      <c r="E289" s="2"/>
      <c r="F289" s="1"/>
      <c r="G289" s="1"/>
      <c r="H289" s="1"/>
      <c r="I289" s="1"/>
      <c r="J289" s="1"/>
      <c r="K289" s="1"/>
      <c r="L289" s="5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54"/>
      <c r="Y289" s="58"/>
      <c r="Z289" s="1"/>
      <c r="AA289" s="1"/>
    </row>
    <row r="290" spans="1:31" x14ac:dyDescent="0.25">
      <c r="A290" s="15" t="s">
        <v>51</v>
      </c>
      <c r="B290" s="16" t="s">
        <v>9</v>
      </c>
      <c r="C290" s="27" t="s">
        <v>9</v>
      </c>
      <c r="D290" s="2"/>
      <c r="E290" s="2"/>
      <c r="F290" s="1"/>
      <c r="G290" s="1"/>
      <c r="H290" s="1"/>
      <c r="I290" s="1"/>
      <c r="J290" s="1"/>
      <c r="K290" s="1"/>
      <c r="L290" s="5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54"/>
      <c r="Y290" s="58"/>
      <c r="Z290" s="1"/>
      <c r="AA290" s="1"/>
    </row>
    <row r="291" spans="1:31" x14ac:dyDescent="0.25">
      <c r="A291" s="28" t="s">
        <v>60</v>
      </c>
      <c r="B291" s="29" t="s">
        <v>13</v>
      </c>
      <c r="C291" s="29" t="s">
        <v>61</v>
      </c>
      <c r="D291" s="2"/>
      <c r="E291" s="2"/>
      <c r="F291" s="51">
        <v>200</v>
      </c>
      <c r="G291" s="51"/>
      <c r="H291" s="51">
        <v>200</v>
      </c>
      <c r="I291" s="51">
        <v>180</v>
      </c>
      <c r="J291" s="51">
        <v>170</v>
      </c>
      <c r="K291" s="51">
        <v>170</v>
      </c>
      <c r="L291" s="52"/>
      <c r="M291" s="51">
        <v>180</v>
      </c>
      <c r="N291" s="51">
        <v>160</v>
      </c>
      <c r="O291" s="51">
        <v>180</v>
      </c>
      <c r="P291" s="51">
        <v>200</v>
      </c>
      <c r="Q291" s="51">
        <v>180</v>
      </c>
      <c r="R291" s="51">
        <v>180</v>
      </c>
      <c r="S291" s="51"/>
      <c r="T291" s="51">
        <v>180</v>
      </c>
      <c r="U291" s="51">
        <v>180</v>
      </c>
      <c r="V291" s="51">
        <v>180</v>
      </c>
      <c r="W291" s="51">
        <v>180</v>
      </c>
      <c r="X291" s="55">
        <v>180</v>
      </c>
      <c r="Y291" s="59"/>
      <c r="Z291" s="51"/>
      <c r="AA291" s="51"/>
    </row>
    <row r="292" spans="1:31" x14ac:dyDescent="0.25">
      <c r="A292" s="36" t="s">
        <v>60</v>
      </c>
      <c r="B292" s="37" t="s">
        <v>13</v>
      </c>
      <c r="C292" s="29" t="s">
        <v>62</v>
      </c>
      <c r="D292" s="2"/>
      <c r="E292" s="2"/>
      <c r="F292" s="51">
        <v>200</v>
      </c>
      <c r="G292" s="51">
        <v>200</v>
      </c>
      <c r="H292" s="51">
        <v>200</v>
      </c>
      <c r="I292" s="51"/>
      <c r="J292" s="51"/>
      <c r="K292" s="51"/>
      <c r="L292" s="52"/>
      <c r="M292" s="51"/>
      <c r="N292" s="51"/>
      <c r="O292" s="51"/>
      <c r="P292" s="51">
        <v>200</v>
      </c>
      <c r="Q292" s="51"/>
      <c r="R292" s="51"/>
      <c r="S292" s="51"/>
      <c r="T292" s="51"/>
      <c r="U292" s="51"/>
      <c r="V292" s="51"/>
      <c r="W292" s="51"/>
      <c r="X292" s="55"/>
      <c r="Y292" s="59"/>
      <c r="Z292" s="51"/>
      <c r="AA292" s="51"/>
    </row>
    <row r="293" spans="1:31" x14ac:dyDescent="0.25">
      <c r="A293" s="30" t="s">
        <v>60</v>
      </c>
      <c r="B293" s="31" t="s">
        <v>13</v>
      </c>
      <c r="C293" s="32" t="s">
        <v>63</v>
      </c>
      <c r="D293" s="2"/>
      <c r="E293" s="2"/>
      <c r="F293" s="51"/>
      <c r="G293" s="51"/>
      <c r="H293" s="51"/>
      <c r="I293" s="51"/>
      <c r="J293" s="51"/>
      <c r="K293" s="51"/>
      <c r="L293" s="52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5"/>
      <c r="Y293" s="59"/>
      <c r="Z293" s="51"/>
      <c r="AA293" s="51"/>
    </row>
    <row r="294" spans="1:31" x14ac:dyDescent="0.25">
      <c r="A294" s="30" t="s">
        <v>60</v>
      </c>
      <c r="B294" s="32" t="s">
        <v>23</v>
      </c>
      <c r="C294" s="31" t="s">
        <v>50</v>
      </c>
      <c r="D294" s="2"/>
      <c r="E294" s="2"/>
      <c r="F294" s="51">
        <v>65</v>
      </c>
      <c r="G294" s="51"/>
      <c r="H294" s="51"/>
      <c r="I294" s="51"/>
      <c r="J294" s="51">
        <v>65</v>
      </c>
      <c r="K294" s="51">
        <v>70</v>
      </c>
      <c r="L294" s="52"/>
      <c r="M294" s="51">
        <v>65</v>
      </c>
      <c r="N294" s="51">
        <v>65</v>
      </c>
      <c r="O294" s="51"/>
      <c r="P294" s="51"/>
      <c r="Q294" s="51"/>
      <c r="R294" s="51"/>
      <c r="S294" s="51"/>
      <c r="T294" s="51"/>
      <c r="U294" s="51"/>
      <c r="V294" s="51"/>
      <c r="W294" s="51"/>
      <c r="X294" s="55"/>
      <c r="Y294" s="59"/>
      <c r="Z294" s="51"/>
      <c r="AA294" s="51"/>
      <c r="AB294" t="s">
        <v>13</v>
      </c>
      <c r="AC294" t="s">
        <v>111</v>
      </c>
      <c r="AD294" t="s">
        <v>106</v>
      </c>
    </row>
    <row r="295" spans="1:31" x14ac:dyDescent="0.25">
      <c r="A295" s="30" t="s">
        <v>60</v>
      </c>
      <c r="B295" s="32" t="s">
        <v>23</v>
      </c>
      <c r="C295" s="31" t="s">
        <v>49</v>
      </c>
      <c r="D295" s="2"/>
      <c r="E295" s="2"/>
      <c r="F295" s="51"/>
      <c r="G295" s="51"/>
      <c r="H295" s="51"/>
      <c r="I295" s="51"/>
      <c r="J295" s="51">
        <v>45</v>
      </c>
      <c r="K295" s="51">
        <v>45</v>
      </c>
      <c r="L295" s="52"/>
      <c r="M295" s="51"/>
      <c r="N295" s="51"/>
      <c r="O295" s="51"/>
      <c r="P295" s="51"/>
      <c r="Q295" s="51"/>
      <c r="R295" s="51"/>
      <c r="S295" s="51">
        <v>45</v>
      </c>
      <c r="T295" s="51">
        <v>35</v>
      </c>
      <c r="U295" s="51"/>
      <c r="V295" s="51">
        <v>45</v>
      </c>
      <c r="W295" s="51"/>
      <c r="X295" s="55">
        <v>45</v>
      </c>
      <c r="Y295" s="59"/>
      <c r="Z295" s="51"/>
      <c r="AA295" s="51"/>
      <c r="AB295">
        <v>2.9</v>
      </c>
      <c r="AC295">
        <v>3.2</v>
      </c>
      <c r="AD295">
        <v>1.8</v>
      </c>
      <c r="AE295" t="s">
        <v>107</v>
      </c>
    </row>
    <row r="296" spans="1:31" x14ac:dyDescent="0.25">
      <c r="A296" s="30" t="s">
        <v>60</v>
      </c>
      <c r="B296" s="32" t="s">
        <v>23</v>
      </c>
      <c r="C296" s="31" t="s">
        <v>64</v>
      </c>
      <c r="D296" s="2"/>
      <c r="E296" s="2"/>
      <c r="F296" s="51"/>
      <c r="G296" s="51"/>
      <c r="H296" s="51"/>
      <c r="I296" s="51"/>
      <c r="J296" s="51"/>
      <c r="K296" s="51"/>
      <c r="L296" s="52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5"/>
      <c r="Y296" s="59"/>
      <c r="Z296" s="51"/>
      <c r="AA296" s="51"/>
      <c r="AB296">
        <v>3.6</v>
      </c>
      <c r="AC296">
        <v>1.2</v>
      </c>
      <c r="AD296">
        <v>1.2</v>
      </c>
      <c r="AE296" t="s">
        <v>108</v>
      </c>
    </row>
    <row r="297" spans="1:31" x14ac:dyDescent="0.25">
      <c r="A297" s="30" t="s">
        <v>60</v>
      </c>
      <c r="B297" s="32" t="s">
        <v>65</v>
      </c>
      <c r="C297" s="31" t="s">
        <v>66</v>
      </c>
      <c r="D297" s="2"/>
      <c r="E297" s="2"/>
      <c r="F297" s="51"/>
      <c r="G297" s="51"/>
      <c r="H297" s="51"/>
      <c r="I297" s="51"/>
      <c r="J297" s="51">
        <v>40</v>
      </c>
      <c r="K297" s="51"/>
      <c r="L297" s="52"/>
      <c r="M297" s="51">
        <v>40</v>
      </c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5"/>
      <c r="Y297" s="59"/>
      <c r="Z297" s="51"/>
      <c r="AA297" s="51"/>
      <c r="AB297">
        <v>65.099999999999994</v>
      </c>
      <c r="AC297">
        <v>42.7</v>
      </c>
      <c r="AD297">
        <v>42.2</v>
      </c>
      <c r="AE297" t="s">
        <v>109</v>
      </c>
    </row>
    <row r="298" spans="1:31" x14ac:dyDescent="0.25">
      <c r="A298" s="30" t="s">
        <v>60</v>
      </c>
      <c r="B298" s="32" t="s">
        <v>65</v>
      </c>
      <c r="C298" s="31" t="s">
        <v>67</v>
      </c>
      <c r="D298" s="2"/>
      <c r="E298" s="2"/>
      <c r="F298" s="51"/>
      <c r="G298" s="51"/>
      <c r="H298" s="51"/>
      <c r="I298" s="51"/>
      <c r="J298" s="51"/>
      <c r="K298" s="51"/>
      <c r="L298" s="52"/>
      <c r="M298" s="51"/>
      <c r="N298" s="51"/>
      <c r="O298" s="51"/>
      <c r="P298" s="51"/>
      <c r="Q298" s="51">
        <v>35</v>
      </c>
      <c r="R298" s="51">
        <v>35</v>
      </c>
      <c r="S298" s="51"/>
      <c r="T298" s="51">
        <v>35</v>
      </c>
      <c r="U298" s="51">
        <v>35</v>
      </c>
      <c r="V298" s="51">
        <v>35</v>
      </c>
      <c r="W298" s="51">
        <v>35</v>
      </c>
      <c r="X298" s="55">
        <v>35</v>
      </c>
      <c r="Y298" s="59"/>
      <c r="Z298" s="51"/>
      <c r="AA298" s="51"/>
      <c r="AB298">
        <v>18.2</v>
      </c>
      <c r="AC298">
        <v>22</v>
      </c>
      <c r="AD298">
        <v>22.2</v>
      </c>
      <c r="AE298" t="s">
        <v>110</v>
      </c>
    </row>
    <row r="299" spans="1:31" x14ac:dyDescent="0.25">
      <c r="A299" s="30" t="s">
        <v>60</v>
      </c>
      <c r="B299" s="32" t="s">
        <v>65</v>
      </c>
      <c r="C299" s="31" t="s">
        <v>68</v>
      </c>
      <c r="D299" s="2"/>
      <c r="E299" s="2"/>
      <c r="F299" s="51"/>
      <c r="G299" s="51"/>
      <c r="H299" s="51"/>
      <c r="I299" s="51"/>
      <c r="J299" s="51"/>
      <c r="K299" s="51"/>
      <c r="L299" s="52">
        <v>40</v>
      </c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5"/>
      <c r="Y299" s="59"/>
      <c r="Z299" s="51"/>
      <c r="AA299" s="51"/>
      <c r="AB299">
        <v>47</v>
      </c>
      <c r="AC299">
        <v>58</v>
      </c>
      <c r="AD299">
        <v>49</v>
      </c>
      <c r="AE299" t="s">
        <v>102</v>
      </c>
    </row>
    <row r="300" spans="1:31" x14ac:dyDescent="0.25">
      <c r="A300" s="30" t="s">
        <v>60</v>
      </c>
      <c r="B300" s="32" t="s">
        <v>9</v>
      </c>
      <c r="C300" s="31" t="s">
        <v>69</v>
      </c>
      <c r="D300" s="2"/>
      <c r="E300" s="2"/>
      <c r="F300" s="51"/>
      <c r="G300" s="51"/>
      <c r="H300" s="51"/>
      <c r="I300" s="51"/>
      <c r="J300" s="51"/>
      <c r="K300" s="51"/>
      <c r="L300" s="52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5">
        <v>60</v>
      </c>
      <c r="Y300" s="59"/>
      <c r="Z300" s="51"/>
      <c r="AA300" s="51"/>
      <c r="AB300">
        <f>AB295*AB296</f>
        <v>10.44</v>
      </c>
      <c r="AC300">
        <f>AC295*AC296</f>
        <v>3.84</v>
      </c>
      <c r="AD300">
        <f>AD295*AD296</f>
        <v>2.16</v>
      </c>
      <c r="AE300" t="s">
        <v>91</v>
      </c>
    </row>
    <row r="301" spans="1:31" x14ac:dyDescent="0.25">
      <c r="A301" s="15" t="s">
        <v>51</v>
      </c>
      <c r="B301" s="16" t="s">
        <v>56</v>
      </c>
      <c r="C301" s="27" t="s">
        <v>57</v>
      </c>
      <c r="D301" s="16" t="s">
        <v>70</v>
      </c>
      <c r="E301" s="16"/>
      <c r="F301" s="1"/>
      <c r="G301" s="1"/>
      <c r="H301" s="1"/>
      <c r="I301" s="1"/>
      <c r="J301" s="1"/>
      <c r="K301" s="1"/>
      <c r="L301" s="5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54"/>
      <c r="Y301" s="58"/>
      <c r="Z301" s="1"/>
      <c r="AA301" s="1"/>
      <c r="AB301">
        <f>(AB298/100)^2*AB297/100</f>
        <v>2.1563723999999999E-2</v>
      </c>
      <c r="AC301">
        <f>(AC298/100)^2*AC297/100</f>
        <v>2.0666800000000003E-2</v>
      </c>
      <c r="AD301">
        <f>(AD298/100)^2*AD297/100</f>
        <v>2.0797848000000001E-2</v>
      </c>
      <c r="AE301" t="s">
        <v>112</v>
      </c>
    </row>
    <row r="302" spans="1:31" x14ac:dyDescent="0.25">
      <c r="A302" s="15" t="s">
        <v>51</v>
      </c>
      <c r="B302" s="16" t="s">
        <v>56</v>
      </c>
      <c r="C302" s="27" t="s">
        <v>57</v>
      </c>
      <c r="D302" s="16" t="s">
        <v>71</v>
      </c>
      <c r="E302" s="16"/>
      <c r="F302" s="1"/>
      <c r="G302" s="1"/>
      <c r="H302" s="1"/>
      <c r="I302" s="1"/>
      <c r="J302" s="1"/>
      <c r="K302" s="1"/>
      <c r="L302" s="5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54"/>
      <c r="Y302" s="58"/>
      <c r="Z302" s="1"/>
      <c r="AA302" s="1"/>
      <c r="AB302">
        <f>AB300/AB299</f>
        <v>0.22212765957446806</v>
      </c>
      <c r="AC302">
        <f>AC300/AC299</f>
        <v>6.620689655172414E-2</v>
      </c>
      <c r="AD302">
        <f>AD300/AD299</f>
        <v>4.4081632653061226E-2</v>
      </c>
      <c r="AE302" t="s">
        <v>104</v>
      </c>
    </row>
    <row r="303" spans="1:31" x14ac:dyDescent="0.25">
      <c r="A303" s="15" t="s">
        <v>51</v>
      </c>
      <c r="B303" s="16" t="s">
        <v>56</v>
      </c>
      <c r="C303" s="27" t="s">
        <v>27</v>
      </c>
      <c r="D303" s="16" t="s">
        <v>72</v>
      </c>
      <c r="E303" s="16"/>
      <c r="F303" s="1"/>
      <c r="G303" s="1"/>
      <c r="H303" s="1"/>
      <c r="I303" s="1"/>
      <c r="J303" s="1"/>
      <c r="K303" s="1"/>
      <c r="L303" s="5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54"/>
      <c r="Y303" s="58"/>
      <c r="Z303" s="1"/>
      <c r="AA303" s="1"/>
      <c r="AB303">
        <f>AB300/AB301</f>
        <v>484.14643036610931</v>
      </c>
      <c r="AC303">
        <f>AC300/AC301</f>
        <v>185.8052528693363</v>
      </c>
      <c r="AD303">
        <f>AD300/AD301</f>
        <v>103.85689904070844</v>
      </c>
      <c r="AE303" t="s">
        <v>113</v>
      </c>
    </row>
    <row r="304" spans="1:31" x14ac:dyDescent="0.25">
      <c r="A304" s="15" t="s">
        <v>51</v>
      </c>
      <c r="B304" s="16" t="s">
        <v>56</v>
      </c>
      <c r="C304" s="27" t="s">
        <v>57</v>
      </c>
      <c r="D304" s="16" t="s">
        <v>73</v>
      </c>
      <c r="E304" s="16"/>
      <c r="F304" s="1"/>
      <c r="G304" s="1"/>
      <c r="H304" s="1"/>
      <c r="I304" s="1"/>
      <c r="J304" s="1"/>
      <c r="K304" s="1"/>
      <c r="L304" s="5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54"/>
      <c r="Y304" s="58"/>
      <c r="Z304" s="1"/>
      <c r="AA304" s="1"/>
    </row>
    <row r="305" spans="1:27" x14ac:dyDescent="0.25">
      <c r="A305" s="15" t="s">
        <v>51</v>
      </c>
      <c r="B305" s="16" t="s">
        <v>56</v>
      </c>
      <c r="C305" s="27" t="s">
        <v>57</v>
      </c>
      <c r="D305" s="16" t="s">
        <v>74</v>
      </c>
      <c r="E305" s="16"/>
      <c r="F305" s="1"/>
      <c r="G305" s="1"/>
      <c r="H305" s="1"/>
      <c r="I305" s="1"/>
      <c r="J305" s="1"/>
      <c r="K305" s="1"/>
      <c r="L305" s="5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54"/>
      <c r="Y305" s="58"/>
      <c r="Z305" s="1"/>
      <c r="AA305" s="1"/>
    </row>
    <row r="306" spans="1:27" x14ac:dyDescent="0.25">
      <c r="A306" s="30" t="s">
        <v>60</v>
      </c>
      <c r="B306" s="31" t="s">
        <v>13</v>
      </c>
      <c r="C306" s="32" t="s">
        <v>61</v>
      </c>
      <c r="D306" s="31" t="s">
        <v>75</v>
      </c>
      <c r="E306" s="31"/>
      <c r="F306" s="51"/>
      <c r="G306" s="51"/>
      <c r="H306" s="51"/>
      <c r="I306" s="51"/>
      <c r="J306" s="51"/>
      <c r="K306" s="51"/>
      <c r="L306" s="52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5"/>
      <c r="Y306" s="59"/>
      <c r="Z306" s="51"/>
      <c r="AA306" s="51"/>
    </row>
    <row r="307" spans="1:27" x14ac:dyDescent="0.25">
      <c r="A307" s="30" t="s">
        <v>60</v>
      </c>
      <c r="B307" s="31" t="s">
        <v>13</v>
      </c>
      <c r="C307" s="32" t="s">
        <v>61</v>
      </c>
      <c r="D307" s="31" t="s">
        <v>76</v>
      </c>
      <c r="E307" s="31"/>
      <c r="F307" s="51"/>
      <c r="G307" s="51"/>
      <c r="H307" s="51"/>
      <c r="I307" s="51"/>
      <c r="J307" s="51"/>
      <c r="K307" s="51"/>
      <c r="L307" s="52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5"/>
      <c r="Y307" s="59"/>
      <c r="Z307" s="51"/>
      <c r="AA307" s="51"/>
    </row>
    <row r="308" spans="1:27" x14ac:dyDescent="0.25">
      <c r="A308" s="30" t="s">
        <v>60</v>
      </c>
      <c r="B308" s="31" t="s">
        <v>13</v>
      </c>
      <c r="C308" s="32" t="s">
        <v>61</v>
      </c>
      <c r="D308" s="31" t="s">
        <v>77</v>
      </c>
      <c r="E308" s="31"/>
      <c r="F308" s="51"/>
      <c r="G308" s="51"/>
      <c r="H308" s="51"/>
      <c r="I308" s="51"/>
      <c r="J308" s="51"/>
      <c r="K308" s="51"/>
      <c r="L308" s="52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5"/>
      <c r="Y308" s="59"/>
      <c r="Z308" s="51"/>
      <c r="AA308" s="51"/>
    </row>
    <row r="309" spans="1:27" x14ac:dyDescent="0.25">
      <c r="A309" s="30" t="s">
        <v>60</v>
      </c>
      <c r="B309" s="31" t="s">
        <v>13</v>
      </c>
      <c r="C309" s="32" t="s">
        <v>61</v>
      </c>
      <c r="D309" s="31" t="s">
        <v>78</v>
      </c>
      <c r="E309" s="31"/>
      <c r="F309" s="51"/>
      <c r="G309" s="51"/>
      <c r="H309" s="51"/>
      <c r="I309" s="51"/>
      <c r="J309" s="51"/>
      <c r="K309" s="51"/>
      <c r="L309" s="52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5"/>
      <c r="Y309" s="59"/>
      <c r="Z309" s="51"/>
      <c r="AA309" s="51"/>
    </row>
    <row r="310" spans="1:27" ht="15.75" thickBot="1" x14ac:dyDescent="0.3">
      <c r="A310" s="33" t="s">
        <v>60</v>
      </c>
      <c r="B310" s="34" t="s">
        <v>13</v>
      </c>
      <c r="C310" s="35" t="s">
        <v>61</v>
      </c>
      <c r="D310" s="34" t="s">
        <v>79</v>
      </c>
      <c r="E310" s="31"/>
      <c r="F310" s="51"/>
      <c r="G310" s="51"/>
      <c r="H310" s="51"/>
      <c r="I310" s="51"/>
      <c r="J310" s="51"/>
      <c r="K310" s="51"/>
      <c r="L310" s="52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5"/>
      <c r="Y310" s="59"/>
      <c r="Z310" s="51"/>
      <c r="AA310" s="51"/>
    </row>
    <row r="311" spans="1:27" x14ac:dyDescent="0.25">
      <c r="A311" s="30" t="s">
        <v>60</v>
      </c>
      <c r="B311" s="31" t="s">
        <v>13</v>
      </c>
      <c r="C311" s="32" t="s">
        <v>62</v>
      </c>
      <c r="D311" s="31" t="s">
        <v>75</v>
      </c>
      <c r="E311" s="31"/>
      <c r="F311" s="51"/>
      <c r="G311" s="51"/>
      <c r="H311" s="51"/>
      <c r="I311" s="51"/>
      <c r="J311" s="51"/>
      <c r="K311" s="51"/>
      <c r="L311" s="52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5"/>
      <c r="Y311" s="59"/>
      <c r="Z311" s="51"/>
      <c r="AA311" s="51"/>
    </row>
    <row r="312" spans="1:27" x14ac:dyDescent="0.25">
      <c r="A312" s="30" t="s">
        <v>60</v>
      </c>
      <c r="B312" s="31" t="s">
        <v>13</v>
      </c>
      <c r="C312" s="32" t="s">
        <v>62</v>
      </c>
      <c r="D312" s="31" t="s">
        <v>76</v>
      </c>
      <c r="E312" s="31"/>
      <c r="F312" s="51"/>
      <c r="G312" s="51"/>
      <c r="H312" s="51"/>
      <c r="I312" s="51"/>
      <c r="J312" s="51"/>
      <c r="K312" s="51"/>
      <c r="L312" s="52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5"/>
      <c r="Y312" s="59"/>
      <c r="Z312" s="51"/>
      <c r="AA312" s="51"/>
    </row>
    <row r="313" spans="1:27" x14ac:dyDescent="0.25">
      <c r="A313" s="30" t="s">
        <v>60</v>
      </c>
      <c r="B313" s="31" t="s">
        <v>13</v>
      </c>
      <c r="C313" s="32" t="s">
        <v>62</v>
      </c>
      <c r="D313" s="31" t="s">
        <v>77</v>
      </c>
      <c r="E313" s="31"/>
      <c r="F313" s="51"/>
      <c r="G313" s="51"/>
      <c r="H313" s="51"/>
      <c r="I313" s="51"/>
      <c r="J313" s="51"/>
      <c r="K313" s="51"/>
      <c r="L313" s="52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5"/>
      <c r="Y313" s="59"/>
      <c r="Z313" s="51"/>
      <c r="AA313" s="51"/>
    </row>
    <row r="314" spans="1:27" x14ac:dyDescent="0.25">
      <c r="A314" s="30" t="s">
        <v>60</v>
      </c>
      <c r="B314" s="31" t="s">
        <v>13</v>
      </c>
      <c r="C314" s="32" t="s">
        <v>62</v>
      </c>
      <c r="D314" s="31" t="s">
        <v>78</v>
      </c>
      <c r="E314" s="31"/>
      <c r="F314" s="51"/>
      <c r="G314" s="51"/>
      <c r="H314" s="51"/>
      <c r="I314" s="51"/>
      <c r="J314" s="51"/>
      <c r="K314" s="51"/>
      <c r="L314" s="52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5"/>
      <c r="Y314" s="59"/>
      <c r="Z314" s="51"/>
      <c r="AA314" s="51"/>
    </row>
    <row r="315" spans="1:27" ht="15.75" thickBot="1" x14ac:dyDescent="0.3">
      <c r="A315" s="33" t="s">
        <v>60</v>
      </c>
      <c r="B315" s="34" t="s">
        <v>13</v>
      </c>
      <c r="C315" s="32" t="s">
        <v>62</v>
      </c>
      <c r="D315" s="34" t="s">
        <v>79</v>
      </c>
      <c r="E315" s="31"/>
      <c r="F315" s="51"/>
      <c r="G315" s="51"/>
      <c r="H315" s="51"/>
      <c r="I315" s="51"/>
      <c r="J315" s="51"/>
      <c r="K315" s="51"/>
      <c r="L315" s="52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5"/>
      <c r="Y315" s="59"/>
      <c r="Z315" s="51"/>
      <c r="AA315" s="5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15"/>
  <sheetViews>
    <sheetView topLeftCell="A222" workbookViewId="0">
      <selection activeCell="A227" sqref="A227:AA229"/>
    </sheetView>
  </sheetViews>
  <sheetFormatPr baseColWidth="10" defaultColWidth="8.85546875" defaultRowHeight="15" x14ac:dyDescent="0.25"/>
  <cols>
    <col min="5" max="5" width="9.140625" customWidth="1"/>
    <col min="25" max="25" width="9.140625" bestFit="1" customWidth="1"/>
    <col min="26" max="26" width="8.85546875" bestFit="1" customWidth="1"/>
    <col min="27" max="27" width="9.42578125" customWidth="1"/>
  </cols>
  <sheetData>
    <row r="1" spans="1:35" ht="18.75" x14ac:dyDescent="0.3">
      <c r="A1" s="42" t="s">
        <v>14</v>
      </c>
      <c r="B1" s="42"/>
      <c r="C1" s="109">
        <v>2021</v>
      </c>
    </row>
    <row r="2" spans="1:35" x14ac:dyDescent="0.25">
      <c r="D2" s="41" t="s">
        <v>1</v>
      </c>
      <c r="E2" s="41"/>
      <c r="M2" s="24" t="s">
        <v>81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35" x14ac:dyDescent="0.25">
      <c r="F3" s="23" t="s">
        <v>44</v>
      </c>
      <c r="G3" s="23"/>
      <c r="H3" s="23"/>
      <c r="I3" s="23"/>
      <c r="J3" s="23"/>
      <c r="K3" s="23"/>
      <c r="L3" s="7" t="s">
        <v>30</v>
      </c>
      <c r="M3" s="24" t="s">
        <v>46</v>
      </c>
      <c r="N3" s="24"/>
      <c r="O3" s="24"/>
      <c r="P3" s="24"/>
      <c r="Q3" s="24"/>
      <c r="R3" s="24" t="s">
        <v>47</v>
      </c>
      <c r="S3" s="24"/>
      <c r="T3" s="24"/>
      <c r="U3" s="24"/>
      <c r="V3" s="24"/>
      <c r="W3" s="24"/>
      <c r="X3" s="24"/>
      <c r="Y3" s="44" t="s">
        <v>85</v>
      </c>
      <c r="Z3" s="44" t="s">
        <v>48</v>
      </c>
      <c r="AA3" s="44" t="s">
        <v>3</v>
      </c>
    </row>
    <row r="4" spans="1:35" ht="63" x14ac:dyDescent="0.25">
      <c r="F4" s="38" t="s">
        <v>36</v>
      </c>
      <c r="G4" s="38" t="s">
        <v>37</v>
      </c>
      <c r="H4" s="38" t="s">
        <v>38</v>
      </c>
      <c r="I4" s="38" t="s">
        <v>80</v>
      </c>
      <c r="J4" s="38" t="s">
        <v>39</v>
      </c>
      <c r="K4" s="38" t="s">
        <v>45</v>
      </c>
      <c r="L4" s="39" t="s">
        <v>16</v>
      </c>
      <c r="M4" s="40" t="s">
        <v>34</v>
      </c>
      <c r="N4" s="40" t="s">
        <v>5</v>
      </c>
      <c r="O4" s="40" t="s">
        <v>7</v>
      </c>
      <c r="P4" s="40" t="s">
        <v>8</v>
      </c>
      <c r="Q4" s="40" t="s">
        <v>40</v>
      </c>
      <c r="R4" s="40" t="s">
        <v>41</v>
      </c>
      <c r="S4" s="40" t="s">
        <v>42</v>
      </c>
      <c r="T4" s="40" t="s">
        <v>31</v>
      </c>
      <c r="U4" s="40" t="s">
        <v>43</v>
      </c>
      <c r="V4" s="40" t="s">
        <v>82</v>
      </c>
      <c r="W4" s="40" t="s">
        <v>87</v>
      </c>
      <c r="X4" s="40" t="s">
        <v>83</v>
      </c>
      <c r="Y4" s="45" t="s">
        <v>3</v>
      </c>
      <c r="Z4" s="45" t="s">
        <v>3</v>
      </c>
      <c r="AA4" s="45" t="s">
        <v>3</v>
      </c>
    </row>
    <row r="5" spans="1:35" x14ac:dyDescent="0.25">
      <c r="A5" s="15" t="s">
        <v>51</v>
      </c>
      <c r="B5" s="2"/>
      <c r="C5" s="2"/>
      <c r="D5">
        <f>6000*0.045</f>
        <v>270</v>
      </c>
      <c r="F5" s="1">
        <f t="shared" ref="F5:X5" si="0">F7+F8+F9</f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52">
        <f t="shared" si="0"/>
        <v>0</v>
      </c>
      <c r="M5" s="1">
        <f t="shared" si="0"/>
        <v>0</v>
      </c>
      <c r="N5" s="1">
        <f t="shared" si="0"/>
        <v>0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1">
        <f t="shared" si="0"/>
        <v>0</v>
      </c>
      <c r="V5" s="1">
        <f t="shared" si="0"/>
        <v>0</v>
      </c>
      <c r="W5" s="1">
        <f t="shared" si="0"/>
        <v>0</v>
      </c>
      <c r="X5" s="1">
        <f t="shared" si="0"/>
        <v>0</v>
      </c>
      <c r="Y5" s="58">
        <f t="shared" ref="Y5:Y45" si="1">SUM(F5:K5)</f>
        <v>0</v>
      </c>
      <c r="Z5" s="1">
        <f t="shared" ref="Z5:Z45" si="2">SUM(M5:X5)</f>
        <v>0</v>
      </c>
      <c r="AA5" s="1">
        <f t="shared" ref="AA5:AA12" si="3">L5+Y5+Z5</f>
        <v>0</v>
      </c>
    </row>
    <row r="6" spans="1:35" x14ac:dyDescent="0.25">
      <c r="A6" s="30" t="s">
        <v>60</v>
      </c>
      <c r="B6" s="2"/>
      <c r="C6" s="2"/>
      <c r="F6" s="1">
        <f>F10+F11+F12+F13</f>
        <v>7600</v>
      </c>
      <c r="G6" s="1">
        <f t="shared" ref="G6:X6" si="4">G10+G11+G12+G13</f>
        <v>3480</v>
      </c>
      <c r="H6" s="1">
        <f t="shared" si="4"/>
        <v>10976</v>
      </c>
      <c r="I6" s="1">
        <f t="shared" si="4"/>
        <v>4116</v>
      </c>
      <c r="J6" s="1">
        <f t="shared" si="4"/>
        <v>7033.3333333333339</v>
      </c>
      <c r="K6" s="1">
        <f t="shared" si="4"/>
        <v>3324</v>
      </c>
      <c r="L6" s="52">
        <f t="shared" si="4"/>
        <v>298200</v>
      </c>
      <c r="M6" s="1">
        <f t="shared" si="4"/>
        <v>26800</v>
      </c>
      <c r="N6" s="1">
        <f t="shared" si="4"/>
        <v>4796</v>
      </c>
      <c r="O6" s="1">
        <f t="shared" si="4"/>
        <v>8073</v>
      </c>
      <c r="P6" s="1">
        <f t="shared" si="4"/>
        <v>145000</v>
      </c>
      <c r="Q6" s="1">
        <f t="shared" si="4"/>
        <v>47142.857142857145</v>
      </c>
      <c r="R6" s="1">
        <f t="shared" si="4"/>
        <v>33333.333333333336</v>
      </c>
      <c r="S6" s="1">
        <f t="shared" si="4"/>
        <v>112.00000000000001</v>
      </c>
      <c r="T6" s="1">
        <f t="shared" si="4"/>
        <v>24933.333333333332</v>
      </c>
      <c r="U6" s="1">
        <f t="shared" si="4"/>
        <v>13800</v>
      </c>
      <c r="V6" s="1">
        <f t="shared" si="4"/>
        <v>5010</v>
      </c>
      <c r="W6" s="1">
        <f t="shared" si="4"/>
        <v>9137.5</v>
      </c>
      <c r="X6" s="54">
        <f t="shared" si="4"/>
        <v>17357.142857142859</v>
      </c>
      <c r="Y6" s="58">
        <f t="shared" si="1"/>
        <v>36529.333333333336</v>
      </c>
      <c r="Z6" s="1">
        <f t="shared" si="2"/>
        <v>335495.16666666663</v>
      </c>
      <c r="AA6" s="1">
        <f t="shared" si="3"/>
        <v>670224.5</v>
      </c>
    </row>
    <row r="7" spans="1:35" x14ac:dyDescent="0.25">
      <c r="A7" s="15" t="s">
        <v>51</v>
      </c>
      <c r="B7" s="16" t="s">
        <v>52</v>
      </c>
      <c r="C7" s="2"/>
      <c r="F7" s="1">
        <f>F14+F15+F16</f>
        <v>0</v>
      </c>
      <c r="G7" s="1">
        <f t="shared" ref="G7:X7" si="5">G14+G15+G16</f>
        <v>0</v>
      </c>
      <c r="H7" s="1">
        <f t="shared" si="5"/>
        <v>0</v>
      </c>
      <c r="I7" s="1">
        <f t="shared" si="5"/>
        <v>0</v>
      </c>
      <c r="J7" s="1">
        <f t="shared" si="5"/>
        <v>0</v>
      </c>
      <c r="K7" s="1">
        <f t="shared" si="5"/>
        <v>0</v>
      </c>
      <c r="L7" s="52">
        <f t="shared" si="5"/>
        <v>0</v>
      </c>
      <c r="M7" s="1">
        <f t="shared" si="5"/>
        <v>0</v>
      </c>
      <c r="N7" s="1">
        <f t="shared" si="5"/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  <c r="R7" s="1">
        <f t="shared" si="5"/>
        <v>0</v>
      </c>
      <c r="S7" s="1">
        <f t="shared" si="5"/>
        <v>0</v>
      </c>
      <c r="T7" s="1">
        <f t="shared" si="5"/>
        <v>0</v>
      </c>
      <c r="U7" s="1">
        <f t="shared" si="5"/>
        <v>0</v>
      </c>
      <c r="V7" s="1">
        <f t="shared" si="5"/>
        <v>0</v>
      </c>
      <c r="W7" s="1">
        <f t="shared" si="5"/>
        <v>0</v>
      </c>
      <c r="X7" s="54">
        <f t="shared" si="5"/>
        <v>0</v>
      </c>
      <c r="Y7" s="58">
        <f t="shared" si="1"/>
        <v>0</v>
      </c>
      <c r="Z7" s="1">
        <f t="shared" si="2"/>
        <v>0</v>
      </c>
      <c r="AA7" s="1">
        <f t="shared" si="3"/>
        <v>0</v>
      </c>
    </row>
    <row r="8" spans="1:35" x14ac:dyDescent="0.25">
      <c r="A8" s="15" t="s">
        <v>51</v>
      </c>
      <c r="B8" s="16" t="s">
        <v>56</v>
      </c>
      <c r="C8" s="2"/>
      <c r="F8" s="1">
        <f>F17+F18+F19</f>
        <v>0</v>
      </c>
      <c r="G8" s="1">
        <f t="shared" ref="G8:X8" si="6">G17+G18+G19</f>
        <v>0</v>
      </c>
      <c r="H8" s="1">
        <f t="shared" si="6"/>
        <v>0</v>
      </c>
      <c r="I8" s="1">
        <f t="shared" si="6"/>
        <v>0</v>
      </c>
      <c r="J8" s="1">
        <f t="shared" si="6"/>
        <v>0</v>
      </c>
      <c r="K8" s="1">
        <f t="shared" si="6"/>
        <v>0</v>
      </c>
      <c r="L8" s="52">
        <f t="shared" si="6"/>
        <v>0</v>
      </c>
      <c r="M8" s="1">
        <f t="shared" si="6"/>
        <v>0</v>
      </c>
      <c r="N8" s="1">
        <f t="shared" si="6"/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  <c r="R8" s="1">
        <f t="shared" si="6"/>
        <v>0</v>
      </c>
      <c r="S8" s="1">
        <f t="shared" si="6"/>
        <v>0</v>
      </c>
      <c r="T8" s="1">
        <f t="shared" si="6"/>
        <v>0</v>
      </c>
      <c r="U8" s="1">
        <f t="shared" si="6"/>
        <v>0</v>
      </c>
      <c r="V8" s="1">
        <f t="shared" si="6"/>
        <v>0</v>
      </c>
      <c r="W8" s="1">
        <f t="shared" si="6"/>
        <v>0</v>
      </c>
      <c r="X8" s="54">
        <f t="shared" si="6"/>
        <v>0</v>
      </c>
      <c r="Y8" s="58">
        <f t="shared" si="1"/>
        <v>0</v>
      </c>
      <c r="Z8" s="1">
        <f t="shared" si="2"/>
        <v>0</v>
      </c>
      <c r="AA8" s="1">
        <f t="shared" si="3"/>
        <v>0</v>
      </c>
    </row>
    <row r="9" spans="1:35" x14ac:dyDescent="0.25">
      <c r="A9" s="15" t="s">
        <v>51</v>
      </c>
      <c r="B9" s="16" t="s">
        <v>9</v>
      </c>
      <c r="C9" s="2"/>
      <c r="F9" s="1">
        <f>F20</f>
        <v>0</v>
      </c>
      <c r="G9" s="1">
        <f t="shared" ref="G9:X9" si="7">G20</f>
        <v>0</v>
      </c>
      <c r="H9" s="1">
        <f t="shared" si="7"/>
        <v>0</v>
      </c>
      <c r="I9" s="1">
        <f t="shared" si="7"/>
        <v>0</v>
      </c>
      <c r="J9" s="1">
        <f t="shared" si="7"/>
        <v>0</v>
      </c>
      <c r="K9" s="1">
        <f t="shared" si="7"/>
        <v>0</v>
      </c>
      <c r="L9" s="52">
        <f t="shared" si="7"/>
        <v>0</v>
      </c>
      <c r="M9" s="1">
        <f t="shared" si="7"/>
        <v>0</v>
      </c>
      <c r="N9" s="1">
        <f t="shared" si="7"/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  <c r="R9" s="1">
        <f t="shared" si="7"/>
        <v>0</v>
      </c>
      <c r="S9" s="1">
        <f t="shared" si="7"/>
        <v>0</v>
      </c>
      <c r="T9" s="1">
        <f t="shared" si="7"/>
        <v>0</v>
      </c>
      <c r="U9" s="1">
        <f t="shared" si="7"/>
        <v>0</v>
      </c>
      <c r="V9" s="1">
        <f t="shared" si="7"/>
        <v>0</v>
      </c>
      <c r="W9" s="1">
        <f t="shared" si="7"/>
        <v>0</v>
      </c>
      <c r="X9" s="54">
        <f t="shared" si="7"/>
        <v>0</v>
      </c>
      <c r="Y9" s="58">
        <f t="shared" si="1"/>
        <v>0</v>
      </c>
      <c r="Z9" s="1">
        <f t="shared" si="2"/>
        <v>0</v>
      </c>
      <c r="AA9" s="1">
        <f t="shared" si="3"/>
        <v>0</v>
      </c>
    </row>
    <row r="10" spans="1:35" x14ac:dyDescent="0.25">
      <c r="A10" s="30" t="s">
        <v>60</v>
      </c>
      <c r="B10" s="32" t="s">
        <v>13</v>
      </c>
      <c r="C10" s="2"/>
      <c r="F10" s="51">
        <f>F21+F22+F23</f>
        <v>7600</v>
      </c>
      <c r="G10" s="51">
        <f t="shared" ref="G10:X10" si="8">G21+G22+G23</f>
        <v>3480</v>
      </c>
      <c r="H10" s="91">
        <f>11200*0.98</f>
        <v>10976</v>
      </c>
      <c r="I10" s="51">
        <f t="shared" si="8"/>
        <v>4116</v>
      </c>
      <c r="J10" s="51">
        <f t="shared" si="8"/>
        <v>3900</v>
      </c>
      <c r="K10" s="51">
        <f t="shared" si="8"/>
        <v>3000</v>
      </c>
      <c r="L10" s="52">
        <f t="shared" si="8"/>
        <v>0</v>
      </c>
      <c r="M10" s="51">
        <f t="shared" si="8"/>
        <v>10000</v>
      </c>
      <c r="N10" s="51">
        <f t="shared" si="8"/>
        <v>2420</v>
      </c>
      <c r="O10" s="51">
        <f t="shared" si="8"/>
        <v>8073</v>
      </c>
      <c r="P10" s="51">
        <f t="shared" si="8"/>
        <v>145000</v>
      </c>
      <c r="Q10" s="51">
        <f t="shared" si="8"/>
        <v>7142.8571428571422</v>
      </c>
      <c r="R10" s="51">
        <f t="shared" si="8"/>
        <v>5333.3333333333339</v>
      </c>
      <c r="S10" s="51">
        <f t="shared" si="8"/>
        <v>0</v>
      </c>
      <c r="T10" s="51">
        <f t="shared" si="8"/>
        <v>1333.3333333333335</v>
      </c>
      <c r="U10" s="51">
        <f t="shared" si="8"/>
        <v>3000</v>
      </c>
      <c r="V10" s="51">
        <f t="shared" si="8"/>
        <v>50</v>
      </c>
      <c r="W10" s="51">
        <f t="shared" si="8"/>
        <v>137.5</v>
      </c>
      <c r="X10" s="55">
        <f t="shared" si="8"/>
        <v>6000</v>
      </c>
      <c r="Y10" s="59">
        <f t="shared" si="1"/>
        <v>33072</v>
      </c>
      <c r="Z10" s="73">
        <f t="shared" si="2"/>
        <v>188490.02380952382</v>
      </c>
      <c r="AA10" s="73">
        <f t="shared" si="3"/>
        <v>221562.02380952382</v>
      </c>
      <c r="AB10" s="214">
        <v>245000</v>
      </c>
    </row>
    <row r="11" spans="1:35" x14ac:dyDescent="0.25">
      <c r="A11" s="30" t="s">
        <v>60</v>
      </c>
      <c r="B11" s="31" t="s">
        <v>23</v>
      </c>
      <c r="C11" s="2"/>
      <c r="F11" s="51">
        <f>F24+F25+F26</f>
        <v>0</v>
      </c>
      <c r="G11" s="51">
        <f t="shared" ref="G11:X11" si="9">G24+G25+G26</f>
        <v>0</v>
      </c>
      <c r="H11" s="51">
        <f t="shared" si="9"/>
        <v>0</v>
      </c>
      <c r="I11" s="51">
        <f t="shared" si="9"/>
        <v>0</v>
      </c>
      <c r="J11" s="51">
        <f t="shared" si="9"/>
        <v>800</v>
      </c>
      <c r="K11" s="51">
        <f t="shared" si="9"/>
        <v>324</v>
      </c>
      <c r="L11" s="52">
        <f t="shared" si="9"/>
        <v>0</v>
      </c>
      <c r="M11" s="51">
        <f t="shared" si="9"/>
        <v>0</v>
      </c>
      <c r="N11" s="51">
        <f t="shared" si="9"/>
        <v>2376</v>
      </c>
      <c r="O11" s="51">
        <f t="shared" si="9"/>
        <v>0</v>
      </c>
      <c r="P11" s="51">
        <f t="shared" si="9"/>
        <v>0</v>
      </c>
      <c r="Q11" s="51">
        <f t="shared" si="9"/>
        <v>0</v>
      </c>
      <c r="R11" s="51">
        <f t="shared" si="9"/>
        <v>0</v>
      </c>
      <c r="S11" s="51">
        <f t="shared" si="9"/>
        <v>112.00000000000001</v>
      </c>
      <c r="T11" s="51">
        <f t="shared" si="9"/>
        <v>600</v>
      </c>
      <c r="U11" s="51">
        <f t="shared" si="9"/>
        <v>0</v>
      </c>
      <c r="V11" s="51">
        <f t="shared" si="9"/>
        <v>0</v>
      </c>
      <c r="W11" s="51">
        <f t="shared" si="9"/>
        <v>0</v>
      </c>
      <c r="X11" s="55">
        <f t="shared" si="9"/>
        <v>100</v>
      </c>
      <c r="Y11" s="59">
        <f t="shared" si="1"/>
        <v>1124</v>
      </c>
      <c r="Z11" s="73">
        <f t="shared" si="2"/>
        <v>3188</v>
      </c>
      <c r="AA11" s="73">
        <f t="shared" si="3"/>
        <v>4312</v>
      </c>
      <c r="AC11" t="s">
        <v>14</v>
      </c>
    </row>
    <row r="12" spans="1:35" x14ac:dyDescent="0.25">
      <c r="A12" s="30" t="s">
        <v>60</v>
      </c>
      <c r="B12" s="31" t="s">
        <v>65</v>
      </c>
      <c r="C12" s="46"/>
      <c r="F12" s="51">
        <f>F27+F28+F29</f>
        <v>0</v>
      </c>
      <c r="G12" s="51">
        <f t="shared" ref="G12:X12" si="10">G27+G28+G29</f>
        <v>0</v>
      </c>
      <c r="H12" s="51">
        <f t="shared" si="10"/>
        <v>0</v>
      </c>
      <c r="I12" s="51">
        <f t="shared" si="10"/>
        <v>0</v>
      </c>
      <c r="J12" s="51">
        <f t="shared" si="10"/>
        <v>2333.3333333333335</v>
      </c>
      <c r="K12" s="51">
        <f t="shared" si="10"/>
        <v>0</v>
      </c>
      <c r="L12" s="52">
        <f t="shared" si="10"/>
        <v>298200</v>
      </c>
      <c r="M12" s="51">
        <f t="shared" si="10"/>
        <v>16800</v>
      </c>
      <c r="N12" s="51">
        <f t="shared" si="10"/>
        <v>0</v>
      </c>
      <c r="O12" s="51">
        <f t="shared" si="10"/>
        <v>0</v>
      </c>
      <c r="P12" s="51">
        <f t="shared" si="10"/>
        <v>0</v>
      </c>
      <c r="Q12" s="51">
        <f t="shared" si="10"/>
        <v>40000</v>
      </c>
      <c r="R12" s="51">
        <f t="shared" si="10"/>
        <v>28000</v>
      </c>
      <c r="S12" s="51">
        <f t="shared" si="10"/>
        <v>0</v>
      </c>
      <c r="T12" s="51">
        <f t="shared" si="10"/>
        <v>23000</v>
      </c>
      <c r="U12" s="51">
        <f t="shared" si="10"/>
        <v>10000</v>
      </c>
      <c r="V12" s="51">
        <f t="shared" si="10"/>
        <v>4200</v>
      </c>
      <c r="W12" s="51">
        <f t="shared" si="10"/>
        <v>9000</v>
      </c>
      <c r="X12" s="55">
        <f t="shared" si="10"/>
        <v>8400</v>
      </c>
      <c r="Y12" s="59">
        <f t="shared" si="1"/>
        <v>2333.3333333333335</v>
      </c>
      <c r="Z12" s="73">
        <f t="shared" si="2"/>
        <v>139400</v>
      </c>
      <c r="AA12" s="81">
        <f t="shared" si="3"/>
        <v>439933.33333333331</v>
      </c>
      <c r="AB12" s="215">
        <v>410000</v>
      </c>
      <c r="AC12">
        <f>32/330</f>
        <v>9.696969696969697E-2</v>
      </c>
      <c r="AD12" t="s">
        <v>100</v>
      </c>
    </row>
    <row r="13" spans="1:35" ht="15.75" thickBot="1" x14ac:dyDescent="0.3">
      <c r="A13" s="48" t="s">
        <v>60</v>
      </c>
      <c r="B13" s="49" t="s">
        <v>9</v>
      </c>
      <c r="C13" s="50"/>
      <c r="D13" s="50"/>
      <c r="E13" s="50"/>
      <c r="F13" s="53">
        <f>F30</f>
        <v>0</v>
      </c>
      <c r="G13" s="53">
        <f t="shared" ref="G13:X13" si="11">G30</f>
        <v>0</v>
      </c>
      <c r="H13" s="53">
        <f t="shared" si="11"/>
        <v>0</v>
      </c>
      <c r="I13" s="53">
        <f t="shared" si="11"/>
        <v>0</v>
      </c>
      <c r="J13" s="53">
        <f t="shared" si="11"/>
        <v>0</v>
      </c>
      <c r="K13" s="53">
        <f t="shared" si="11"/>
        <v>0</v>
      </c>
      <c r="L13" s="62">
        <f t="shared" si="11"/>
        <v>0</v>
      </c>
      <c r="M13" s="53">
        <f t="shared" si="11"/>
        <v>0</v>
      </c>
      <c r="N13" s="53">
        <f t="shared" si="11"/>
        <v>0</v>
      </c>
      <c r="O13" s="53">
        <f t="shared" si="11"/>
        <v>0</v>
      </c>
      <c r="P13" s="53">
        <f t="shared" si="11"/>
        <v>0</v>
      </c>
      <c r="Q13" s="53">
        <f t="shared" si="11"/>
        <v>0</v>
      </c>
      <c r="R13" s="53">
        <f t="shared" si="11"/>
        <v>0</v>
      </c>
      <c r="S13" s="53">
        <f t="shared" si="11"/>
        <v>0</v>
      </c>
      <c r="T13" s="53">
        <f t="shared" si="11"/>
        <v>0</v>
      </c>
      <c r="U13" s="53">
        <f t="shared" si="11"/>
        <v>800</v>
      </c>
      <c r="V13" s="53">
        <f t="shared" si="11"/>
        <v>760</v>
      </c>
      <c r="W13" s="53">
        <f t="shared" si="11"/>
        <v>0</v>
      </c>
      <c r="X13" s="75">
        <f t="shared" si="11"/>
        <v>2857.1428571428573</v>
      </c>
      <c r="Y13" s="60">
        <f t="shared" si="1"/>
        <v>0</v>
      </c>
      <c r="Z13" s="74">
        <f t="shared" si="2"/>
        <v>4417.1428571428569</v>
      </c>
      <c r="AA13" s="104">
        <v>2200</v>
      </c>
    </row>
    <row r="14" spans="1:35" ht="15.75" thickTop="1" x14ac:dyDescent="0.25">
      <c r="A14" s="15" t="s">
        <v>51</v>
      </c>
      <c r="B14" s="16" t="s">
        <v>52</v>
      </c>
      <c r="C14" s="16" t="s">
        <v>53</v>
      </c>
      <c r="D14" s="2"/>
      <c r="E14" s="2"/>
      <c r="F14" s="47">
        <v>0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63">
        <v>0</v>
      </c>
      <c r="M14" s="47">
        <v>0</v>
      </c>
      <c r="N14" s="47">
        <v>0</v>
      </c>
      <c r="O14" s="47">
        <v>0</v>
      </c>
      <c r="P14" s="47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57">
        <v>0</v>
      </c>
      <c r="Y14" s="61">
        <f t="shared" si="1"/>
        <v>0</v>
      </c>
      <c r="Z14" s="47">
        <f t="shared" si="2"/>
        <v>0</v>
      </c>
      <c r="AA14" s="47">
        <f t="shared" ref="AA14:AA45" si="12">L14+Y14+Z14</f>
        <v>0</v>
      </c>
    </row>
    <row r="15" spans="1:35" x14ac:dyDescent="0.25">
      <c r="A15" s="15" t="s">
        <v>51</v>
      </c>
      <c r="B15" s="16" t="s">
        <v>52</v>
      </c>
      <c r="C15" s="16" t="s">
        <v>54</v>
      </c>
      <c r="D15" s="2"/>
      <c r="E15" s="2"/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52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54">
        <v>0</v>
      </c>
      <c r="Y15" s="58">
        <f t="shared" si="1"/>
        <v>0</v>
      </c>
      <c r="Z15" s="1">
        <f t="shared" si="2"/>
        <v>0</v>
      </c>
      <c r="AA15" s="1">
        <f t="shared" si="12"/>
        <v>0</v>
      </c>
    </row>
    <row r="16" spans="1:35" x14ac:dyDescent="0.25">
      <c r="A16" s="15" t="s">
        <v>51</v>
      </c>
      <c r="B16" s="16" t="s">
        <v>52</v>
      </c>
      <c r="C16" s="16" t="s">
        <v>55</v>
      </c>
      <c r="D16" s="2"/>
      <c r="E16" s="2"/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52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54">
        <v>0</v>
      </c>
      <c r="Y16" s="58">
        <f t="shared" si="1"/>
        <v>0</v>
      </c>
      <c r="Z16" s="1">
        <f t="shared" si="2"/>
        <v>0</v>
      </c>
      <c r="AA16" s="1">
        <f t="shared" si="12"/>
        <v>0</v>
      </c>
      <c r="AH16" s="6" t="s">
        <v>13</v>
      </c>
      <c r="AI16" s="6" t="s">
        <v>1</v>
      </c>
    </row>
    <row r="17" spans="1:35" x14ac:dyDescent="0.25">
      <c r="A17" s="25" t="s">
        <v>51</v>
      </c>
      <c r="B17" s="26" t="s">
        <v>56</v>
      </c>
      <c r="C17" s="26" t="s">
        <v>57</v>
      </c>
      <c r="D17" s="2"/>
      <c r="E17" s="2"/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52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54">
        <v>0</v>
      </c>
      <c r="Y17" s="58">
        <f t="shared" si="1"/>
        <v>0</v>
      </c>
      <c r="Z17" s="1">
        <f t="shared" si="2"/>
        <v>0</v>
      </c>
      <c r="AA17" s="1">
        <f t="shared" si="12"/>
        <v>0</v>
      </c>
      <c r="AH17" s="6" t="s">
        <v>372</v>
      </c>
      <c r="AI17" s="6">
        <f>230000*0.33</f>
        <v>75900</v>
      </c>
    </row>
    <row r="18" spans="1:35" x14ac:dyDescent="0.25">
      <c r="A18" s="15" t="s">
        <v>51</v>
      </c>
      <c r="B18" s="16" t="s">
        <v>56</v>
      </c>
      <c r="C18" s="27" t="s">
        <v>58</v>
      </c>
      <c r="D18" s="2"/>
      <c r="E18" s="2"/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52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54">
        <v>0</v>
      </c>
      <c r="Y18" s="58">
        <f t="shared" si="1"/>
        <v>0</v>
      </c>
      <c r="Z18" s="1">
        <f t="shared" si="2"/>
        <v>0</v>
      </c>
      <c r="AA18" s="1">
        <f t="shared" si="12"/>
        <v>0</v>
      </c>
      <c r="AH18" s="6" t="s">
        <v>373</v>
      </c>
      <c r="AI18" s="6">
        <f>230000*0.36</f>
        <v>82800</v>
      </c>
    </row>
    <row r="19" spans="1:35" x14ac:dyDescent="0.25">
      <c r="A19" s="15" t="s">
        <v>51</v>
      </c>
      <c r="B19" s="16" t="s">
        <v>9</v>
      </c>
      <c r="C19" s="27" t="s">
        <v>59</v>
      </c>
      <c r="D19" s="2"/>
      <c r="E19" s="2"/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52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54">
        <v>0</v>
      </c>
      <c r="Y19" s="58">
        <f t="shared" si="1"/>
        <v>0</v>
      </c>
      <c r="Z19" s="1">
        <f t="shared" si="2"/>
        <v>0</v>
      </c>
      <c r="AA19" s="1">
        <f t="shared" si="12"/>
        <v>0</v>
      </c>
      <c r="AH19" s="6" t="s">
        <v>374</v>
      </c>
      <c r="AI19" s="6">
        <f>230000*0.15</f>
        <v>34500</v>
      </c>
    </row>
    <row r="20" spans="1:35" x14ac:dyDescent="0.25">
      <c r="A20" s="15" t="s">
        <v>51</v>
      </c>
      <c r="B20" s="16" t="s">
        <v>9</v>
      </c>
      <c r="C20" s="27" t="s">
        <v>9</v>
      </c>
      <c r="D20" s="2"/>
      <c r="E20" s="2"/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52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54">
        <v>0</v>
      </c>
      <c r="Y20" s="58">
        <f t="shared" si="1"/>
        <v>0</v>
      </c>
      <c r="Z20" s="1">
        <f t="shared" si="2"/>
        <v>0</v>
      </c>
      <c r="AA20" s="1">
        <f t="shared" si="12"/>
        <v>0</v>
      </c>
      <c r="AH20" s="6" t="s">
        <v>9</v>
      </c>
      <c r="AI20" s="6">
        <f>230000*0.11</f>
        <v>25300</v>
      </c>
    </row>
    <row r="21" spans="1:35" x14ac:dyDescent="0.25">
      <c r="A21" s="28" t="s">
        <v>60</v>
      </c>
      <c r="B21" s="29" t="s">
        <v>13</v>
      </c>
      <c r="C21" s="29" t="s">
        <v>61</v>
      </c>
      <c r="D21" s="2"/>
      <c r="E21" s="2"/>
      <c r="F21" s="215">
        <f>7600*0.65</f>
        <v>4940</v>
      </c>
      <c r="G21" s="51">
        <v>0</v>
      </c>
      <c r="H21" s="215">
        <f>H10*0.12</f>
        <v>1317.12</v>
      </c>
      <c r="I21" s="215">
        <f>2940*1.4</f>
        <v>4116</v>
      </c>
      <c r="J21" s="215">
        <f>1950*2</f>
        <v>3900</v>
      </c>
      <c r="K21" s="215">
        <f>3000</f>
        <v>3000</v>
      </c>
      <c r="L21" s="52">
        <v>0</v>
      </c>
      <c r="M21" s="103">
        <v>10000</v>
      </c>
      <c r="N21" s="91">
        <f>2200*1.1</f>
        <v>2420</v>
      </c>
      <c r="O21" s="215">
        <f>0.46*13500*1.3</f>
        <v>8073</v>
      </c>
      <c r="P21" s="215">
        <f>0.4*145000</f>
        <v>58000</v>
      </c>
      <c r="Q21" s="69">
        <f>Q66/Q111</f>
        <v>7142.8571428571422</v>
      </c>
      <c r="R21" s="69">
        <f>R66/R111</f>
        <v>5333.3333333333339</v>
      </c>
      <c r="S21" s="51">
        <v>0</v>
      </c>
      <c r="T21" s="69">
        <f>T66/T111</f>
        <v>1333.3333333333335</v>
      </c>
      <c r="U21" s="69">
        <f>U66/U111</f>
        <v>3000</v>
      </c>
      <c r="V21" s="77">
        <v>50</v>
      </c>
      <c r="W21" s="69">
        <f>W66/W111</f>
        <v>137.5</v>
      </c>
      <c r="X21" s="69">
        <f>X66/X111</f>
        <v>6000</v>
      </c>
      <c r="Y21" s="59">
        <f t="shared" si="1"/>
        <v>17273.12</v>
      </c>
      <c r="Z21" s="51">
        <f t="shared" si="2"/>
        <v>101490.0238095238</v>
      </c>
      <c r="AA21" s="51">
        <f t="shared" si="12"/>
        <v>118763.1438095238</v>
      </c>
      <c r="AD21" s="99" t="s">
        <v>135</v>
      </c>
      <c r="AE21" s="99" t="s">
        <v>136</v>
      </c>
      <c r="AF21" s="99" t="s">
        <v>137</v>
      </c>
      <c r="AH21" s="6" t="s">
        <v>375</v>
      </c>
      <c r="AI21" s="6">
        <f>230000*0.05</f>
        <v>11500</v>
      </c>
    </row>
    <row r="22" spans="1:35" x14ac:dyDescent="0.25">
      <c r="A22" s="36" t="s">
        <v>60</v>
      </c>
      <c r="B22" s="37" t="s">
        <v>13</v>
      </c>
      <c r="C22" s="29" t="s">
        <v>62</v>
      </c>
      <c r="D22" s="2"/>
      <c r="E22" s="2"/>
      <c r="F22" s="215">
        <f>7600*0.35</f>
        <v>2660</v>
      </c>
      <c r="G22" s="214">
        <f>0.58*10000*0.6</f>
        <v>3480</v>
      </c>
      <c r="H22" s="215">
        <f>H10*0.88</f>
        <v>9658.8799999999992</v>
      </c>
      <c r="I22" s="51">
        <v>0</v>
      </c>
      <c r="J22" s="51">
        <v>0</v>
      </c>
      <c r="K22" s="51">
        <v>0</v>
      </c>
      <c r="L22" s="52">
        <v>0</v>
      </c>
      <c r="M22" s="51">
        <v>0</v>
      </c>
      <c r="N22" s="51">
        <v>0</v>
      </c>
      <c r="O22" s="215">
        <v>0</v>
      </c>
      <c r="P22" s="215">
        <f>0.6*145000</f>
        <v>87000</v>
      </c>
      <c r="Q22" s="51">
        <v>0</v>
      </c>
      <c r="R22" s="51">
        <v>0</v>
      </c>
      <c r="S22" s="51">
        <v>0</v>
      </c>
      <c r="T22" s="51">
        <v>0</v>
      </c>
      <c r="U22" s="51">
        <v>0</v>
      </c>
      <c r="V22" s="51">
        <v>0</v>
      </c>
      <c r="W22" s="51">
        <v>0</v>
      </c>
      <c r="X22" s="55">
        <v>0</v>
      </c>
      <c r="Y22" s="59">
        <f t="shared" si="1"/>
        <v>15798.88</v>
      </c>
      <c r="Z22" s="51">
        <f t="shared" si="2"/>
        <v>87000</v>
      </c>
      <c r="AA22" s="51">
        <f t="shared" si="12"/>
        <v>102798.88</v>
      </c>
      <c r="AB22">
        <v>14000</v>
      </c>
      <c r="AD22" s="99" t="s">
        <v>1</v>
      </c>
      <c r="AE22" s="99">
        <v>4000</v>
      </c>
      <c r="AF22" s="99">
        <v>3000</v>
      </c>
      <c r="AG22" s="99">
        <f>SUM(AE22:AF22)</f>
        <v>7000</v>
      </c>
    </row>
    <row r="23" spans="1:35" x14ac:dyDescent="0.25">
      <c r="A23" s="30" t="s">
        <v>60</v>
      </c>
      <c r="B23" s="31" t="s">
        <v>13</v>
      </c>
      <c r="C23" s="32" t="s">
        <v>63</v>
      </c>
      <c r="D23" s="2"/>
      <c r="E23" s="2"/>
      <c r="F23" s="51">
        <v>0</v>
      </c>
      <c r="G23" s="51">
        <v>0</v>
      </c>
      <c r="H23" s="51"/>
      <c r="I23" s="51">
        <v>0</v>
      </c>
      <c r="J23" s="51">
        <v>0</v>
      </c>
      <c r="K23" s="51">
        <v>0</v>
      </c>
      <c r="L23" s="52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55">
        <v>0</v>
      </c>
      <c r="Y23" s="59">
        <f t="shared" si="1"/>
        <v>0</v>
      </c>
      <c r="Z23" s="51">
        <f t="shared" si="2"/>
        <v>0</v>
      </c>
      <c r="AA23" s="51">
        <f t="shared" si="12"/>
        <v>0</v>
      </c>
      <c r="AD23" s="99" t="s">
        <v>18</v>
      </c>
      <c r="AE23" s="99"/>
      <c r="AF23" s="99"/>
      <c r="AG23" s="99">
        <v>2300</v>
      </c>
    </row>
    <row r="24" spans="1:35" x14ac:dyDescent="0.25">
      <c r="A24" s="30" t="s">
        <v>60</v>
      </c>
      <c r="B24" s="32" t="s">
        <v>23</v>
      </c>
      <c r="C24" s="31" t="s">
        <v>50</v>
      </c>
      <c r="D24" s="2"/>
      <c r="E24" s="2"/>
      <c r="F24" s="77">
        <f>F204*F159</f>
        <v>0</v>
      </c>
      <c r="G24" s="51">
        <v>0</v>
      </c>
      <c r="H24" s="51">
        <v>0</v>
      </c>
      <c r="I24" s="51">
        <v>0</v>
      </c>
      <c r="J24" s="77">
        <f>J21*0</f>
        <v>0</v>
      </c>
      <c r="K24" s="215">
        <f>2700*0.12</f>
        <v>324</v>
      </c>
      <c r="L24" s="52">
        <v>0</v>
      </c>
      <c r="M24" s="51">
        <v>0</v>
      </c>
      <c r="N24" s="215">
        <f>2700*0.88</f>
        <v>2376</v>
      </c>
      <c r="O24" s="51">
        <v>0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51">
        <v>0</v>
      </c>
      <c r="X24" s="55">
        <v>0</v>
      </c>
      <c r="Y24" s="59">
        <f t="shared" si="1"/>
        <v>324</v>
      </c>
      <c r="Z24" s="51">
        <f t="shared" si="2"/>
        <v>2376</v>
      </c>
      <c r="AA24" s="51">
        <f t="shared" si="12"/>
        <v>2700</v>
      </c>
      <c r="AD24" s="99" t="s">
        <v>35</v>
      </c>
      <c r="AF24" s="99">
        <v>0.04</v>
      </c>
      <c r="AG24" s="99">
        <v>0.15</v>
      </c>
    </row>
    <row r="25" spans="1:35" x14ac:dyDescent="0.25">
      <c r="A25" s="30" t="s">
        <v>60</v>
      </c>
      <c r="B25" s="32" t="s">
        <v>23</v>
      </c>
      <c r="C25" s="31" t="s">
        <v>49</v>
      </c>
      <c r="D25" s="2"/>
      <c r="E25" s="2"/>
      <c r="F25" s="51">
        <v>0</v>
      </c>
      <c r="G25" s="51">
        <v>0</v>
      </c>
      <c r="H25" s="51">
        <v>0</v>
      </c>
      <c r="I25" s="51">
        <v>0</v>
      </c>
      <c r="J25" s="214">
        <v>800</v>
      </c>
      <c r="K25" s="215">
        <f>0*0.1</f>
        <v>0</v>
      </c>
      <c r="L25" s="52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51">
        <v>0</v>
      </c>
      <c r="S25" s="215">
        <f>800*0.14</f>
        <v>112.00000000000001</v>
      </c>
      <c r="T25" s="77">
        <v>600</v>
      </c>
      <c r="U25" s="51">
        <v>0</v>
      </c>
      <c r="V25" s="77">
        <v>0</v>
      </c>
      <c r="W25" s="51">
        <v>0</v>
      </c>
      <c r="X25" s="77">
        <v>100</v>
      </c>
      <c r="Y25" s="59">
        <f t="shared" si="1"/>
        <v>800</v>
      </c>
      <c r="Z25" s="51">
        <f t="shared" si="2"/>
        <v>812</v>
      </c>
      <c r="AA25" s="51">
        <f t="shared" si="12"/>
        <v>1612</v>
      </c>
      <c r="AB25" s="214">
        <v>1500</v>
      </c>
      <c r="AC25" t="s">
        <v>129</v>
      </c>
      <c r="AE25" s="99" t="s">
        <v>17</v>
      </c>
      <c r="AF25" s="99">
        <f>AF22/AF24</f>
        <v>75000</v>
      </c>
      <c r="AG25" s="99">
        <f>AG22/AG24</f>
        <v>46666.666666666672</v>
      </c>
    </row>
    <row r="26" spans="1:35" x14ac:dyDescent="0.25">
      <c r="A26" s="30" t="s">
        <v>60</v>
      </c>
      <c r="B26" s="32" t="s">
        <v>23</v>
      </c>
      <c r="C26" s="31" t="s">
        <v>64</v>
      </c>
      <c r="D26" s="2"/>
      <c r="E26" s="2"/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2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  <c r="V26" s="51">
        <v>0</v>
      </c>
      <c r="W26" s="51">
        <v>0</v>
      </c>
      <c r="X26" s="55">
        <v>0</v>
      </c>
      <c r="Y26" s="59">
        <f t="shared" si="1"/>
        <v>0</v>
      </c>
      <c r="Z26" s="51">
        <f t="shared" si="2"/>
        <v>0</v>
      </c>
      <c r="AA26" s="51">
        <f t="shared" si="12"/>
        <v>0</v>
      </c>
    </row>
    <row r="27" spans="1:35" x14ac:dyDescent="0.25">
      <c r="A27" s="30" t="s">
        <v>60</v>
      </c>
      <c r="B27" s="32" t="s">
        <v>65</v>
      </c>
      <c r="C27" s="31" t="s">
        <v>66</v>
      </c>
      <c r="D27" s="2"/>
      <c r="E27" s="2">
        <f>4/18</f>
        <v>0.22222222222222221</v>
      </c>
      <c r="F27" s="51">
        <v>0</v>
      </c>
      <c r="G27" s="51">
        <v>0</v>
      </c>
      <c r="H27" s="51">
        <v>0</v>
      </c>
      <c r="I27" s="51">
        <v>0</v>
      </c>
      <c r="J27" s="81">
        <f>J72/J117</f>
        <v>2333.3333333333335</v>
      </c>
      <c r="K27" s="51">
        <v>0</v>
      </c>
      <c r="L27" s="52">
        <v>0</v>
      </c>
      <c r="M27" s="214">
        <f>420000*0.04</f>
        <v>16800</v>
      </c>
      <c r="N27" s="51">
        <v>0</v>
      </c>
      <c r="O27" s="51">
        <v>0</v>
      </c>
      <c r="P27" s="51">
        <v>0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51">
        <v>0</v>
      </c>
      <c r="X27" s="55">
        <v>0</v>
      </c>
      <c r="Y27" s="59">
        <f t="shared" si="1"/>
        <v>2333.3333333333335</v>
      </c>
      <c r="Z27" s="51">
        <f t="shared" si="2"/>
        <v>16800</v>
      </c>
      <c r="AA27" s="51">
        <f t="shared" si="12"/>
        <v>19133.333333333332</v>
      </c>
    </row>
    <row r="28" spans="1:35" x14ac:dyDescent="0.25">
      <c r="A28" s="30" t="s">
        <v>60</v>
      </c>
      <c r="B28" s="32" t="s">
        <v>65</v>
      </c>
      <c r="C28" s="31" t="s">
        <v>67</v>
      </c>
      <c r="D28" s="2"/>
      <c r="E28" s="2"/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2">
        <v>0</v>
      </c>
      <c r="M28" s="51">
        <v>0</v>
      </c>
      <c r="N28" s="51">
        <v>0</v>
      </c>
      <c r="O28" s="51">
        <v>0</v>
      </c>
      <c r="P28" s="51">
        <v>0</v>
      </c>
      <c r="Q28" s="214">
        <v>40000</v>
      </c>
      <c r="R28" s="214">
        <v>28000</v>
      </c>
      <c r="S28" s="51">
        <v>0</v>
      </c>
      <c r="T28" s="214">
        <f>23000</f>
        <v>23000</v>
      </c>
      <c r="U28" s="214">
        <f>10000</f>
        <v>10000</v>
      </c>
      <c r="V28" s="214">
        <f>X28/2</f>
        <v>4200</v>
      </c>
      <c r="W28" s="214">
        <f>450000*0.02</f>
        <v>9000</v>
      </c>
      <c r="X28" s="214">
        <f>420000*0.02</f>
        <v>8400</v>
      </c>
      <c r="Y28" s="59">
        <f t="shared" si="1"/>
        <v>0</v>
      </c>
      <c r="Z28" s="51">
        <f t="shared" si="2"/>
        <v>122600</v>
      </c>
      <c r="AA28" s="51">
        <f t="shared" si="12"/>
        <v>122600</v>
      </c>
      <c r="AC28">
        <f>230*0.15</f>
        <v>34.5</v>
      </c>
    </row>
    <row r="29" spans="1:35" x14ac:dyDescent="0.25">
      <c r="A29" s="30" t="s">
        <v>60</v>
      </c>
      <c r="B29" s="32" t="s">
        <v>65</v>
      </c>
      <c r="C29" s="31" t="s">
        <v>68</v>
      </c>
      <c r="D29" s="2"/>
      <c r="E29" s="2"/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214">
        <f>420000*0.71</f>
        <v>298200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  <c r="R29" s="51">
        <v>0</v>
      </c>
      <c r="S29" s="51">
        <v>0</v>
      </c>
      <c r="T29" s="51">
        <v>0</v>
      </c>
      <c r="U29" s="51">
        <v>0</v>
      </c>
      <c r="V29" s="51">
        <v>0</v>
      </c>
      <c r="W29" s="51">
        <v>0</v>
      </c>
      <c r="X29" s="55">
        <v>0</v>
      </c>
      <c r="Y29" s="59">
        <f t="shared" si="1"/>
        <v>0</v>
      </c>
      <c r="Z29" s="51">
        <f t="shared" si="2"/>
        <v>0</v>
      </c>
      <c r="AA29" s="51">
        <f t="shared" si="12"/>
        <v>298200</v>
      </c>
      <c r="AC29">
        <f>230*0.69</f>
        <v>158.69999999999999</v>
      </c>
      <c r="AG29" t="s">
        <v>447</v>
      </c>
    </row>
    <row r="30" spans="1:35" x14ac:dyDescent="0.25">
      <c r="A30" s="30" t="s">
        <v>60</v>
      </c>
      <c r="B30" s="32" t="s">
        <v>9</v>
      </c>
      <c r="C30" s="31" t="s">
        <v>69</v>
      </c>
      <c r="D30" s="2"/>
      <c r="E30" s="2"/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2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  <c r="R30" s="51">
        <v>0</v>
      </c>
      <c r="S30" s="51">
        <v>0</v>
      </c>
      <c r="T30" s="51">
        <v>0</v>
      </c>
      <c r="U30" s="81">
        <f>U75/U120</f>
        <v>800</v>
      </c>
      <c r="V30" s="96">
        <v>760</v>
      </c>
      <c r="W30" s="51">
        <v>0</v>
      </c>
      <c r="X30" s="81">
        <f>X75/X120</f>
        <v>2857.1428571428573</v>
      </c>
      <c r="Y30" s="59">
        <f t="shared" si="1"/>
        <v>0</v>
      </c>
      <c r="Z30" s="51">
        <f t="shared" si="2"/>
        <v>4417.1428571428569</v>
      </c>
      <c r="AA30" s="51">
        <f t="shared" si="12"/>
        <v>4417.1428571428569</v>
      </c>
      <c r="AE30" t="s">
        <v>444</v>
      </c>
      <c r="AF30">
        <v>8000</v>
      </c>
      <c r="AG30">
        <v>60</v>
      </c>
    </row>
    <row r="31" spans="1:35" x14ac:dyDescent="0.25">
      <c r="A31" s="15" t="s">
        <v>51</v>
      </c>
      <c r="B31" s="16" t="s">
        <v>56</v>
      </c>
      <c r="C31" s="27" t="s">
        <v>57</v>
      </c>
      <c r="D31" s="16" t="s">
        <v>70</v>
      </c>
      <c r="E31" s="43"/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52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54">
        <v>0</v>
      </c>
      <c r="Y31" s="58">
        <f t="shared" si="1"/>
        <v>0</v>
      </c>
      <c r="Z31" s="1">
        <f t="shared" si="2"/>
        <v>0</v>
      </c>
      <c r="AA31" s="1">
        <f t="shared" si="12"/>
        <v>0</v>
      </c>
      <c r="AE31" t="s">
        <v>445</v>
      </c>
      <c r="AF31">
        <v>400</v>
      </c>
      <c r="AG31">
        <v>5</v>
      </c>
    </row>
    <row r="32" spans="1:35" x14ac:dyDescent="0.25">
      <c r="A32" s="15" t="s">
        <v>51</v>
      </c>
      <c r="B32" s="16" t="s">
        <v>56</v>
      </c>
      <c r="C32" s="27" t="s">
        <v>57</v>
      </c>
      <c r="D32" s="16" t="s">
        <v>71</v>
      </c>
      <c r="E32" s="43"/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52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54">
        <v>0</v>
      </c>
      <c r="Y32" s="58">
        <f t="shared" si="1"/>
        <v>0</v>
      </c>
      <c r="Z32" s="1">
        <f t="shared" si="2"/>
        <v>0</v>
      </c>
      <c r="AA32" s="1">
        <f t="shared" si="12"/>
        <v>0</v>
      </c>
      <c r="AE32" t="s">
        <v>446</v>
      </c>
      <c r="AF32">
        <v>3000</v>
      </c>
      <c r="AG32">
        <v>35</v>
      </c>
    </row>
    <row r="33" spans="1:29" x14ac:dyDescent="0.25">
      <c r="A33" s="15" t="s">
        <v>51</v>
      </c>
      <c r="B33" s="16" t="s">
        <v>56</v>
      </c>
      <c r="C33" s="27" t="s">
        <v>27</v>
      </c>
      <c r="D33" s="16" t="s">
        <v>72</v>
      </c>
      <c r="E33" s="43"/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52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54">
        <v>0</v>
      </c>
      <c r="Y33" s="58">
        <f t="shared" si="1"/>
        <v>0</v>
      </c>
      <c r="Z33" s="1">
        <f t="shared" si="2"/>
        <v>0</v>
      </c>
      <c r="AA33" s="1">
        <f t="shared" si="12"/>
        <v>0</v>
      </c>
    </row>
    <row r="34" spans="1:29" x14ac:dyDescent="0.25">
      <c r="A34" s="15" t="s">
        <v>51</v>
      </c>
      <c r="B34" s="16" t="s">
        <v>56</v>
      </c>
      <c r="C34" s="27" t="s">
        <v>57</v>
      </c>
      <c r="D34" s="16" t="s">
        <v>73</v>
      </c>
      <c r="E34" s="43"/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52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54">
        <v>0</v>
      </c>
      <c r="Y34" s="58">
        <f t="shared" si="1"/>
        <v>0</v>
      </c>
      <c r="Z34" s="1">
        <f t="shared" si="2"/>
        <v>0</v>
      </c>
      <c r="AA34" s="1">
        <f t="shared" si="12"/>
        <v>0</v>
      </c>
    </row>
    <row r="35" spans="1:29" x14ac:dyDescent="0.25">
      <c r="A35" s="15" t="s">
        <v>51</v>
      </c>
      <c r="B35" s="16" t="s">
        <v>56</v>
      </c>
      <c r="C35" s="27" t="s">
        <v>57</v>
      </c>
      <c r="D35" s="16" t="s">
        <v>74</v>
      </c>
      <c r="E35" s="43"/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52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54">
        <v>0</v>
      </c>
      <c r="Y35" s="58">
        <f t="shared" si="1"/>
        <v>0</v>
      </c>
      <c r="Z35" s="1">
        <f t="shared" si="2"/>
        <v>0</v>
      </c>
      <c r="AA35" s="1">
        <f t="shared" si="12"/>
        <v>0</v>
      </c>
    </row>
    <row r="36" spans="1:29" x14ac:dyDescent="0.25">
      <c r="A36" s="30" t="s">
        <v>60</v>
      </c>
      <c r="B36" s="31" t="s">
        <v>13</v>
      </c>
      <c r="C36" s="32" t="s">
        <v>61</v>
      </c>
      <c r="D36" s="31" t="s">
        <v>75</v>
      </c>
      <c r="E36" s="72">
        <v>8.1593927893738136E-2</v>
      </c>
      <c r="F36" s="51">
        <f>F21*0.9</f>
        <v>4446</v>
      </c>
      <c r="G36" s="73"/>
      <c r="H36" s="51">
        <f>H21</f>
        <v>1317.12</v>
      </c>
      <c r="I36" s="51">
        <f>I21*0.9</f>
        <v>3704.4</v>
      </c>
      <c r="J36" s="51">
        <v>0</v>
      </c>
      <c r="K36" s="51">
        <f>K21*0.8</f>
        <v>2400</v>
      </c>
      <c r="L36" s="52">
        <v>0</v>
      </c>
      <c r="M36" s="73">
        <f>M21*0.1</f>
        <v>1000</v>
      </c>
      <c r="N36" s="73">
        <v>0</v>
      </c>
      <c r="O36" s="73">
        <v>0</v>
      </c>
      <c r="P36" s="73">
        <v>0</v>
      </c>
      <c r="Q36" s="73"/>
      <c r="R36" s="73"/>
      <c r="S36" s="51"/>
      <c r="T36" s="51"/>
      <c r="U36" s="51"/>
      <c r="V36" s="51"/>
      <c r="W36" s="51">
        <f>W21</f>
        <v>137.5</v>
      </c>
      <c r="X36" s="55">
        <f>X66*0.1</f>
        <v>300</v>
      </c>
      <c r="Y36" s="108">
        <f t="shared" si="1"/>
        <v>11867.52</v>
      </c>
      <c r="Z36" s="73">
        <f t="shared" si="2"/>
        <v>1437.5</v>
      </c>
      <c r="AA36" s="73">
        <f t="shared" si="12"/>
        <v>13305.02</v>
      </c>
      <c r="AB36">
        <f>AA36/AA$10</f>
        <v>6.0050995072324691E-2</v>
      </c>
      <c r="AC36" s="71"/>
    </row>
    <row r="37" spans="1:29" x14ac:dyDescent="0.25">
      <c r="A37" s="30" t="s">
        <v>60</v>
      </c>
      <c r="B37" s="31" t="s">
        <v>13</v>
      </c>
      <c r="C37" s="32" t="s">
        <v>61</v>
      </c>
      <c r="D37" s="31" t="s">
        <v>76</v>
      </c>
      <c r="E37" s="72">
        <v>0.69</v>
      </c>
      <c r="F37" s="51">
        <f>F21*0.1</f>
        <v>494</v>
      </c>
      <c r="G37" s="51">
        <v>0</v>
      </c>
      <c r="H37" s="51">
        <v>0</v>
      </c>
      <c r="I37" s="51">
        <f>I21*0.05</f>
        <v>205.8</v>
      </c>
      <c r="J37" s="51">
        <f>J21</f>
        <v>3900</v>
      </c>
      <c r="K37" s="51">
        <f>K21*0.05</f>
        <v>150</v>
      </c>
      <c r="L37" s="52">
        <v>0</v>
      </c>
      <c r="M37" s="73">
        <f>M21*0.5</f>
        <v>5000</v>
      </c>
      <c r="N37" s="73">
        <f>N21</f>
        <v>2420</v>
      </c>
      <c r="O37" s="73">
        <f>O21*0.5</f>
        <v>4036.5</v>
      </c>
      <c r="P37" s="73">
        <f>P21*0.59</f>
        <v>34220</v>
      </c>
      <c r="Q37" s="73"/>
      <c r="R37" s="73">
        <f>R21</f>
        <v>5333.3333333333339</v>
      </c>
      <c r="S37" s="51"/>
      <c r="T37" s="51"/>
      <c r="U37" s="51"/>
      <c r="V37" s="51"/>
      <c r="W37" s="51"/>
      <c r="X37" s="55">
        <f>X66*0.1</f>
        <v>300</v>
      </c>
      <c r="Y37" s="108">
        <f t="shared" si="1"/>
        <v>4749.8</v>
      </c>
      <c r="Z37" s="73">
        <f t="shared" si="2"/>
        <v>51309.833333333336</v>
      </c>
      <c r="AA37" s="73">
        <f t="shared" si="12"/>
        <v>56059.633333333339</v>
      </c>
      <c r="AB37">
        <f t="shared" ref="AB37:AB44" si="13">AA37/AA$10</f>
        <v>0.2530200454457287</v>
      </c>
      <c r="AC37" s="71"/>
    </row>
    <row r="38" spans="1:29" x14ac:dyDescent="0.25">
      <c r="A38" s="30" t="s">
        <v>60</v>
      </c>
      <c r="B38" s="31" t="s">
        <v>13</v>
      </c>
      <c r="C38" s="32" t="s">
        <v>61</v>
      </c>
      <c r="D38" s="31" t="s">
        <v>77</v>
      </c>
      <c r="E38" s="72">
        <v>0.18975332068311196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f>K21*0.1</f>
        <v>300</v>
      </c>
      <c r="L38" s="52">
        <v>0</v>
      </c>
      <c r="M38" s="73">
        <f>M21*0.4</f>
        <v>4000</v>
      </c>
      <c r="N38" s="73">
        <v>0</v>
      </c>
      <c r="O38" s="73">
        <f>O21*0.5</f>
        <v>4036.5</v>
      </c>
      <c r="P38" s="73">
        <f>P21*0.4</f>
        <v>23200</v>
      </c>
      <c r="Q38" s="73"/>
      <c r="R38" s="73"/>
      <c r="S38" s="51"/>
      <c r="T38" s="51">
        <f>T21</f>
        <v>1333.3333333333335</v>
      </c>
      <c r="U38" s="51">
        <f>U21</f>
        <v>3000</v>
      </c>
      <c r="V38" s="51"/>
      <c r="W38" s="51"/>
      <c r="X38" s="55">
        <f>X66*0.7</f>
        <v>2100</v>
      </c>
      <c r="Y38" s="108">
        <f t="shared" si="1"/>
        <v>300</v>
      </c>
      <c r="Z38" s="73">
        <f t="shared" si="2"/>
        <v>37669.833333333328</v>
      </c>
      <c r="AA38" s="73">
        <f t="shared" si="12"/>
        <v>37969.833333333328</v>
      </c>
      <c r="AB38">
        <f t="shared" si="13"/>
        <v>0.17137338195635854</v>
      </c>
      <c r="AC38" s="71"/>
    </row>
    <row r="39" spans="1:29" x14ac:dyDescent="0.25">
      <c r="A39" s="30" t="s">
        <v>60</v>
      </c>
      <c r="B39" s="31" t="s">
        <v>13</v>
      </c>
      <c r="C39" s="32" t="s">
        <v>61</v>
      </c>
      <c r="D39" s="31" t="s">
        <v>78</v>
      </c>
      <c r="E39" s="72">
        <v>2.6565464895635674E-2</v>
      </c>
      <c r="F39" s="51">
        <v>0</v>
      </c>
      <c r="G39" s="51">
        <v>0</v>
      </c>
      <c r="H39" s="51">
        <v>0</v>
      </c>
      <c r="I39" s="51">
        <f>I21*0.05</f>
        <v>205.8</v>
      </c>
      <c r="J39" s="51">
        <v>0</v>
      </c>
      <c r="K39" s="51">
        <f>K21*0.05</f>
        <v>150</v>
      </c>
      <c r="L39" s="52">
        <v>0</v>
      </c>
      <c r="M39" s="73">
        <f>M21*0</f>
        <v>0</v>
      </c>
      <c r="N39" s="73">
        <v>0</v>
      </c>
      <c r="O39" s="73">
        <f>O21*0</f>
        <v>0</v>
      </c>
      <c r="P39" s="73">
        <f>(P21)*0.01</f>
        <v>580</v>
      </c>
      <c r="Q39" s="73">
        <f>Q21</f>
        <v>7142.8571428571422</v>
      </c>
      <c r="R39" s="73"/>
      <c r="S39" s="51"/>
      <c r="T39" s="51"/>
      <c r="U39" s="51"/>
      <c r="V39" s="51"/>
      <c r="W39" s="51"/>
      <c r="X39" s="55">
        <f>X21*0.1</f>
        <v>600</v>
      </c>
      <c r="Y39" s="108">
        <f t="shared" si="1"/>
        <v>355.8</v>
      </c>
      <c r="Z39" s="73">
        <f t="shared" si="2"/>
        <v>8322.8571428571413</v>
      </c>
      <c r="AA39" s="73">
        <f t="shared" si="12"/>
        <v>8678.6571428571406</v>
      </c>
      <c r="AB39">
        <f t="shared" si="13"/>
        <v>3.9170327990496037E-2</v>
      </c>
      <c r="AC39" s="71"/>
    </row>
    <row r="40" spans="1:29" ht="15.75" thickBot="1" x14ac:dyDescent="0.3">
      <c r="A40" s="33" t="s">
        <v>60</v>
      </c>
      <c r="B40" s="34" t="s">
        <v>13</v>
      </c>
      <c r="C40" s="35" t="s">
        <v>61</v>
      </c>
      <c r="D40" s="34" t="s">
        <v>79</v>
      </c>
      <c r="E40" s="43"/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2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  <c r="V40" s="51">
        <v>0</v>
      </c>
      <c r="W40" s="51">
        <v>0</v>
      </c>
      <c r="X40" s="55">
        <v>0</v>
      </c>
      <c r="Y40" s="108">
        <f t="shared" si="1"/>
        <v>0</v>
      </c>
      <c r="Z40" s="73">
        <f t="shared" si="2"/>
        <v>0</v>
      </c>
      <c r="AA40" s="73">
        <f t="shared" si="12"/>
        <v>0</v>
      </c>
      <c r="AB40">
        <f t="shared" si="13"/>
        <v>0</v>
      </c>
    </row>
    <row r="41" spans="1:29" x14ac:dyDescent="0.25">
      <c r="A41" s="30" t="s">
        <v>60</v>
      </c>
      <c r="B41" s="31" t="s">
        <v>13</v>
      </c>
      <c r="C41" s="32" t="s">
        <v>62</v>
      </c>
      <c r="D41" s="31" t="s">
        <v>75</v>
      </c>
      <c r="E41" s="43"/>
      <c r="F41" s="51">
        <v>0</v>
      </c>
      <c r="G41" s="73">
        <f>G22</f>
        <v>3480</v>
      </c>
      <c r="H41" s="51">
        <f>H22*0.3</f>
        <v>2897.6639999999998</v>
      </c>
      <c r="I41" s="51">
        <v>0</v>
      </c>
      <c r="J41" s="51">
        <v>0</v>
      </c>
      <c r="K41" s="51">
        <v>0</v>
      </c>
      <c r="L41" s="52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  <c r="R41" s="51">
        <v>0</v>
      </c>
      <c r="S41" s="51">
        <v>0</v>
      </c>
      <c r="T41" s="51">
        <v>0</v>
      </c>
      <c r="U41" s="51">
        <v>0</v>
      </c>
      <c r="V41" s="51">
        <v>0</v>
      </c>
      <c r="W41" s="51">
        <v>0</v>
      </c>
      <c r="X41" s="55">
        <v>0</v>
      </c>
      <c r="Y41" s="108">
        <f t="shared" si="1"/>
        <v>6377.6639999999998</v>
      </c>
      <c r="Z41" s="73">
        <f t="shared" si="2"/>
        <v>0</v>
      </c>
      <c r="AA41" s="73">
        <f t="shared" si="12"/>
        <v>6377.6639999999998</v>
      </c>
      <c r="AB41">
        <f t="shared" si="13"/>
        <v>2.8785005166241204E-2</v>
      </c>
    </row>
    <row r="42" spans="1:29" x14ac:dyDescent="0.25">
      <c r="A42" s="30" t="s">
        <v>60</v>
      </c>
      <c r="B42" s="31" t="s">
        <v>13</v>
      </c>
      <c r="C42" s="32" t="s">
        <v>62</v>
      </c>
      <c r="D42" s="31" t="s">
        <v>76</v>
      </c>
      <c r="E42" s="43"/>
      <c r="F42" s="51">
        <f>F22</f>
        <v>2660</v>
      </c>
      <c r="G42" s="51">
        <f>G22*0</f>
        <v>0</v>
      </c>
      <c r="H42" s="51">
        <f>H22*0.7</f>
        <v>6761.2159999999994</v>
      </c>
      <c r="I42" s="51">
        <v>0</v>
      </c>
      <c r="J42" s="51">
        <v>0</v>
      </c>
      <c r="K42" s="51">
        <v>0</v>
      </c>
      <c r="L42" s="52">
        <v>0</v>
      </c>
      <c r="M42" s="51">
        <v>0</v>
      </c>
      <c r="N42" s="51">
        <v>0</v>
      </c>
      <c r="O42" s="51">
        <v>0</v>
      </c>
      <c r="P42" s="51">
        <f>P22</f>
        <v>87000</v>
      </c>
      <c r="Q42" s="51">
        <v>0</v>
      </c>
      <c r="R42" s="51">
        <v>0</v>
      </c>
      <c r="S42" s="51">
        <v>0</v>
      </c>
      <c r="T42" s="51">
        <v>0</v>
      </c>
      <c r="U42" s="51">
        <v>0</v>
      </c>
      <c r="V42" s="51">
        <v>0</v>
      </c>
      <c r="W42" s="51">
        <v>0</v>
      </c>
      <c r="X42" s="55">
        <v>0</v>
      </c>
      <c r="Y42" s="108">
        <f t="shared" si="1"/>
        <v>9421.2160000000003</v>
      </c>
      <c r="Z42" s="73">
        <f t="shared" si="2"/>
        <v>87000</v>
      </c>
      <c r="AA42" s="73">
        <f t="shared" si="12"/>
        <v>96421.216</v>
      </c>
      <c r="AB42">
        <f t="shared" si="13"/>
        <v>0.43518837002000405</v>
      </c>
    </row>
    <row r="43" spans="1:29" x14ac:dyDescent="0.25">
      <c r="A43" s="30" t="s">
        <v>60</v>
      </c>
      <c r="B43" s="31" t="s">
        <v>13</v>
      </c>
      <c r="C43" s="32" t="s">
        <v>62</v>
      </c>
      <c r="D43" s="31" t="s">
        <v>77</v>
      </c>
      <c r="E43" s="43"/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2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  <c r="R43" s="51">
        <v>0</v>
      </c>
      <c r="S43" s="51">
        <v>0</v>
      </c>
      <c r="T43" s="51">
        <v>0</v>
      </c>
      <c r="U43" s="51">
        <v>0</v>
      </c>
      <c r="V43" s="51">
        <v>0</v>
      </c>
      <c r="W43" s="51">
        <v>0</v>
      </c>
      <c r="X43" s="55">
        <v>0</v>
      </c>
      <c r="Y43" s="59">
        <f t="shared" si="1"/>
        <v>0</v>
      </c>
      <c r="Z43" s="51">
        <f t="shared" si="2"/>
        <v>0</v>
      </c>
      <c r="AA43" s="51">
        <f t="shared" si="12"/>
        <v>0</v>
      </c>
      <c r="AB43">
        <f t="shared" si="13"/>
        <v>0</v>
      </c>
    </row>
    <row r="44" spans="1:29" x14ac:dyDescent="0.25">
      <c r="A44" s="30" t="s">
        <v>60</v>
      </c>
      <c r="B44" s="31" t="s">
        <v>13</v>
      </c>
      <c r="C44" s="32" t="s">
        <v>62</v>
      </c>
      <c r="D44" s="31" t="s">
        <v>78</v>
      </c>
      <c r="E44" s="43"/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2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  <c r="R44" s="51">
        <v>0</v>
      </c>
      <c r="S44" s="51">
        <v>0</v>
      </c>
      <c r="T44" s="51">
        <v>0</v>
      </c>
      <c r="U44" s="51">
        <v>0</v>
      </c>
      <c r="V44" s="51">
        <v>0</v>
      </c>
      <c r="W44" s="51">
        <v>0</v>
      </c>
      <c r="X44" s="55">
        <v>0</v>
      </c>
      <c r="Y44" s="59">
        <f t="shared" si="1"/>
        <v>0</v>
      </c>
      <c r="Z44" s="51">
        <f t="shared" si="2"/>
        <v>0</v>
      </c>
      <c r="AA44" s="51">
        <f t="shared" si="12"/>
        <v>0</v>
      </c>
      <c r="AB44">
        <f t="shared" si="13"/>
        <v>0</v>
      </c>
    </row>
    <row r="45" spans="1:29" ht="15.75" thickBot="1" x14ac:dyDescent="0.3">
      <c r="A45" s="33" t="s">
        <v>60</v>
      </c>
      <c r="B45" s="34" t="s">
        <v>13</v>
      </c>
      <c r="C45" s="32" t="s">
        <v>62</v>
      </c>
      <c r="D45" s="34" t="s">
        <v>79</v>
      </c>
      <c r="E45" s="43"/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2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  <c r="R45" s="51">
        <v>0</v>
      </c>
      <c r="S45" s="51">
        <v>0</v>
      </c>
      <c r="T45" s="51">
        <v>0</v>
      </c>
      <c r="U45" s="51">
        <v>0</v>
      </c>
      <c r="V45" s="51">
        <v>0</v>
      </c>
      <c r="W45" s="51">
        <v>0</v>
      </c>
      <c r="X45" s="55">
        <v>0</v>
      </c>
      <c r="Y45" s="59">
        <f t="shared" si="1"/>
        <v>0</v>
      </c>
      <c r="Z45" s="51">
        <f t="shared" si="2"/>
        <v>0</v>
      </c>
      <c r="AA45" s="51">
        <f t="shared" si="12"/>
        <v>0</v>
      </c>
    </row>
    <row r="47" spans="1:29" x14ac:dyDescent="0.25">
      <c r="D47" s="41" t="s">
        <v>18</v>
      </c>
      <c r="E47" s="41"/>
      <c r="K47">
        <f>1900/27000</f>
        <v>7.0370370370370375E-2</v>
      </c>
      <c r="M47" s="24" t="s">
        <v>81</v>
      </c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  <row r="48" spans="1:29" x14ac:dyDescent="0.25">
      <c r="F48" s="23" t="s">
        <v>44</v>
      </c>
      <c r="G48" s="23"/>
      <c r="H48" s="23"/>
      <c r="I48" s="23"/>
      <c r="J48" s="23"/>
      <c r="K48" s="23"/>
      <c r="L48" s="7" t="s">
        <v>30</v>
      </c>
      <c r="M48" s="24" t="s">
        <v>46</v>
      </c>
      <c r="N48" s="24"/>
      <c r="O48" s="24"/>
      <c r="P48" s="24"/>
      <c r="Q48" s="24"/>
      <c r="R48" s="24" t="s">
        <v>47</v>
      </c>
      <c r="S48" s="24"/>
      <c r="T48" s="24"/>
      <c r="U48" s="24"/>
      <c r="V48" s="24"/>
      <c r="W48" s="24"/>
      <c r="X48" s="24"/>
      <c r="Y48" s="44" t="s">
        <v>85</v>
      </c>
      <c r="Z48" s="44" t="s">
        <v>48</v>
      </c>
      <c r="AA48" s="44" t="s">
        <v>3</v>
      </c>
    </row>
    <row r="49" spans="1:40" ht="63" x14ac:dyDescent="0.25">
      <c r="F49" s="38" t="s">
        <v>36</v>
      </c>
      <c r="G49" s="38" t="s">
        <v>37</v>
      </c>
      <c r="H49" s="38" t="s">
        <v>38</v>
      </c>
      <c r="I49" s="38" t="s">
        <v>80</v>
      </c>
      <c r="J49" s="38" t="s">
        <v>39</v>
      </c>
      <c r="K49" s="38" t="s">
        <v>45</v>
      </c>
      <c r="L49" s="39" t="s">
        <v>16</v>
      </c>
      <c r="M49" s="40" t="s">
        <v>34</v>
      </c>
      <c r="N49" s="40" t="s">
        <v>5</v>
      </c>
      <c r="O49" s="40" t="s">
        <v>7</v>
      </c>
      <c r="P49" s="40" t="s">
        <v>8</v>
      </c>
      <c r="Q49" s="40" t="s">
        <v>40</v>
      </c>
      <c r="R49" s="40" t="s">
        <v>41</v>
      </c>
      <c r="S49" s="40" t="s">
        <v>42</v>
      </c>
      <c r="T49" s="40" t="s">
        <v>31</v>
      </c>
      <c r="U49" s="40" t="s">
        <v>125</v>
      </c>
      <c r="V49" s="40" t="s">
        <v>82</v>
      </c>
      <c r="W49" s="40" t="s">
        <v>87</v>
      </c>
      <c r="X49" s="40" t="s">
        <v>83</v>
      </c>
      <c r="Y49" s="45" t="s">
        <v>3</v>
      </c>
      <c r="Z49" s="45" t="s">
        <v>3</v>
      </c>
      <c r="AA49" s="45" t="s">
        <v>3</v>
      </c>
      <c r="AG49" s="6">
        <v>2019</v>
      </c>
      <c r="AH49" s="6"/>
    </row>
    <row r="50" spans="1:40" x14ac:dyDescent="0.25">
      <c r="A50" s="15" t="s">
        <v>51</v>
      </c>
      <c r="B50" s="2"/>
      <c r="C50" s="2"/>
      <c r="F50" s="1">
        <f t="shared" ref="F50:X50" si="14">F52+F53+F54</f>
        <v>0</v>
      </c>
      <c r="G50" s="1">
        <f t="shared" si="14"/>
        <v>0</v>
      </c>
      <c r="H50" s="1">
        <f t="shared" si="14"/>
        <v>0</v>
      </c>
      <c r="I50" s="1">
        <f t="shared" si="14"/>
        <v>0</v>
      </c>
      <c r="J50" s="1">
        <f t="shared" si="14"/>
        <v>0</v>
      </c>
      <c r="K50" s="1">
        <f t="shared" si="14"/>
        <v>14500</v>
      </c>
      <c r="L50" s="52">
        <f t="shared" si="14"/>
        <v>0</v>
      </c>
      <c r="M50" s="1">
        <f t="shared" si="14"/>
        <v>0</v>
      </c>
      <c r="N50" s="1">
        <f t="shared" si="14"/>
        <v>0</v>
      </c>
      <c r="O50" s="1">
        <f t="shared" si="14"/>
        <v>0</v>
      </c>
      <c r="P50" s="1">
        <f t="shared" si="14"/>
        <v>0</v>
      </c>
      <c r="Q50" s="1">
        <f t="shared" si="14"/>
        <v>0</v>
      </c>
      <c r="R50" s="1">
        <f t="shared" si="14"/>
        <v>0</v>
      </c>
      <c r="S50" s="1">
        <f t="shared" si="14"/>
        <v>0</v>
      </c>
      <c r="T50" s="1">
        <f t="shared" si="14"/>
        <v>0</v>
      </c>
      <c r="U50" s="1">
        <f t="shared" si="14"/>
        <v>0</v>
      </c>
      <c r="V50" s="1">
        <f t="shared" si="14"/>
        <v>0</v>
      </c>
      <c r="W50" s="1">
        <f t="shared" si="14"/>
        <v>0</v>
      </c>
      <c r="X50" s="1">
        <f t="shared" si="14"/>
        <v>0</v>
      </c>
      <c r="Y50" s="58">
        <f t="shared" ref="Y50:Y90" si="15">SUM(F50:K50)</f>
        <v>14500</v>
      </c>
      <c r="Z50" s="1">
        <f t="shared" ref="Z50:Z90" si="16">SUM(M50:X50)</f>
        <v>0</v>
      </c>
      <c r="AA50" s="1">
        <f t="shared" ref="AA50:AA56" si="17">L50+Y50+Z50</f>
        <v>14500</v>
      </c>
      <c r="AB50" s="44" t="s">
        <v>85</v>
      </c>
      <c r="AC50" s="44" t="s">
        <v>48</v>
      </c>
      <c r="AD50" t="s">
        <v>30</v>
      </c>
      <c r="AG50" s="6" t="s">
        <v>51</v>
      </c>
      <c r="AH50" s="6">
        <v>14400</v>
      </c>
    </row>
    <row r="51" spans="1:40" x14ac:dyDescent="0.25">
      <c r="A51" s="30" t="s">
        <v>60</v>
      </c>
      <c r="B51" s="2"/>
      <c r="C51" s="2"/>
      <c r="F51" s="1">
        <f>F55+F56+F57+F58</f>
        <v>1505.7328400000001</v>
      </c>
      <c r="G51" s="1">
        <f t="shared" ref="G51:X51" si="18">G55+G56+G57+G58</f>
        <v>837.59633363886337</v>
      </c>
      <c r="H51" s="1">
        <f t="shared" si="18"/>
        <v>2668.05</v>
      </c>
      <c r="I51" s="1">
        <f t="shared" si="18"/>
        <v>776</v>
      </c>
      <c r="J51" s="1">
        <f t="shared" si="18"/>
        <v>1351.36</v>
      </c>
      <c r="K51" s="1">
        <f t="shared" si="18"/>
        <v>694.44</v>
      </c>
      <c r="L51" s="52">
        <f t="shared" si="18"/>
        <v>25347.000000000004</v>
      </c>
      <c r="M51" s="1">
        <f t="shared" si="18"/>
        <v>3844</v>
      </c>
      <c r="N51" s="1">
        <f t="shared" si="18"/>
        <v>1395</v>
      </c>
      <c r="O51" s="1">
        <f t="shared" si="18"/>
        <v>1800</v>
      </c>
      <c r="P51" s="1">
        <f t="shared" si="18"/>
        <v>6600</v>
      </c>
      <c r="Q51" s="1">
        <f>Q55+Q56+Q57+Q58</f>
        <v>5600</v>
      </c>
      <c r="R51" s="1">
        <f t="shared" si="18"/>
        <v>4400</v>
      </c>
      <c r="S51" s="1">
        <f t="shared" si="18"/>
        <v>60</v>
      </c>
      <c r="T51" s="1">
        <f t="shared" si="18"/>
        <v>3400</v>
      </c>
      <c r="U51" s="1">
        <f t="shared" si="18"/>
        <v>2400</v>
      </c>
      <c r="V51" s="1">
        <f t="shared" si="18"/>
        <v>1450</v>
      </c>
      <c r="W51" s="1">
        <f t="shared" si="18"/>
        <v>1010</v>
      </c>
      <c r="X51" s="54">
        <f t="shared" si="18"/>
        <v>5550</v>
      </c>
      <c r="Y51" s="58">
        <f t="shared" si="15"/>
        <v>7833.1791736388641</v>
      </c>
      <c r="Z51" s="1">
        <f t="shared" si="16"/>
        <v>37509</v>
      </c>
      <c r="AA51" s="1">
        <f t="shared" si="17"/>
        <v>70689.17917363887</v>
      </c>
      <c r="AB51" s="220"/>
      <c r="AC51" s="215"/>
      <c r="AD51" s="6"/>
      <c r="AG51" s="6" t="s">
        <v>371</v>
      </c>
      <c r="AH51" s="6">
        <v>89000</v>
      </c>
    </row>
    <row r="52" spans="1:40" x14ac:dyDescent="0.25">
      <c r="A52" s="15" t="s">
        <v>51</v>
      </c>
      <c r="B52" s="16" t="s">
        <v>52</v>
      </c>
      <c r="C52" s="2"/>
      <c r="F52" s="1">
        <f>F59+F60+F61</f>
        <v>0</v>
      </c>
      <c r="G52" s="1">
        <f t="shared" ref="G52:X52" si="19">G59+G60+G61</f>
        <v>0</v>
      </c>
      <c r="H52" s="1">
        <f t="shared" si="19"/>
        <v>0</v>
      </c>
      <c r="I52" s="1">
        <f t="shared" si="19"/>
        <v>0</v>
      </c>
      <c r="J52" s="1">
        <f t="shared" si="19"/>
        <v>0</v>
      </c>
      <c r="K52" s="1">
        <f t="shared" si="19"/>
        <v>13000</v>
      </c>
      <c r="L52" s="52">
        <f t="shared" si="19"/>
        <v>0</v>
      </c>
      <c r="M52" s="1">
        <f t="shared" si="19"/>
        <v>0</v>
      </c>
      <c r="N52" s="1">
        <f t="shared" si="19"/>
        <v>0</v>
      </c>
      <c r="O52" s="1">
        <f t="shared" si="19"/>
        <v>0</v>
      </c>
      <c r="P52" s="1">
        <f t="shared" si="19"/>
        <v>0</v>
      </c>
      <c r="Q52" s="1">
        <f t="shared" si="19"/>
        <v>0</v>
      </c>
      <c r="R52" s="1">
        <f t="shared" si="19"/>
        <v>0</v>
      </c>
      <c r="S52" s="1">
        <f t="shared" si="19"/>
        <v>0</v>
      </c>
      <c r="T52" s="1">
        <f t="shared" si="19"/>
        <v>0</v>
      </c>
      <c r="U52" s="1">
        <f t="shared" si="19"/>
        <v>0</v>
      </c>
      <c r="V52" s="1">
        <f t="shared" si="19"/>
        <v>0</v>
      </c>
      <c r="W52" s="1">
        <f t="shared" si="19"/>
        <v>0</v>
      </c>
      <c r="X52" s="54">
        <f t="shared" si="19"/>
        <v>0</v>
      </c>
      <c r="Y52" s="58">
        <f t="shared" si="15"/>
        <v>13000</v>
      </c>
      <c r="Z52" s="1">
        <f t="shared" si="16"/>
        <v>0</v>
      </c>
      <c r="AA52" s="1">
        <f t="shared" si="17"/>
        <v>13000</v>
      </c>
      <c r="AB52" s="10" t="s">
        <v>88</v>
      </c>
      <c r="AH52" s="6" t="s">
        <v>13</v>
      </c>
      <c r="AI52" s="6" t="s">
        <v>18</v>
      </c>
      <c r="AJ52" t="s">
        <v>20</v>
      </c>
    </row>
    <row r="53" spans="1:40" x14ac:dyDescent="0.25">
      <c r="A53" s="15" t="s">
        <v>51</v>
      </c>
      <c r="B53" s="16" t="s">
        <v>56</v>
      </c>
      <c r="C53" s="2"/>
      <c r="F53" s="1">
        <f>F62+F63+F64</f>
        <v>0</v>
      </c>
      <c r="G53" s="1">
        <f t="shared" ref="G53:X53" si="20">G62+G63+G64</f>
        <v>0</v>
      </c>
      <c r="H53" s="1">
        <f t="shared" si="20"/>
        <v>0</v>
      </c>
      <c r="I53" s="1">
        <f t="shared" si="20"/>
        <v>0</v>
      </c>
      <c r="J53" s="1">
        <f t="shared" si="20"/>
        <v>0</v>
      </c>
      <c r="K53" s="1">
        <f t="shared" si="20"/>
        <v>1500</v>
      </c>
      <c r="L53" s="52">
        <f t="shared" si="20"/>
        <v>0</v>
      </c>
      <c r="M53" s="1">
        <f t="shared" si="20"/>
        <v>0</v>
      </c>
      <c r="N53" s="1">
        <f t="shared" si="20"/>
        <v>0</v>
      </c>
      <c r="O53" s="1">
        <f t="shared" si="20"/>
        <v>0</v>
      </c>
      <c r="P53" s="1">
        <f t="shared" si="20"/>
        <v>0</v>
      </c>
      <c r="Q53" s="1">
        <f t="shared" si="20"/>
        <v>0</v>
      </c>
      <c r="R53" s="1">
        <f t="shared" si="20"/>
        <v>0</v>
      </c>
      <c r="S53" s="1">
        <f t="shared" si="20"/>
        <v>0</v>
      </c>
      <c r="T53" s="1">
        <f t="shared" si="20"/>
        <v>0</v>
      </c>
      <c r="U53" s="1">
        <f t="shared" si="20"/>
        <v>0</v>
      </c>
      <c r="V53" s="1">
        <f t="shared" si="20"/>
        <v>0</v>
      </c>
      <c r="W53" s="1">
        <f t="shared" si="20"/>
        <v>0</v>
      </c>
      <c r="X53" s="54">
        <f t="shared" si="20"/>
        <v>0</v>
      </c>
      <c r="Y53" s="58">
        <f t="shared" si="15"/>
        <v>1500</v>
      </c>
      <c r="Z53" s="1">
        <f t="shared" si="16"/>
        <v>0</v>
      </c>
      <c r="AA53" s="1">
        <f t="shared" si="17"/>
        <v>1500</v>
      </c>
      <c r="AB53" t="s">
        <v>97</v>
      </c>
      <c r="AH53" s="6" t="s">
        <v>372</v>
      </c>
      <c r="AI53" s="6">
        <f>10000</f>
        <v>10000</v>
      </c>
      <c r="AJ53">
        <f>AI53/AI17*1000</f>
        <v>131.75230566534916</v>
      </c>
    </row>
    <row r="54" spans="1:40" x14ac:dyDescent="0.25">
      <c r="A54" s="15" t="s">
        <v>51</v>
      </c>
      <c r="B54" s="16" t="s">
        <v>9</v>
      </c>
      <c r="C54" s="2"/>
      <c r="F54" s="1">
        <f>F65</f>
        <v>0</v>
      </c>
      <c r="G54" s="1">
        <f t="shared" ref="G54:X54" si="21">G65</f>
        <v>0</v>
      </c>
      <c r="H54" s="1">
        <f t="shared" si="21"/>
        <v>0</v>
      </c>
      <c r="I54" s="1">
        <f t="shared" si="21"/>
        <v>0</v>
      </c>
      <c r="J54" s="1">
        <f t="shared" si="21"/>
        <v>0</v>
      </c>
      <c r="K54" s="1">
        <f t="shared" si="21"/>
        <v>0</v>
      </c>
      <c r="L54" s="52">
        <f t="shared" si="21"/>
        <v>0</v>
      </c>
      <c r="M54" s="1">
        <f t="shared" si="21"/>
        <v>0</v>
      </c>
      <c r="N54" s="1">
        <f t="shared" si="21"/>
        <v>0</v>
      </c>
      <c r="O54" s="1">
        <f t="shared" si="21"/>
        <v>0</v>
      </c>
      <c r="P54" s="1">
        <f t="shared" si="21"/>
        <v>0</v>
      </c>
      <c r="Q54" s="1">
        <f t="shared" si="21"/>
        <v>0</v>
      </c>
      <c r="R54" s="1">
        <f t="shared" si="21"/>
        <v>0</v>
      </c>
      <c r="S54" s="1">
        <f t="shared" si="21"/>
        <v>0</v>
      </c>
      <c r="T54" s="1">
        <f t="shared" si="21"/>
        <v>0</v>
      </c>
      <c r="U54" s="1">
        <f t="shared" si="21"/>
        <v>0</v>
      </c>
      <c r="V54" s="1">
        <f t="shared" si="21"/>
        <v>0</v>
      </c>
      <c r="W54" s="1">
        <f t="shared" si="21"/>
        <v>0</v>
      </c>
      <c r="X54" s="54">
        <f t="shared" si="21"/>
        <v>0</v>
      </c>
      <c r="Y54" s="58">
        <f t="shared" si="15"/>
        <v>0</v>
      </c>
      <c r="Z54" s="1">
        <f t="shared" si="16"/>
        <v>0</v>
      </c>
      <c r="AA54" s="1">
        <f t="shared" si="17"/>
        <v>0</v>
      </c>
      <c r="AH54" s="6" t="s">
        <v>373</v>
      </c>
      <c r="AI54" s="6">
        <v>14000</v>
      </c>
      <c r="AJ54">
        <f t="shared" ref="AJ54:AJ57" si="22">AI54/AI18*1000</f>
        <v>169.08212560386474</v>
      </c>
    </row>
    <row r="55" spans="1:40" x14ac:dyDescent="0.25">
      <c r="A55" s="30" t="s">
        <v>60</v>
      </c>
      <c r="B55" s="32" t="s">
        <v>13</v>
      </c>
      <c r="C55" s="2"/>
      <c r="F55" s="51">
        <f>F66+F67+F68</f>
        <v>1505.7328400000001</v>
      </c>
      <c r="G55" s="51">
        <f t="shared" ref="G55:X55" si="23">G66+G67+G68</f>
        <v>837.59633363886337</v>
      </c>
      <c r="H55" s="51">
        <f t="shared" si="23"/>
        <v>2668.05</v>
      </c>
      <c r="I55" s="51">
        <f t="shared" si="23"/>
        <v>776</v>
      </c>
      <c r="J55" s="51">
        <f t="shared" si="23"/>
        <v>892.8</v>
      </c>
      <c r="K55" s="51">
        <f t="shared" si="23"/>
        <v>437</v>
      </c>
      <c r="L55" s="52">
        <f t="shared" si="23"/>
        <v>0</v>
      </c>
      <c r="M55" s="51">
        <f t="shared" si="23"/>
        <v>2500</v>
      </c>
      <c r="N55" s="51">
        <f t="shared" si="23"/>
        <v>630</v>
      </c>
      <c r="O55" s="51">
        <f t="shared" si="23"/>
        <v>1800</v>
      </c>
      <c r="P55" s="51">
        <f t="shared" si="23"/>
        <v>6600</v>
      </c>
      <c r="Q55" s="51">
        <f t="shared" si="23"/>
        <v>2000</v>
      </c>
      <c r="R55" s="51">
        <f t="shared" si="23"/>
        <v>1600</v>
      </c>
      <c r="S55" s="51">
        <f t="shared" si="23"/>
        <v>0</v>
      </c>
      <c r="T55" s="51">
        <f t="shared" si="23"/>
        <v>400</v>
      </c>
      <c r="U55" s="51">
        <f t="shared" si="23"/>
        <v>900</v>
      </c>
      <c r="V55" s="51">
        <f t="shared" si="23"/>
        <v>60</v>
      </c>
      <c r="W55" s="51">
        <f t="shared" si="23"/>
        <v>110</v>
      </c>
      <c r="X55" s="55">
        <f t="shared" si="23"/>
        <v>3000</v>
      </c>
      <c r="Y55" s="59">
        <f t="shared" si="15"/>
        <v>7117.1791736388641</v>
      </c>
      <c r="Z55" s="51">
        <f t="shared" si="16"/>
        <v>19600</v>
      </c>
      <c r="AA55" s="1">
        <f t="shared" si="17"/>
        <v>26717.179173638862</v>
      </c>
      <c r="AB55" s="215">
        <v>38000</v>
      </c>
      <c r="AH55" s="6" t="s">
        <v>374</v>
      </c>
      <c r="AI55" s="6">
        <v>7500</v>
      </c>
      <c r="AJ55">
        <f t="shared" si="22"/>
        <v>217.39130434782609</v>
      </c>
    </row>
    <row r="56" spans="1:40" x14ac:dyDescent="0.25">
      <c r="A56" s="30" t="s">
        <v>60</v>
      </c>
      <c r="B56" s="31" t="s">
        <v>23</v>
      </c>
      <c r="C56" s="2"/>
      <c r="F56" s="51">
        <f>F69+F70+F71</f>
        <v>0</v>
      </c>
      <c r="G56" s="51">
        <f t="shared" ref="G56:X56" si="24">G69+G70+G71</f>
        <v>0</v>
      </c>
      <c r="H56" s="51">
        <f t="shared" si="24"/>
        <v>0</v>
      </c>
      <c r="I56" s="51">
        <f t="shared" si="24"/>
        <v>0</v>
      </c>
      <c r="J56" s="51">
        <f t="shared" si="24"/>
        <v>178.56</v>
      </c>
      <c r="K56" s="51">
        <f t="shared" si="24"/>
        <v>257.44</v>
      </c>
      <c r="L56" s="52">
        <f t="shared" si="24"/>
        <v>0</v>
      </c>
      <c r="M56" s="51">
        <f t="shared" si="24"/>
        <v>0</v>
      </c>
      <c r="N56" s="51">
        <f t="shared" si="24"/>
        <v>765</v>
      </c>
      <c r="O56" s="51">
        <f t="shared" si="24"/>
        <v>0</v>
      </c>
      <c r="P56" s="51">
        <f t="shared" si="24"/>
        <v>0</v>
      </c>
      <c r="Q56" s="51">
        <f t="shared" si="24"/>
        <v>0</v>
      </c>
      <c r="R56" s="51">
        <f t="shared" si="24"/>
        <v>0</v>
      </c>
      <c r="S56" s="51">
        <f t="shared" si="24"/>
        <v>60</v>
      </c>
      <c r="T56" s="51">
        <f t="shared" si="24"/>
        <v>240</v>
      </c>
      <c r="U56" s="51">
        <f t="shared" si="24"/>
        <v>0</v>
      </c>
      <c r="V56" s="51">
        <f t="shared" si="24"/>
        <v>0</v>
      </c>
      <c r="W56" s="51">
        <f t="shared" si="24"/>
        <v>0</v>
      </c>
      <c r="X56" s="55">
        <f t="shared" si="24"/>
        <v>90</v>
      </c>
      <c r="Y56" s="59">
        <f t="shared" si="15"/>
        <v>436</v>
      </c>
      <c r="Z56" s="51">
        <f t="shared" si="16"/>
        <v>1155</v>
      </c>
      <c r="AA56" s="51">
        <f t="shared" si="17"/>
        <v>1591</v>
      </c>
      <c r="AB56" s="215">
        <f>1210</f>
        <v>1210</v>
      </c>
      <c r="AH56" s="6" t="s">
        <v>9</v>
      </c>
      <c r="AI56" s="6">
        <v>5000</v>
      </c>
      <c r="AJ56">
        <f t="shared" si="22"/>
        <v>197.62845849802372</v>
      </c>
    </row>
    <row r="57" spans="1:40" x14ac:dyDescent="0.25">
      <c r="A57" s="30" t="s">
        <v>60</v>
      </c>
      <c r="B57" s="31" t="s">
        <v>65</v>
      </c>
      <c r="C57" s="46"/>
      <c r="F57" s="51">
        <f>F72+F73+F74</f>
        <v>0</v>
      </c>
      <c r="G57" s="51">
        <f t="shared" ref="G57:X57" si="25">G72+G73+G74</f>
        <v>0</v>
      </c>
      <c r="H57" s="51">
        <f t="shared" si="25"/>
        <v>0</v>
      </c>
      <c r="I57" s="51">
        <f t="shared" si="25"/>
        <v>0</v>
      </c>
      <c r="J57" s="51">
        <f t="shared" si="25"/>
        <v>280</v>
      </c>
      <c r="K57" s="51">
        <f t="shared" si="25"/>
        <v>0</v>
      </c>
      <c r="L57" s="52">
        <f t="shared" si="25"/>
        <v>25347.000000000004</v>
      </c>
      <c r="M57" s="51">
        <f t="shared" si="25"/>
        <v>1344</v>
      </c>
      <c r="N57" s="51">
        <f t="shared" si="25"/>
        <v>0</v>
      </c>
      <c r="O57" s="51">
        <f t="shared" si="25"/>
        <v>0</v>
      </c>
      <c r="P57" s="51">
        <f t="shared" si="25"/>
        <v>0</v>
      </c>
      <c r="Q57" s="51">
        <f t="shared" si="25"/>
        <v>3600</v>
      </c>
      <c r="R57" s="51">
        <f t="shared" si="25"/>
        <v>2800</v>
      </c>
      <c r="S57" s="51">
        <f t="shared" si="25"/>
        <v>0</v>
      </c>
      <c r="T57" s="51">
        <f t="shared" si="25"/>
        <v>2760</v>
      </c>
      <c r="U57" s="51">
        <f t="shared" si="25"/>
        <v>1100</v>
      </c>
      <c r="V57" s="51">
        <f t="shared" si="25"/>
        <v>630</v>
      </c>
      <c r="W57" s="51">
        <f t="shared" si="25"/>
        <v>900</v>
      </c>
      <c r="X57" s="55">
        <f t="shared" si="25"/>
        <v>1260</v>
      </c>
      <c r="Y57" s="59">
        <f t="shared" si="15"/>
        <v>280</v>
      </c>
      <c r="Z57" s="51">
        <f t="shared" si="16"/>
        <v>14394</v>
      </c>
      <c r="AA57" s="103">
        <f>245/270*40000</f>
        <v>36296.296296296299</v>
      </c>
      <c r="AB57" s="6">
        <v>40000</v>
      </c>
      <c r="AH57" s="6" t="s">
        <v>375</v>
      </c>
      <c r="AI57" s="6">
        <v>3000</v>
      </c>
      <c r="AJ57">
        <f t="shared" si="22"/>
        <v>260.86956521739131</v>
      </c>
    </row>
    <row r="58" spans="1:40" ht="15.75" thickBot="1" x14ac:dyDescent="0.3">
      <c r="A58" s="48" t="s">
        <v>60</v>
      </c>
      <c r="B58" s="49" t="s">
        <v>9</v>
      </c>
      <c r="C58" s="50"/>
      <c r="D58" s="50"/>
      <c r="E58" s="50"/>
      <c r="F58" s="53">
        <f>F75</f>
        <v>0</v>
      </c>
      <c r="G58" s="53">
        <f t="shared" ref="G58:X58" si="26">G75</f>
        <v>0</v>
      </c>
      <c r="H58" s="53">
        <f t="shared" si="26"/>
        <v>0</v>
      </c>
      <c r="I58" s="53">
        <f t="shared" si="26"/>
        <v>0</v>
      </c>
      <c r="J58" s="53">
        <f t="shared" si="26"/>
        <v>0</v>
      </c>
      <c r="K58" s="53">
        <f t="shared" si="26"/>
        <v>0</v>
      </c>
      <c r="L58" s="62">
        <f t="shared" si="26"/>
        <v>0</v>
      </c>
      <c r="M58" s="53">
        <f t="shared" si="26"/>
        <v>0</v>
      </c>
      <c r="N58" s="53">
        <f t="shared" si="26"/>
        <v>0</v>
      </c>
      <c r="O58" s="53">
        <f t="shared" si="26"/>
        <v>0</v>
      </c>
      <c r="P58" s="53">
        <f t="shared" si="26"/>
        <v>0</v>
      </c>
      <c r="Q58" s="53">
        <f t="shared" si="26"/>
        <v>0</v>
      </c>
      <c r="R58" s="53">
        <f t="shared" si="26"/>
        <v>0</v>
      </c>
      <c r="S58" s="53">
        <f t="shared" si="26"/>
        <v>0</v>
      </c>
      <c r="T58" s="53">
        <f t="shared" si="26"/>
        <v>0</v>
      </c>
      <c r="U58" s="53">
        <f t="shared" si="26"/>
        <v>400</v>
      </c>
      <c r="V58" s="53">
        <f t="shared" si="26"/>
        <v>760</v>
      </c>
      <c r="W58" s="53">
        <f t="shared" si="26"/>
        <v>0</v>
      </c>
      <c r="X58" s="53">
        <f t="shared" si="26"/>
        <v>1200</v>
      </c>
      <c r="Y58" s="60">
        <f t="shared" si="15"/>
        <v>0</v>
      </c>
      <c r="Z58" s="53">
        <f t="shared" si="16"/>
        <v>2360</v>
      </c>
      <c r="AA58" s="104">
        <v>1100</v>
      </c>
    </row>
    <row r="59" spans="1:40" ht="15.75" thickTop="1" x14ac:dyDescent="0.25">
      <c r="A59" s="15" t="s">
        <v>51</v>
      </c>
      <c r="B59" s="16" t="s">
        <v>52</v>
      </c>
      <c r="C59" s="16" t="s">
        <v>53</v>
      </c>
      <c r="D59" s="2"/>
      <c r="E59" s="2"/>
      <c r="F59" s="47"/>
      <c r="G59" s="47"/>
      <c r="H59" s="47"/>
      <c r="I59" s="47"/>
      <c r="J59" s="47"/>
      <c r="K59" s="47">
        <v>3000</v>
      </c>
      <c r="L59" s="6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57"/>
      <c r="Y59" s="61">
        <f t="shared" si="15"/>
        <v>3000</v>
      </c>
      <c r="Z59" s="47">
        <f t="shared" si="16"/>
        <v>0</v>
      </c>
      <c r="AA59" s="47">
        <f t="shared" ref="AA59:AA68" si="27">L59+Y59+Z59</f>
        <v>3000</v>
      </c>
    </row>
    <row r="60" spans="1:40" x14ac:dyDescent="0.25">
      <c r="A60" s="15" t="s">
        <v>51</v>
      </c>
      <c r="B60" s="16" t="s">
        <v>52</v>
      </c>
      <c r="C60" s="16" t="s">
        <v>54</v>
      </c>
      <c r="D60" s="2"/>
      <c r="E60" s="2"/>
      <c r="F60" s="1"/>
      <c r="G60" s="1"/>
      <c r="H60" s="1"/>
      <c r="I60" s="1"/>
      <c r="J60" s="1"/>
      <c r="K60" s="1">
        <v>10000</v>
      </c>
      <c r="L60" s="5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54"/>
      <c r="Y60" s="58">
        <f t="shared" si="15"/>
        <v>10000</v>
      </c>
      <c r="Z60" s="1">
        <f t="shared" si="16"/>
        <v>0</v>
      </c>
      <c r="AA60" s="1">
        <f t="shared" si="27"/>
        <v>10000</v>
      </c>
      <c r="AE60" t="s">
        <v>25</v>
      </c>
      <c r="AF60" s="5" t="s">
        <v>173</v>
      </c>
      <c r="AK60" s="248" t="s">
        <v>453</v>
      </c>
      <c r="AM60" s="248" t="s">
        <v>453</v>
      </c>
    </row>
    <row r="61" spans="1:40" x14ac:dyDescent="0.25">
      <c r="A61" s="15" t="s">
        <v>51</v>
      </c>
      <c r="B61" s="16" t="s">
        <v>52</v>
      </c>
      <c r="C61" s="16" t="s">
        <v>55</v>
      </c>
      <c r="D61" s="2"/>
      <c r="E61" s="2"/>
      <c r="F61" s="1"/>
      <c r="G61" s="1"/>
      <c r="H61" s="1"/>
      <c r="I61" s="1"/>
      <c r="J61" s="1"/>
      <c r="K61" s="1"/>
      <c r="L61" s="5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54"/>
      <c r="Y61" s="58">
        <f t="shared" si="15"/>
        <v>0</v>
      </c>
      <c r="Z61" s="1">
        <f t="shared" si="16"/>
        <v>0</v>
      </c>
      <c r="AA61" s="1">
        <f t="shared" si="27"/>
        <v>0</v>
      </c>
      <c r="AF61">
        <v>2015</v>
      </c>
      <c r="AG61">
        <v>2016</v>
      </c>
      <c r="AH61">
        <v>2017</v>
      </c>
      <c r="AI61">
        <v>2018</v>
      </c>
      <c r="AJ61">
        <v>2019</v>
      </c>
      <c r="AK61" s="248">
        <v>2019</v>
      </c>
      <c r="AL61">
        <v>2020</v>
      </c>
      <c r="AM61" s="248">
        <v>2020</v>
      </c>
      <c r="AN61">
        <v>2021</v>
      </c>
    </row>
    <row r="62" spans="1:40" x14ac:dyDescent="0.25">
      <c r="A62" s="25" t="s">
        <v>51</v>
      </c>
      <c r="B62" s="26" t="s">
        <v>56</v>
      </c>
      <c r="C62" s="26" t="s">
        <v>57</v>
      </c>
      <c r="D62" s="2"/>
      <c r="E62" s="2"/>
      <c r="F62" s="1"/>
      <c r="G62" s="1"/>
      <c r="H62" s="1"/>
      <c r="I62" s="1"/>
      <c r="J62" s="1"/>
      <c r="K62" s="1">
        <v>1000</v>
      </c>
      <c r="L62" s="5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54"/>
      <c r="Y62" s="58">
        <f t="shared" si="15"/>
        <v>1000</v>
      </c>
      <c r="Z62" s="1">
        <f t="shared" si="16"/>
        <v>0</v>
      </c>
      <c r="AA62" s="1">
        <f t="shared" si="27"/>
        <v>1000</v>
      </c>
      <c r="AE62" t="s">
        <v>452</v>
      </c>
      <c r="AF62">
        <v>0.1</v>
      </c>
      <c r="AK62" s="248"/>
      <c r="AM62" s="248"/>
    </row>
    <row r="63" spans="1:40" x14ac:dyDescent="0.25">
      <c r="A63" s="15" t="s">
        <v>51</v>
      </c>
      <c r="B63" s="16" t="s">
        <v>56</v>
      </c>
      <c r="C63" s="27" t="s">
        <v>58</v>
      </c>
      <c r="D63" s="2"/>
      <c r="E63" s="2"/>
      <c r="F63" s="1"/>
      <c r="G63" s="1"/>
      <c r="H63" s="1"/>
      <c r="I63" s="1"/>
      <c r="J63" s="1"/>
      <c r="K63" s="1">
        <v>500</v>
      </c>
      <c r="L63" s="5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54"/>
      <c r="Y63" s="58">
        <f t="shared" si="15"/>
        <v>500</v>
      </c>
      <c r="Z63" s="1">
        <f t="shared" si="16"/>
        <v>0</v>
      </c>
      <c r="AA63" s="1">
        <f t="shared" si="27"/>
        <v>500</v>
      </c>
      <c r="AE63" t="s">
        <v>5</v>
      </c>
      <c r="AF63">
        <v>0.2</v>
      </c>
      <c r="AG63">
        <v>0.35</v>
      </c>
      <c r="AH63">
        <v>0.55000000000000004</v>
      </c>
      <c r="AI63">
        <v>0.6</v>
      </c>
      <c r="AJ63">
        <v>0.9</v>
      </c>
      <c r="AK63" s="248">
        <v>2.9</v>
      </c>
      <c r="AM63" s="248">
        <v>2.9</v>
      </c>
    </row>
    <row r="64" spans="1:40" x14ac:dyDescent="0.25">
      <c r="A64" s="15" t="s">
        <v>51</v>
      </c>
      <c r="B64" s="16" t="s">
        <v>9</v>
      </c>
      <c r="C64" s="27" t="s">
        <v>59</v>
      </c>
      <c r="D64" s="2"/>
      <c r="E64" s="2"/>
      <c r="F64" s="1"/>
      <c r="G64" s="1"/>
      <c r="H64" s="1"/>
      <c r="I64" s="1"/>
      <c r="J64" s="1"/>
      <c r="K64" s="1"/>
      <c r="L64" s="5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54"/>
      <c r="Y64" s="58">
        <f t="shared" si="15"/>
        <v>0</v>
      </c>
      <c r="Z64" s="1">
        <f t="shared" si="16"/>
        <v>0</v>
      </c>
      <c r="AA64" s="1">
        <f t="shared" si="27"/>
        <v>0</v>
      </c>
      <c r="AE64" t="s">
        <v>7</v>
      </c>
      <c r="AF64">
        <v>0.08</v>
      </c>
      <c r="AG64">
        <v>0.1</v>
      </c>
      <c r="AH64">
        <v>0.12</v>
      </c>
      <c r="AI64">
        <v>0.16</v>
      </c>
      <c r="AJ64">
        <v>0.15</v>
      </c>
      <c r="AK64" s="248">
        <v>0.5</v>
      </c>
      <c r="AL64">
        <v>0.55000000000000004</v>
      </c>
      <c r="AM64" s="248">
        <v>0.95</v>
      </c>
    </row>
    <row r="65" spans="1:39" x14ac:dyDescent="0.25">
      <c r="A65" s="15" t="s">
        <v>51</v>
      </c>
      <c r="B65" s="16" t="s">
        <v>9</v>
      </c>
      <c r="C65" s="27" t="s">
        <v>9</v>
      </c>
      <c r="D65" s="2"/>
      <c r="E65" s="2"/>
      <c r="F65" s="1"/>
      <c r="G65" s="1"/>
      <c r="H65" s="1"/>
      <c r="I65" s="1"/>
      <c r="J65" s="1"/>
      <c r="K65" s="1"/>
      <c r="L65" s="5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54"/>
      <c r="Y65" s="58">
        <f t="shared" si="15"/>
        <v>0</v>
      </c>
      <c r="Z65" s="1">
        <f t="shared" si="16"/>
        <v>0</v>
      </c>
      <c r="AA65" s="1">
        <f t="shared" si="27"/>
        <v>0</v>
      </c>
      <c r="AE65" t="s">
        <v>8</v>
      </c>
      <c r="AF65">
        <v>0.12</v>
      </c>
      <c r="AG65">
        <v>0.16</v>
      </c>
      <c r="AH65">
        <v>0.18</v>
      </c>
      <c r="AI65">
        <v>0.22</v>
      </c>
      <c r="AJ65">
        <v>0.4</v>
      </c>
      <c r="AK65" s="248">
        <v>1.7</v>
      </c>
      <c r="AL65">
        <v>0.82</v>
      </c>
      <c r="AM65" s="248">
        <v>2.2000000000000002</v>
      </c>
    </row>
    <row r="66" spans="1:39" x14ac:dyDescent="0.25">
      <c r="A66" s="28" t="s">
        <v>60</v>
      </c>
      <c r="B66" s="29" t="s">
        <v>13</v>
      </c>
      <c r="C66" s="29" t="s">
        <v>61</v>
      </c>
      <c r="D66" s="2"/>
      <c r="E66" s="2"/>
      <c r="F66" s="103">
        <f>2164*0.65/200*170*0.82</f>
        <v>980.40020000000004</v>
      </c>
      <c r="G66" s="73"/>
      <c r="H66" s="103">
        <f>3300*0.12*0.8</f>
        <v>316.8</v>
      </c>
      <c r="I66" s="91">
        <f>800*0.97</f>
        <v>776</v>
      </c>
      <c r="J66" s="215">
        <f>J70/0.2</f>
        <v>892.8</v>
      </c>
      <c r="K66" s="91">
        <f>230*2*0.95</f>
        <v>437</v>
      </c>
      <c r="L66" s="52"/>
      <c r="M66" s="91">
        <v>2500</v>
      </c>
      <c r="N66" s="91">
        <v>630</v>
      </c>
      <c r="O66" s="215">
        <f>1500*1.2</f>
        <v>1800</v>
      </c>
      <c r="P66" s="215">
        <f>800*1.25*2</f>
        <v>2000</v>
      </c>
      <c r="Q66" s="91">
        <v>2000</v>
      </c>
      <c r="R66" s="91">
        <v>1600</v>
      </c>
      <c r="S66" s="215"/>
      <c r="T66" s="91">
        <v>400</v>
      </c>
      <c r="U66" s="91">
        <f>900</f>
        <v>900</v>
      </c>
      <c r="V66" s="77">
        <f>V21*V111</f>
        <v>60</v>
      </c>
      <c r="W66" s="91">
        <v>110</v>
      </c>
      <c r="X66" s="106">
        <v>3000</v>
      </c>
      <c r="Y66" s="59">
        <f t="shared" si="15"/>
        <v>3403.0002000000004</v>
      </c>
      <c r="Z66" s="51">
        <f t="shared" si="16"/>
        <v>15000</v>
      </c>
      <c r="AA66" s="51">
        <f t="shared" si="27"/>
        <v>18403.000200000002</v>
      </c>
      <c r="AK66" s="248"/>
      <c r="AM66" s="248"/>
    </row>
    <row r="67" spans="1:39" x14ac:dyDescent="0.25">
      <c r="A67" s="36" t="s">
        <v>60</v>
      </c>
      <c r="B67" s="37" t="s">
        <v>13</v>
      </c>
      <c r="C67" s="29" t="s">
        <v>62</v>
      </c>
      <c r="D67" s="2"/>
      <c r="E67" s="2"/>
      <c r="F67" s="103">
        <f>2164*0.35/200*170*0.8*1.02</f>
        <v>525.33264000000008</v>
      </c>
      <c r="G67" s="103">
        <f>1280*230/210*5600/5455*0.97*0.6</f>
        <v>837.59633363886337</v>
      </c>
      <c r="H67" s="103">
        <f>3300*0.75*0.95</f>
        <v>2351.25</v>
      </c>
      <c r="I67" s="51"/>
      <c r="J67" s="51"/>
      <c r="K67" s="51"/>
      <c r="L67" s="52"/>
      <c r="M67" s="51"/>
      <c r="N67" s="51"/>
      <c r="O67" s="215"/>
      <c r="P67" s="215">
        <f>2300*2</f>
        <v>4600</v>
      </c>
      <c r="Q67" s="51"/>
      <c r="R67" s="51"/>
      <c r="S67" s="51"/>
      <c r="T67" s="51"/>
      <c r="U67" s="51"/>
      <c r="V67" s="51"/>
      <c r="W67" s="51"/>
      <c r="X67" s="55"/>
      <c r="Y67" s="59">
        <f t="shared" si="15"/>
        <v>3714.1789736388637</v>
      </c>
      <c r="Z67" s="51">
        <f t="shared" si="16"/>
        <v>4600</v>
      </c>
      <c r="AA67" s="51">
        <f t="shared" si="27"/>
        <v>8314.1789736388637</v>
      </c>
      <c r="AK67" s="248"/>
      <c r="AM67" s="248"/>
    </row>
    <row r="68" spans="1:39" x14ac:dyDescent="0.25">
      <c r="A68" s="30" t="s">
        <v>60</v>
      </c>
      <c r="B68" s="31" t="s">
        <v>13</v>
      </c>
      <c r="C68" s="32" t="s">
        <v>63</v>
      </c>
      <c r="D68" s="2"/>
      <c r="E68" s="2"/>
      <c r="F68" s="51"/>
      <c r="G68" s="51"/>
      <c r="H68" s="51"/>
      <c r="I68" s="51"/>
      <c r="J68" s="51"/>
      <c r="K68" s="51"/>
      <c r="L68" s="52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5"/>
      <c r="Y68" s="59">
        <f t="shared" si="15"/>
        <v>0</v>
      </c>
      <c r="Z68" s="51">
        <f t="shared" si="16"/>
        <v>0</v>
      </c>
      <c r="AA68" s="51">
        <f t="shared" si="27"/>
        <v>0</v>
      </c>
      <c r="AK68" s="248"/>
      <c r="AM68" s="248"/>
    </row>
    <row r="69" spans="1:39" x14ac:dyDescent="0.25">
      <c r="A69" s="30" t="s">
        <v>60</v>
      </c>
      <c r="B69" s="32" t="s">
        <v>23</v>
      </c>
      <c r="C69" s="31" t="s">
        <v>50</v>
      </c>
      <c r="D69" s="2"/>
      <c r="E69" s="2"/>
      <c r="F69" s="77">
        <f>F24*F114</f>
        <v>0</v>
      </c>
      <c r="G69" s="51"/>
      <c r="H69" s="51"/>
      <c r="I69" s="51"/>
      <c r="J69" s="77">
        <f>J24*J114</f>
        <v>0</v>
      </c>
      <c r="K69" s="215">
        <f>900*0.14</f>
        <v>126.00000000000001</v>
      </c>
      <c r="L69" s="52"/>
      <c r="M69" s="51"/>
      <c r="N69" s="215">
        <f>900*0.85</f>
        <v>765</v>
      </c>
      <c r="O69" s="51"/>
      <c r="P69" s="51"/>
      <c r="Q69" s="51"/>
      <c r="R69" s="51"/>
      <c r="S69" s="51"/>
      <c r="T69" s="51"/>
      <c r="U69" s="51"/>
      <c r="V69" s="51"/>
      <c r="W69" s="51"/>
      <c r="X69" s="55"/>
      <c r="Y69" s="59">
        <f t="shared" si="15"/>
        <v>126.00000000000001</v>
      </c>
      <c r="Z69" s="51">
        <f t="shared" si="16"/>
        <v>765</v>
      </c>
      <c r="AA69" s="215">
        <v>900</v>
      </c>
      <c r="AK69" s="248"/>
    </row>
    <row r="70" spans="1:39" x14ac:dyDescent="0.25">
      <c r="A70" s="30" t="s">
        <v>60</v>
      </c>
      <c r="B70" s="32" t="s">
        <v>23</v>
      </c>
      <c r="C70" s="31" t="s">
        <v>49</v>
      </c>
      <c r="D70" s="2"/>
      <c r="E70" s="2"/>
      <c r="F70" s="51"/>
      <c r="G70" s="51"/>
      <c r="H70" s="51"/>
      <c r="I70" s="51"/>
      <c r="J70" s="215">
        <f>310*0.72*0.8</f>
        <v>178.56</v>
      </c>
      <c r="K70" s="215">
        <f>AA70-N70-J70</f>
        <v>131.44</v>
      </c>
      <c r="L70" s="52"/>
      <c r="M70" s="51"/>
      <c r="N70" s="51"/>
      <c r="O70" s="51"/>
      <c r="P70" s="51"/>
      <c r="Q70" s="51"/>
      <c r="R70" s="51"/>
      <c r="S70" s="64">
        <v>60</v>
      </c>
      <c r="T70" s="77">
        <f>T25*T115</f>
        <v>240</v>
      </c>
      <c r="U70" s="51"/>
      <c r="V70" s="77">
        <f>V25*V115</f>
        <v>0</v>
      </c>
      <c r="W70" s="51"/>
      <c r="X70" s="77">
        <f>X25*X115</f>
        <v>90</v>
      </c>
      <c r="Y70" s="59">
        <f t="shared" si="15"/>
        <v>310</v>
      </c>
      <c r="Z70" s="51">
        <f t="shared" si="16"/>
        <v>390</v>
      </c>
      <c r="AA70" s="215">
        <v>310</v>
      </c>
    </row>
    <row r="71" spans="1:39" x14ac:dyDescent="0.25">
      <c r="A71" s="30" t="s">
        <v>60</v>
      </c>
      <c r="B71" s="32" t="s">
        <v>23</v>
      </c>
      <c r="C71" s="31" t="s">
        <v>64</v>
      </c>
      <c r="D71" s="2"/>
      <c r="E71" s="2"/>
      <c r="F71" s="51"/>
      <c r="G71" s="51"/>
      <c r="H71" s="51"/>
      <c r="I71" s="51"/>
      <c r="J71" s="51"/>
      <c r="K71" s="51"/>
      <c r="L71" s="52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5"/>
      <c r="Y71" s="59">
        <f t="shared" si="15"/>
        <v>0</v>
      </c>
      <c r="Z71" s="51">
        <f t="shared" si="16"/>
        <v>0</v>
      </c>
      <c r="AA71" s="51">
        <f t="shared" ref="AA71:AA90" si="28">L71+Y71+Z71</f>
        <v>0</v>
      </c>
    </row>
    <row r="72" spans="1:39" x14ac:dyDescent="0.25">
      <c r="A72" s="30" t="s">
        <v>60</v>
      </c>
      <c r="B72" s="32" t="s">
        <v>65</v>
      </c>
      <c r="C72" s="31" t="s">
        <v>66</v>
      </c>
      <c r="D72" s="2"/>
      <c r="E72" s="2"/>
      <c r="F72" s="51"/>
      <c r="G72" s="51"/>
      <c r="H72" s="51"/>
      <c r="I72" s="51"/>
      <c r="J72" s="91">
        <v>280</v>
      </c>
      <c r="K72" s="51"/>
      <c r="L72" s="52"/>
      <c r="M72" s="215">
        <f>M27*M117</f>
        <v>1344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5"/>
      <c r="Y72" s="59">
        <f t="shared" si="15"/>
        <v>280</v>
      </c>
      <c r="Z72" s="51">
        <f t="shared" si="16"/>
        <v>1344</v>
      </c>
      <c r="AA72" s="51">
        <f t="shared" si="28"/>
        <v>1624</v>
      </c>
    </row>
    <row r="73" spans="1:39" x14ac:dyDescent="0.25">
      <c r="A73" s="30" t="s">
        <v>60</v>
      </c>
      <c r="B73" s="32" t="s">
        <v>65</v>
      </c>
      <c r="C73" s="31" t="s">
        <v>67</v>
      </c>
      <c r="D73" s="2"/>
      <c r="E73" s="2"/>
      <c r="F73" s="51"/>
      <c r="G73" s="51"/>
      <c r="H73" s="51"/>
      <c r="I73" s="51"/>
      <c r="J73" s="51"/>
      <c r="K73" s="51"/>
      <c r="L73" s="52"/>
      <c r="M73" s="51"/>
      <c r="N73" s="51"/>
      <c r="O73" s="51"/>
      <c r="P73" s="51"/>
      <c r="Q73" s="215">
        <f>Q28*Q118</f>
        <v>3600</v>
      </c>
      <c r="R73" s="215">
        <f>R28*R118</f>
        <v>2800</v>
      </c>
      <c r="S73" s="51"/>
      <c r="T73" s="215">
        <f>T28*T118</f>
        <v>2760</v>
      </c>
      <c r="U73" s="215">
        <f>U28*U118</f>
        <v>1100</v>
      </c>
      <c r="V73" s="215">
        <f>V28*V118</f>
        <v>630</v>
      </c>
      <c r="W73" s="215">
        <f>W28*W118</f>
        <v>900</v>
      </c>
      <c r="X73" s="215">
        <f>X28*X118</f>
        <v>1260</v>
      </c>
      <c r="Y73" s="59">
        <f t="shared" si="15"/>
        <v>0</v>
      </c>
      <c r="Z73" s="51">
        <f t="shared" si="16"/>
        <v>13050</v>
      </c>
      <c r="AA73" s="51">
        <f t="shared" si="28"/>
        <v>13050</v>
      </c>
      <c r="AB73">
        <f>38*0.17*0.18</f>
        <v>1.1628000000000001</v>
      </c>
    </row>
    <row r="74" spans="1:39" x14ac:dyDescent="0.25">
      <c r="A74" s="30" t="s">
        <v>60</v>
      </c>
      <c r="B74" s="32" t="s">
        <v>65</v>
      </c>
      <c r="C74" s="31" t="s">
        <v>68</v>
      </c>
      <c r="D74" s="2"/>
      <c r="E74" s="2"/>
      <c r="F74" s="51"/>
      <c r="G74" s="51"/>
      <c r="H74" s="51"/>
      <c r="I74" s="51"/>
      <c r="J74" s="51"/>
      <c r="K74" s="51"/>
      <c r="L74" s="215">
        <f>L29*L119</f>
        <v>25347.000000000004</v>
      </c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5"/>
      <c r="Y74" s="59">
        <f t="shared" si="15"/>
        <v>0</v>
      </c>
      <c r="Z74" s="51">
        <f t="shared" si="16"/>
        <v>0</v>
      </c>
      <c r="AA74" s="51">
        <f t="shared" si="28"/>
        <v>25347.000000000004</v>
      </c>
    </row>
    <row r="75" spans="1:39" x14ac:dyDescent="0.25">
      <c r="A75" s="30" t="s">
        <v>60</v>
      </c>
      <c r="B75" s="32" t="s">
        <v>9</v>
      </c>
      <c r="C75" s="31" t="s">
        <v>69</v>
      </c>
      <c r="D75" s="2"/>
      <c r="E75" s="2"/>
      <c r="F75" s="51"/>
      <c r="G75" s="51"/>
      <c r="H75" s="51"/>
      <c r="I75" s="51"/>
      <c r="J75" s="51"/>
      <c r="K75" s="51"/>
      <c r="L75" s="52"/>
      <c r="M75" s="51"/>
      <c r="N75" s="51"/>
      <c r="O75" s="51"/>
      <c r="P75" s="51"/>
      <c r="Q75" s="51"/>
      <c r="R75" s="51"/>
      <c r="S75" s="51"/>
      <c r="T75" s="51"/>
      <c r="U75" s="91">
        <v>400</v>
      </c>
      <c r="V75" s="91">
        <v>760</v>
      </c>
      <c r="W75" s="51"/>
      <c r="X75" s="106">
        <v>1200</v>
      </c>
      <c r="Y75" s="59">
        <f t="shared" si="15"/>
        <v>0</v>
      </c>
      <c r="Z75" s="51">
        <f t="shared" si="16"/>
        <v>2360</v>
      </c>
      <c r="AA75" s="51">
        <f t="shared" si="28"/>
        <v>2360</v>
      </c>
    </row>
    <row r="76" spans="1:39" x14ac:dyDescent="0.25">
      <c r="A76" s="15" t="s">
        <v>51</v>
      </c>
      <c r="B76" s="16" t="s">
        <v>56</v>
      </c>
      <c r="C76" s="27" t="s">
        <v>57</v>
      </c>
      <c r="D76" s="16" t="s">
        <v>70</v>
      </c>
      <c r="E76" s="16"/>
      <c r="F76" s="1"/>
      <c r="G76" s="1"/>
      <c r="H76" s="1"/>
      <c r="I76" s="1"/>
      <c r="J76" s="1"/>
      <c r="K76" s="1"/>
      <c r="L76" s="5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54"/>
      <c r="Y76" s="58">
        <f t="shared" si="15"/>
        <v>0</v>
      </c>
      <c r="Z76" s="1">
        <f t="shared" si="16"/>
        <v>0</v>
      </c>
      <c r="AA76" s="1">
        <f t="shared" si="28"/>
        <v>0</v>
      </c>
    </row>
    <row r="77" spans="1:39" x14ac:dyDescent="0.25">
      <c r="A77" s="15" t="s">
        <v>51</v>
      </c>
      <c r="B77" s="16" t="s">
        <v>56</v>
      </c>
      <c r="C77" s="27" t="s">
        <v>57</v>
      </c>
      <c r="D77" s="16" t="s">
        <v>71</v>
      </c>
      <c r="E77" s="16"/>
      <c r="F77" s="1"/>
      <c r="G77" s="1"/>
      <c r="H77" s="1"/>
      <c r="I77" s="1"/>
      <c r="J77" s="1"/>
      <c r="K77" s="1"/>
      <c r="L77" s="5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54"/>
      <c r="Y77" s="58">
        <f t="shared" si="15"/>
        <v>0</v>
      </c>
      <c r="Z77" s="1">
        <f t="shared" si="16"/>
        <v>0</v>
      </c>
      <c r="AA77" s="1">
        <f t="shared" si="28"/>
        <v>0</v>
      </c>
    </row>
    <row r="78" spans="1:39" x14ac:dyDescent="0.25">
      <c r="A78" s="15" t="s">
        <v>51</v>
      </c>
      <c r="B78" s="16" t="s">
        <v>56</v>
      </c>
      <c r="C78" s="27" t="s">
        <v>27</v>
      </c>
      <c r="D78" s="16" t="s">
        <v>72</v>
      </c>
      <c r="E78" s="16"/>
      <c r="F78" s="1"/>
      <c r="G78" s="1"/>
      <c r="H78" s="1"/>
      <c r="I78" s="1"/>
      <c r="J78" s="1"/>
      <c r="K78" s="1"/>
      <c r="L78" s="5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54"/>
      <c r="Y78" s="58">
        <f t="shared" si="15"/>
        <v>0</v>
      </c>
      <c r="Z78" s="1">
        <f t="shared" si="16"/>
        <v>0</v>
      </c>
      <c r="AA78" s="1">
        <f t="shared" si="28"/>
        <v>0</v>
      </c>
      <c r="AH78" t="s">
        <v>1</v>
      </c>
      <c r="AI78" t="s">
        <v>6</v>
      </c>
    </row>
    <row r="79" spans="1:39" x14ac:dyDescent="0.25">
      <c r="A79" s="15" t="s">
        <v>51</v>
      </c>
      <c r="B79" s="16" t="s">
        <v>56</v>
      </c>
      <c r="C79" s="27" t="s">
        <v>57</v>
      </c>
      <c r="D79" s="16" t="s">
        <v>73</v>
      </c>
      <c r="E79" s="16"/>
      <c r="F79" s="1"/>
      <c r="G79" s="1"/>
      <c r="H79" s="1"/>
      <c r="I79" s="1"/>
      <c r="J79" s="1"/>
      <c r="K79" s="1"/>
      <c r="L79" s="5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54"/>
      <c r="Y79" s="58">
        <f t="shared" si="15"/>
        <v>0</v>
      </c>
      <c r="Z79" s="1">
        <f t="shared" si="16"/>
        <v>0</v>
      </c>
      <c r="AA79" s="1">
        <f t="shared" si="28"/>
        <v>0</v>
      </c>
      <c r="AF79" t="s">
        <v>11</v>
      </c>
      <c r="AG79">
        <f>14/180</f>
        <v>7.7777777777777779E-2</v>
      </c>
      <c r="AH79">
        <f>AG79*20000</f>
        <v>1555.5555555555557</v>
      </c>
    </row>
    <row r="80" spans="1:39" x14ac:dyDescent="0.25">
      <c r="A80" s="15" t="s">
        <v>51</v>
      </c>
      <c r="B80" s="16" t="s">
        <v>56</v>
      </c>
      <c r="C80" s="27" t="s">
        <v>57</v>
      </c>
      <c r="D80" s="16" t="s">
        <v>74</v>
      </c>
      <c r="E80" s="16"/>
      <c r="F80" s="1"/>
      <c r="G80" s="1"/>
      <c r="H80" s="1"/>
      <c r="I80" s="1"/>
      <c r="J80" s="1"/>
      <c r="K80" s="1"/>
      <c r="L80" s="5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54"/>
      <c r="Y80" s="58">
        <f t="shared" si="15"/>
        <v>0</v>
      </c>
      <c r="Z80" s="1">
        <f t="shared" si="16"/>
        <v>0</v>
      </c>
      <c r="AA80" s="1">
        <f t="shared" si="28"/>
        <v>0</v>
      </c>
      <c r="AF80" t="s">
        <v>5</v>
      </c>
      <c r="AG80">
        <f>2/180</f>
        <v>1.1111111111111112E-2</v>
      </c>
      <c r="AH80">
        <f>AG80*20000</f>
        <v>222.22222222222223</v>
      </c>
      <c r="AI80">
        <f>AH80/5000</f>
        <v>4.4444444444444446E-2</v>
      </c>
    </row>
    <row r="81" spans="1:39" x14ac:dyDescent="0.25">
      <c r="A81" s="30" t="s">
        <v>60</v>
      </c>
      <c r="B81" s="31" t="s">
        <v>13</v>
      </c>
      <c r="C81" s="32" t="s">
        <v>61</v>
      </c>
      <c r="D81" s="31" t="s">
        <v>75</v>
      </c>
      <c r="E81" s="31"/>
      <c r="F81" s="51">
        <f>F66*0.9</f>
        <v>882.36018000000001</v>
      </c>
      <c r="G81" s="73"/>
      <c r="H81" s="51">
        <f>H66</f>
        <v>316.8</v>
      </c>
      <c r="I81" s="51">
        <f>I66*0.9</f>
        <v>698.4</v>
      </c>
      <c r="J81" s="51">
        <v>0</v>
      </c>
      <c r="K81" s="51">
        <f>K66*0.8</f>
        <v>349.6</v>
      </c>
      <c r="L81" s="52">
        <v>0</v>
      </c>
      <c r="M81" s="73">
        <f>M66*0.1</f>
        <v>250</v>
      </c>
      <c r="N81" s="73">
        <v>0</v>
      </c>
      <c r="O81" s="73">
        <v>0</v>
      </c>
      <c r="P81" s="73">
        <v>0</v>
      </c>
      <c r="Q81" s="73"/>
      <c r="R81" s="73"/>
      <c r="S81" s="51"/>
      <c r="T81" s="51"/>
      <c r="U81" s="51"/>
      <c r="V81" s="51"/>
      <c r="W81" s="51">
        <f>W66</f>
        <v>110</v>
      </c>
      <c r="X81" s="55">
        <f>X111*0.1</f>
        <v>0.05</v>
      </c>
      <c r="Y81" s="59">
        <f t="shared" si="15"/>
        <v>2247.1601799999999</v>
      </c>
      <c r="Z81" s="51">
        <f t="shared" si="16"/>
        <v>360.05</v>
      </c>
      <c r="AA81" s="51">
        <f t="shared" si="28"/>
        <v>2607.21018</v>
      </c>
      <c r="AF81" t="s">
        <v>7</v>
      </c>
      <c r="AG81">
        <f>7/180</f>
        <v>3.888888888888889E-2</v>
      </c>
      <c r="AH81">
        <f>AG81*20000</f>
        <v>777.77777777777783</v>
      </c>
      <c r="AI81">
        <f>AH81/5000</f>
        <v>0.15555555555555556</v>
      </c>
      <c r="AJ81">
        <f>AH81/4777</f>
        <v>0.16281720280045589</v>
      </c>
    </row>
    <row r="82" spans="1:39" x14ac:dyDescent="0.25">
      <c r="A82" s="30" t="s">
        <v>60</v>
      </c>
      <c r="B82" s="31" t="s">
        <v>13</v>
      </c>
      <c r="C82" s="32" t="s">
        <v>61</v>
      </c>
      <c r="D82" s="31" t="s">
        <v>76</v>
      </c>
      <c r="E82" s="31"/>
      <c r="F82" s="51">
        <f>F66*0.1</f>
        <v>98.040020000000013</v>
      </c>
      <c r="G82" s="51">
        <v>0</v>
      </c>
      <c r="H82" s="51">
        <v>0</v>
      </c>
      <c r="I82" s="51">
        <f>I66*0.05</f>
        <v>38.800000000000004</v>
      </c>
      <c r="J82" s="51">
        <f>J66</f>
        <v>892.8</v>
      </c>
      <c r="K82" s="51">
        <f>K66*0.05</f>
        <v>21.85</v>
      </c>
      <c r="L82" s="52">
        <v>0</v>
      </c>
      <c r="M82" s="73">
        <f>M66*0.5</f>
        <v>1250</v>
      </c>
      <c r="N82" s="73">
        <f>N66</f>
        <v>630</v>
      </c>
      <c r="O82" s="73">
        <f>O66*0.5</f>
        <v>900</v>
      </c>
      <c r="P82" s="73">
        <f>P66*0.59</f>
        <v>1180</v>
      </c>
      <c r="Q82" s="73"/>
      <c r="R82" s="73">
        <f>R66</f>
        <v>1600</v>
      </c>
      <c r="S82" s="51"/>
      <c r="T82" s="51"/>
      <c r="U82" s="51"/>
      <c r="V82" s="51"/>
      <c r="W82" s="51"/>
      <c r="X82" s="55">
        <f>X111*0.1</f>
        <v>0.05</v>
      </c>
      <c r="Y82" s="59">
        <f t="shared" si="15"/>
        <v>1051.49002</v>
      </c>
      <c r="Z82" s="51">
        <f t="shared" si="16"/>
        <v>5560.05</v>
      </c>
      <c r="AA82" s="51">
        <f t="shared" si="28"/>
        <v>6611.5400200000004</v>
      </c>
      <c r="AF82" t="s">
        <v>8</v>
      </c>
      <c r="AG82">
        <f>36/180</f>
        <v>0.2</v>
      </c>
      <c r="AH82">
        <f>AG82*20000</f>
        <v>4000</v>
      </c>
      <c r="AI82">
        <f>AH82/5000</f>
        <v>0.8</v>
      </c>
      <c r="AJ82">
        <f>AH82/4777</f>
        <v>0.83734561440234456</v>
      </c>
    </row>
    <row r="83" spans="1:39" x14ac:dyDescent="0.25">
      <c r="A83" s="30" t="s">
        <v>60</v>
      </c>
      <c r="B83" s="31" t="s">
        <v>13</v>
      </c>
      <c r="C83" s="32" t="s">
        <v>61</v>
      </c>
      <c r="D83" s="31" t="s">
        <v>77</v>
      </c>
      <c r="E83" s="31"/>
      <c r="F83" s="51">
        <v>0</v>
      </c>
      <c r="G83" s="51">
        <v>0</v>
      </c>
      <c r="H83" s="51">
        <v>0</v>
      </c>
      <c r="I83" s="51">
        <v>0</v>
      </c>
      <c r="J83" s="51">
        <v>0</v>
      </c>
      <c r="K83" s="51">
        <f>K66*0.1</f>
        <v>43.7</v>
      </c>
      <c r="L83" s="52">
        <v>0</v>
      </c>
      <c r="M83" s="73">
        <f>M66*0.4</f>
        <v>1000</v>
      </c>
      <c r="N83" s="73">
        <v>0</v>
      </c>
      <c r="O83" s="73">
        <f>O66*0.5</f>
        <v>900</v>
      </c>
      <c r="P83" s="73">
        <f>P66*0.4</f>
        <v>800</v>
      </c>
      <c r="Q83" s="73"/>
      <c r="R83" s="73"/>
      <c r="S83" s="51"/>
      <c r="T83" s="51">
        <f>T66</f>
        <v>400</v>
      </c>
      <c r="U83" s="51">
        <f>U66</f>
        <v>900</v>
      </c>
      <c r="V83" s="51"/>
      <c r="W83" s="51"/>
      <c r="X83" s="55">
        <f>X111*0.7</f>
        <v>0.35</v>
      </c>
      <c r="Y83" s="59">
        <f t="shared" si="15"/>
        <v>43.7</v>
      </c>
      <c r="Z83" s="51">
        <f t="shared" si="16"/>
        <v>4000.35</v>
      </c>
      <c r="AA83" s="51">
        <f t="shared" si="28"/>
        <v>4044.0499999999997</v>
      </c>
    </row>
    <row r="84" spans="1:39" x14ac:dyDescent="0.25">
      <c r="A84" s="30" t="s">
        <v>60</v>
      </c>
      <c r="B84" s="31" t="s">
        <v>13</v>
      </c>
      <c r="C84" s="32" t="s">
        <v>61</v>
      </c>
      <c r="D84" s="31" t="s">
        <v>78</v>
      </c>
      <c r="E84" s="31"/>
      <c r="F84" s="51">
        <v>0</v>
      </c>
      <c r="G84" s="51">
        <v>0</v>
      </c>
      <c r="H84" s="51">
        <v>0</v>
      </c>
      <c r="I84" s="51">
        <f>I66*0.05</f>
        <v>38.800000000000004</v>
      </c>
      <c r="J84" s="51">
        <v>0</v>
      </c>
      <c r="K84" s="51">
        <f>K66*0.05</f>
        <v>21.85</v>
      </c>
      <c r="L84" s="52">
        <v>0</v>
      </c>
      <c r="M84" s="73">
        <f>M66*0</f>
        <v>0</v>
      </c>
      <c r="N84" s="73">
        <v>0</v>
      </c>
      <c r="O84" s="73">
        <f>O66*0</f>
        <v>0</v>
      </c>
      <c r="P84" s="73">
        <f>(P66)*0.01</f>
        <v>20</v>
      </c>
      <c r="Q84" s="73">
        <f>Q66</f>
        <v>2000</v>
      </c>
      <c r="R84" s="73"/>
      <c r="S84" s="51"/>
      <c r="T84" s="51"/>
      <c r="U84" s="51"/>
      <c r="V84" s="51"/>
      <c r="W84" s="51"/>
      <c r="X84" s="55">
        <f>X66*0.1</f>
        <v>300</v>
      </c>
      <c r="Y84" s="59">
        <f t="shared" si="15"/>
        <v>60.650000000000006</v>
      </c>
      <c r="Z84" s="51">
        <f t="shared" si="16"/>
        <v>2320</v>
      </c>
      <c r="AA84" s="51">
        <f t="shared" si="28"/>
        <v>2380.65</v>
      </c>
      <c r="AG84" t="s">
        <v>98</v>
      </c>
    </row>
    <row r="85" spans="1:39" ht="15.75" thickBot="1" x14ac:dyDescent="0.3">
      <c r="A85" s="33" t="s">
        <v>60</v>
      </c>
      <c r="B85" s="34" t="s">
        <v>13</v>
      </c>
      <c r="C85" s="35" t="s">
        <v>61</v>
      </c>
      <c r="D85" s="34" t="s">
        <v>79</v>
      </c>
      <c r="E85" s="31"/>
      <c r="F85" s="51">
        <v>0</v>
      </c>
      <c r="G85" s="51">
        <v>0</v>
      </c>
      <c r="H85" s="51">
        <v>0</v>
      </c>
      <c r="I85" s="51">
        <v>0</v>
      </c>
      <c r="J85" s="51">
        <v>0</v>
      </c>
      <c r="K85" s="51">
        <v>0</v>
      </c>
      <c r="L85" s="52">
        <v>0</v>
      </c>
      <c r="M85" s="51">
        <v>0</v>
      </c>
      <c r="N85" s="51">
        <v>0</v>
      </c>
      <c r="O85" s="51">
        <v>0</v>
      </c>
      <c r="P85" s="51">
        <v>0</v>
      </c>
      <c r="Q85" s="51">
        <v>0</v>
      </c>
      <c r="R85" s="51">
        <v>0</v>
      </c>
      <c r="S85" s="51">
        <v>0</v>
      </c>
      <c r="T85" s="51">
        <v>0</v>
      </c>
      <c r="U85" s="51">
        <v>0</v>
      </c>
      <c r="V85" s="51">
        <v>0</v>
      </c>
      <c r="W85" s="51">
        <v>0</v>
      </c>
      <c r="X85" s="55">
        <v>0</v>
      </c>
      <c r="Y85" s="59">
        <f t="shared" si="15"/>
        <v>0</v>
      </c>
      <c r="Z85" s="51">
        <f t="shared" si="16"/>
        <v>0</v>
      </c>
      <c r="AA85" s="51">
        <f t="shared" si="28"/>
        <v>0</v>
      </c>
      <c r="AG85">
        <v>2015</v>
      </c>
      <c r="AH85">
        <v>2016</v>
      </c>
      <c r="AI85">
        <v>2017</v>
      </c>
      <c r="AJ85">
        <v>2018</v>
      </c>
      <c r="AK85">
        <v>2019</v>
      </c>
      <c r="AL85">
        <v>2020</v>
      </c>
      <c r="AM85">
        <v>2021</v>
      </c>
    </row>
    <row r="86" spans="1:39" x14ac:dyDescent="0.25">
      <c r="A86" s="30" t="s">
        <v>60</v>
      </c>
      <c r="B86" s="31" t="s">
        <v>13</v>
      </c>
      <c r="C86" s="32" t="s">
        <v>62</v>
      </c>
      <c r="D86" s="31" t="s">
        <v>75</v>
      </c>
      <c r="E86" s="31"/>
      <c r="F86" s="51"/>
      <c r="G86" s="73">
        <f>G67</f>
        <v>837.59633363886337</v>
      </c>
      <c r="H86" s="51">
        <f>H67*0.3</f>
        <v>705.375</v>
      </c>
      <c r="I86" s="51">
        <v>0</v>
      </c>
      <c r="J86" s="51">
        <v>0</v>
      </c>
      <c r="K86" s="51">
        <v>0</v>
      </c>
      <c r="L86" s="52">
        <v>0</v>
      </c>
      <c r="M86" s="51">
        <v>0</v>
      </c>
      <c r="N86" s="51">
        <v>0</v>
      </c>
      <c r="O86" s="51">
        <v>0</v>
      </c>
      <c r="P86" s="51">
        <v>0</v>
      </c>
      <c r="Q86" s="51">
        <v>0</v>
      </c>
      <c r="R86" s="51">
        <v>0</v>
      </c>
      <c r="S86" s="51">
        <v>0</v>
      </c>
      <c r="T86" s="51">
        <v>0</v>
      </c>
      <c r="U86" s="51">
        <v>0</v>
      </c>
      <c r="V86" s="51">
        <v>0</v>
      </c>
      <c r="W86" s="51">
        <v>0</v>
      </c>
      <c r="X86" s="55">
        <v>0</v>
      </c>
      <c r="Y86" s="59">
        <f t="shared" si="15"/>
        <v>1542.9713336388634</v>
      </c>
      <c r="Z86" s="51">
        <f t="shared" si="16"/>
        <v>0</v>
      </c>
      <c r="AA86" s="51">
        <f t="shared" si="28"/>
        <v>1542.9713336388634</v>
      </c>
      <c r="AF86" t="s">
        <v>95</v>
      </c>
      <c r="AG86">
        <v>40</v>
      </c>
      <c r="AH86">
        <v>40</v>
      </c>
      <c r="AI86">
        <v>41</v>
      </c>
      <c r="AJ86">
        <v>41</v>
      </c>
      <c r="AK86">
        <v>42</v>
      </c>
      <c r="AL86">
        <v>42</v>
      </c>
      <c r="AM86">
        <v>43</v>
      </c>
    </row>
    <row r="87" spans="1:39" x14ac:dyDescent="0.25">
      <c r="A87" s="30" t="s">
        <v>60</v>
      </c>
      <c r="B87" s="31" t="s">
        <v>13</v>
      </c>
      <c r="C87" s="32" t="s">
        <v>62</v>
      </c>
      <c r="D87" s="31" t="s">
        <v>76</v>
      </c>
      <c r="E87" s="31"/>
      <c r="F87" s="51">
        <f>F67</f>
        <v>525.33264000000008</v>
      </c>
      <c r="G87" s="51">
        <f>G67*0</f>
        <v>0</v>
      </c>
      <c r="H87" s="51">
        <f>H67*0.7</f>
        <v>1645.875</v>
      </c>
      <c r="I87" s="51">
        <v>0</v>
      </c>
      <c r="J87" s="51">
        <v>0</v>
      </c>
      <c r="K87" s="51">
        <v>0</v>
      </c>
      <c r="L87" s="52">
        <v>0</v>
      </c>
      <c r="M87" s="51">
        <v>0</v>
      </c>
      <c r="N87" s="51">
        <v>0</v>
      </c>
      <c r="O87" s="51">
        <v>0</v>
      </c>
      <c r="P87" s="51">
        <f>P67</f>
        <v>4600</v>
      </c>
      <c r="Q87" s="51">
        <v>0</v>
      </c>
      <c r="R87" s="51">
        <v>0</v>
      </c>
      <c r="S87" s="51">
        <v>0</v>
      </c>
      <c r="T87" s="51">
        <v>0</v>
      </c>
      <c r="U87" s="51">
        <v>0</v>
      </c>
      <c r="V87" s="51">
        <v>0</v>
      </c>
      <c r="W87" s="51">
        <v>0</v>
      </c>
      <c r="X87" s="55">
        <v>0</v>
      </c>
      <c r="Y87" s="59">
        <f t="shared" si="15"/>
        <v>2171.2076400000001</v>
      </c>
      <c r="Z87" s="51">
        <f t="shared" si="16"/>
        <v>4600</v>
      </c>
      <c r="AA87" s="51">
        <f t="shared" si="28"/>
        <v>6771.2076400000005</v>
      </c>
      <c r="AF87" t="s">
        <v>143</v>
      </c>
      <c r="AG87">
        <v>55</v>
      </c>
      <c r="AH87">
        <v>65</v>
      </c>
      <c r="AI87">
        <v>110</v>
      </c>
      <c r="AJ87">
        <v>170</v>
      </c>
      <c r="AK87">
        <v>205</v>
      </c>
      <c r="AL87">
        <v>240</v>
      </c>
      <c r="AM87">
        <v>300</v>
      </c>
    </row>
    <row r="88" spans="1:39" x14ac:dyDescent="0.25">
      <c r="A88" s="30" t="s">
        <v>60</v>
      </c>
      <c r="B88" s="31" t="s">
        <v>13</v>
      </c>
      <c r="C88" s="32" t="s">
        <v>62</v>
      </c>
      <c r="D88" s="31" t="s">
        <v>77</v>
      </c>
      <c r="E88" s="31"/>
      <c r="F88" s="51">
        <v>0</v>
      </c>
      <c r="G88" s="51">
        <v>0</v>
      </c>
      <c r="H88" s="51">
        <v>0</v>
      </c>
      <c r="I88" s="51">
        <v>0</v>
      </c>
      <c r="J88" s="51">
        <v>0</v>
      </c>
      <c r="K88" s="51">
        <v>0</v>
      </c>
      <c r="L88" s="52">
        <v>0</v>
      </c>
      <c r="M88" s="51">
        <v>0</v>
      </c>
      <c r="N88" s="51">
        <v>0</v>
      </c>
      <c r="O88" s="51">
        <v>0</v>
      </c>
      <c r="P88" s="51">
        <v>0</v>
      </c>
      <c r="Q88" s="51">
        <v>0</v>
      </c>
      <c r="R88" s="51">
        <v>0</v>
      </c>
      <c r="S88" s="51">
        <v>0</v>
      </c>
      <c r="T88" s="51">
        <v>0</v>
      </c>
      <c r="U88" s="51">
        <v>0</v>
      </c>
      <c r="V88" s="51">
        <v>0</v>
      </c>
      <c r="W88" s="51">
        <v>0</v>
      </c>
      <c r="X88" s="55">
        <v>0</v>
      </c>
      <c r="Y88" s="59">
        <f t="shared" si="15"/>
        <v>0</v>
      </c>
      <c r="Z88" s="51">
        <f t="shared" si="16"/>
        <v>0</v>
      </c>
      <c r="AA88" s="51">
        <f t="shared" si="28"/>
        <v>0</v>
      </c>
      <c r="AF88" t="s">
        <v>142</v>
      </c>
      <c r="AG88">
        <v>12</v>
      </c>
      <c r="AH88">
        <v>20</v>
      </c>
      <c r="AI88">
        <v>24</v>
      </c>
      <c r="AJ88">
        <v>38</v>
      </c>
      <c r="AK88">
        <v>48</v>
      </c>
      <c r="AL88">
        <v>60</v>
      </c>
      <c r="AM88">
        <v>70</v>
      </c>
    </row>
    <row r="89" spans="1:39" x14ac:dyDescent="0.25">
      <c r="A89" s="30" t="s">
        <v>60</v>
      </c>
      <c r="B89" s="31" t="s">
        <v>13</v>
      </c>
      <c r="C89" s="32" t="s">
        <v>62</v>
      </c>
      <c r="D89" s="31" t="s">
        <v>78</v>
      </c>
      <c r="E89" s="31"/>
      <c r="F89" s="51">
        <v>0</v>
      </c>
      <c r="G89" s="51">
        <v>0</v>
      </c>
      <c r="H89" s="51">
        <v>0</v>
      </c>
      <c r="I89" s="51">
        <v>0</v>
      </c>
      <c r="J89" s="51">
        <v>0</v>
      </c>
      <c r="K89" s="51">
        <v>0</v>
      </c>
      <c r="L89" s="52">
        <v>0</v>
      </c>
      <c r="M89" s="51">
        <v>0</v>
      </c>
      <c r="N89" s="51">
        <v>0</v>
      </c>
      <c r="O89" s="51">
        <v>0</v>
      </c>
      <c r="P89" s="51">
        <v>0</v>
      </c>
      <c r="Q89" s="51">
        <v>0</v>
      </c>
      <c r="R89" s="51">
        <v>0</v>
      </c>
      <c r="S89" s="51">
        <v>0</v>
      </c>
      <c r="T89" s="51">
        <v>0</v>
      </c>
      <c r="U89" s="51">
        <v>0</v>
      </c>
      <c r="V89" s="51">
        <v>0</v>
      </c>
      <c r="W89" s="51">
        <v>0</v>
      </c>
      <c r="X89" s="55">
        <v>0</v>
      </c>
      <c r="Y89" s="59">
        <f t="shared" si="15"/>
        <v>0</v>
      </c>
      <c r="Z89" s="51">
        <f t="shared" si="16"/>
        <v>0</v>
      </c>
      <c r="AA89" s="51">
        <f t="shared" si="28"/>
        <v>0</v>
      </c>
      <c r="AF89" t="s">
        <v>96</v>
      </c>
      <c r="AG89">
        <v>8</v>
      </c>
      <c r="AH89">
        <v>18</v>
      </c>
      <c r="AI89">
        <v>14</v>
      </c>
      <c r="AJ89">
        <v>14</v>
      </c>
      <c r="AK89">
        <v>14</v>
      </c>
      <c r="AL89">
        <v>14</v>
      </c>
      <c r="AM89">
        <v>14</v>
      </c>
    </row>
    <row r="90" spans="1:39" ht="15.75" thickBot="1" x14ac:dyDescent="0.3">
      <c r="A90" s="33" t="s">
        <v>60</v>
      </c>
      <c r="B90" s="34" t="s">
        <v>13</v>
      </c>
      <c r="C90" s="32" t="s">
        <v>62</v>
      </c>
      <c r="D90" s="34" t="s">
        <v>79</v>
      </c>
      <c r="E90" s="31"/>
      <c r="F90" s="51">
        <v>0</v>
      </c>
      <c r="G90" s="51">
        <v>0</v>
      </c>
      <c r="H90" s="51">
        <v>0</v>
      </c>
      <c r="I90" s="51">
        <v>0</v>
      </c>
      <c r="J90" s="51">
        <v>0</v>
      </c>
      <c r="K90" s="51">
        <v>0</v>
      </c>
      <c r="L90" s="52">
        <v>0</v>
      </c>
      <c r="M90" s="51">
        <v>0</v>
      </c>
      <c r="N90" s="51">
        <v>0</v>
      </c>
      <c r="O90" s="51">
        <v>0</v>
      </c>
      <c r="P90" s="51">
        <v>0</v>
      </c>
      <c r="Q90" s="51">
        <v>0</v>
      </c>
      <c r="R90" s="51">
        <v>0</v>
      </c>
      <c r="S90" s="51">
        <v>0</v>
      </c>
      <c r="T90" s="51">
        <v>0</v>
      </c>
      <c r="U90" s="51">
        <v>0</v>
      </c>
      <c r="V90" s="51">
        <v>0</v>
      </c>
      <c r="W90" s="51">
        <v>0</v>
      </c>
      <c r="X90" s="55">
        <v>0</v>
      </c>
      <c r="Y90" s="59">
        <f t="shared" si="15"/>
        <v>0</v>
      </c>
      <c r="Z90" s="51">
        <f t="shared" si="16"/>
        <v>0</v>
      </c>
      <c r="AA90" s="51">
        <f t="shared" si="28"/>
        <v>0</v>
      </c>
      <c r="AF90" t="s">
        <v>32</v>
      </c>
      <c r="AG90">
        <v>60</v>
      </c>
      <c r="AH90">
        <v>82</v>
      </c>
      <c r="AI90">
        <v>80</v>
      </c>
      <c r="AJ90">
        <v>82</v>
      </c>
      <c r="AK90">
        <v>85</v>
      </c>
      <c r="AL90">
        <v>90</v>
      </c>
      <c r="AM90">
        <v>100</v>
      </c>
    </row>
    <row r="91" spans="1:39" x14ac:dyDescent="0.25">
      <c r="AF91" t="s">
        <v>2</v>
      </c>
      <c r="AG91">
        <f>SUM(AG86:AG90)</f>
        <v>175</v>
      </c>
      <c r="AH91">
        <f t="shared" ref="AH91:AM91" si="29">SUM(AH86:AH90)</f>
        <v>225</v>
      </c>
      <c r="AI91">
        <f t="shared" si="29"/>
        <v>269</v>
      </c>
      <c r="AJ91">
        <f t="shared" si="29"/>
        <v>345</v>
      </c>
      <c r="AK91">
        <f t="shared" si="29"/>
        <v>394</v>
      </c>
      <c r="AL91">
        <f t="shared" si="29"/>
        <v>446</v>
      </c>
      <c r="AM91">
        <f t="shared" si="29"/>
        <v>527</v>
      </c>
    </row>
    <row r="92" spans="1:39" x14ac:dyDescent="0.25">
      <c r="D92" s="41" t="s">
        <v>19</v>
      </c>
      <c r="E92" s="41"/>
      <c r="M92" s="24" t="s">
        <v>81</v>
      </c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AG92" t="s">
        <v>6</v>
      </c>
    </row>
    <row r="93" spans="1:39" x14ac:dyDescent="0.25">
      <c r="F93" s="23" t="s">
        <v>44</v>
      </c>
      <c r="G93" s="23"/>
      <c r="H93" s="23"/>
      <c r="I93" s="23"/>
      <c r="J93" s="23"/>
      <c r="K93" s="23"/>
      <c r="L93" s="7" t="s">
        <v>30</v>
      </c>
      <c r="M93" s="24" t="s">
        <v>46</v>
      </c>
      <c r="N93" s="24"/>
      <c r="O93" s="24"/>
      <c r="P93" s="24"/>
      <c r="Q93" s="24"/>
      <c r="R93" s="24" t="s">
        <v>47</v>
      </c>
      <c r="S93" s="24"/>
      <c r="T93" s="24"/>
      <c r="U93" s="24"/>
      <c r="V93" s="24"/>
      <c r="W93" s="24"/>
      <c r="X93" s="24"/>
      <c r="Y93" s="44" t="s">
        <v>85</v>
      </c>
      <c r="Z93" s="44" t="s">
        <v>48</v>
      </c>
      <c r="AA93" s="44" t="s">
        <v>3</v>
      </c>
      <c r="AF93" t="s">
        <v>95</v>
      </c>
      <c r="AG93" s="70">
        <f>AG86/AG$91</f>
        <v>0.22857142857142856</v>
      </c>
      <c r="AH93" s="70">
        <f t="shared" ref="AH93:AM93" si="30">AH86/AH$91</f>
        <v>0.17777777777777778</v>
      </c>
      <c r="AI93" s="70">
        <f t="shared" si="30"/>
        <v>0.15241635687732341</v>
      </c>
      <c r="AJ93" s="70">
        <f t="shared" si="30"/>
        <v>0.11884057971014493</v>
      </c>
      <c r="AK93" s="70">
        <f t="shared" si="30"/>
        <v>0.1065989847715736</v>
      </c>
      <c r="AL93" s="70">
        <f t="shared" si="30"/>
        <v>9.417040358744394E-2</v>
      </c>
      <c r="AM93" s="70">
        <f t="shared" si="30"/>
        <v>8.1593927893738136E-2</v>
      </c>
    </row>
    <row r="94" spans="1:39" ht="63" x14ac:dyDescent="0.25">
      <c r="F94" s="38" t="s">
        <v>36</v>
      </c>
      <c r="G94" s="38" t="s">
        <v>37</v>
      </c>
      <c r="H94" s="38" t="s">
        <v>38</v>
      </c>
      <c r="I94" s="38" t="s">
        <v>80</v>
      </c>
      <c r="J94" s="38" t="s">
        <v>39</v>
      </c>
      <c r="K94" s="38" t="s">
        <v>45</v>
      </c>
      <c r="L94" s="39" t="s">
        <v>16</v>
      </c>
      <c r="M94" s="40" t="s">
        <v>34</v>
      </c>
      <c r="N94" s="40" t="s">
        <v>5</v>
      </c>
      <c r="O94" s="40" t="s">
        <v>7</v>
      </c>
      <c r="P94" s="40" t="s">
        <v>8</v>
      </c>
      <c r="Q94" s="40" t="s">
        <v>40</v>
      </c>
      <c r="R94" s="40" t="s">
        <v>41</v>
      </c>
      <c r="S94" s="40" t="s">
        <v>42</v>
      </c>
      <c r="T94" s="40" t="s">
        <v>31</v>
      </c>
      <c r="U94" s="40" t="s">
        <v>43</v>
      </c>
      <c r="V94" s="40" t="s">
        <v>82</v>
      </c>
      <c r="W94" s="40" t="s">
        <v>87</v>
      </c>
      <c r="X94" s="40" t="s">
        <v>83</v>
      </c>
      <c r="Y94" s="45" t="s">
        <v>3</v>
      </c>
      <c r="Z94" s="45" t="s">
        <v>3</v>
      </c>
      <c r="AA94" s="45" t="s">
        <v>3</v>
      </c>
      <c r="AF94" t="s">
        <v>143</v>
      </c>
      <c r="AG94" s="70">
        <f t="shared" ref="AG94:AM98" si="31">AG87/AG$91</f>
        <v>0.31428571428571428</v>
      </c>
      <c r="AH94" s="70">
        <f t="shared" si="31"/>
        <v>0.28888888888888886</v>
      </c>
      <c r="AI94" s="70">
        <f t="shared" si="31"/>
        <v>0.40892193308550184</v>
      </c>
      <c r="AJ94" s="70">
        <f t="shared" si="31"/>
        <v>0.49275362318840582</v>
      </c>
      <c r="AK94" s="70">
        <f t="shared" si="31"/>
        <v>0.52030456852791873</v>
      </c>
      <c r="AL94" s="70">
        <f t="shared" si="31"/>
        <v>0.53811659192825112</v>
      </c>
      <c r="AM94" s="70">
        <f t="shared" si="31"/>
        <v>0.56925996204933582</v>
      </c>
    </row>
    <row r="95" spans="1:39" x14ac:dyDescent="0.25">
      <c r="A95" s="15" t="s">
        <v>51</v>
      </c>
      <c r="B95" s="2"/>
      <c r="C95" s="2"/>
      <c r="F95" s="1">
        <f t="shared" ref="F95:AA106" si="32">IF(F5&gt;0,F50/F5,0)</f>
        <v>0</v>
      </c>
      <c r="G95" s="1">
        <f t="shared" si="32"/>
        <v>0</v>
      </c>
      <c r="H95" s="1">
        <f t="shared" si="32"/>
        <v>0</v>
      </c>
      <c r="I95" s="1">
        <f t="shared" si="32"/>
        <v>0</v>
      </c>
      <c r="J95" s="1">
        <f t="shared" si="32"/>
        <v>0</v>
      </c>
      <c r="K95" s="1">
        <f t="shared" si="32"/>
        <v>0</v>
      </c>
      <c r="L95" s="52">
        <f t="shared" si="32"/>
        <v>0</v>
      </c>
      <c r="M95" s="1">
        <f t="shared" si="32"/>
        <v>0</v>
      </c>
      <c r="N95" s="1">
        <f t="shared" si="32"/>
        <v>0</v>
      </c>
      <c r="O95" s="1">
        <f t="shared" si="32"/>
        <v>0</v>
      </c>
      <c r="P95" s="1">
        <f t="shared" si="32"/>
        <v>0</v>
      </c>
      <c r="Q95" s="1">
        <f t="shared" si="32"/>
        <v>0</v>
      </c>
      <c r="R95" s="1">
        <f t="shared" si="32"/>
        <v>0</v>
      </c>
      <c r="S95" s="1">
        <f t="shared" si="32"/>
        <v>0</v>
      </c>
      <c r="T95" s="1">
        <f t="shared" si="32"/>
        <v>0</v>
      </c>
      <c r="U95" s="1">
        <f t="shared" si="32"/>
        <v>0</v>
      </c>
      <c r="V95" s="1">
        <f t="shared" si="32"/>
        <v>0</v>
      </c>
      <c r="W95" s="1">
        <f t="shared" si="32"/>
        <v>0</v>
      </c>
      <c r="X95" s="54">
        <f t="shared" si="32"/>
        <v>0</v>
      </c>
      <c r="Y95" s="58">
        <f t="shared" si="32"/>
        <v>0</v>
      </c>
      <c r="Z95" s="1">
        <f t="shared" si="32"/>
        <v>0</v>
      </c>
      <c r="AA95" s="1">
        <f t="shared" si="32"/>
        <v>0</v>
      </c>
      <c r="AF95" t="s">
        <v>142</v>
      </c>
      <c r="AG95" s="70">
        <f t="shared" si="31"/>
        <v>6.8571428571428575E-2</v>
      </c>
      <c r="AH95" s="70">
        <f t="shared" si="31"/>
        <v>8.8888888888888892E-2</v>
      </c>
      <c r="AI95" s="70">
        <f t="shared" si="31"/>
        <v>8.9219330855018583E-2</v>
      </c>
      <c r="AJ95" s="70">
        <f t="shared" si="31"/>
        <v>0.11014492753623188</v>
      </c>
      <c r="AK95" s="70">
        <f t="shared" si="31"/>
        <v>0.12182741116751269</v>
      </c>
      <c r="AL95" s="70">
        <f t="shared" si="31"/>
        <v>0.13452914798206278</v>
      </c>
      <c r="AM95" s="70">
        <f t="shared" si="31"/>
        <v>0.13282732447817835</v>
      </c>
    </row>
    <row r="96" spans="1:39" x14ac:dyDescent="0.25">
      <c r="A96" s="30" t="s">
        <v>60</v>
      </c>
      <c r="B96" s="2"/>
      <c r="C96" s="2"/>
      <c r="F96" s="1">
        <f t="shared" si="32"/>
        <v>0.19812274210526318</v>
      </c>
      <c r="G96" s="1">
        <f t="shared" si="32"/>
        <v>0.24068860162036304</v>
      </c>
      <c r="H96" s="1">
        <f t="shared" si="32"/>
        <v>0.24308035714285717</v>
      </c>
      <c r="I96" s="1">
        <f t="shared" si="32"/>
        <v>0.18853255587949466</v>
      </c>
      <c r="J96" s="1">
        <f t="shared" si="32"/>
        <v>0.19213649289099524</v>
      </c>
      <c r="K96" s="1">
        <f t="shared" si="32"/>
        <v>0.20891696750902528</v>
      </c>
      <c r="L96" s="52">
        <f t="shared" si="32"/>
        <v>8.5000000000000006E-2</v>
      </c>
      <c r="M96" s="1">
        <f t="shared" si="32"/>
        <v>0.14343283582089553</v>
      </c>
      <c r="N96" s="1">
        <f t="shared" si="32"/>
        <v>0.29086738949124269</v>
      </c>
      <c r="O96" s="1">
        <f t="shared" si="32"/>
        <v>0.2229654403567447</v>
      </c>
      <c r="P96" s="1">
        <f t="shared" si="32"/>
        <v>4.5517241379310347E-2</v>
      </c>
      <c r="Q96" s="1">
        <f t="shared" si="32"/>
        <v>0.11878787878787879</v>
      </c>
      <c r="R96" s="1">
        <f t="shared" si="32"/>
        <v>0.13199999999999998</v>
      </c>
      <c r="S96" s="1">
        <f t="shared" si="32"/>
        <v>0.5357142857142857</v>
      </c>
      <c r="T96" s="1">
        <f t="shared" si="32"/>
        <v>0.13636363636363638</v>
      </c>
      <c r="U96" s="1">
        <f t="shared" si="32"/>
        <v>0.17391304347826086</v>
      </c>
      <c r="V96" s="1">
        <f t="shared" si="32"/>
        <v>0.28942115768463073</v>
      </c>
      <c r="W96" s="1">
        <f t="shared" si="32"/>
        <v>0.11053351573187414</v>
      </c>
      <c r="X96" s="54">
        <f t="shared" si="32"/>
        <v>0.31975308641975309</v>
      </c>
      <c r="Y96" s="58">
        <f t="shared" si="32"/>
        <v>0.21443531701387553</v>
      </c>
      <c r="Z96" s="1">
        <f t="shared" si="32"/>
        <v>0.11180190872099004</v>
      </c>
      <c r="AA96" s="1">
        <f t="shared" si="32"/>
        <v>0.10547089695115423</v>
      </c>
      <c r="AF96" t="s">
        <v>96</v>
      </c>
      <c r="AG96" s="70">
        <f t="shared" si="31"/>
        <v>4.5714285714285714E-2</v>
      </c>
      <c r="AH96" s="70">
        <f t="shared" si="31"/>
        <v>0.08</v>
      </c>
      <c r="AI96" s="70">
        <f t="shared" si="31"/>
        <v>5.204460966542751E-2</v>
      </c>
      <c r="AJ96" s="70">
        <f t="shared" si="31"/>
        <v>4.0579710144927533E-2</v>
      </c>
      <c r="AK96" s="70">
        <f t="shared" si="31"/>
        <v>3.553299492385787E-2</v>
      </c>
      <c r="AL96" s="70">
        <f t="shared" si="31"/>
        <v>3.1390134529147982E-2</v>
      </c>
      <c r="AM96" s="70">
        <f t="shared" si="31"/>
        <v>2.6565464895635674E-2</v>
      </c>
    </row>
    <row r="97" spans="1:39" x14ac:dyDescent="0.25">
      <c r="A97" s="15" t="s">
        <v>51</v>
      </c>
      <c r="B97" s="16" t="s">
        <v>52</v>
      </c>
      <c r="C97" s="2"/>
      <c r="F97" s="1">
        <f t="shared" si="32"/>
        <v>0</v>
      </c>
      <c r="G97" s="1">
        <f t="shared" si="32"/>
        <v>0</v>
      </c>
      <c r="H97" s="1">
        <f t="shared" si="32"/>
        <v>0</v>
      </c>
      <c r="I97" s="1">
        <f t="shared" si="32"/>
        <v>0</v>
      </c>
      <c r="J97" s="1">
        <f t="shared" si="32"/>
        <v>0</v>
      </c>
      <c r="K97" s="1">
        <f t="shared" si="32"/>
        <v>0</v>
      </c>
      <c r="L97" s="52">
        <f t="shared" si="32"/>
        <v>0</v>
      </c>
      <c r="M97" s="1">
        <f t="shared" si="32"/>
        <v>0</v>
      </c>
      <c r="N97" s="1">
        <f t="shared" si="32"/>
        <v>0</v>
      </c>
      <c r="O97" s="1">
        <f t="shared" si="32"/>
        <v>0</v>
      </c>
      <c r="P97" s="1">
        <f t="shared" si="32"/>
        <v>0</v>
      </c>
      <c r="Q97" s="1">
        <f t="shared" si="32"/>
        <v>0</v>
      </c>
      <c r="R97" s="1">
        <f t="shared" si="32"/>
        <v>0</v>
      </c>
      <c r="S97" s="1">
        <f t="shared" si="32"/>
        <v>0</v>
      </c>
      <c r="T97" s="1">
        <f t="shared" si="32"/>
        <v>0</v>
      </c>
      <c r="U97" s="1">
        <f t="shared" si="32"/>
        <v>0</v>
      </c>
      <c r="V97" s="1">
        <f t="shared" si="32"/>
        <v>0</v>
      </c>
      <c r="W97" s="1">
        <f t="shared" si="32"/>
        <v>0</v>
      </c>
      <c r="X97" s="54">
        <f t="shared" si="32"/>
        <v>0</v>
      </c>
      <c r="Y97" s="58">
        <f t="shared" si="32"/>
        <v>0</v>
      </c>
      <c r="Z97" s="1">
        <f t="shared" si="32"/>
        <v>0</v>
      </c>
      <c r="AA97" s="1">
        <f t="shared" si="32"/>
        <v>0</v>
      </c>
      <c r="AF97" t="s">
        <v>32</v>
      </c>
      <c r="AG97" s="70">
        <f t="shared" si="31"/>
        <v>0.34285714285714286</v>
      </c>
      <c r="AH97" s="70">
        <f t="shared" si="31"/>
        <v>0.36444444444444446</v>
      </c>
      <c r="AI97" s="70">
        <f t="shared" si="31"/>
        <v>0.29739776951672864</v>
      </c>
      <c r="AJ97" s="70">
        <f t="shared" si="31"/>
        <v>0.23768115942028986</v>
      </c>
      <c r="AK97" s="70">
        <f t="shared" si="31"/>
        <v>0.21573604060913706</v>
      </c>
      <c r="AL97" s="70">
        <f t="shared" si="31"/>
        <v>0.20179372197309417</v>
      </c>
      <c r="AM97" s="70">
        <f t="shared" si="31"/>
        <v>0.18975332068311196</v>
      </c>
    </row>
    <row r="98" spans="1:39" x14ac:dyDescent="0.25">
      <c r="A98" s="15" t="s">
        <v>51</v>
      </c>
      <c r="B98" s="16" t="s">
        <v>56</v>
      </c>
      <c r="C98" s="2"/>
      <c r="F98" s="1">
        <f t="shared" si="32"/>
        <v>0</v>
      </c>
      <c r="G98" s="1">
        <f t="shared" si="32"/>
        <v>0</v>
      </c>
      <c r="H98" s="1">
        <f t="shared" si="32"/>
        <v>0</v>
      </c>
      <c r="I98" s="1">
        <f t="shared" si="32"/>
        <v>0</v>
      </c>
      <c r="J98" s="1">
        <f t="shared" si="32"/>
        <v>0</v>
      </c>
      <c r="K98" s="1">
        <f t="shared" si="32"/>
        <v>0</v>
      </c>
      <c r="L98" s="52">
        <f t="shared" si="32"/>
        <v>0</v>
      </c>
      <c r="M98" s="1">
        <f t="shared" si="32"/>
        <v>0</v>
      </c>
      <c r="N98" s="1">
        <f t="shared" si="32"/>
        <v>0</v>
      </c>
      <c r="O98" s="1">
        <f t="shared" si="32"/>
        <v>0</v>
      </c>
      <c r="P98" s="1">
        <f t="shared" si="32"/>
        <v>0</v>
      </c>
      <c r="Q98" s="1">
        <f t="shared" si="32"/>
        <v>0</v>
      </c>
      <c r="R98" s="1">
        <f t="shared" si="32"/>
        <v>0</v>
      </c>
      <c r="S98" s="1">
        <f t="shared" si="32"/>
        <v>0</v>
      </c>
      <c r="T98" s="1">
        <f t="shared" si="32"/>
        <v>0</v>
      </c>
      <c r="U98" s="1">
        <f t="shared" si="32"/>
        <v>0</v>
      </c>
      <c r="V98" s="1">
        <f t="shared" si="32"/>
        <v>0</v>
      </c>
      <c r="W98" s="1">
        <f t="shared" si="32"/>
        <v>0</v>
      </c>
      <c r="X98" s="54">
        <f t="shared" si="32"/>
        <v>0</v>
      </c>
      <c r="Y98" s="58">
        <f t="shared" si="32"/>
        <v>0</v>
      </c>
      <c r="Z98" s="1">
        <f t="shared" si="32"/>
        <v>0</v>
      </c>
      <c r="AA98" s="1">
        <f t="shared" si="32"/>
        <v>0</v>
      </c>
      <c r="AF98" t="s">
        <v>2</v>
      </c>
      <c r="AG98" s="70">
        <f t="shared" si="31"/>
        <v>1</v>
      </c>
      <c r="AH98" s="70">
        <f t="shared" si="31"/>
        <v>1</v>
      </c>
      <c r="AI98" s="70">
        <f t="shared" si="31"/>
        <v>1</v>
      </c>
      <c r="AJ98" s="70">
        <f t="shared" si="31"/>
        <v>1</v>
      </c>
      <c r="AK98" s="70">
        <f t="shared" si="31"/>
        <v>1</v>
      </c>
      <c r="AL98" s="70">
        <f t="shared" si="31"/>
        <v>1</v>
      </c>
      <c r="AM98" s="70">
        <f t="shared" si="31"/>
        <v>1</v>
      </c>
    </row>
    <row r="99" spans="1:39" x14ac:dyDescent="0.25">
      <c r="A99" s="15" t="s">
        <v>51</v>
      </c>
      <c r="B99" s="16" t="s">
        <v>9</v>
      </c>
      <c r="C99" s="2"/>
      <c r="F99" s="1">
        <f t="shared" si="32"/>
        <v>0</v>
      </c>
      <c r="G99" s="1">
        <f t="shared" si="32"/>
        <v>0</v>
      </c>
      <c r="H99" s="1">
        <f t="shared" si="32"/>
        <v>0</v>
      </c>
      <c r="I99" s="1">
        <f t="shared" si="32"/>
        <v>0</v>
      </c>
      <c r="J99" s="1">
        <f t="shared" si="32"/>
        <v>0</v>
      </c>
      <c r="K99" s="1">
        <f t="shared" si="32"/>
        <v>0</v>
      </c>
      <c r="L99" s="52">
        <f t="shared" si="32"/>
        <v>0</v>
      </c>
      <c r="M99" s="1">
        <f t="shared" si="32"/>
        <v>0</v>
      </c>
      <c r="N99" s="1">
        <f t="shared" si="32"/>
        <v>0</v>
      </c>
      <c r="O99" s="1">
        <f t="shared" si="32"/>
        <v>0</v>
      </c>
      <c r="P99" s="1">
        <f t="shared" si="32"/>
        <v>0</v>
      </c>
      <c r="Q99" s="1">
        <f t="shared" si="32"/>
        <v>0</v>
      </c>
      <c r="R99" s="1">
        <f t="shared" si="32"/>
        <v>0</v>
      </c>
      <c r="S99" s="1">
        <f t="shared" si="32"/>
        <v>0</v>
      </c>
      <c r="T99" s="1">
        <f t="shared" si="32"/>
        <v>0</v>
      </c>
      <c r="U99" s="1">
        <f t="shared" si="32"/>
        <v>0</v>
      </c>
      <c r="V99" s="1">
        <f t="shared" si="32"/>
        <v>0</v>
      </c>
      <c r="W99" s="1">
        <f t="shared" si="32"/>
        <v>0</v>
      </c>
      <c r="X99" s="54">
        <f t="shared" si="32"/>
        <v>0</v>
      </c>
      <c r="Y99" s="58">
        <f t="shared" si="32"/>
        <v>0</v>
      </c>
      <c r="Z99" s="1">
        <f t="shared" si="32"/>
        <v>0</v>
      </c>
      <c r="AA99" s="1">
        <f t="shared" si="32"/>
        <v>0</v>
      </c>
    </row>
    <row r="100" spans="1:39" x14ac:dyDescent="0.25">
      <c r="A100" s="30" t="s">
        <v>60</v>
      </c>
      <c r="B100" s="32" t="s">
        <v>13</v>
      </c>
      <c r="C100" s="2"/>
      <c r="F100" s="51">
        <f t="shared" si="32"/>
        <v>0.19812274210526318</v>
      </c>
      <c r="G100" s="51">
        <f t="shared" si="32"/>
        <v>0.24068860162036304</v>
      </c>
      <c r="H100" s="51">
        <f t="shared" si="32"/>
        <v>0.24308035714285717</v>
      </c>
      <c r="I100" s="51">
        <f t="shared" si="32"/>
        <v>0.18853255587949466</v>
      </c>
      <c r="J100" s="51">
        <f t="shared" si="32"/>
        <v>0.22892307692307692</v>
      </c>
      <c r="K100" s="51">
        <f t="shared" si="32"/>
        <v>0.14566666666666667</v>
      </c>
      <c r="L100" s="52">
        <f t="shared" si="32"/>
        <v>0</v>
      </c>
      <c r="M100" s="51">
        <f t="shared" si="32"/>
        <v>0.25</v>
      </c>
      <c r="N100" s="51">
        <f t="shared" si="32"/>
        <v>0.26033057851239672</v>
      </c>
      <c r="O100" s="51">
        <f t="shared" si="32"/>
        <v>0.2229654403567447</v>
      </c>
      <c r="P100" s="51">
        <f t="shared" si="32"/>
        <v>4.5517241379310347E-2</v>
      </c>
      <c r="Q100" s="51">
        <f t="shared" si="32"/>
        <v>0.28000000000000003</v>
      </c>
      <c r="R100" s="51">
        <f t="shared" si="32"/>
        <v>0.3</v>
      </c>
      <c r="S100" s="51">
        <f t="shared" si="32"/>
        <v>0</v>
      </c>
      <c r="T100" s="51">
        <f t="shared" si="32"/>
        <v>0.3</v>
      </c>
      <c r="U100" s="51">
        <f t="shared" si="32"/>
        <v>0.3</v>
      </c>
      <c r="V100" s="51">
        <f t="shared" si="32"/>
        <v>1.2</v>
      </c>
      <c r="W100" s="51">
        <f t="shared" si="32"/>
        <v>0.8</v>
      </c>
      <c r="X100" s="55">
        <f t="shared" si="32"/>
        <v>0.5</v>
      </c>
      <c r="Y100" s="59">
        <f t="shared" si="32"/>
        <v>0.2152025633054809</v>
      </c>
      <c r="Z100" s="51">
        <f t="shared" si="32"/>
        <v>0.10398428311413728</v>
      </c>
      <c r="AA100" s="51">
        <f>IF(AA10&gt;0,AB55/AA10,0)</f>
        <v>0.17150953645679134</v>
      </c>
      <c r="AF100" t="s">
        <v>449</v>
      </c>
      <c r="AG100" t="s">
        <v>98</v>
      </c>
    </row>
    <row r="101" spans="1:39" x14ac:dyDescent="0.25">
      <c r="A101" s="30" t="s">
        <v>60</v>
      </c>
      <c r="B101" s="31" t="s">
        <v>23</v>
      </c>
      <c r="C101" s="2"/>
      <c r="F101" s="51">
        <f t="shared" si="32"/>
        <v>0</v>
      </c>
      <c r="G101" s="51">
        <f t="shared" si="32"/>
        <v>0</v>
      </c>
      <c r="H101" s="51">
        <f t="shared" si="32"/>
        <v>0</v>
      </c>
      <c r="I101" s="51">
        <f t="shared" si="32"/>
        <v>0</v>
      </c>
      <c r="J101" s="51">
        <f t="shared" si="32"/>
        <v>0.22320000000000001</v>
      </c>
      <c r="K101" s="51">
        <f t="shared" si="32"/>
        <v>0.79456790123456789</v>
      </c>
      <c r="L101" s="52">
        <f t="shared" si="32"/>
        <v>0</v>
      </c>
      <c r="M101" s="51">
        <f t="shared" si="32"/>
        <v>0</v>
      </c>
      <c r="N101" s="51">
        <f t="shared" si="32"/>
        <v>0.32196969696969696</v>
      </c>
      <c r="O101" s="51">
        <f t="shared" si="32"/>
        <v>0</v>
      </c>
      <c r="P101" s="51">
        <f t="shared" si="32"/>
        <v>0</v>
      </c>
      <c r="Q101" s="51">
        <f t="shared" si="32"/>
        <v>0</v>
      </c>
      <c r="R101" s="51">
        <f t="shared" si="32"/>
        <v>0</v>
      </c>
      <c r="S101" s="51">
        <f t="shared" si="32"/>
        <v>0.5357142857142857</v>
      </c>
      <c r="T101" s="51">
        <f t="shared" si="32"/>
        <v>0.4</v>
      </c>
      <c r="U101" s="51">
        <f t="shared" si="32"/>
        <v>0</v>
      </c>
      <c r="V101" s="51">
        <f t="shared" si="32"/>
        <v>0</v>
      </c>
      <c r="W101" s="51">
        <f t="shared" si="32"/>
        <v>0</v>
      </c>
      <c r="X101" s="55">
        <f t="shared" si="32"/>
        <v>0.9</v>
      </c>
      <c r="Y101" s="59">
        <f t="shared" si="32"/>
        <v>0.38790035587188609</v>
      </c>
      <c r="Z101" s="51">
        <f t="shared" si="32"/>
        <v>0.36229611041405269</v>
      </c>
      <c r="AA101" s="51">
        <f t="shared" si="32"/>
        <v>0.36897031539888681</v>
      </c>
      <c r="AF101" t="s">
        <v>450</v>
      </c>
      <c r="AG101">
        <v>34</v>
      </c>
      <c r="AH101">
        <v>41</v>
      </c>
      <c r="AI101">
        <v>47</v>
      </c>
      <c r="AJ101">
        <v>55</v>
      </c>
      <c r="AK101">
        <v>63</v>
      </c>
      <c r="AL101">
        <v>80</v>
      </c>
      <c r="AM101">
        <v>90</v>
      </c>
    </row>
    <row r="102" spans="1:39" x14ac:dyDescent="0.25">
      <c r="A102" s="30" t="s">
        <v>60</v>
      </c>
      <c r="B102" s="31" t="s">
        <v>65</v>
      </c>
      <c r="C102" s="46"/>
      <c r="F102" s="51">
        <f t="shared" si="32"/>
        <v>0</v>
      </c>
      <c r="G102" s="51">
        <f t="shared" si="32"/>
        <v>0</v>
      </c>
      <c r="H102" s="51">
        <f t="shared" si="32"/>
        <v>0</v>
      </c>
      <c r="I102" s="51">
        <f t="shared" si="32"/>
        <v>0</v>
      </c>
      <c r="J102" s="51">
        <f t="shared" si="32"/>
        <v>0.12</v>
      </c>
      <c r="K102" s="51">
        <f t="shared" si="32"/>
        <v>0</v>
      </c>
      <c r="L102" s="52">
        <f t="shared" si="32"/>
        <v>8.5000000000000006E-2</v>
      </c>
      <c r="M102" s="51">
        <f t="shared" si="32"/>
        <v>0.08</v>
      </c>
      <c r="N102" s="51">
        <f t="shared" si="32"/>
        <v>0</v>
      </c>
      <c r="O102" s="51">
        <f t="shared" si="32"/>
        <v>0</v>
      </c>
      <c r="P102" s="51">
        <f t="shared" si="32"/>
        <v>0</v>
      </c>
      <c r="Q102" s="51">
        <f t="shared" si="32"/>
        <v>0.09</v>
      </c>
      <c r="R102" s="51">
        <f t="shared" si="32"/>
        <v>0.1</v>
      </c>
      <c r="S102" s="51">
        <f t="shared" si="32"/>
        <v>0</v>
      </c>
      <c r="T102" s="51">
        <f t="shared" si="32"/>
        <v>0.12</v>
      </c>
      <c r="U102" s="51">
        <f t="shared" si="32"/>
        <v>0.11</v>
      </c>
      <c r="V102" s="51">
        <f t="shared" si="32"/>
        <v>0.15</v>
      </c>
      <c r="W102" s="51">
        <f t="shared" si="32"/>
        <v>0.1</v>
      </c>
      <c r="X102" s="55">
        <f t="shared" si="32"/>
        <v>0.15</v>
      </c>
      <c r="Y102" s="59">
        <f t="shared" si="32"/>
        <v>0.12</v>
      </c>
      <c r="Z102" s="51">
        <f t="shared" si="32"/>
        <v>0.10325681492109039</v>
      </c>
      <c r="AA102" s="51">
        <f>IF(AB12&gt;0,AA57/AB12,0)</f>
        <v>8.8527551942186089E-2</v>
      </c>
      <c r="AF102" t="s">
        <v>451</v>
      </c>
      <c r="AG102">
        <v>40</v>
      </c>
      <c r="AH102">
        <v>54</v>
      </c>
      <c r="AI102">
        <f>AI103-AI101</f>
        <v>66.748571428571424</v>
      </c>
      <c r="AJ102">
        <f t="shared" ref="AJ102:AK102" si="33">AJ103-AJ101</f>
        <v>90.885714285714272</v>
      </c>
      <c r="AK102">
        <f t="shared" si="33"/>
        <v>103.60571428571427</v>
      </c>
      <c r="AL102">
        <v>140</v>
      </c>
      <c r="AM102">
        <v>160</v>
      </c>
    </row>
    <row r="103" spans="1:39" ht="15.75" thickBot="1" x14ac:dyDescent="0.3">
      <c r="A103" s="48" t="s">
        <v>60</v>
      </c>
      <c r="B103" s="49" t="s">
        <v>9</v>
      </c>
      <c r="C103" s="50"/>
      <c r="D103" s="50"/>
      <c r="E103" s="50"/>
      <c r="F103" s="53">
        <f t="shared" si="32"/>
        <v>0</v>
      </c>
      <c r="G103" s="53">
        <f t="shared" si="32"/>
        <v>0</v>
      </c>
      <c r="H103" s="53">
        <f t="shared" si="32"/>
        <v>0</v>
      </c>
      <c r="I103" s="53">
        <f t="shared" si="32"/>
        <v>0</v>
      </c>
      <c r="J103" s="53">
        <f t="shared" si="32"/>
        <v>0</v>
      </c>
      <c r="K103" s="53">
        <f t="shared" si="32"/>
        <v>0</v>
      </c>
      <c r="L103" s="62">
        <f t="shared" si="32"/>
        <v>0</v>
      </c>
      <c r="M103" s="53">
        <f t="shared" si="32"/>
        <v>0</v>
      </c>
      <c r="N103" s="53">
        <f t="shared" si="32"/>
        <v>0</v>
      </c>
      <c r="O103" s="53">
        <f t="shared" si="32"/>
        <v>0</v>
      </c>
      <c r="P103" s="53">
        <f t="shared" si="32"/>
        <v>0</v>
      </c>
      <c r="Q103" s="53">
        <f t="shared" si="32"/>
        <v>0</v>
      </c>
      <c r="R103" s="53">
        <f t="shared" si="32"/>
        <v>0</v>
      </c>
      <c r="S103" s="53">
        <f t="shared" si="32"/>
        <v>0</v>
      </c>
      <c r="T103" s="53">
        <f t="shared" si="32"/>
        <v>0</v>
      </c>
      <c r="U103" s="53">
        <f t="shared" si="32"/>
        <v>0.5</v>
      </c>
      <c r="V103" s="53">
        <f t="shared" si="32"/>
        <v>1</v>
      </c>
      <c r="W103" s="53">
        <f t="shared" si="32"/>
        <v>0</v>
      </c>
      <c r="X103" s="56">
        <f t="shared" si="32"/>
        <v>0.42</v>
      </c>
      <c r="Y103" s="60">
        <f t="shared" si="32"/>
        <v>0</v>
      </c>
      <c r="Z103" s="53">
        <f t="shared" si="32"/>
        <v>0.53428201811125486</v>
      </c>
      <c r="AA103" s="53">
        <f t="shared" si="32"/>
        <v>0.5</v>
      </c>
      <c r="AF103" t="s">
        <v>2</v>
      </c>
      <c r="AG103">
        <f>SUM(AG101:AG102)</f>
        <v>74</v>
      </c>
      <c r="AH103">
        <f>AG103*AH91/AG91</f>
        <v>95.142857142857139</v>
      </c>
      <c r="AI103">
        <f t="shared" ref="AI103:AK103" si="34">AH103*AI91/AH91</f>
        <v>113.74857142857142</v>
      </c>
      <c r="AJ103">
        <f t="shared" si="34"/>
        <v>145.88571428571427</v>
      </c>
      <c r="AK103">
        <f t="shared" si="34"/>
        <v>166.60571428571427</v>
      </c>
      <c r="AL103">
        <f t="shared" ref="AL103:AM103" si="35">SUM(AL101:AL102)</f>
        <v>220</v>
      </c>
      <c r="AM103">
        <f t="shared" si="35"/>
        <v>250</v>
      </c>
    </row>
    <row r="104" spans="1:39" ht="15.75" thickTop="1" x14ac:dyDescent="0.25">
      <c r="A104" s="15" t="s">
        <v>51</v>
      </c>
      <c r="B104" s="16" t="s">
        <v>52</v>
      </c>
      <c r="C104" s="16" t="s">
        <v>53</v>
      </c>
      <c r="D104" s="2"/>
      <c r="E104" s="2"/>
      <c r="F104" s="47">
        <f t="shared" si="32"/>
        <v>0</v>
      </c>
      <c r="G104" s="47">
        <f t="shared" si="32"/>
        <v>0</v>
      </c>
      <c r="H104" s="47">
        <f t="shared" si="32"/>
        <v>0</v>
      </c>
      <c r="I104" s="47">
        <f t="shared" si="32"/>
        <v>0</v>
      </c>
      <c r="J104" s="47">
        <f t="shared" si="32"/>
        <v>0</v>
      </c>
      <c r="K104" s="47">
        <f t="shared" si="32"/>
        <v>0</v>
      </c>
      <c r="L104" s="63">
        <f t="shared" si="32"/>
        <v>0</v>
      </c>
      <c r="M104" s="47">
        <f t="shared" si="32"/>
        <v>0</v>
      </c>
      <c r="N104" s="47">
        <f t="shared" si="32"/>
        <v>0</v>
      </c>
      <c r="O104" s="47">
        <f t="shared" si="32"/>
        <v>0</v>
      </c>
      <c r="P104" s="47">
        <f t="shared" si="32"/>
        <v>0</v>
      </c>
      <c r="Q104" s="47">
        <f t="shared" si="32"/>
        <v>0</v>
      </c>
      <c r="R104" s="47">
        <f t="shared" si="32"/>
        <v>0</v>
      </c>
      <c r="S104" s="47">
        <f t="shared" si="32"/>
        <v>0</v>
      </c>
      <c r="T104" s="47">
        <f t="shared" si="32"/>
        <v>0</v>
      </c>
      <c r="U104" s="47">
        <f t="shared" si="32"/>
        <v>0</v>
      </c>
      <c r="V104" s="47">
        <f t="shared" si="32"/>
        <v>0</v>
      </c>
      <c r="W104" s="47">
        <f t="shared" si="32"/>
        <v>0</v>
      </c>
      <c r="X104" s="57">
        <f t="shared" si="32"/>
        <v>0</v>
      </c>
      <c r="Y104" s="61">
        <f t="shared" si="32"/>
        <v>0</v>
      </c>
      <c r="Z104" s="47">
        <f t="shared" si="32"/>
        <v>0</v>
      </c>
      <c r="AA104" s="47">
        <f t="shared" si="32"/>
        <v>0</v>
      </c>
      <c r="AG104" t="s">
        <v>6</v>
      </c>
    </row>
    <row r="105" spans="1:39" x14ac:dyDescent="0.25">
      <c r="A105" s="15" t="s">
        <v>51</v>
      </c>
      <c r="B105" s="16" t="s">
        <v>52</v>
      </c>
      <c r="C105" s="16" t="s">
        <v>54</v>
      </c>
      <c r="D105" s="2"/>
      <c r="E105" s="2"/>
      <c r="F105" s="1">
        <f t="shared" si="32"/>
        <v>0</v>
      </c>
      <c r="G105" s="1">
        <f t="shared" si="32"/>
        <v>0</v>
      </c>
      <c r="H105" s="1">
        <f t="shared" si="32"/>
        <v>0</v>
      </c>
      <c r="I105" s="1">
        <f t="shared" si="32"/>
        <v>0</v>
      </c>
      <c r="J105" s="1">
        <f t="shared" si="32"/>
        <v>0</v>
      </c>
      <c r="K105" s="1">
        <f t="shared" si="32"/>
        <v>0</v>
      </c>
      <c r="L105" s="52">
        <f t="shared" si="32"/>
        <v>0</v>
      </c>
      <c r="M105" s="1">
        <f t="shared" si="32"/>
        <v>0</v>
      </c>
      <c r="N105" s="1">
        <f t="shared" si="32"/>
        <v>0</v>
      </c>
      <c r="O105" s="1">
        <f t="shared" si="32"/>
        <v>0</v>
      </c>
      <c r="P105" s="1">
        <f t="shared" si="32"/>
        <v>0</v>
      </c>
      <c r="Q105" s="1">
        <f t="shared" si="32"/>
        <v>0</v>
      </c>
      <c r="R105" s="1">
        <f t="shared" si="32"/>
        <v>0</v>
      </c>
      <c r="S105" s="1">
        <f t="shared" si="32"/>
        <v>0</v>
      </c>
      <c r="T105" s="1">
        <f t="shared" si="32"/>
        <v>0</v>
      </c>
      <c r="U105" s="1">
        <f t="shared" si="32"/>
        <v>0</v>
      </c>
      <c r="V105" s="1">
        <f t="shared" si="32"/>
        <v>0</v>
      </c>
      <c r="W105" s="1">
        <f t="shared" si="32"/>
        <v>0</v>
      </c>
      <c r="X105" s="54">
        <f t="shared" si="32"/>
        <v>0</v>
      </c>
      <c r="Y105" s="58">
        <f t="shared" si="32"/>
        <v>0</v>
      </c>
      <c r="Z105" s="1">
        <f t="shared" si="32"/>
        <v>0</v>
      </c>
      <c r="AA105" s="1">
        <f t="shared" si="32"/>
        <v>0</v>
      </c>
      <c r="AF105" t="s">
        <v>450</v>
      </c>
      <c r="AG105" s="70">
        <f>AG101/AG103</f>
        <v>0.45945945945945948</v>
      </c>
      <c r="AH105" s="70">
        <f t="shared" ref="AH105:AL105" si="36">AH101/AH103</f>
        <v>0.43093093093093093</v>
      </c>
      <c r="AI105" s="70">
        <f t="shared" si="36"/>
        <v>0.4131920024113333</v>
      </c>
      <c r="AJ105" s="70">
        <f t="shared" si="36"/>
        <v>0.37700744222483357</v>
      </c>
      <c r="AK105" s="70">
        <f t="shared" si="36"/>
        <v>0.37813829057483883</v>
      </c>
      <c r="AL105" s="70">
        <f t="shared" si="36"/>
        <v>0.36363636363636365</v>
      </c>
      <c r="AM105" s="70">
        <f t="shared" ref="AM105" si="37">AM101/AM103</f>
        <v>0.36</v>
      </c>
    </row>
    <row r="106" spans="1:39" x14ac:dyDescent="0.25">
      <c r="A106" s="15" t="s">
        <v>51</v>
      </c>
      <c r="B106" s="16" t="s">
        <v>52</v>
      </c>
      <c r="C106" s="16" t="s">
        <v>55</v>
      </c>
      <c r="D106" s="2"/>
      <c r="E106" s="2"/>
      <c r="F106" s="1">
        <f t="shared" si="32"/>
        <v>0</v>
      </c>
      <c r="G106" s="1">
        <f t="shared" si="32"/>
        <v>0</v>
      </c>
      <c r="H106" s="1">
        <f t="shared" si="32"/>
        <v>0</v>
      </c>
      <c r="I106" s="1">
        <f t="shared" si="32"/>
        <v>0</v>
      </c>
      <c r="J106" s="1">
        <f t="shared" si="32"/>
        <v>0</v>
      </c>
      <c r="K106" s="1">
        <f t="shared" si="32"/>
        <v>0</v>
      </c>
      <c r="L106" s="52">
        <f t="shared" si="32"/>
        <v>0</v>
      </c>
      <c r="M106" s="1">
        <f t="shared" si="32"/>
        <v>0</v>
      </c>
      <c r="N106" s="1">
        <f t="shared" si="32"/>
        <v>0</v>
      </c>
      <c r="O106" s="1">
        <f t="shared" si="32"/>
        <v>0</v>
      </c>
      <c r="P106" s="1">
        <f t="shared" si="32"/>
        <v>0</v>
      </c>
      <c r="Q106" s="1">
        <f t="shared" si="32"/>
        <v>0</v>
      </c>
      <c r="R106" s="1">
        <f t="shared" si="32"/>
        <v>0</v>
      </c>
      <c r="S106" s="1">
        <f t="shared" si="32"/>
        <v>0</v>
      </c>
      <c r="T106" s="1">
        <f t="shared" si="32"/>
        <v>0</v>
      </c>
      <c r="U106" s="1">
        <f t="shared" ref="F106:AA117" si="38">IF(U16&gt;0,U61/U16,0)</f>
        <v>0</v>
      </c>
      <c r="V106" s="1">
        <f t="shared" si="38"/>
        <v>0</v>
      </c>
      <c r="W106" s="1">
        <f t="shared" si="38"/>
        <v>0</v>
      </c>
      <c r="X106" s="54">
        <f t="shared" si="38"/>
        <v>0</v>
      </c>
      <c r="Y106" s="58">
        <f t="shared" si="38"/>
        <v>0</v>
      </c>
      <c r="Z106" s="1">
        <f t="shared" si="38"/>
        <v>0</v>
      </c>
      <c r="AA106" s="1">
        <f t="shared" si="38"/>
        <v>0</v>
      </c>
      <c r="AF106" t="s">
        <v>451</v>
      </c>
      <c r="AG106" s="70">
        <f>AG102/AG103</f>
        <v>0.54054054054054057</v>
      </c>
      <c r="AH106" s="70">
        <f t="shared" ref="AH106:AL106" si="39">AH102/AH103</f>
        <v>0.56756756756756754</v>
      </c>
      <c r="AI106" s="70">
        <f t="shared" si="39"/>
        <v>0.58680799758866675</v>
      </c>
      <c r="AJ106" s="70">
        <f t="shared" si="39"/>
        <v>0.62299255777516649</v>
      </c>
      <c r="AK106" s="70">
        <f t="shared" si="39"/>
        <v>0.62186170942516117</v>
      </c>
      <c r="AL106" s="70">
        <f t="shared" si="39"/>
        <v>0.63636363636363635</v>
      </c>
      <c r="AM106" s="70">
        <f t="shared" ref="AM106" si="40">AM102/AM103</f>
        <v>0.64</v>
      </c>
    </row>
    <row r="107" spans="1:39" x14ac:dyDescent="0.25">
      <c r="A107" s="25" t="s">
        <v>51</v>
      </c>
      <c r="B107" s="26" t="s">
        <v>56</v>
      </c>
      <c r="C107" s="26" t="s">
        <v>57</v>
      </c>
      <c r="D107" s="2"/>
      <c r="E107" s="2"/>
      <c r="F107" s="1">
        <f t="shared" si="38"/>
        <v>0</v>
      </c>
      <c r="G107" s="1">
        <f t="shared" si="38"/>
        <v>0</v>
      </c>
      <c r="H107" s="1">
        <f t="shared" si="38"/>
        <v>0</v>
      </c>
      <c r="I107" s="1">
        <f t="shared" si="38"/>
        <v>0</v>
      </c>
      <c r="J107" s="1">
        <f t="shared" si="38"/>
        <v>0</v>
      </c>
      <c r="K107" s="1">
        <f t="shared" si="38"/>
        <v>0</v>
      </c>
      <c r="L107" s="52">
        <f t="shared" si="38"/>
        <v>0</v>
      </c>
      <c r="M107" s="1">
        <f t="shared" si="38"/>
        <v>0</v>
      </c>
      <c r="N107" s="1">
        <f t="shared" si="38"/>
        <v>0</v>
      </c>
      <c r="O107" s="1">
        <f t="shared" si="38"/>
        <v>0</v>
      </c>
      <c r="P107" s="1">
        <f t="shared" si="38"/>
        <v>0</v>
      </c>
      <c r="Q107" s="1">
        <f t="shared" si="38"/>
        <v>0</v>
      </c>
      <c r="R107" s="1">
        <f t="shared" si="38"/>
        <v>0</v>
      </c>
      <c r="S107" s="1">
        <f t="shared" si="38"/>
        <v>0</v>
      </c>
      <c r="T107" s="1">
        <f t="shared" si="38"/>
        <v>0</v>
      </c>
      <c r="U107" s="1">
        <f t="shared" si="38"/>
        <v>0</v>
      </c>
      <c r="V107" s="1">
        <f t="shared" si="38"/>
        <v>0</v>
      </c>
      <c r="W107" s="1">
        <f t="shared" si="38"/>
        <v>0</v>
      </c>
      <c r="X107" s="54">
        <f t="shared" si="38"/>
        <v>0</v>
      </c>
      <c r="Y107" s="58">
        <f t="shared" si="38"/>
        <v>0</v>
      </c>
      <c r="Z107" s="1">
        <f t="shared" si="38"/>
        <v>0</v>
      </c>
      <c r="AA107" s="1">
        <f t="shared" si="38"/>
        <v>0</v>
      </c>
      <c r="AF107" t="s">
        <v>2</v>
      </c>
    </row>
    <row r="108" spans="1:39" x14ac:dyDescent="0.25">
      <c r="A108" s="15" t="s">
        <v>51</v>
      </c>
      <c r="B108" s="16" t="s">
        <v>56</v>
      </c>
      <c r="C108" s="27" t="s">
        <v>58</v>
      </c>
      <c r="D108" s="2"/>
      <c r="E108" s="2"/>
      <c r="F108" s="1">
        <f t="shared" si="38"/>
        <v>0</v>
      </c>
      <c r="G108" s="1">
        <f t="shared" si="38"/>
        <v>0</v>
      </c>
      <c r="H108" s="1">
        <f t="shared" si="38"/>
        <v>0</v>
      </c>
      <c r="I108" s="1">
        <f t="shared" si="38"/>
        <v>0</v>
      </c>
      <c r="J108" s="1">
        <f t="shared" si="38"/>
        <v>0</v>
      </c>
      <c r="K108" s="1">
        <f t="shared" si="38"/>
        <v>0</v>
      </c>
      <c r="L108" s="52">
        <f t="shared" si="38"/>
        <v>0</v>
      </c>
      <c r="M108" s="1">
        <f t="shared" si="38"/>
        <v>0</v>
      </c>
      <c r="N108" s="1">
        <f t="shared" si="38"/>
        <v>0</v>
      </c>
      <c r="O108" s="1">
        <f t="shared" si="38"/>
        <v>0</v>
      </c>
      <c r="P108" s="1">
        <f t="shared" si="38"/>
        <v>0</v>
      </c>
      <c r="Q108" s="1">
        <f t="shared" si="38"/>
        <v>0</v>
      </c>
      <c r="R108" s="1">
        <f t="shared" si="38"/>
        <v>0</v>
      </c>
      <c r="S108" s="1">
        <f t="shared" si="38"/>
        <v>0</v>
      </c>
      <c r="T108" s="1">
        <f t="shared" si="38"/>
        <v>0</v>
      </c>
      <c r="U108" s="1">
        <f t="shared" si="38"/>
        <v>0</v>
      </c>
      <c r="V108" s="1">
        <f t="shared" si="38"/>
        <v>0</v>
      </c>
      <c r="W108" s="1">
        <f t="shared" si="38"/>
        <v>0</v>
      </c>
      <c r="X108" s="54">
        <f t="shared" si="38"/>
        <v>0</v>
      </c>
      <c r="Y108" s="58">
        <f t="shared" si="38"/>
        <v>0</v>
      </c>
      <c r="Z108" s="1">
        <f t="shared" si="38"/>
        <v>0</v>
      </c>
      <c r="AA108" s="1">
        <f t="shared" si="38"/>
        <v>0</v>
      </c>
    </row>
    <row r="109" spans="1:39" x14ac:dyDescent="0.25">
      <c r="A109" s="15" t="s">
        <v>51</v>
      </c>
      <c r="B109" s="16" t="s">
        <v>9</v>
      </c>
      <c r="C109" s="27" t="s">
        <v>59</v>
      </c>
      <c r="D109" s="2"/>
      <c r="E109" s="2"/>
      <c r="F109" s="1">
        <f t="shared" si="38"/>
        <v>0</v>
      </c>
      <c r="G109" s="1">
        <f t="shared" si="38"/>
        <v>0</v>
      </c>
      <c r="H109" s="1">
        <f t="shared" si="38"/>
        <v>0</v>
      </c>
      <c r="I109" s="1">
        <f t="shared" si="38"/>
        <v>0</v>
      </c>
      <c r="J109" s="1">
        <f t="shared" si="38"/>
        <v>0</v>
      </c>
      <c r="K109" s="1">
        <f t="shared" si="38"/>
        <v>0</v>
      </c>
      <c r="L109" s="52">
        <f t="shared" si="38"/>
        <v>0</v>
      </c>
      <c r="M109" s="1">
        <f t="shared" si="38"/>
        <v>0</v>
      </c>
      <c r="N109" s="1">
        <f t="shared" si="38"/>
        <v>0</v>
      </c>
      <c r="O109" s="1">
        <f t="shared" si="38"/>
        <v>0</v>
      </c>
      <c r="P109" s="1">
        <f t="shared" si="38"/>
        <v>0</v>
      </c>
      <c r="Q109" s="1">
        <f t="shared" si="38"/>
        <v>0</v>
      </c>
      <c r="R109" s="1">
        <f t="shared" si="38"/>
        <v>0</v>
      </c>
      <c r="S109" s="1">
        <f t="shared" si="38"/>
        <v>0</v>
      </c>
      <c r="T109" s="1">
        <f t="shared" si="38"/>
        <v>0</v>
      </c>
      <c r="U109" s="1">
        <f t="shared" si="38"/>
        <v>0</v>
      </c>
      <c r="V109" s="1">
        <f t="shared" si="38"/>
        <v>0</v>
      </c>
      <c r="W109" s="1">
        <f t="shared" si="38"/>
        <v>0</v>
      </c>
      <c r="X109" s="54">
        <f t="shared" si="38"/>
        <v>0</v>
      </c>
      <c r="Y109" s="58">
        <f t="shared" si="38"/>
        <v>0</v>
      </c>
      <c r="Z109" s="1">
        <f t="shared" si="38"/>
        <v>0</v>
      </c>
      <c r="AA109" s="1">
        <f t="shared" si="38"/>
        <v>0</v>
      </c>
    </row>
    <row r="110" spans="1:39" x14ac:dyDescent="0.25">
      <c r="A110" s="15" t="s">
        <v>51</v>
      </c>
      <c r="B110" s="16" t="s">
        <v>9</v>
      </c>
      <c r="C110" s="27" t="s">
        <v>9</v>
      </c>
      <c r="D110" s="2"/>
      <c r="E110" s="2"/>
      <c r="F110" s="1">
        <f t="shared" si="38"/>
        <v>0</v>
      </c>
      <c r="G110" s="1">
        <f t="shared" si="38"/>
        <v>0</v>
      </c>
      <c r="H110" s="1">
        <f t="shared" si="38"/>
        <v>0</v>
      </c>
      <c r="I110" s="1">
        <f t="shared" si="38"/>
        <v>0</v>
      </c>
      <c r="J110" s="1">
        <f t="shared" si="38"/>
        <v>0</v>
      </c>
      <c r="K110" s="1">
        <f t="shared" si="38"/>
        <v>0</v>
      </c>
      <c r="L110" s="52">
        <f t="shared" si="38"/>
        <v>0</v>
      </c>
      <c r="M110" s="1">
        <f t="shared" si="38"/>
        <v>0</v>
      </c>
      <c r="N110" s="1">
        <f t="shared" si="38"/>
        <v>0</v>
      </c>
      <c r="O110" s="1">
        <f t="shared" si="38"/>
        <v>0</v>
      </c>
      <c r="P110" s="1">
        <f t="shared" si="38"/>
        <v>0</v>
      </c>
      <c r="Q110" s="1">
        <f t="shared" si="38"/>
        <v>0</v>
      </c>
      <c r="R110" s="1">
        <f t="shared" si="38"/>
        <v>0</v>
      </c>
      <c r="S110" s="1">
        <f t="shared" si="38"/>
        <v>0</v>
      </c>
      <c r="T110" s="1">
        <f t="shared" si="38"/>
        <v>0</v>
      </c>
      <c r="U110" s="1">
        <f t="shared" si="38"/>
        <v>0</v>
      </c>
      <c r="V110" s="1">
        <f t="shared" si="38"/>
        <v>0</v>
      </c>
      <c r="W110" s="1">
        <f t="shared" si="38"/>
        <v>0</v>
      </c>
      <c r="X110" s="54">
        <f t="shared" si="38"/>
        <v>0</v>
      </c>
      <c r="Y110" s="58">
        <f t="shared" si="38"/>
        <v>0</v>
      </c>
      <c r="Z110" s="1">
        <f t="shared" si="38"/>
        <v>0</v>
      </c>
      <c r="AA110" s="1">
        <f t="shared" si="38"/>
        <v>0</v>
      </c>
    </row>
    <row r="111" spans="1:39" x14ac:dyDescent="0.25">
      <c r="A111" s="28" t="s">
        <v>60</v>
      </c>
      <c r="B111" s="29" t="s">
        <v>13</v>
      </c>
      <c r="C111" s="29" t="s">
        <v>61</v>
      </c>
      <c r="D111" s="2"/>
      <c r="F111" s="51">
        <f t="shared" si="38"/>
        <v>0.19846157894736843</v>
      </c>
      <c r="G111" s="51">
        <f t="shared" si="38"/>
        <v>0</v>
      </c>
      <c r="H111" s="51">
        <f t="shared" si="38"/>
        <v>0.24052478134110791</v>
      </c>
      <c r="I111" s="51">
        <f t="shared" si="38"/>
        <v>0.18853255587949466</v>
      </c>
      <c r="J111" s="51">
        <f t="shared" si="38"/>
        <v>0.22892307692307692</v>
      </c>
      <c r="K111" s="51">
        <f t="shared" si="38"/>
        <v>0.14566666666666667</v>
      </c>
      <c r="L111" s="52">
        <f t="shared" si="38"/>
        <v>0</v>
      </c>
      <c r="M111" s="51">
        <f t="shared" si="38"/>
        <v>0.25</v>
      </c>
      <c r="N111" s="51">
        <f t="shared" si="38"/>
        <v>0.26033057851239672</v>
      </c>
      <c r="O111" s="51">
        <f t="shared" si="38"/>
        <v>0.2229654403567447</v>
      </c>
      <c r="P111" s="118">
        <f t="shared" si="38"/>
        <v>3.4482758620689655E-2</v>
      </c>
      <c r="Q111" s="69">
        <v>0.28000000000000003</v>
      </c>
      <c r="R111" s="69">
        <v>0.3</v>
      </c>
      <c r="S111" s="51">
        <v>0</v>
      </c>
      <c r="T111" s="69">
        <v>0.3</v>
      </c>
      <c r="U111" s="69">
        <v>0.3</v>
      </c>
      <c r="V111" s="77">
        <v>1.2</v>
      </c>
      <c r="W111" s="69">
        <v>0.8</v>
      </c>
      <c r="X111" s="76">
        <v>0.5</v>
      </c>
      <c r="Y111" s="59">
        <f t="shared" si="38"/>
        <v>0.1970113216373186</v>
      </c>
      <c r="Z111" s="51">
        <f>IF(Z21&gt;0,Z66/Z21,0)</f>
        <v>0.1477977779190589</v>
      </c>
      <c r="AA111" s="51">
        <f t="shared" si="38"/>
        <v>0.15495548206028745</v>
      </c>
      <c r="AB111" s="5" t="s">
        <v>133</v>
      </c>
    </row>
    <row r="112" spans="1:39" x14ac:dyDescent="0.25">
      <c r="A112" s="36" t="s">
        <v>60</v>
      </c>
      <c r="B112" s="37" t="s">
        <v>13</v>
      </c>
      <c r="C112" s="29" t="s">
        <v>62</v>
      </c>
      <c r="D112" s="2"/>
      <c r="E112" s="2"/>
      <c r="F112" s="51">
        <f t="shared" si="38"/>
        <v>0.19749347368421055</v>
      </c>
      <c r="G112" s="51">
        <f t="shared" si="38"/>
        <v>0.24068860162036304</v>
      </c>
      <c r="H112" s="51">
        <f t="shared" si="38"/>
        <v>0.2434288447521866</v>
      </c>
      <c r="I112" s="51">
        <f t="shared" si="38"/>
        <v>0</v>
      </c>
      <c r="J112" s="51">
        <f t="shared" si="38"/>
        <v>0</v>
      </c>
      <c r="K112" s="51">
        <f t="shared" si="38"/>
        <v>0</v>
      </c>
      <c r="L112" s="52">
        <f t="shared" si="38"/>
        <v>0</v>
      </c>
      <c r="M112" s="51">
        <f t="shared" si="38"/>
        <v>0</v>
      </c>
      <c r="N112" s="51">
        <f t="shared" si="38"/>
        <v>0</v>
      </c>
      <c r="O112" s="51">
        <f t="shared" si="38"/>
        <v>0</v>
      </c>
      <c r="P112" s="51">
        <f t="shared" si="38"/>
        <v>5.2873563218390804E-2</v>
      </c>
      <c r="Q112" s="51">
        <f t="shared" si="38"/>
        <v>0</v>
      </c>
      <c r="R112" s="51">
        <f t="shared" si="38"/>
        <v>0</v>
      </c>
      <c r="S112" s="51">
        <f t="shared" si="38"/>
        <v>0</v>
      </c>
      <c r="T112" s="51">
        <f t="shared" si="38"/>
        <v>0</v>
      </c>
      <c r="U112" s="51">
        <f t="shared" si="38"/>
        <v>0</v>
      </c>
      <c r="V112" s="51">
        <f t="shared" si="38"/>
        <v>0</v>
      </c>
      <c r="W112" s="51">
        <f t="shared" si="38"/>
        <v>0</v>
      </c>
      <c r="X112" s="55">
        <f t="shared" si="38"/>
        <v>0</v>
      </c>
      <c r="Y112" s="59">
        <f t="shared" si="38"/>
        <v>0.23509128328330006</v>
      </c>
      <c r="Z112" s="51">
        <f t="shared" si="38"/>
        <v>5.2873563218390804E-2</v>
      </c>
      <c r="AA112" s="51">
        <f t="shared" si="38"/>
        <v>8.0878108532299806E-2</v>
      </c>
      <c r="AB112" s="5" t="s">
        <v>134</v>
      </c>
    </row>
    <row r="113" spans="1:27" x14ac:dyDescent="0.25">
      <c r="A113" s="30" t="s">
        <v>60</v>
      </c>
      <c r="B113" s="31" t="s">
        <v>13</v>
      </c>
      <c r="C113" s="32" t="s">
        <v>63</v>
      </c>
      <c r="D113" s="2"/>
      <c r="E113" s="2"/>
      <c r="F113" s="51">
        <f t="shared" si="38"/>
        <v>0</v>
      </c>
      <c r="G113" s="51">
        <f t="shared" si="38"/>
        <v>0</v>
      </c>
      <c r="H113" s="51">
        <f t="shared" si="38"/>
        <v>0</v>
      </c>
      <c r="I113" s="51">
        <f t="shared" si="38"/>
        <v>0</v>
      </c>
      <c r="J113" s="51">
        <f t="shared" si="38"/>
        <v>0</v>
      </c>
      <c r="K113" s="51">
        <f t="shared" si="38"/>
        <v>0</v>
      </c>
      <c r="L113" s="52">
        <f t="shared" si="38"/>
        <v>0</v>
      </c>
      <c r="M113" s="51">
        <f t="shared" si="38"/>
        <v>0</v>
      </c>
      <c r="N113" s="51">
        <f t="shared" si="38"/>
        <v>0</v>
      </c>
      <c r="O113" s="51">
        <f t="shared" si="38"/>
        <v>0</v>
      </c>
      <c r="P113" s="51">
        <f t="shared" si="38"/>
        <v>0</v>
      </c>
      <c r="Q113" s="51">
        <f t="shared" si="38"/>
        <v>0</v>
      </c>
      <c r="R113" s="51">
        <f t="shared" si="38"/>
        <v>0</v>
      </c>
      <c r="S113" s="51">
        <f t="shared" si="38"/>
        <v>0</v>
      </c>
      <c r="T113" s="51">
        <f t="shared" si="38"/>
        <v>0</v>
      </c>
      <c r="U113" s="51">
        <f t="shared" si="38"/>
        <v>0</v>
      </c>
      <c r="V113" s="51">
        <f t="shared" si="38"/>
        <v>0</v>
      </c>
      <c r="W113" s="51">
        <f t="shared" si="38"/>
        <v>0</v>
      </c>
      <c r="X113" s="55">
        <f t="shared" si="38"/>
        <v>0</v>
      </c>
      <c r="Y113" s="59">
        <f t="shared" si="38"/>
        <v>0</v>
      </c>
      <c r="Z113" s="51">
        <f t="shared" si="38"/>
        <v>0</v>
      </c>
      <c r="AA113" s="51">
        <f t="shared" si="38"/>
        <v>0</v>
      </c>
    </row>
    <row r="114" spans="1:27" x14ac:dyDescent="0.25">
      <c r="A114" s="30" t="s">
        <v>60</v>
      </c>
      <c r="B114" s="32" t="s">
        <v>23</v>
      </c>
      <c r="C114" s="31" t="s">
        <v>50</v>
      </c>
      <c r="D114" s="2"/>
      <c r="E114" s="2"/>
      <c r="F114" s="77">
        <v>0.32</v>
      </c>
      <c r="G114" s="51">
        <f t="shared" si="38"/>
        <v>0</v>
      </c>
      <c r="H114" s="51">
        <f t="shared" si="38"/>
        <v>0</v>
      </c>
      <c r="I114" s="51">
        <f t="shared" si="38"/>
        <v>0</v>
      </c>
      <c r="J114" s="77">
        <v>0.3</v>
      </c>
      <c r="K114" s="51">
        <f t="shared" si="38"/>
        <v>0.38888888888888895</v>
      </c>
      <c r="L114" s="52">
        <f t="shared" si="38"/>
        <v>0</v>
      </c>
      <c r="M114" s="51">
        <f t="shared" si="38"/>
        <v>0</v>
      </c>
      <c r="N114" s="51">
        <f t="shared" si="38"/>
        <v>0.32196969696969696</v>
      </c>
      <c r="O114" s="51">
        <f t="shared" si="38"/>
        <v>0</v>
      </c>
      <c r="P114" s="51">
        <f t="shared" si="38"/>
        <v>0</v>
      </c>
      <c r="Q114" s="51">
        <f t="shared" si="38"/>
        <v>0</v>
      </c>
      <c r="R114" s="51">
        <f t="shared" si="38"/>
        <v>0</v>
      </c>
      <c r="S114" s="51">
        <f t="shared" si="38"/>
        <v>0</v>
      </c>
      <c r="T114" s="51">
        <f t="shared" si="38"/>
        <v>0</v>
      </c>
      <c r="U114" s="51">
        <f t="shared" si="38"/>
        <v>0</v>
      </c>
      <c r="V114" s="51">
        <f t="shared" si="38"/>
        <v>0</v>
      </c>
      <c r="W114" s="51">
        <f t="shared" si="38"/>
        <v>0</v>
      </c>
      <c r="X114" s="55">
        <f t="shared" si="38"/>
        <v>0</v>
      </c>
      <c r="Y114" s="59">
        <f t="shared" si="38"/>
        <v>0.38888888888888895</v>
      </c>
      <c r="Z114" s="51">
        <f t="shared" si="38"/>
        <v>0.32196969696969696</v>
      </c>
      <c r="AA114" s="51">
        <f t="shared" si="38"/>
        <v>0.33333333333333331</v>
      </c>
    </row>
    <row r="115" spans="1:27" x14ac:dyDescent="0.25">
      <c r="A115" s="30" t="s">
        <v>60</v>
      </c>
      <c r="B115" s="32" t="s">
        <v>23</v>
      </c>
      <c r="C115" s="31" t="s">
        <v>49</v>
      </c>
      <c r="D115" s="2"/>
      <c r="E115" s="2"/>
      <c r="F115" s="51">
        <f t="shared" ref="F115:AA126" si="41">IF(F25&gt;0,F70/F25,0)</f>
        <v>0</v>
      </c>
      <c r="G115" s="51">
        <f t="shared" si="41"/>
        <v>0</v>
      </c>
      <c r="H115" s="51">
        <f t="shared" si="41"/>
        <v>0</v>
      </c>
      <c r="I115" s="51">
        <f t="shared" si="41"/>
        <v>0</v>
      </c>
      <c r="J115" s="51">
        <f>IF(J25&gt;0,J70/J25,0)</f>
        <v>0.22320000000000001</v>
      </c>
      <c r="K115" s="51">
        <f t="shared" si="41"/>
        <v>0</v>
      </c>
      <c r="L115" s="52">
        <f t="shared" si="41"/>
        <v>0</v>
      </c>
      <c r="M115" s="51">
        <f t="shared" si="41"/>
        <v>0</v>
      </c>
      <c r="N115" s="51">
        <f t="shared" si="41"/>
        <v>0</v>
      </c>
      <c r="O115" s="51">
        <f t="shared" si="41"/>
        <v>0</v>
      </c>
      <c r="P115" s="51">
        <f t="shared" si="41"/>
        <v>0</v>
      </c>
      <c r="Q115" s="51">
        <f t="shared" si="41"/>
        <v>0</v>
      </c>
      <c r="R115" s="51">
        <f t="shared" si="41"/>
        <v>0</v>
      </c>
      <c r="S115" s="51">
        <f t="shared" si="38"/>
        <v>0.5357142857142857</v>
      </c>
      <c r="T115" s="51">
        <v>0.4</v>
      </c>
      <c r="U115" s="51">
        <f t="shared" si="38"/>
        <v>0</v>
      </c>
      <c r="V115" s="51">
        <v>0.9</v>
      </c>
      <c r="W115" s="51">
        <f t="shared" si="38"/>
        <v>0</v>
      </c>
      <c r="X115" s="51">
        <v>0.9</v>
      </c>
      <c r="Y115" s="59">
        <f t="shared" si="41"/>
        <v>0.38750000000000001</v>
      </c>
      <c r="Z115" s="51">
        <f t="shared" si="41"/>
        <v>0.48029556650246308</v>
      </c>
      <c r="AA115" s="51">
        <f t="shared" si="41"/>
        <v>0.19230769230769232</v>
      </c>
    </row>
    <row r="116" spans="1:27" x14ac:dyDescent="0.25">
      <c r="A116" s="30" t="s">
        <v>60</v>
      </c>
      <c r="B116" s="32" t="s">
        <v>23</v>
      </c>
      <c r="C116" s="31" t="s">
        <v>64</v>
      </c>
      <c r="D116" s="2"/>
      <c r="E116" s="2"/>
      <c r="F116" s="51">
        <f t="shared" si="41"/>
        <v>0</v>
      </c>
      <c r="G116" s="51">
        <f t="shared" si="41"/>
        <v>0</v>
      </c>
      <c r="H116" s="51">
        <f t="shared" si="41"/>
        <v>0</v>
      </c>
      <c r="I116" s="51">
        <f t="shared" si="41"/>
        <v>0</v>
      </c>
      <c r="J116" s="51">
        <f t="shared" si="41"/>
        <v>0</v>
      </c>
      <c r="K116" s="51">
        <f t="shared" si="41"/>
        <v>0</v>
      </c>
      <c r="L116" s="52">
        <f t="shared" si="41"/>
        <v>0</v>
      </c>
      <c r="M116" s="51">
        <f t="shared" si="41"/>
        <v>0</v>
      </c>
      <c r="N116" s="51">
        <f t="shared" si="41"/>
        <v>0</v>
      </c>
      <c r="O116" s="51">
        <f t="shared" si="41"/>
        <v>0</v>
      </c>
      <c r="P116" s="51">
        <f t="shared" si="41"/>
        <v>0</v>
      </c>
      <c r="Q116" s="51">
        <f t="shared" si="41"/>
        <v>0</v>
      </c>
      <c r="R116" s="51">
        <f t="shared" si="41"/>
        <v>0</v>
      </c>
      <c r="S116" s="51">
        <f t="shared" si="41"/>
        <v>0</v>
      </c>
      <c r="T116" s="51">
        <f t="shared" si="41"/>
        <v>0</v>
      </c>
      <c r="U116" s="51">
        <f t="shared" si="41"/>
        <v>0</v>
      </c>
      <c r="V116" s="51">
        <f t="shared" si="41"/>
        <v>0</v>
      </c>
      <c r="W116" s="51">
        <f t="shared" si="38"/>
        <v>0</v>
      </c>
      <c r="X116" s="55">
        <f t="shared" si="41"/>
        <v>0</v>
      </c>
      <c r="Y116" s="59">
        <f t="shared" si="41"/>
        <v>0</v>
      </c>
      <c r="Z116" s="51">
        <f t="shared" si="41"/>
        <v>0</v>
      </c>
      <c r="AA116" s="51">
        <f t="shared" si="41"/>
        <v>0</v>
      </c>
    </row>
    <row r="117" spans="1:27" x14ac:dyDescent="0.25">
      <c r="A117" s="30" t="s">
        <v>60</v>
      </c>
      <c r="B117" s="32" t="s">
        <v>65</v>
      </c>
      <c r="C117" s="31" t="s">
        <v>66</v>
      </c>
      <c r="D117" s="2"/>
      <c r="E117" s="2"/>
      <c r="F117" s="51">
        <f t="shared" si="41"/>
        <v>0</v>
      </c>
      <c r="G117" s="51">
        <f t="shared" si="41"/>
        <v>0</v>
      </c>
      <c r="H117" s="51">
        <f t="shared" si="41"/>
        <v>0</v>
      </c>
      <c r="I117" s="51">
        <f t="shared" si="41"/>
        <v>0</v>
      </c>
      <c r="J117" s="77">
        <v>0.12</v>
      </c>
      <c r="K117" s="51">
        <f t="shared" si="41"/>
        <v>0</v>
      </c>
      <c r="L117" s="52">
        <f t="shared" si="41"/>
        <v>0</v>
      </c>
      <c r="M117" s="215">
        <v>0.08</v>
      </c>
      <c r="N117" s="51">
        <f t="shared" si="41"/>
        <v>0</v>
      </c>
      <c r="O117" s="51">
        <f t="shared" si="41"/>
        <v>0</v>
      </c>
      <c r="P117" s="51">
        <f t="shared" si="41"/>
        <v>0</v>
      </c>
      <c r="Q117" s="51">
        <f t="shared" si="41"/>
        <v>0</v>
      </c>
      <c r="R117" s="51">
        <f t="shared" si="41"/>
        <v>0</v>
      </c>
      <c r="S117" s="51">
        <f t="shared" si="41"/>
        <v>0</v>
      </c>
      <c r="T117" s="51">
        <f t="shared" si="41"/>
        <v>0</v>
      </c>
      <c r="U117" s="51">
        <f t="shared" si="41"/>
        <v>0</v>
      </c>
      <c r="V117" s="51">
        <f t="shared" si="41"/>
        <v>0</v>
      </c>
      <c r="W117" s="51">
        <f t="shared" si="38"/>
        <v>0</v>
      </c>
      <c r="X117" s="55">
        <f t="shared" si="41"/>
        <v>0</v>
      </c>
      <c r="Y117" s="59">
        <f t="shared" si="41"/>
        <v>0.12</v>
      </c>
      <c r="Z117" s="51">
        <f t="shared" si="41"/>
        <v>0.08</v>
      </c>
      <c r="AA117" s="51">
        <f t="shared" si="41"/>
        <v>8.4878048780487811E-2</v>
      </c>
    </row>
    <row r="118" spans="1:27" x14ac:dyDescent="0.25">
      <c r="A118" s="30" t="s">
        <v>60</v>
      </c>
      <c r="B118" s="32" t="s">
        <v>65</v>
      </c>
      <c r="C118" s="31" t="s">
        <v>67</v>
      </c>
      <c r="D118" s="2"/>
      <c r="E118" s="2"/>
      <c r="F118" s="51">
        <f t="shared" si="41"/>
        <v>0</v>
      </c>
      <c r="G118" s="51">
        <f t="shared" si="41"/>
        <v>0</v>
      </c>
      <c r="H118" s="51">
        <f t="shared" si="41"/>
        <v>0</v>
      </c>
      <c r="I118" s="51">
        <f t="shared" si="41"/>
        <v>0</v>
      </c>
      <c r="J118" s="51">
        <f t="shared" si="41"/>
        <v>0</v>
      </c>
      <c r="K118" s="51">
        <f t="shared" si="41"/>
        <v>0</v>
      </c>
      <c r="L118" s="52">
        <f t="shared" si="41"/>
        <v>0</v>
      </c>
      <c r="M118" s="51">
        <f t="shared" si="41"/>
        <v>0</v>
      </c>
      <c r="N118" s="51">
        <f t="shared" si="41"/>
        <v>0</v>
      </c>
      <c r="O118" s="51">
        <f t="shared" si="41"/>
        <v>0</v>
      </c>
      <c r="P118" s="51">
        <f t="shared" si="41"/>
        <v>0</v>
      </c>
      <c r="Q118" s="215">
        <v>0.09</v>
      </c>
      <c r="R118" s="215">
        <v>0.1</v>
      </c>
      <c r="S118" s="51">
        <f t="shared" si="41"/>
        <v>0</v>
      </c>
      <c r="T118" s="215">
        <v>0.12</v>
      </c>
      <c r="U118" s="215">
        <v>0.11</v>
      </c>
      <c r="V118" s="215">
        <v>0.15</v>
      </c>
      <c r="W118" s="215">
        <v>0.1</v>
      </c>
      <c r="X118" s="215">
        <v>0.15</v>
      </c>
      <c r="Y118" s="59">
        <f t="shared" si="41"/>
        <v>0</v>
      </c>
      <c r="Z118" s="51">
        <f t="shared" si="41"/>
        <v>0.10644371941272431</v>
      </c>
      <c r="AA118" s="51">
        <f t="shared" si="41"/>
        <v>0.10644371941272431</v>
      </c>
    </row>
    <row r="119" spans="1:27" x14ac:dyDescent="0.25">
      <c r="A119" s="30" t="s">
        <v>60</v>
      </c>
      <c r="B119" s="32" t="s">
        <v>65</v>
      </c>
      <c r="C119" s="31" t="s">
        <v>68</v>
      </c>
      <c r="D119" s="2"/>
      <c r="E119" s="2"/>
      <c r="F119" s="51">
        <f t="shared" si="41"/>
        <v>0</v>
      </c>
      <c r="G119" s="51">
        <f t="shared" si="41"/>
        <v>0</v>
      </c>
      <c r="H119" s="51">
        <f t="shared" si="41"/>
        <v>0</v>
      </c>
      <c r="I119" s="51">
        <f t="shared" si="41"/>
        <v>0</v>
      </c>
      <c r="J119" s="51">
        <f t="shared" si="41"/>
        <v>0</v>
      </c>
      <c r="K119" s="51">
        <f t="shared" si="41"/>
        <v>0</v>
      </c>
      <c r="L119" s="215">
        <v>8.5000000000000006E-2</v>
      </c>
      <c r="M119" s="51">
        <f t="shared" si="41"/>
        <v>0</v>
      </c>
      <c r="N119" s="51">
        <f t="shared" si="41"/>
        <v>0</v>
      </c>
      <c r="O119" s="51">
        <f t="shared" si="41"/>
        <v>0</v>
      </c>
      <c r="P119" s="51">
        <f t="shared" si="41"/>
        <v>0</v>
      </c>
      <c r="Q119" s="51">
        <f t="shared" si="41"/>
        <v>0</v>
      </c>
      <c r="R119" s="51">
        <f t="shared" si="41"/>
        <v>0</v>
      </c>
      <c r="S119" s="51">
        <f t="shared" si="41"/>
        <v>0</v>
      </c>
      <c r="T119" s="51">
        <f t="shared" si="41"/>
        <v>0</v>
      </c>
      <c r="U119" s="51">
        <f t="shared" si="41"/>
        <v>0</v>
      </c>
      <c r="V119" s="51">
        <f t="shared" si="41"/>
        <v>0</v>
      </c>
      <c r="W119" s="51">
        <f t="shared" si="41"/>
        <v>0</v>
      </c>
      <c r="X119" s="55">
        <f t="shared" si="41"/>
        <v>0</v>
      </c>
      <c r="Y119" s="59">
        <f t="shared" si="41"/>
        <v>0</v>
      </c>
      <c r="Z119" s="51">
        <f t="shared" si="41"/>
        <v>0</v>
      </c>
      <c r="AA119" s="51">
        <f t="shared" si="41"/>
        <v>8.5000000000000006E-2</v>
      </c>
    </row>
    <row r="120" spans="1:27" x14ac:dyDescent="0.25">
      <c r="A120" s="30" t="s">
        <v>60</v>
      </c>
      <c r="B120" s="32" t="s">
        <v>9</v>
      </c>
      <c r="C120" s="31" t="s">
        <v>69</v>
      </c>
      <c r="D120" s="2"/>
      <c r="E120" s="2"/>
      <c r="F120" s="51">
        <f t="shared" si="41"/>
        <v>0</v>
      </c>
      <c r="G120" s="51">
        <f t="shared" si="41"/>
        <v>0</v>
      </c>
      <c r="H120" s="51">
        <f t="shared" si="41"/>
        <v>0</v>
      </c>
      <c r="I120" s="51">
        <f t="shared" si="41"/>
        <v>0</v>
      </c>
      <c r="J120" s="51">
        <f t="shared" si="41"/>
        <v>0</v>
      </c>
      <c r="K120" s="51">
        <f t="shared" si="41"/>
        <v>0</v>
      </c>
      <c r="L120" s="52">
        <f t="shared" si="41"/>
        <v>0</v>
      </c>
      <c r="M120" s="51">
        <f t="shared" si="41"/>
        <v>0</v>
      </c>
      <c r="N120" s="51">
        <f t="shared" si="41"/>
        <v>0</v>
      </c>
      <c r="O120" s="51">
        <f t="shared" si="41"/>
        <v>0</v>
      </c>
      <c r="P120" s="51">
        <f t="shared" si="41"/>
        <v>0</v>
      </c>
      <c r="Q120" s="51">
        <f t="shared" si="41"/>
        <v>0</v>
      </c>
      <c r="R120" s="51">
        <f t="shared" si="41"/>
        <v>0</v>
      </c>
      <c r="S120" s="51">
        <f t="shared" si="41"/>
        <v>0</v>
      </c>
      <c r="T120" s="51">
        <f t="shared" si="41"/>
        <v>0</v>
      </c>
      <c r="U120" s="91">
        <v>0.5</v>
      </c>
      <c r="V120" s="51">
        <f t="shared" si="41"/>
        <v>1</v>
      </c>
      <c r="W120" s="51">
        <f t="shared" si="41"/>
        <v>0</v>
      </c>
      <c r="X120" s="106">
        <v>0.42</v>
      </c>
      <c r="Y120" s="59">
        <f t="shared" si="41"/>
        <v>0</v>
      </c>
      <c r="Z120" s="51">
        <f t="shared" si="41"/>
        <v>0.53428201811125486</v>
      </c>
      <c r="AA120" s="51">
        <f t="shared" si="41"/>
        <v>0.53428201811125486</v>
      </c>
    </row>
    <row r="121" spans="1:27" x14ac:dyDescent="0.25">
      <c r="A121" s="15" t="s">
        <v>51</v>
      </c>
      <c r="B121" s="16" t="s">
        <v>56</v>
      </c>
      <c r="C121" s="27" t="s">
        <v>57</v>
      </c>
      <c r="D121" s="16" t="s">
        <v>70</v>
      </c>
      <c r="E121" s="16"/>
      <c r="F121" s="1">
        <f t="shared" si="41"/>
        <v>0</v>
      </c>
      <c r="G121" s="1">
        <f t="shared" si="41"/>
        <v>0</v>
      </c>
      <c r="H121" s="1">
        <f t="shared" si="41"/>
        <v>0</v>
      </c>
      <c r="I121" s="1">
        <f t="shared" si="41"/>
        <v>0</v>
      </c>
      <c r="J121" s="1">
        <f t="shared" si="41"/>
        <v>0</v>
      </c>
      <c r="K121" s="1">
        <f t="shared" si="41"/>
        <v>0</v>
      </c>
      <c r="L121" s="52">
        <f t="shared" si="41"/>
        <v>0</v>
      </c>
      <c r="M121" s="1">
        <f t="shared" si="41"/>
        <v>0</v>
      </c>
      <c r="N121" s="1">
        <f t="shared" si="41"/>
        <v>0</v>
      </c>
      <c r="O121" s="1">
        <f t="shared" si="41"/>
        <v>0</v>
      </c>
      <c r="P121" s="1">
        <f t="shared" si="41"/>
        <v>0</v>
      </c>
      <c r="Q121" s="1">
        <f t="shared" si="41"/>
        <v>0</v>
      </c>
      <c r="R121" s="1">
        <f t="shared" si="41"/>
        <v>0</v>
      </c>
      <c r="S121" s="1">
        <f t="shared" si="41"/>
        <v>0</v>
      </c>
      <c r="T121" s="1">
        <f t="shared" si="41"/>
        <v>0</v>
      </c>
      <c r="U121" s="1">
        <f t="shared" si="41"/>
        <v>0</v>
      </c>
      <c r="V121" s="1">
        <f t="shared" si="41"/>
        <v>0</v>
      </c>
      <c r="W121" s="1">
        <f t="shared" si="41"/>
        <v>0</v>
      </c>
      <c r="X121" s="54">
        <f t="shared" si="41"/>
        <v>0</v>
      </c>
      <c r="Y121" s="58">
        <f t="shared" si="41"/>
        <v>0</v>
      </c>
      <c r="Z121" s="1">
        <f t="shared" si="41"/>
        <v>0</v>
      </c>
      <c r="AA121" s="1">
        <f t="shared" si="41"/>
        <v>0</v>
      </c>
    </row>
    <row r="122" spans="1:27" x14ac:dyDescent="0.25">
      <c r="A122" s="15" t="s">
        <v>51</v>
      </c>
      <c r="B122" s="16" t="s">
        <v>56</v>
      </c>
      <c r="C122" s="27" t="s">
        <v>57</v>
      </c>
      <c r="D122" s="16" t="s">
        <v>71</v>
      </c>
      <c r="E122" s="16"/>
      <c r="F122" s="1">
        <f t="shared" si="41"/>
        <v>0</v>
      </c>
      <c r="G122" s="1">
        <f t="shared" si="41"/>
        <v>0</v>
      </c>
      <c r="H122" s="1">
        <f t="shared" si="41"/>
        <v>0</v>
      </c>
      <c r="I122" s="1">
        <f t="shared" si="41"/>
        <v>0</v>
      </c>
      <c r="J122" s="1">
        <f t="shared" si="41"/>
        <v>0</v>
      </c>
      <c r="K122" s="1">
        <f t="shared" si="41"/>
        <v>0</v>
      </c>
      <c r="L122" s="52">
        <f t="shared" si="41"/>
        <v>0</v>
      </c>
      <c r="M122" s="1">
        <f t="shared" si="41"/>
        <v>0</v>
      </c>
      <c r="N122" s="1">
        <f t="shared" si="41"/>
        <v>0</v>
      </c>
      <c r="O122" s="1">
        <f t="shared" si="41"/>
        <v>0</v>
      </c>
      <c r="P122" s="1">
        <f t="shared" si="41"/>
        <v>0</v>
      </c>
      <c r="Q122" s="1">
        <f t="shared" si="41"/>
        <v>0</v>
      </c>
      <c r="R122" s="1">
        <f t="shared" si="41"/>
        <v>0</v>
      </c>
      <c r="S122" s="1">
        <f t="shared" si="41"/>
        <v>0</v>
      </c>
      <c r="T122" s="1">
        <f t="shared" si="41"/>
        <v>0</v>
      </c>
      <c r="U122" s="1">
        <f t="shared" si="41"/>
        <v>0</v>
      </c>
      <c r="V122" s="1">
        <f t="shared" si="41"/>
        <v>0</v>
      </c>
      <c r="W122" s="1">
        <f t="shared" si="41"/>
        <v>0</v>
      </c>
      <c r="X122" s="54">
        <f t="shared" si="41"/>
        <v>0</v>
      </c>
      <c r="Y122" s="58">
        <f t="shared" si="41"/>
        <v>0</v>
      </c>
      <c r="Z122" s="1">
        <f t="shared" si="41"/>
        <v>0</v>
      </c>
      <c r="AA122" s="1">
        <f t="shared" si="41"/>
        <v>0</v>
      </c>
    </row>
    <row r="123" spans="1:27" x14ac:dyDescent="0.25">
      <c r="A123" s="15" t="s">
        <v>51</v>
      </c>
      <c r="B123" s="16" t="s">
        <v>56</v>
      </c>
      <c r="C123" s="27" t="s">
        <v>27</v>
      </c>
      <c r="D123" s="16" t="s">
        <v>72</v>
      </c>
      <c r="E123" s="16"/>
      <c r="F123" s="1">
        <f t="shared" si="41"/>
        <v>0</v>
      </c>
      <c r="G123" s="1">
        <f t="shared" si="41"/>
        <v>0</v>
      </c>
      <c r="H123" s="1">
        <f t="shared" si="41"/>
        <v>0</v>
      </c>
      <c r="I123" s="1">
        <f t="shared" si="41"/>
        <v>0</v>
      </c>
      <c r="J123" s="1">
        <f t="shared" si="41"/>
        <v>0</v>
      </c>
      <c r="K123" s="1">
        <f t="shared" si="41"/>
        <v>0</v>
      </c>
      <c r="L123" s="52">
        <f t="shared" si="41"/>
        <v>0</v>
      </c>
      <c r="M123" s="1">
        <f t="shared" si="41"/>
        <v>0</v>
      </c>
      <c r="N123" s="1">
        <f t="shared" si="41"/>
        <v>0</v>
      </c>
      <c r="O123" s="1">
        <f t="shared" si="41"/>
        <v>0</v>
      </c>
      <c r="P123" s="1">
        <f t="shared" si="41"/>
        <v>0</v>
      </c>
      <c r="Q123" s="1">
        <f t="shared" si="41"/>
        <v>0</v>
      </c>
      <c r="R123" s="1">
        <f t="shared" si="41"/>
        <v>0</v>
      </c>
      <c r="S123" s="1">
        <f t="shared" si="41"/>
        <v>0</v>
      </c>
      <c r="T123" s="1">
        <f t="shared" si="41"/>
        <v>0</v>
      </c>
      <c r="U123" s="1">
        <f t="shared" si="41"/>
        <v>0</v>
      </c>
      <c r="V123" s="1">
        <f t="shared" si="41"/>
        <v>0</v>
      </c>
      <c r="W123" s="1">
        <f t="shared" si="41"/>
        <v>0</v>
      </c>
      <c r="X123" s="54">
        <f t="shared" si="41"/>
        <v>0</v>
      </c>
      <c r="Y123" s="58">
        <f t="shared" si="41"/>
        <v>0</v>
      </c>
      <c r="Z123" s="1">
        <f t="shared" si="41"/>
        <v>0</v>
      </c>
      <c r="AA123" s="1">
        <f t="shared" si="41"/>
        <v>0</v>
      </c>
    </row>
    <row r="124" spans="1:27" x14ac:dyDescent="0.25">
      <c r="A124" s="15" t="s">
        <v>51</v>
      </c>
      <c r="B124" s="16" t="s">
        <v>56</v>
      </c>
      <c r="C124" s="27" t="s">
        <v>57</v>
      </c>
      <c r="D124" s="16" t="s">
        <v>73</v>
      </c>
      <c r="E124" s="16"/>
      <c r="F124" s="1">
        <f t="shared" si="41"/>
        <v>0</v>
      </c>
      <c r="G124" s="1">
        <f t="shared" si="41"/>
        <v>0</v>
      </c>
      <c r="H124" s="1">
        <f t="shared" si="41"/>
        <v>0</v>
      </c>
      <c r="I124" s="1">
        <f t="shared" si="41"/>
        <v>0</v>
      </c>
      <c r="J124" s="1">
        <f t="shared" si="41"/>
        <v>0</v>
      </c>
      <c r="K124" s="1">
        <f t="shared" si="41"/>
        <v>0</v>
      </c>
      <c r="L124" s="52">
        <f t="shared" si="41"/>
        <v>0</v>
      </c>
      <c r="M124" s="1">
        <f t="shared" si="41"/>
        <v>0</v>
      </c>
      <c r="N124" s="1">
        <f t="shared" si="41"/>
        <v>0</v>
      </c>
      <c r="O124" s="1">
        <f t="shared" si="41"/>
        <v>0</v>
      </c>
      <c r="P124" s="1">
        <f t="shared" si="41"/>
        <v>0</v>
      </c>
      <c r="Q124" s="1">
        <f t="shared" si="41"/>
        <v>0</v>
      </c>
      <c r="R124" s="1">
        <f t="shared" si="41"/>
        <v>0</v>
      </c>
      <c r="S124" s="1">
        <f t="shared" si="41"/>
        <v>0</v>
      </c>
      <c r="T124" s="1">
        <f t="shared" si="41"/>
        <v>0</v>
      </c>
      <c r="U124" s="1">
        <f t="shared" si="41"/>
        <v>0</v>
      </c>
      <c r="V124" s="1">
        <f t="shared" si="41"/>
        <v>0</v>
      </c>
      <c r="W124" s="1">
        <f t="shared" si="41"/>
        <v>0</v>
      </c>
      <c r="X124" s="54">
        <f t="shared" si="41"/>
        <v>0</v>
      </c>
      <c r="Y124" s="58">
        <f t="shared" si="41"/>
        <v>0</v>
      </c>
      <c r="Z124" s="1">
        <f t="shared" si="41"/>
        <v>0</v>
      </c>
      <c r="AA124" s="1">
        <f t="shared" si="41"/>
        <v>0</v>
      </c>
    </row>
    <row r="125" spans="1:27" x14ac:dyDescent="0.25">
      <c r="A125" s="15" t="s">
        <v>51</v>
      </c>
      <c r="B125" s="16" t="s">
        <v>56</v>
      </c>
      <c r="C125" s="27" t="s">
        <v>57</v>
      </c>
      <c r="D125" s="16" t="s">
        <v>74</v>
      </c>
      <c r="E125" s="16"/>
      <c r="F125" s="1">
        <f t="shared" si="41"/>
        <v>0</v>
      </c>
      <c r="G125" s="1">
        <f t="shared" si="41"/>
        <v>0</v>
      </c>
      <c r="H125" s="1">
        <f t="shared" si="41"/>
        <v>0</v>
      </c>
      <c r="I125" s="1">
        <f t="shared" si="41"/>
        <v>0</v>
      </c>
      <c r="J125" s="1">
        <f t="shared" si="41"/>
        <v>0</v>
      </c>
      <c r="K125" s="1">
        <f t="shared" si="41"/>
        <v>0</v>
      </c>
      <c r="L125" s="52">
        <f t="shared" si="41"/>
        <v>0</v>
      </c>
      <c r="M125" s="1">
        <f t="shared" si="41"/>
        <v>0</v>
      </c>
      <c r="N125" s="1">
        <f t="shared" si="41"/>
        <v>0</v>
      </c>
      <c r="O125" s="1">
        <f t="shared" si="41"/>
        <v>0</v>
      </c>
      <c r="P125" s="1">
        <f t="shared" si="41"/>
        <v>0</v>
      </c>
      <c r="Q125" s="1">
        <f t="shared" si="41"/>
        <v>0</v>
      </c>
      <c r="R125" s="1">
        <f t="shared" si="41"/>
        <v>0</v>
      </c>
      <c r="S125" s="1">
        <f t="shared" si="41"/>
        <v>0</v>
      </c>
      <c r="T125" s="1">
        <f t="shared" si="41"/>
        <v>0</v>
      </c>
      <c r="U125" s="1">
        <f t="shared" si="41"/>
        <v>0</v>
      </c>
      <c r="V125" s="1">
        <f t="shared" si="41"/>
        <v>0</v>
      </c>
      <c r="W125" s="1">
        <f t="shared" si="41"/>
        <v>0</v>
      </c>
      <c r="X125" s="54">
        <f t="shared" si="41"/>
        <v>0</v>
      </c>
      <c r="Y125" s="58">
        <f t="shared" si="41"/>
        <v>0</v>
      </c>
      <c r="Z125" s="1">
        <f t="shared" si="41"/>
        <v>0</v>
      </c>
      <c r="AA125" s="1">
        <f t="shared" si="41"/>
        <v>0</v>
      </c>
    </row>
    <row r="126" spans="1:27" x14ac:dyDescent="0.25">
      <c r="A126" s="30" t="s">
        <v>60</v>
      </c>
      <c r="B126" s="31" t="s">
        <v>13</v>
      </c>
      <c r="C126" s="32" t="s">
        <v>61</v>
      </c>
      <c r="D126" s="31" t="s">
        <v>75</v>
      </c>
      <c r="E126" s="31"/>
      <c r="F126" s="51">
        <f>F111*0.9</f>
        <v>0.17861542105263159</v>
      </c>
      <c r="G126" s="73"/>
      <c r="H126" s="51">
        <f>H111</f>
        <v>0.24052478134110791</v>
      </c>
      <c r="I126" s="51">
        <f>I111*0.9</f>
        <v>0.16967930029154521</v>
      </c>
      <c r="J126" s="51">
        <v>0</v>
      </c>
      <c r="K126" s="51">
        <f>K111*0.8</f>
        <v>0.11653333333333334</v>
      </c>
      <c r="L126" s="52">
        <v>0</v>
      </c>
      <c r="M126" s="73">
        <f>M111*0.1</f>
        <v>2.5000000000000001E-2</v>
      </c>
      <c r="N126" s="73">
        <v>0</v>
      </c>
      <c r="O126" s="73">
        <v>0</v>
      </c>
      <c r="P126" s="73">
        <v>0</v>
      </c>
      <c r="Q126" s="73"/>
      <c r="R126" s="73"/>
      <c r="S126" s="51"/>
      <c r="T126" s="51"/>
      <c r="U126" s="51"/>
      <c r="V126" s="51"/>
      <c r="W126" s="51">
        <f>W111</f>
        <v>0.8</v>
      </c>
      <c r="X126" s="55">
        <f>X156*0.1</f>
        <v>42.6</v>
      </c>
      <c r="Y126" s="59">
        <f t="shared" si="41"/>
        <v>0.18935381444480395</v>
      </c>
      <c r="Z126" s="51">
        <f t="shared" si="41"/>
        <v>0.25046956521739133</v>
      </c>
      <c r="AA126" s="51">
        <f t="shared" si="41"/>
        <v>0.19595687793028496</v>
      </c>
    </row>
    <row r="127" spans="1:27" x14ac:dyDescent="0.25">
      <c r="A127" s="30" t="s">
        <v>60</v>
      </c>
      <c r="B127" s="31" t="s">
        <v>13</v>
      </c>
      <c r="C127" s="32" t="s">
        <v>61</v>
      </c>
      <c r="D127" s="31" t="s">
        <v>76</v>
      </c>
      <c r="E127" s="31"/>
      <c r="F127" s="51">
        <f>F111*0.1</f>
        <v>1.9846157894736843E-2</v>
      </c>
      <c r="G127" s="51">
        <v>0</v>
      </c>
      <c r="H127" s="51">
        <v>0</v>
      </c>
      <c r="I127" s="51">
        <f>I111*0.05</f>
        <v>9.4266277939747331E-3</v>
      </c>
      <c r="J127" s="51">
        <f>J111</f>
        <v>0.22892307692307692</v>
      </c>
      <c r="K127" s="51">
        <f>K111*0.05</f>
        <v>7.2833333333333335E-3</v>
      </c>
      <c r="L127" s="52">
        <v>0</v>
      </c>
      <c r="M127" s="73">
        <f>M111*0.5</f>
        <v>0.125</v>
      </c>
      <c r="N127" s="73">
        <f>N111</f>
        <v>0.26033057851239672</v>
      </c>
      <c r="O127" s="73">
        <f>O111*0.5</f>
        <v>0.11148272017837235</v>
      </c>
      <c r="P127" s="73">
        <f>P111*0.59</f>
        <v>2.0344827586206895E-2</v>
      </c>
      <c r="Q127" s="73"/>
      <c r="R127" s="73">
        <f>R111</f>
        <v>0.3</v>
      </c>
      <c r="S127" s="51"/>
      <c r="T127" s="51"/>
      <c r="U127" s="51"/>
      <c r="V127" s="51"/>
      <c r="W127" s="51"/>
      <c r="X127" s="55">
        <f>X156*0.1</f>
        <v>42.6</v>
      </c>
      <c r="Y127" s="59">
        <f t="shared" ref="Y127:AA127" si="42">IF(Y37&gt;0,Y82/Y37,0)</f>
        <v>0.22137564107962437</v>
      </c>
      <c r="Z127" s="51">
        <f t="shared" si="42"/>
        <v>0.10836226974036815</v>
      </c>
      <c r="AA127" s="51">
        <f t="shared" si="42"/>
        <v>0.117937625112306</v>
      </c>
    </row>
    <row r="128" spans="1:27" x14ac:dyDescent="0.25">
      <c r="A128" s="30" t="s">
        <v>60</v>
      </c>
      <c r="B128" s="31" t="s">
        <v>13</v>
      </c>
      <c r="C128" s="32" t="s">
        <v>61</v>
      </c>
      <c r="D128" s="31" t="s">
        <v>77</v>
      </c>
      <c r="E128" s="31"/>
      <c r="F128" s="51">
        <v>0</v>
      </c>
      <c r="G128" s="51">
        <v>0</v>
      </c>
      <c r="H128" s="51">
        <v>0</v>
      </c>
      <c r="I128" s="51">
        <v>0</v>
      </c>
      <c r="J128" s="51">
        <v>0</v>
      </c>
      <c r="K128" s="51">
        <f>K111*0.1</f>
        <v>1.4566666666666667E-2</v>
      </c>
      <c r="L128" s="52">
        <v>0</v>
      </c>
      <c r="M128" s="73">
        <f>M111*0.4</f>
        <v>0.1</v>
      </c>
      <c r="N128" s="73">
        <v>0</v>
      </c>
      <c r="O128" s="73">
        <f>O111*0.5</f>
        <v>0.11148272017837235</v>
      </c>
      <c r="P128" s="73">
        <f>P111*0.4</f>
        <v>1.3793103448275862E-2</v>
      </c>
      <c r="Q128" s="73"/>
      <c r="R128" s="73"/>
      <c r="S128" s="51"/>
      <c r="T128" s="51">
        <f>T111</f>
        <v>0.3</v>
      </c>
      <c r="U128" s="51">
        <f>U111</f>
        <v>0.3</v>
      </c>
      <c r="V128" s="51"/>
      <c r="W128" s="51"/>
      <c r="X128" s="55">
        <f>X156*0.7</f>
        <v>298.2</v>
      </c>
      <c r="Y128" s="59">
        <f t="shared" ref="Y128:AA135" si="43">IF(Y38&gt;0,Y83/Y38,0)</f>
        <v>0.14566666666666667</v>
      </c>
      <c r="Z128" s="51">
        <f t="shared" si="43"/>
        <v>0.10619505439808159</v>
      </c>
      <c r="AA128" s="51">
        <f t="shared" si="43"/>
        <v>0.10650691996716692</v>
      </c>
    </row>
    <row r="129" spans="1:55" x14ac:dyDescent="0.25">
      <c r="A129" s="30" t="s">
        <v>60</v>
      </c>
      <c r="B129" s="31" t="s">
        <v>13</v>
      </c>
      <c r="C129" s="32" t="s">
        <v>61</v>
      </c>
      <c r="D129" s="31" t="s">
        <v>78</v>
      </c>
      <c r="E129" s="31"/>
      <c r="F129" s="51">
        <v>0</v>
      </c>
      <c r="G129" s="51">
        <v>0</v>
      </c>
      <c r="H129" s="51">
        <v>0</v>
      </c>
      <c r="I129" s="51">
        <f>I111*0.05</f>
        <v>9.4266277939747331E-3</v>
      </c>
      <c r="J129" s="51">
        <v>0</v>
      </c>
      <c r="K129" s="51">
        <f>K111*0.05</f>
        <v>7.2833333333333335E-3</v>
      </c>
      <c r="L129" s="52">
        <v>0</v>
      </c>
      <c r="M129" s="73">
        <f>M111*0</f>
        <v>0</v>
      </c>
      <c r="N129" s="73">
        <v>0</v>
      </c>
      <c r="O129" s="73">
        <f>O111*0</f>
        <v>0</v>
      </c>
      <c r="P129" s="73">
        <f>(P111)*0.01</f>
        <v>3.4482758620689658E-4</v>
      </c>
      <c r="Q129" s="73">
        <f>Q111</f>
        <v>0.28000000000000003</v>
      </c>
      <c r="R129" s="73"/>
      <c r="S129" s="51"/>
      <c r="T129" s="51"/>
      <c r="U129" s="51"/>
      <c r="V129" s="51"/>
      <c r="W129" s="51"/>
      <c r="X129" s="55">
        <f>X111*0.1</f>
        <v>0.05</v>
      </c>
      <c r="Y129" s="59">
        <f t="shared" si="43"/>
        <v>0.17046093310848792</v>
      </c>
      <c r="Z129" s="51">
        <f t="shared" si="43"/>
        <v>0.27875042911088233</v>
      </c>
      <c r="AA129" s="51">
        <f t="shared" si="43"/>
        <v>0.27431087100374324</v>
      </c>
    </row>
    <row r="130" spans="1:55" ht="15.75" thickBot="1" x14ac:dyDescent="0.3">
      <c r="A130" s="33" t="s">
        <v>60</v>
      </c>
      <c r="B130" s="34" t="s">
        <v>13</v>
      </c>
      <c r="C130" s="35" t="s">
        <v>61</v>
      </c>
      <c r="D130" s="34" t="s">
        <v>79</v>
      </c>
      <c r="E130" s="31"/>
      <c r="F130" s="51">
        <v>0</v>
      </c>
      <c r="G130" s="51">
        <v>0</v>
      </c>
      <c r="H130" s="51">
        <v>0</v>
      </c>
      <c r="I130" s="51">
        <v>0</v>
      </c>
      <c r="J130" s="51">
        <v>0</v>
      </c>
      <c r="K130" s="51">
        <v>0</v>
      </c>
      <c r="L130" s="52">
        <v>0</v>
      </c>
      <c r="M130" s="51">
        <v>0</v>
      </c>
      <c r="N130" s="51">
        <v>0</v>
      </c>
      <c r="O130" s="51">
        <v>0</v>
      </c>
      <c r="P130" s="51">
        <v>0</v>
      </c>
      <c r="Q130" s="51">
        <v>0</v>
      </c>
      <c r="R130" s="51">
        <v>0</v>
      </c>
      <c r="S130" s="51">
        <v>0</v>
      </c>
      <c r="T130" s="51">
        <v>0</v>
      </c>
      <c r="U130" s="51">
        <v>0</v>
      </c>
      <c r="V130" s="51">
        <v>0</v>
      </c>
      <c r="W130" s="51">
        <v>0</v>
      </c>
      <c r="X130" s="55">
        <v>0</v>
      </c>
      <c r="Y130" s="59">
        <f t="shared" si="43"/>
        <v>0</v>
      </c>
      <c r="Z130" s="51">
        <f t="shared" si="43"/>
        <v>0</v>
      </c>
      <c r="AA130" s="51">
        <f t="shared" si="43"/>
        <v>0</v>
      </c>
    </row>
    <row r="131" spans="1:55" x14ac:dyDescent="0.25">
      <c r="A131" s="30" t="s">
        <v>60</v>
      </c>
      <c r="B131" s="31" t="s">
        <v>13</v>
      </c>
      <c r="C131" s="32" t="s">
        <v>62</v>
      </c>
      <c r="D131" s="31" t="s">
        <v>75</v>
      </c>
      <c r="E131" s="31"/>
      <c r="F131" s="51"/>
      <c r="G131" s="73">
        <f>G112</f>
        <v>0.24068860162036304</v>
      </c>
      <c r="H131" s="51">
        <f>H112*0.3</f>
        <v>7.3028653425655982E-2</v>
      </c>
      <c r="I131" s="51">
        <v>0</v>
      </c>
      <c r="J131" s="51">
        <v>0</v>
      </c>
      <c r="K131" s="51">
        <v>0</v>
      </c>
      <c r="L131" s="52">
        <v>0</v>
      </c>
      <c r="M131" s="51">
        <v>0</v>
      </c>
      <c r="N131" s="51">
        <v>0</v>
      </c>
      <c r="O131" s="51">
        <v>0</v>
      </c>
      <c r="P131" s="51">
        <v>0</v>
      </c>
      <c r="Q131" s="51">
        <v>0</v>
      </c>
      <c r="R131" s="51">
        <v>0</v>
      </c>
      <c r="S131" s="51">
        <v>0</v>
      </c>
      <c r="T131" s="51">
        <v>0</v>
      </c>
      <c r="U131" s="51">
        <v>0</v>
      </c>
      <c r="V131" s="51">
        <v>0</v>
      </c>
      <c r="W131" s="51">
        <v>0</v>
      </c>
      <c r="X131" s="55">
        <v>0</v>
      </c>
      <c r="Y131" s="59">
        <f t="shared" si="43"/>
        <v>0.24193361921212272</v>
      </c>
      <c r="Z131" s="51">
        <f t="shared" si="43"/>
        <v>0</v>
      </c>
      <c r="AA131" s="51">
        <f t="shared" si="43"/>
        <v>0.24193361921212272</v>
      </c>
    </row>
    <row r="132" spans="1:55" x14ac:dyDescent="0.25">
      <c r="A132" s="30" t="s">
        <v>60</v>
      </c>
      <c r="B132" s="31" t="s">
        <v>13</v>
      </c>
      <c r="C132" s="32" t="s">
        <v>62</v>
      </c>
      <c r="D132" s="31" t="s">
        <v>76</v>
      </c>
      <c r="E132" s="31"/>
      <c r="F132" s="51">
        <f>F112</f>
        <v>0.19749347368421055</v>
      </c>
      <c r="G132" s="51">
        <f>G112*0</f>
        <v>0</v>
      </c>
      <c r="H132" s="51">
        <f>H112*0.7</f>
        <v>0.17040019132653061</v>
      </c>
      <c r="I132" s="51">
        <v>0</v>
      </c>
      <c r="J132" s="51">
        <v>0</v>
      </c>
      <c r="K132" s="51">
        <v>0</v>
      </c>
      <c r="L132" s="52">
        <v>0</v>
      </c>
      <c r="M132" s="51">
        <v>0</v>
      </c>
      <c r="N132" s="51">
        <v>0</v>
      </c>
      <c r="O132" s="51">
        <v>0</v>
      </c>
      <c r="P132" s="51">
        <f>P112</f>
        <v>5.2873563218390804E-2</v>
      </c>
      <c r="Q132" s="51">
        <v>0</v>
      </c>
      <c r="R132" s="51">
        <v>0</v>
      </c>
      <c r="S132" s="51">
        <v>0</v>
      </c>
      <c r="T132" s="51">
        <v>0</v>
      </c>
      <c r="U132" s="51">
        <v>0</v>
      </c>
      <c r="V132" s="51">
        <v>0</v>
      </c>
      <c r="W132" s="51">
        <v>0</v>
      </c>
      <c r="X132" s="55">
        <v>0</v>
      </c>
      <c r="Y132" s="59">
        <f t="shared" si="43"/>
        <v>0.23045938443614922</v>
      </c>
      <c r="Z132" s="51">
        <f t="shared" si="43"/>
        <v>5.2873563218390804E-2</v>
      </c>
      <c r="AA132" s="51">
        <f t="shared" si="43"/>
        <v>7.0225287762394534E-2</v>
      </c>
    </row>
    <row r="133" spans="1:55" x14ac:dyDescent="0.25">
      <c r="A133" s="30" t="s">
        <v>60</v>
      </c>
      <c r="B133" s="31" t="s">
        <v>13</v>
      </c>
      <c r="C133" s="32" t="s">
        <v>62</v>
      </c>
      <c r="D133" s="31" t="s">
        <v>77</v>
      </c>
      <c r="E133" s="31"/>
      <c r="F133" s="51">
        <v>0</v>
      </c>
      <c r="G133" s="51">
        <v>0</v>
      </c>
      <c r="H133" s="51">
        <v>0</v>
      </c>
      <c r="I133" s="51">
        <v>0</v>
      </c>
      <c r="J133" s="51">
        <v>0</v>
      </c>
      <c r="K133" s="51">
        <v>0</v>
      </c>
      <c r="L133" s="52">
        <v>0</v>
      </c>
      <c r="M133" s="51">
        <v>0</v>
      </c>
      <c r="N133" s="51">
        <v>0</v>
      </c>
      <c r="O133" s="51">
        <v>0</v>
      </c>
      <c r="P133" s="51">
        <v>0</v>
      </c>
      <c r="Q133" s="51">
        <v>0</v>
      </c>
      <c r="R133" s="51">
        <v>0</v>
      </c>
      <c r="S133" s="51">
        <v>0</v>
      </c>
      <c r="T133" s="51">
        <v>0</v>
      </c>
      <c r="U133" s="51">
        <v>0</v>
      </c>
      <c r="V133" s="51">
        <v>0</v>
      </c>
      <c r="W133" s="51">
        <v>0</v>
      </c>
      <c r="X133" s="55">
        <v>0</v>
      </c>
      <c r="Y133" s="59">
        <f t="shared" si="43"/>
        <v>0</v>
      </c>
      <c r="Z133" s="51">
        <f t="shared" si="43"/>
        <v>0</v>
      </c>
      <c r="AA133" s="51">
        <f t="shared" si="43"/>
        <v>0</v>
      </c>
    </row>
    <row r="134" spans="1:55" x14ac:dyDescent="0.25">
      <c r="A134" s="30" t="s">
        <v>60</v>
      </c>
      <c r="B134" s="31" t="s">
        <v>13</v>
      </c>
      <c r="C134" s="32" t="s">
        <v>62</v>
      </c>
      <c r="D134" s="31" t="s">
        <v>78</v>
      </c>
      <c r="E134" s="31"/>
      <c r="F134" s="51">
        <v>0</v>
      </c>
      <c r="G134" s="51">
        <v>0</v>
      </c>
      <c r="H134" s="51">
        <v>0</v>
      </c>
      <c r="I134" s="51">
        <v>0</v>
      </c>
      <c r="J134" s="51">
        <v>0</v>
      </c>
      <c r="K134" s="51">
        <v>0</v>
      </c>
      <c r="L134" s="52">
        <v>0</v>
      </c>
      <c r="M134" s="51">
        <v>0</v>
      </c>
      <c r="N134" s="51">
        <v>0</v>
      </c>
      <c r="O134" s="51">
        <v>0</v>
      </c>
      <c r="P134" s="51">
        <v>0</v>
      </c>
      <c r="Q134" s="51">
        <v>0</v>
      </c>
      <c r="R134" s="51">
        <v>0</v>
      </c>
      <c r="S134" s="51">
        <v>0</v>
      </c>
      <c r="T134" s="51">
        <v>0</v>
      </c>
      <c r="U134" s="51">
        <v>0</v>
      </c>
      <c r="V134" s="51">
        <v>0</v>
      </c>
      <c r="W134" s="51">
        <v>0</v>
      </c>
      <c r="X134" s="55">
        <v>0</v>
      </c>
      <c r="Y134" s="59">
        <f t="shared" si="43"/>
        <v>0</v>
      </c>
      <c r="Z134" s="51">
        <f t="shared" si="43"/>
        <v>0</v>
      </c>
      <c r="AA134" s="51">
        <f t="shared" si="43"/>
        <v>0</v>
      </c>
    </row>
    <row r="135" spans="1:55" ht="15.75" thickBot="1" x14ac:dyDescent="0.3">
      <c r="A135" s="33" t="s">
        <v>60</v>
      </c>
      <c r="B135" s="34" t="s">
        <v>13</v>
      </c>
      <c r="C135" s="32" t="s">
        <v>62</v>
      </c>
      <c r="D135" s="34" t="s">
        <v>79</v>
      </c>
      <c r="E135" s="31"/>
      <c r="F135" s="51">
        <v>0</v>
      </c>
      <c r="G135" s="51">
        <v>0</v>
      </c>
      <c r="H135" s="51">
        <v>0</v>
      </c>
      <c r="I135" s="51">
        <v>0</v>
      </c>
      <c r="J135" s="51">
        <v>0</v>
      </c>
      <c r="K135" s="51">
        <v>0</v>
      </c>
      <c r="L135" s="52">
        <v>0</v>
      </c>
      <c r="M135" s="51">
        <v>0</v>
      </c>
      <c r="N135" s="51">
        <v>0</v>
      </c>
      <c r="O135" s="51">
        <v>0</v>
      </c>
      <c r="P135" s="51">
        <v>0</v>
      </c>
      <c r="Q135" s="51">
        <v>0</v>
      </c>
      <c r="R135" s="51">
        <v>0</v>
      </c>
      <c r="S135" s="51">
        <v>0</v>
      </c>
      <c r="T135" s="51">
        <v>0</v>
      </c>
      <c r="U135" s="51">
        <v>0</v>
      </c>
      <c r="V135" s="51">
        <v>0</v>
      </c>
      <c r="W135" s="51">
        <v>0</v>
      </c>
      <c r="X135" s="55">
        <v>0</v>
      </c>
      <c r="Y135" s="59">
        <f t="shared" si="43"/>
        <v>0</v>
      </c>
      <c r="Z135" s="51">
        <f t="shared" si="43"/>
        <v>0</v>
      </c>
      <c r="AA135" s="51">
        <f t="shared" si="43"/>
        <v>0</v>
      </c>
    </row>
    <row r="136" spans="1:5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55" x14ac:dyDescent="0.25">
      <c r="D137" s="41" t="s">
        <v>17</v>
      </c>
      <c r="E137" s="41"/>
      <c r="M137" s="24" t="s">
        <v>81</v>
      </c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AF137" s="41" t="s">
        <v>22</v>
      </c>
      <c r="AG137" s="41"/>
      <c r="AO137" s="24" t="s">
        <v>81</v>
      </c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</row>
    <row r="138" spans="1:55" x14ac:dyDescent="0.25">
      <c r="F138" s="23" t="s">
        <v>44</v>
      </c>
      <c r="G138" s="23"/>
      <c r="H138" s="23"/>
      <c r="I138" s="23"/>
      <c r="J138" s="23"/>
      <c r="K138" s="23"/>
      <c r="L138" s="7" t="s">
        <v>30</v>
      </c>
      <c r="M138" s="24" t="s">
        <v>46</v>
      </c>
      <c r="N138" s="8">
        <f>N21/N201</f>
        <v>780.64516129032256</v>
      </c>
      <c r="O138" s="8">
        <f>O21/O201</f>
        <v>8073</v>
      </c>
      <c r="P138" s="8">
        <f>P21/P201</f>
        <v>80555.555555555562</v>
      </c>
      <c r="Q138" s="24"/>
      <c r="R138" s="24" t="s">
        <v>47</v>
      </c>
      <c r="S138" s="24"/>
      <c r="T138" s="24"/>
      <c r="U138" s="24"/>
      <c r="V138" s="24"/>
      <c r="W138" s="24"/>
      <c r="X138" s="24"/>
      <c r="Y138" s="44" t="s">
        <v>85</v>
      </c>
      <c r="Z138" s="44" t="s">
        <v>48</v>
      </c>
      <c r="AA138" s="44" t="s">
        <v>3</v>
      </c>
      <c r="AH138" s="23" t="s">
        <v>44</v>
      </c>
      <c r="AI138" s="23"/>
      <c r="AJ138" s="23"/>
      <c r="AK138" s="23"/>
      <c r="AL138" s="23"/>
      <c r="AM138" s="23"/>
      <c r="AN138" s="7" t="s">
        <v>30</v>
      </c>
      <c r="AO138" s="24" t="s">
        <v>46</v>
      </c>
      <c r="AP138" s="24"/>
      <c r="AQ138" s="24"/>
      <c r="AR138" s="24"/>
      <c r="AS138" s="24"/>
      <c r="AT138" s="24" t="s">
        <v>47</v>
      </c>
      <c r="AU138" s="24"/>
      <c r="AV138" s="24"/>
      <c r="AW138" s="24"/>
      <c r="AX138" s="24"/>
      <c r="AY138" s="24"/>
      <c r="AZ138" s="24"/>
      <c r="BA138" s="44" t="s">
        <v>85</v>
      </c>
      <c r="BB138" s="44" t="s">
        <v>48</v>
      </c>
      <c r="BC138" s="44" t="s">
        <v>3</v>
      </c>
    </row>
    <row r="139" spans="1:55" ht="63" x14ac:dyDescent="0.25">
      <c r="F139" s="38" t="s">
        <v>36</v>
      </c>
      <c r="G139" s="38" t="s">
        <v>37</v>
      </c>
      <c r="H139" s="38" t="s">
        <v>38</v>
      </c>
      <c r="I139" s="38" t="s">
        <v>80</v>
      </c>
      <c r="J139" s="38" t="s">
        <v>39</v>
      </c>
      <c r="K139" s="38" t="s">
        <v>45</v>
      </c>
      <c r="L139" s="39" t="s">
        <v>16</v>
      </c>
      <c r="M139" s="40" t="s">
        <v>34</v>
      </c>
      <c r="N139" s="40" t="s">
        <v>5</v>
      </c>
      <c r="O139" s="40" t="s">
        <v>7</v>
      </c>
      <c r="P139" s="40" t="s">
        <v>8</v>
      </c>
      <c r="Q139" s="40" t="s">
        <v>40</v>
      </c>
      <c r="R139" s="40" t="s">
        <v>41</v>
      </c>
      <c r="S139" s="40" t="s">
        <v>42</v>
      </c>
      <c r="T139" s="40" t="s">
        <v>31</v>
      </c>
      <c r="U139" s="40" t="s">
        <v>43</v>
      </c>
      <c r="V139" s="40" t="s">
        <v>82</v>
      </c>
      <c r="W139" s="40" t="s">
        <v>87</v>
      </c>
      <c r="X139" s="40" t="s">
        <v>83</v>
      </c>
      <c r="Y139" s="45" t="s">
        <v>3</v>
      </c>
      <c r="Z139" s="45" t="s">
        <v>3</v>
      </c>
      <c r="AA139" s="45" t="s">
        <v>3</v>
      </c>
      <c r="AH139" s="38" t="s">
        <v>36</v>
      </c>
      <c r="AI139" s="38" t="s">
        <v>37</v>
      </c>
      <c r="AJ139" s="38" t="s">
        <v>38</v>
      </c>
      <c r="AK139" s="38" t="s">
        <v>80</v>
      </c>
      <c r="AL139" s="38" t="s">
        <v>39</v>
      </c>
      <c r="AM139" s="38" t="s">
        <v>45</v>
      </c>
      <c r="AN139" s="39" t="s">
        <v>16</v>
      </c>
      <c r="AO139" s="40" t="s">
        <v>34</v>
      </c>
      <c r="AP139" s="40" t="s">
        <v>5</v>
      </c>
      <c r="AQ139" s="40" t="s">
        <v>7</v>
      </c>
      <c r="AR139" s="40" t="s">
        <v>8</v>
      </c>
      <c r="AS139" s="40" t="s">
        <v>40</v>
      </c>
      <c r="AT139" s="40" t="s">
        <v>41</v>
      </c>
      <c r="AU139" s="40" t="s">
        <v>42</v>
      </c>
      <c r="AV139" s="40" t="s">
        <v>31</v>
      </c>
      <c r="AW139" s="40" t="s">
        <v>43</v>
      </c>
      <c r="AX139" s="40" t="s">
        <v>82</v>
      </c>
      <c r="AY139" s="40" t="s">
        <v>87</v>
      </c>
      <c r="AZ139" s="40" t="s">
        <v>83</v>
      </c>
      <c r="BA139" s="45" t="s">
        <v>3</v>
      </c>
      <c r="BB139" s="45" t="s">
        <v>86</v>
      </c>
      <c r="BC139" s="45" t="s">
        <v>3</v>
      </c>
    </row>
    <row r="140" spans="1:55" x14ac:dyDescent="0.25">
      <c r="A140" s="15" t="s">
        <v>51</v>
      </c>
      <c r="B140" s="2"/>
      <c r="C140" s="2"/>
      <c r="F140" s="1">
        <f t="shared" ref="F140:AA151" si="44">IF(F185&gt;0,F5/F185,0)</f>
        <v>0</v>
      </c>
      <c r="G140" s="1">
        <f t="shared" si="44"/>
        <v>0</v>
      </c>
      <c r="H140" s="1">
        <f t="shared" si="44"/>
        <v>0</v>
      </c>
      <c r="I140" s="1">
        <f t="shared" si="44"/>
        <v>0</v>
      </c>
      <c r="J140" s="1">
        <f t="shared" si="44"/>
        <v>0</v>
      </c>
      <c r="K140" s="1">
        <f t="shared" si="44"/>
        <v>0</v>
      </c>
      <c r="L140" s="52">
        <f t="shared" si="44"/>
        <v>0</v>
      </c>
      <c r="M140" s="1">
        <f t="shared" si="44"/>
        <v>0</v>
      </c>
      <c r="N140" s="1">
        <f t="shared" si="44"/>
        <v>0</v>
      </c>
      <c r="O140" s="1">
        <f t="shared" si="44"/>
        <v>0</v>
      </c>
      <c r="P140" s="1">
        <f t="shared" si="44"/>
        <v>0</v>
      </c>
      <c r="Q140" s="1">
        <f t="shared" si="44"/>
        <v>0</v>
      </c>
      <c r="R140" s="1">
        <f t="shared" si="44"/>
        <v>0</v>
      </c>
      <c r="S140" s="1">
        <f t="shared" si="44"/>
        <v>0</v>
      </c>
      <c r="T140" s="1">
        <f t="shared" si="44"/>
        <v>0</v>
      </c>
      <c r="U140" s="1">
        <f t="shared" si="44"/>
        <v>0</v>
      </c>
      <c r="V140" s="1">
        <f t="shared" si="44"/>
        <v>0</v>
      </c>
      <c r="W140" s="1">
        <f t="shared" si="44"/>
        <v>0</v>
      </c>
      <c r="X140" s="54">
        <f t="shared" si="44"/>
        <v>0</v>
      </c>
      <c r="Y140" s="58">
        <f t="shared" si="44"/>
        <v>0</v>
      </c>
      <c r="Z140" s="1">
        <f t="shared" si="44"/>
        <v>0</v>
      </c>
      <c r="AA140" s="1">
        <f t="shared" si="44"/>
        <v>0</v>
      </c>
      <c r="AC140" s="15" t="s">
        <v>51</v>
      </c>
      <c r="AD140" s="2"/>
      <c r="AE140" s="2"/>
      <c r="AH140" s="1" t="str">
        <f t="shared" ref="AH140:AW155" si="45">IF(F185&gt;0,F50/F185,"")</f>
        <v/>
      </c>
      <c r="AI140" s="1" t="str">
        <f t="shared" si="45"/>
        <v/>
      </c>
      <c r="AJ140" s="1" t="str">
        <f t="shared" si="45"/>
        <v/>
      </c>
      <c r="AK140" s="1" t="str">
        <f t="shared" si="45"/>
        <v/>
      </c>
      <c r="AL140" s="1" t="str">
        <f t="shared" si="45"/>
        <v/>
      </c>
      <c r="AM140" s="1" t="str">
        <f t="shared" si="45"/>
        <v/>
      </c>
      <c r="AN140" s="52" t="str">
        <f t="shared" si="45"/>
        <v/>
      </c>
      <c r="AO140" s="1" t="str">
        <f t="shared" si="45"/>
        <v/>
      </c>
      <c r="AP140" s="1" t="str">
        <f t="shared" si="45"/>
        <v/>
      </c>
      <c r="AQ140" s="1" t="str">
        <f t="shared" si="45"/>
        <v/>
      </c>
      <c r="AR140" s="1" t="str">
        <f t="shared" si="45"/>
        <v/>
      </c>
      <c r="AS140" s="1" t="str">
        <f t="shared" si="45"/>
        <v/>
      </c>
      <c r="AT140" s="1" t="str">
        <f t="shared" si="45"/>
        <v/>
      </c>
      <c r="AU140" s="1" t="str">
        <f t="shared" si="45"/>
        <v/>
      </c>
      <c r="AV140" s="1" t="str">
        <f t="shared" si="45"/>
        <v/>
      </c>
      <c r="AW140" s="1" t="str">
        <f t="shared" si="45"/>
        <v/>
      </c>
      <c r="AX140" s="1" t="str">
        <f t="shared" ref="AX140:BC155" si="46">IF(V185&gt;0,V50/V185,"")</f>
        <v/>
      </c>
      <c r="AY140" s="1" t="str">
        <f t="shared" si="46"/>
        <v/>
      </c>
      <c r="AZ140" s="1" t="str">
        <f t="shared" si="46"/>
        <v/>
      </c>
      <c r="BA140" s="1" t="str">
        <f t="shared" si="46"/>
        <v/>
      </c>
      <c r="BB140" s="1" t="str">
        <f t="shared" si="46"/>
        <v/>
      </c>
      <c r="BC140" s="1" t="str">
        <f t="shared" si="46"/>
        <v/>
      </c>
    </row>
    <row r="141" spans="1:55" x14ac:dyDescent="0.25">
      <c r="A141" s="30" t="s">
        <v>60</v>
      </c>
      <c r="B141" s="2"/>
      <c r="C141" s="2"/>
      <c r="F141" s="1">
        <f t="shared" si="44"/>
        <v>50.666666666666664</v>
      </c>
      <c r="G141" s="1">
        <f t="shared" si="44"/>
        <v>23.2</v>
      </c>
      <c r="H141" s="1">
        <f t="shared" si="44"/>
        <v>6.86</v>
      </c>
      <c r="I141" s="1">
        <f t="shared" si="44"/>
        <v>28.999999999999996</v>
      </c>
      <c r="J141" s="1">
        <f t="shared" si="44"/>
        <v>49.647058823529406</v>
      </c>
      <c r="K141" s="1">
        <f t="shared" si="44"/>
        <v>13.257764441110279</v>
      </c>
      <c r="L141" s="52">
        <f t="shared" si="44"/>
        <v>750</v>
      </c>
      <c r="M141" s="1">
        <f t="shared" si="44"/>
        <v>330.8641975308642</v>
      </c>
      <c r="N141" s="1">
        <f t="shared" si="44"/>
        <v>1410.5882352941178</v>
      </c>
      <c r="O141" s="1">
        <f t="shared" si="44"/>
        <v>8073</v>
      </c>
      <c r="P141" s="1">
        <f t="shared" si="44"/>
        <v>60416.666666666672</v>
      </c>
      <c r="Q141" s="1">
        <f t="shared" si="44"/>
        <v>940.00000000000011</v>
      </c>
      <c r="R141" s="1">
        <f t="shared" si="44"/>
        <v>426.00000000000006</v>
      </c>
      <c r="S141" s="1">
        <f t="shared" si="44"/>
        <v>100</v>
      </c>
      <c r="T141" s="1">
        <f t="shared" si="44"/>
        <v>425.49560595695414</v>
      </c>
      <c r="U141" s="1">
        <f t="shared" si="44"/>
        <v>452.21538461538461</v>
      </c>
      <c r="V141" s="1">
        <f t="shared" si="44"/>
        <v>502.17882352941177</v>
      </c>
      <c r="W141" s="1">
        <f t="shared" si="44"/>
        <v>426</v>
      </c>
      <c r="X141" s="54">
        <f t="shared" si="44"/>
        <v>418.14641870385037</v>
      </c>
      <c r="Y141" s="58">
        <f>IF(Y186&gt;0,Y6/Y186,0)</f>
        <v>15.005978169187298</v>
      </c>
      <c r="Z141" s="1">
        <f t="shared" si="44"/>
        <v>884.3486781664285</v>
      </c>
      <c r="AA141" s="1">
        <f t="shared" si="44"/>
        <v>208.7089037711163</v>
      </c>
      <c r="AC141" s="30" t="s">
        <v>60</v>
      </c>
      <c r="AD141" s="2"/>
      <c r="AE141" s="2"/>
      <c r="AH141" s="1">
        <f t="shared" si="45"/>
        <v>10.038218933333335</v>
      </c>
      <c r="AI141" s="1">
        <f t="shared" si="45"/>
        <v>5.5839755575924226</v>
      </c>
      <c r="AJ141" s="1">
        <f t="shared" si="45"/>
        <v>1.6675312500000001</v>
      </c>
      <c r="AK141" s="1">
        <f t="shared" si="45"/>
        <v>5.4674441205053448</v>
      </c>
      <c r="AL141" s="1">
        <f t="shared" si="45"/>
        <v>9.5390117647058812</v>
      </c>
      <c r="AM141" s="1">
        <f t="shared" si="45"/>
        <v>2.7697719429857468</v>
      </c>
      <c r="AN141" s="52">
        <f t="shared" si="45"/>
        <v>63.750000000000007</v>
      </c>
      <c r="AO141" s="1">
        <f t="shared" si="45"/>
        <v>47.456790123456791</v>
      </c>
      <c r="AP141" s="1">
        <f t="shared" si="45"/>
        <v>410.29411764705884</v>
      </c>
      <c r="AQ141" s="1">
        <f t="shared" si="45"/>
        <v>1800</v>
      </c>
      <c r="AR141" s="1">
        <f t="shared" si="45"/>
        <v>2750</v>
      </c>
      <c r="AS141" s="1">
        <f t="shared" si="45"/>
        <v>111.66060606060606</v>
      </c>
      <c r="AT141" s="1">
        <f t="shared" si="45"/>
        <v>56.231999999999999</v>
      </c>
      <c r="AU141" s="1">
        <f t="shared" si="45"/>
        <v>53.571428571428569</v>
      </c>
      <c r="AV141" s="1">
        <f t="shared" si="45"/>
        <v>58.022128085039206</v>
      </c>
      <c r="AW141" s="1">
        <f t="shared" si="45"/>
        <v>78.646153846153851</v>
      </c>
      <c r="AX141" s="1">
        <f t="shared" si="46"/>
        <v>145.34117647058824</v>
      </c>
      <c r="AY141" s="1">
        <f t="shared" si="46"/>
        <v>47.08727770177839</v>
      </c>
      <c r="AZ141" s="1">
        <f t="shared" si="46"/>
        <v>133.70360795592251</v>
      </c>
      <c r="BA141" s="1">
        <f t="shared" si="46"/>
        <v>3.2178116858129737</v>
      </c>
      <c r="BB141" s="1">
        <f t="shared" si="46"/>
        <v>98.871870193891226</v>
      </c>
      <c r="BC141" s="1">
        <f t="shared" si="46"/>
        <v>22.01271528243177</v>
      </c>
    </row>
    <row r="142" spans="1:55" x14ac:dyDescent="0.25">
      <c r="A142" s="15" t="s">
        <v>51</v>
      </c>
      <c r="B142" s="16" t="s">
        <v>52</v>
      </c>
      <c r="C142" s="2"/>
      <c r="F142" s="1">
        <f t="shared" si="44"/>
        <v>0</v>
      </c>
      <c r="G142" s="1">
        <f t="shared" si="44"/>
        <v>0</v>
      </c>
      <c r="H142" s="1">
        <f t="shared" si="44"/>
        <v>0</v>
      </c>
      <c r="I142" s="1">
        <f t="shared" si="44"/>
        <v>0</v>
      </c>
      <c r="J142" s="1">
        <f t="shared" si="44"/>
        <v>0</v>
      </c>
      <c r="K142" s="1">
        <f t="shared" si="44"/>
        <v>0</v>
      </c>
      <c r="L142" s="52">
        <f t="shared" si="44"/>
        <v>0</v>
      </c>
      <c r="M142" s="1">
        <f t="shared" si="44"/>
        <v>0</v>
      </c>
      <c r="N142" s="1">
        <f t="shared" si="44"/>
        <v>0</v>
      </c>
      <c r="O142" s="1">
        <f t="shared" si="44"/>
        <v>0</v>
      </c>
      <c r="P142" s="1">
        <f t="shared" si="44"/>
        <v>0</v>
      </c>
      <c r="Q142" s="1">
        <f t="shared" si="44"/>
        <v>0</v>
      </c>
      <c r="R142" s="1">
        <f t="shared" si="44"/>
        <v>0</v>
      </c>
      <c r="S142" s="1">
        <f t="shared" si="44"/>
        <v>0</v>
      </c>
      <c r="T142" s="1">
        <f t="shared" si="44"/>
        <v>0</v>
      </c>
      <c r="U142" s="1">
        <f t="shared" si="44"/>
        <v>0</v>
      </c>
      <c r="V142" s="1">
        <f t="shared" si="44"/>
        <v>0</v>
      </c>
      <c r="W142" s="1">
        <f t="shared" si="44"/>
        <v>0</v>
      </c>
      <c r="X142" s="54">
        <f t="shared" si="44"/>
        <v>0</v>
      </c>
      <c r="Y142" s="58">
        <f t="shared" si="44"/>
        <v>0</v>
      </c>
      <c r="Z142" s="1">
        <f t="shared" si="44"/>
        <v>0</v>
      </c>
      <c r="AA142" s="1">
        <f t="shared" si="44"/>
        <v>0</v>
      </c>
      <c r="AC142" s="15" t="s">
        <v>51</v>
      </c>
      <c r="AD142" s="16" t="s">
        <v>52</v>
      </c>
      <c r="AE142" s="2"/>
      <c r="AH142" s="1" t="str">
        <f t="shared" si="45"/>
        <v/>
      </c>
      <c r="AI142" s="1" t="str">
        <f t="shared" si="45"/>
        <v/>
      </c>
      <c r="AJ142" s="1" t="str">
        <f t="shared" si="45"/>
        <v/>
      </c>
      <c r="AK142" s="1" t="str">
        <f t="shared" si="45"/>
        <v/>
      </c>
      <c r="AL142" s="1" t="str">
        <f t="shared" si="45"/>
        <v/>
      </c>
      <c r="AM142" s="1" t="str">
        <f t="shared" si="45"/>
        <v/>
      </c>
      <c r="AN142" s="52" t="str">
        <f t="shared" si="45"/>
        <v/>
      </c>
      <c r="AO142" s="1" t="str">
        <f t="shared" si="45"/>
        <v/>
      </c>
      <c r="AP142" s="1" t="str">
        <f t="shared" si="45"/>
        <v/>
      </c>
      <c r="AQ142" s="1" t="str">
        <f t="shared" si="45"/>
        <v/>
      </c>
      <c r="AR142" s="1" t="str">
        <f t="shared" si="45"/>
        <v/>
      </c>
      <c r="AS142" s="1" t="str">
        <f t="shared" si="45"/>
        <v/>
      </c>
      <c r="AT142" s="1" t="str">
        <f t="shared" si="45"/>
        <v/>
      </c>
      <c r="AU142" s="1" t="str">
        <f t="shared" si="45"/>
        <v/>
      </c>
      <c r="AV142" s="1" t="str">
        <f t="shared" si="45"/>
        <v/>
      </c>
      <c r="AW142" s="1" t="str">
        <f t="shared" si="45"/>
        <v/>
      </c>
      <c r="AX142" s="1" t="str">
        <f t="shared" si="46"/>
        <v/>
      </c>
      <c r="AY142" s="1" t="str">
        <f t="shared" si="46"/>
        <v/>
      </c>
      <c r="AZ142" s="1" t="str">
        <f t="shared" si="46"/>
        <v/>
      </c>
      <c r="BA142" s="1" t="str">
        <f t="shared" si="46"/>
        <v/>
      </c>
      <c r="BB142" s="1" t="str">
        <f t="shared" si="46"/>
        <v/>
      </c>
      <c r="BC142" s="1" t="str">
        <f t="shared" si="46"/>
        <v/>
      </c>
    </row>
    <row r="143" spans="1:55" x14ac:dyDescent="0.25">
      <c r="A143" s="15" t="s">
        <v>51</v>
      </c>
      <c r="B143" s="16" t="s">
        <v>56</v>
      </c>
      <c r="C143" s="2"/>
      <c r="F143" s="1">
        <f t="shared" si="44"/>
        <v>0</v>
      </c>
      <c r="G143" s="1">
        <f t="shared" si="44"/>
        <v>0</v>
      </c>
      <c r="H143" s="1">
        <f t="shared" si="44"/>
        <v>0</v>
      </c>
      <c r="I143" s="1">
        <f t="shared" si="44"/>
        <v>0</v>
      </c>
      <c r="J143" s="1">
        <f t="shared" si="44"/>
        <v>0</v>
      </c>
      <c r="K143" s="1">
        <f t="shared" si="44"/>
        <v>0</v>
      </c>
      <c r="L143" s="52">
        <f t="shared" si="44"/>
        <v>0</v>
      </c>
      <c r="M143" s="1">
        <f t="shared" si="44"/>
        <v>0</v>
      </c>
      <c r="N143" s="1">
        <f t="shared" si="44"/>
        <v>0</v>
      </c>
      <c r="O143" s="1">
        <f t="shared" si="44"/>
        <v>0</v>
      </c>
      <c r="P143" s="1">
        <f t="shared" si="44"/>
        <v>0</v>
      </c>
      <c r="Q143" s="1">
        <f t="shared" si="44"/>
        <v>0</v>
      </c>
      <c r="R143" s="1">
        <f t="shared" si="44"/>
        <v>0</v>
      </c>
      <c r="S143" s="1">
        <f t="shared" si="44"/>
        <v>0</v>
      </c>
      <c r="T143" s="1">
        <f t="shared" si="44"/>
        <v>0</v>
      </c>
      <c r="U143" s="1">
        <f t="shared" si="44"/>
        <v>0</v>
      </c>
      <c r="V143" s="1">
        <f t="shared" si="44"/>
        <v>0</v>
      </c>
      <c r="W143" s="1">
        <f t="shared" si="44"/>
        <v>0</v>
      </c>
      <c r="X143" s="54">
        <f t="shared" si="44"/>
        <v>0</v>
      </c>
      <c r="Y143" s="58">
        <f t="shared" si="44"/>
        <v>0</v>
      </c>
      <c r="Z143" s="1">
        <f t="shared" si="44"/>
        <v>0</v>
      </c>
      <c r="AA143" s="1">
        <f t="shared" si="44"/>
        <v>0</v>
      </c>
      <c r="AC143" s="15" t="s">
        <v>51</v>
      </c>
      <c r="AD143" s="16" t="s">
        <v>56</v>
      </c>
      <c r="AE143" s="2"/>
      <c r="AH143" s="1" t="str">
        <f t="shared" si="45"/>
        <v/>
      </c>
      <c r="AI143" s="1" t="str">
        <f t="shared" si="45"/>
        <v/>
      </c>
      <c r="AJ143" s="1" t="str">
        <f t="shared" si="45"/>
        <v/>
      </c>
      <c r="AK143" s="1" t="str">
        <f t="shared" si="45"/>
        <v/>
      </c>
      <c r="AL143" s="1" t="str">
        <f t="shared" si="45"/>
        <v/>
      </c>
      <c r="AM143" s="1" t="str">
        <f t="shared" si="45"/>
        <v/>
      </c>
      <c r="AN143" s="52" t="str">
        <f t="shared" si="45"/>
        <v/>
      </c>
      <c r="AO143" s="1" t="str">
        <f t="shared" si="45"/>
        <v/>
      </c>
      <c r="AP143" s="1" t="str">
        <f t="shared" si="45"/>
        <v/>
      </c>
      <c r="AQ143" s="1" t="str">
        <f t="shared" si="45"/>
        <v/>
      </c>
      <c r="AR143" s="1" t="str">
        <f t="shared" si="45"/>
        <v/>
      </c>
      <c r="AS143" s="1" t="str">
        <f t="shared" si="45"/>
        <v/>
      </c>
      <c r="AT143" s="1" t="str">
        <f t="shared" si="45"/>
        <v/>
      </c>
      <c r="AU143" s="1" t="str">
        <f t="shared" si="45"/>
        <v/>
      </c>
      <c r="AV143" s="1" t="str">
        <f t="shared" si="45"/>
        <v/>
      </c>
      <c r="AW143" s="1" t="str">
        <f t="shared" si="45"/>
        <v/>
      </c>
      <c r="AX143" s="1" t="str">
        <f t="shared" si="46"/>
        <v/>
      </c>
      <c r="AY143" s="1" t="str">
        <f t="shared" si="46"/>
        <v/>
      </c>
      <c r="AZ143" s="1" t="str">
        <f t="shared" si="46"/>
        <v/>
      </c>
      <c r="BA143" s="1" t="str">
        <f t="shared" si="46"/>
        <v/>
      </c>
      <c r="BB143" s="1" t="str">
        <f t="shared" si="46"/>
        <v/>
      </c>
      <c r="BC143" s="1" t="str">
        <f t="shared" si="46"/>
        <v/>
      </c>
    </row>
    <row r="144" spans="1:55" x14ac:dyDescent="0.25">
      <c r="A144" s="15" t="s">
        <v>51</v>
      </c>
      <c r="B144" s="16" t="s">
        <v>9</v>
      </c>
      <c r="C144" s="2"/>
      <c r="F144" s="1">
        <f t="shared" si="44"/>
        <v>0</v>
      </c>
      <c r="G144" s="1">
        <f t="shared" si="44"/>
        <v>0</v>
      </c>
      <c r="H144" s="1">
        <f t="shared" si="44"/>
        <v>0</v>
      </c>
      <c r="I144" s="1">
        <f t="shared" si="44"/>
        <v>0</v>
      </c>
      <c r="J144" s="1">
        <f t="shared" si="44"/>
        <v>0</v>
      </c>
      <c r="K144" s="1">
        <f t="shared" si="44"/>
        <v>0</v>
      </c>
      <c r="L144" s="52">
        <f t="shared" si="44"/>
        <v>0</v>
      </c>
      <c r="M144" s="1">
        <f t="shared" si="44"/>
        <v>0</v>
      </c>
      <c r="N144" s="1">
        <f t="shared" si="44"/>
        <v>0</v>
      </c>
      <c r="O144" s="1">
        <f t="shared" si="44"/>
        <v>0</v>
      </c>
      <c r="P144" s="1">
        <f t="shared" si="44"/>
        <v>0</v>
      </c>
      <c r="Q144" s="1">
        <f t="shared" si="44"/>
        <v>0</v>
      </c>
      <c r="R144" s="1">
        <f t="shared" si="44"/>
        <v>0</v>
      </c>
      <c r="S144" s="1">
        <f t="shared" si="44"/>
        <v>0</v>
      </c>
      <c r="T144" s="1">
        <f t="shared" si="44"/>
        <v>0</v>
      </c>
      <c r="U144" s="1">
        <f t="shared" si="44"/>
        <v>0</v>
      </c>
      <c r="V144" s="1">
        <f t="shared" si="44"/>
        <v>0</v>
      </c>
      <c r="W144" s="1">
        <f t="shared" si="44"/>
        <v>0</v>
      </c>
      <c r="X144" s="54">
        <f t="shared" si="44"/>
        <v>0</v>
      </c>
      <c r="Y144" s="58">
        <f t="shared" si="44"/>
        <v>0</v>
      </c>
      <c r="Z144" s="1">
        <f t="shared" si="44"/>
        <v>0</v>
      </c>
      <c r="AA144" s="1">
        <f t="shared" si="44"/>
        <v>0</v>
      </c>
      <c r="AC144" s="15" t="s">
        <v>51</v>
      </c>
      <c r="AD144" s="16" t="s">
        <v>9</v>
      </c>
      <c r="AE144" s="2"/>
      <c r="AH144" s="1" t="str">
        <f t="shared" si="45"/>
        <v/>
      </c>
      <c r="AI144" s="1" t="str">
        <f t="shared" si="45"/>
        <v/>
      </c>
      <c r="AJ144" s="1" t="str">
        <f t="shared" si="45"/>
        <v/>
      </c>
      <c r="AK144" s="1" t="str">
        <f t="shared" si="45"/>
        <v/>
      </c>
      <c r="AL144" s="1" t="str">
        <f t="shared" si="45"/>
        <v/>
      </c>
      <c r="AM144" s="1" t="str">
        <f t="shared" si="45"/>
        <v/>
      </c>
      <c r="AN144" s="52" t="str">
        <f t="shared" si="45"/>
        <v/>
      </c>
      <c r="AO144" s="1" t="str">
        <f t="shared" si="45"/>
        <v/>
      </c>
      <c r="AP144" s="1" t="str">
        <f t="shared" si="45"/>
        <v/>
      </c>
      <c r="AQ144" s="1" t="str">
        <f t="shared" si="45"/>
        <v/>
      </c>
      <c r="AR144" s="1" t="str">
        <f t="shared" si="45"/>
        <v/>
      </c>
      <c r="AS144" s="1" t="str">
        <f t="shared" si="45"/>
        <v/>
      </c>
      <c r="AT144" s="1" t="str">
        <f t="shared" si="45"/>
        <v/>
      </c>
      <c r="AU144" s="1" t="str">
        <f t="shared" si="45"/>
        <v/>
      </c>
      <c r="AV144" s="1" t="str">
        <f t="shared" si="45"/>
        <v/>
      </c>
      <c r="AW144" s="1" t="str">
        <f t="shared" si="45"/>
        <v/>
      </c>
      <c r="AX144" s="1" t="str">
        <f t="shared" si="46"/>
        <v/>
      </c>
      <c r="AY144" s="1" t="str">
        <f t="shared" si="46"/>
        <v/>
      </c>
      <c r="AZ144" s="1" t="str">
        <f t="shared" si="46"/>
        <v/>
      </c>
      <c r="BA144" s="1" t="str">
        <f t="shared" si="46"/>
        <v/>
      </c>
      <c r="BB144" s="1" t="str">
        <f t="shared" si="46"/>
        <v/>
      </c>
      <c r="BC144" s="1" t="str">
        <f t="shared" si="46"/>
        <v/>
      </c>
    </row>
    <row r="145" spans="1:55" x14ac:dyDescent="0.25">
      <c r="A145" s="30" t="s">
        <v>60</v>
      </c>
      <c r="B145" s="32" t="s">
        <v>13</v>
      </c>
      <c r="C145" s="2"/>
      <c r="F145" s="51">
        <f t="shared" si="44"/>
        <v>50.666666666666664</v>
      </c>
      <c r="G145" s="51">
        <f t="shared" si="44"/>
        <v>23.2</v>
      </c>
      <c r="H145" s="51">
        <f t="shared" si="44"/>
        <v>6.86</v>
      </c>
      <c r="I145" s="51">
        <f t="shared" si="44"/>
        <v>28.999999999999996</v>
      </c>
      <c r="J145" s="51">
        <f t="shared" si="44"/>
        <v>48.75</v>
      </c>
      <c r="K145" s="51">
        <f t="shared" si="44"/>
        <v>29</v>
      </c>
      <c r="L145" s="52">
        <f t="shared" si="44"/>
        <v>0</v>
      </c>
      <c r="M145" s="51">
        <f t="shared" si="44"/>
        <v>400</v>
      </c>
      <c r="N145" s="51">
        <f t="shared" si="44"/>
        <v>780.64516129032256</v>
      </c>
      <c r="O145" s="51">
        <f t="shared" si="44"/>
        <v>8073</v>
      </c>
      <c r="P145" s="51">
        <f t="shared" si="44"/>
        <v>60416.666666666672</v>
      </c>
      <c r="Q145" s="51">
        <f t="shared" si="44"/>
        <v>940</v>
      </c>
      <c r="R145" s="51">
        <f t="shared" si="44"/>
        <v>426</v>
      </c>
      <c r="S145" s="51">
        <f t="shared" si="44"/>
        <v>0</v>
      </c>
      <c r="T145" s="51">
        <f t="shared" si="44"/>
        <v>426</v>
      </c>
      <c r="U145" s="51">
        <f t="shared" si="44"/>
        <v>426</v>
      </c>
      <c r="V145" s="51">
        <f t="shared" si="44"/>
        <v>426</v>
      </c>
      <c r="W145" s="51">
        <f t="shared" si="44"/>
        <v>426</v>
      </c>
      <c r="X145" s="55">
        <f t="shared" si="44"/>
        <v>426</v>
      </c>
      <c r="Y145" s="59">
        <f t="shared" si="44"/>
        <v>14.861286723689105</v>
      </c>
      <c r="Z145" s="51">
        <f t="shared" si="44"/>
        <v>2469.8903659887101</v>
      </c>
      <c r="AA145" s="51">
        <f t="shared" si="44"/>
        <v>96.26039806506823</v>
      </c>
      <c r="AC145" s="30" t="s">
        <v>60</v>
      </c>
      <c r="AD145" s="32" t="s">
        <v>13</v>
      </c>
      <c r="AE145" s="2"/>
      <c r="AH145" s="1">
        <f t="shared" si="45"/>
        <v>10.038218933333335</v>
      </c>
      <c r="AI145" s="1">
        <f t="shared" si="45"/>
        <v>5.5839755575924226</v>
      </c>
      <c r="AJ145" s="1">
        <f t="shared" si="45"/>
        <v>1.6675312500000001</v>
      </c>
      <c r="AK145" s="1">
        <f t="shared" si="45"/>
        <v>5.4674441205053448</v>
      </c>
      <c r="AL145" s="1">
        <f t="shared" si="45"/>
        <v>11.16</v>
      </c>
      <c r="AM145" s="1">
        <f t="shared" si="45"/>
        <v>4.2243333333333331</v>
      </c>
      <c r="AN145" s="52" t="str">
        <f t="shared" si="45"/>
        <v/>
      </c>
      <c r="AO145" s="1">
        <f t="shared" si="45"/>
        <v>100</v>
      </c>
      <c r="AP145" s="1">
        <f t="shared" si="45"/>
        <v>203.2258064516129</v>
      </c>
      <c r="AQ145" s="1">
        <f t="shared" si="45"/>
        <v>1800</v>
      </c>
      <c r="AR145" s="1">
        <f t="shared" si="45"/>
        <v>2750</v>
      </c>
      <c r="AS145" s="1">
        <f t="shared" si="45"/>
        <v>263.2</v>
      </c>
      <c r="AT145" s="1">
        <f t="shared" si="45"/>
        <v>127.79999999999998</v>
      </c>
      <c r="AU145" s="1" t="str">
        <f t="shared" si="45"/>
        <v/>
      </c>
      <c r="AV145" s="1">
        <f t="shared" si="45"/>
        <v>127.79999999999998</v>
      </c>
      <c r="AW145" s="1">
        <f t="shared" si="45"/>
        <v>127.8</v>
      </c>
      <c r="AX145" s="1">
        <f t="shared" si="46"/>
        <v>511.2</v>
      </c>
      <c r="AY145" s="1">
        <f t="shared" si="46"/>
        <v>340.8</v>
      </c>
      <c r="AZ145" s="1">
        <f t="shared" si="46"/>
        <v>213</v>
      </c>
      <c r="BA145" s="1">
        <f t="shared" si="46"/>
        <v>3.1981869969556072</v>
      </c>
      <c r="BB145" s="1">
        <f t="shared" si="46"/>
        <v>256.82977907785016</v>
      </c>
      <c r="BC145" s="1">
        <f t="shared" si="46"/>
        <v>11.607613336485866</v>
      </c>
    </row>
    <row r="146" spans="1:55" x14ac:dyDescent="0.25">
      <c r="A146" s="30" t="s">
        <v>60</v>
      </c>
      <c r="B146" s="31" t="s">
        <v>23</v>
      </c>
      <c r="C146" s="2"/>
      <c r="F146" s="51">
        <f t="shared" si="44"/>
        <v>0</v>
      </c>
      <c r="G146" s="51">
        <f t="shared" si="44"/>
        <v>0</v>
      </c>
      <c r="H146" s="51">
        <f t="shared" si="44"/>
        <v>0</v>
      </c>
      <c r="I146" s="51">
        <f t="shared" si="44"/>
        <v>0</v>
      </c>
      <c r="J146" s="51">
        <f t="shared" si="44"/>
        <v>40</v>
      </c>
      <c r="K146" s="51">
        <f t="shared" si="44"/>
        <v>2.2000000000000002</v>
      </c>
      <c r="L146" s="52">
        <f t="shared" si="44"/>
        <v>0</v>
      </c>
      <c r="M146" s="51">
        <f t="shared" si="44"/>
        <v>0</v>
      </c>
      <c r="N146" s="51">
        <f t="shared" si="44"/>
        <v>7920</v>
      </c>
      <c r="O146" s="51">
        <f t="shared" si="44"/>
        <v>0</v>
      </c>
      <c r="P146" s="51">
        <f t="shared" si="44"/>
        <v>0</v>
      </c>
      <c r="Q146" s="51">
        <f t="shared" si="44"/>
        <v>0</v>
      </c>
      <c r="R146" s="51">
        <f t="shared" si="44"/>
        <v>0</v>
      </c>
      <c r="S146" s="51">
        <f t="shared" si="44"/>
        <v>100</v>
      </c>
      <c r="T146" s="51">
        <f t="shared" si="44"/>
        <v>406</v>
      </c>
      <c r="U146" s="51">
        <f t="shared" si="44"/>
        <v>0</v>
      </c>
      <c r="V146" s="51">
        <f t="shared" si="44"/>
        <v>0</v>
      </c>
      <c r="W146" s="51">
        <f t="shared" si="44"/>
        <v>0</v>
      </c>
      <c r="X146" s="55">
        <f t="shared" si="44"/>
        <v>100</v>
      </c>
      <c r="Y146" s="59">
        <f t="shared" si="44"/>
        <v>6.7195652173913052</v>
      </c>
      <c r="Z146" s="51">
        <f t="shared" si="44"/>
        <v>817.89045320122329</v>
      </c>
      <c r="AA146" s="51">
        <f t="shared" si="44"/>
        <v>25.191247872385574</v>
      </c>
      <c r="AC146" s="30" t="s">
        <v>60</v>
      </c>
      <c r="AD146" s="31" t="s">
        <v>23</v>
      </c>
      <c r="AE146" s="2"/>
      <c r="AH146" s="1" t="str">
        <f t="shared" si="45"/>
        <v/>
      </c>
      <c r="AI146" s="1" t="str">
        <f t="shared" si="45"/>
        <v/>
      </c>
      <c r="AJ146" s="1" t="str">
        <f t="shared" si="45"/>
        <v/>
      </c>
      <c r="AK146" s="1" t="str">
        <f t="shared" si="45"/>
        <v/>
      </c>
      <c r="AL146" s="1">
        <f t="shared" si="45"/>
        <v>8.9280000000000008</v>
      </c>
      <c r="AM146" s="1">
        <f t="shared" si="45"/>
        <v>1.7480493827160497</v>
      </c>
      <c r="AN146" s="52" t="str">
        <f t="shared" si="45"/>
        <v/>
      </c>
      <c r="AO146" s="1" t="str">
        <f t="shared" si="45"/>
        <v/>
      </c>
      <c r="AP146" s="1">
        <f t="shared" si="45"/>
        <v>2550</v>
      </c>
      <c r="AQ146" s="1" t="str">
        <f t="shared" si="45"/>
        <v/>
      </c>
      <c r="AR146" s="1" t="str">
        <f t="shared" si="45"/>
        <v/>
      </c>
      <c r="AS146" s="1" t="str">
        <f t="shared" si="45"/>
        <v/>
      </c>
      <c r="AT146" s="1" t="str">
        <f t="shared" si="45"/>
        <v/>
      </c>
      <c r="AU146" s="1">
        <f t="shared" si="45"/>
        <v>53.571428571428569</v>
      </c>
      <c r="AV146" s="1">
        <f t="shared" si="45"/>
        <v>162.4</v>
      </c>
      <c r="AW146" s="1" t="str">
        <f t="shared" si="45"/>
        <v/>
      </c>
      <c r="AX146" s="1" t="str">
        <f t="shared" si="46"/>
        <v/>
      </c>
      <c r="AY146" s="1" t="str">
        <f t="shared" si="46"/>
        <v/>
      </c>
      <c r="AZ146" s="1">
        <f t="shared" si="46"/>
        <v>90</v>
      </c>
      <c r="BA146" s="1">
        <f t="shared" si="46"/>
        <v>2.6065217391304349</v>
      </c>
      <c r="BB146" s="1">
        <f t="shared" si="46"/>
        <v>296.31852993959001</v>
      </c>
      <c r="BC146" s="1">
        <f t="shared" si="46"/>
        <v>9.2948226727656422</v>
      </c>
    </row>
    <row r="147" spans="1:55" x14ac:dyDescent="0.25">
      <c r="A147" s="30" t="s">
        <v>60</v>
      </c>
      <c r="B147" s="31" t="s">
        <v>65</v>
      </c>
      <c r="C147" s="46"/>
      <c r="F147" s="51">
        <f t="shared" si="44"/>
        <v>0</v>
      </c>
      <c r="G147" s="51">
        <f t="shared" si="44"/>
        <v>0</v>
      </c>
      <c r="H147" s="51">
        <f t="shared" si="44"/>
        <v>0</v>
      </c>
      <c r="I147" s="51">
        <f t="shared" si="44"/>
        <v>0</v>
      </c>
      <c r="J147" s="51">
        <f t="shared" si="44"/>
        <v>56</v>
      </c>
      <c r="K147" s="51">
        <f t="shared" si="44"/>
        <v>0</v>
      </c>
      <c r="L147" s="52">
        <f t="shared" si="44"/>
        <v>750</v>
      </c>
      <c r="M147" s="51">
        <f t="shared" si="44"/>
        <v>300</v>
      </c>
      <c r="N147" s="51">
        <f t="shared" si="44"/>
        <v>0</v>
      </c>
      <c r="O147" s="51">
        <f t="shared" si="44"/>
        <v>0</v>
      </c>
      <c r="P147" s="51">
        <f t="shared" si="44"/>
        <v>0</v>
      </c>
      <c r="Q147" s="51">
        <f t="shared" si="44"/>
        <v>940</v>
      </c>
      <c r="R147" s="51">
        <f t="shared" si="44"/>
        <v>426</v>
      </c>
      <c r="S147" s="51">
        <f t="shared" si="44"/>
        <v>0</v>
      </c>
      <c r="T147" s="51">
        <f t="shared" si="44"/>
        <v>426</v>
      </c>
      <c r="U147" s="51">
        <f t="shared" si="44"/>
        <v>426</v>
      </c>
      <c r="V147" s="51">
        <f t="shared" si="44"/>
        <v>426.00000000000006</v>
      </c>
      <c r="W147" s="51">
        <f t="shared" si="44"/>
        <v>426.00000000000006</v>
      </c>
      <c r="X147" s="55">
        <f t="shared" si="44"/>
        <v>426.00000000000006</v>
      </c>
      <c r="Y147" s="59">
        <f t="shared" si="44"/>
        <v>56</v>
      </c>
      <c r="Z147" s="51">
        <f t="shared" si="44"/>
        <v>476.66283205064968</v>
      </c>
      <c r="AA147" s="51">
        <f>IF(AA192&gt;0,AB12/AA192,0)</f>
        <v>560.32624627816358</v>
      </c>
      <c r="AC147" s="30" t="s">
        <v>60</v>
      </c>
      <c r="AD147" s="31" t="s">
        <v>65</v>
      </c>
      <c r="AE147" s="46"/>
      <c r="AH147" s="1" t="str">
        <f t="shared" si="45"/>
        <v/>
      </c>
      <c r="AI147" s="1" t="str">
        <f t="shared" si="45"/>
        <v/>
      </c>
      <c r="AJ147" s="1" t="str">
        <f t="shared" si="45"/>
        <v/>
      </c>
      <c r="AK147" s="1" t="str">
        <f t="shared" si="45"/>
        <v/>
      </c>
      <c r="AL147" s="1">
        <f t="shared" si="45"/>
        <v>6.7199999999999989</v>
      </c>
      <c r="AM147" s="1" t="str">
        <f t="shared" si="45"/>
        <v/>
      </c>
      <c r="AN147" s="52">
        <f t="shared" si="45"/>
        <v>63.750000000000007</v>
      </c>
      <c r="AO147" s="1">
        <f t="shared" si="45"/>
        <v>24</v>
      </c>
      <c r="AP147" s="1" t="str">
        <f t="shared" si="45"/>
        <v/>
      </c>
      <c r="AQ147" s="1" t="str">
        <f t="shared" si="45"/>
        <v/>
      </c>
      <c r="AR147" s="1" t="str">
        <f t="shared" si="45"/>
        <v/>
      </c>
      <c r="AS147" s="1">
        <f t="shared" si="45"/>
        <v>84.600000000000009</v>
      </c>
      <c r="AT147" s="1">
        <f t="shared" si="45"/>
        <v>42.6</v>
      </c>
      <c r="AU147" s="1" t="str">
        <f t="shared" si="45"/>
        <v/>
      </c>
      <c r="AV147" s="1">
        <f t="shared" si="45"/>
        <v>51.120000000000005</v>
      </c>
      <c r="AW147" s="1">
        <f t="shared" si="45"/>
        <v>46.86</v>
      </c>
      <c r="AX147" s="1">
        <f t="shared" si="46"/>
        <v>63.900000000000006</v>
      </c>
      <c r="AY147" s="1">
        <f t="shared" si="46"/>
        <v>42.6</v>
      </c>
      <c r="AZ147" s="1">
        <f t="shared" si="46"/>
        <v>63.900000000000006</v>
      </c>
      <c r="BA147" s="1">
        <f t="shared" si="46"/>
        <v>6.7199999999999989</v>
      </c>
      <c r="BB147" s="1">
        <f t="shared" si="46"/>
        <v>49.218685828816724</v>
      </c>
      <c r="BC147" s="1">
        <f t="shared" si="46"/>
        <v>49.604310871960287</v>
      </c>
    </row>
    <row r="148" spans="1:55" ht="15.75" thickBot="1" x14ac:dyDescent="0.3">
      <c r="A148" s="48" t="s">
        <v>60</v>
      </c>
      <c r="B148" s="49" t="s">
        <v>9</v>
      </c>
      <c r="C148" s="50"/>
      <c r="D148" s="50"/>
      <c r="E148" s="50"/>
      <c r="F148" s="53">
        <f t="shared" si="44"/>
        <v>0</v>
      </c>
      <c r="G148" s="53">
        <f t="shared" si="44"/>
        <v>0</v>
      </c>
      <c r="H148" s="53">
        <f t="shared" si="44"/>
        <v>0</v>
      </c>
      <c r="I148" s="53">
        <f t="shared" si="44"/>
        <v>0</v>
      </c>
      <c r="J148" s="53">
        <f t="shared" si="44"/>
        <v>0</v>
      </c>
      <c r="K148" s="53">
        <f t="shared" si="44"/>
        <v>0</v>
      </c>
      <c r="L148" s="62">
        <f t="shared" si="44"/>
        <v>0</v>
      </c>
      <c r="M148" s="53">
        <f t="shared" si="44"/>
        <v>0</v>
      </c>
      <c r="N148" s="53">
        <f t="shared" si="44"/>
        <v>0</v>
      </c>
      <c r="O148" s="53">
        <f t="shared" si="44"/>
        <v>0</v>
      </c>
      <c r="P148" s="53">
        <f t="shared" si="44"/>
        <v>0</v>
      </c>
      <c r="Q148" s="53">
        <f t="shared" si="44"/>
        <v>0</v>
      </c>
      <c r="R148" s="53">
        <f t="shared" si="44"/>
        <v>0</v>
      </c>
      <c r="S148" s="53">
        <f t="shared" si="44"/>
        <v>0</v>
      </c>
      <c r="T148" s="53">
        <f t="shared" si="44"/>
        <v>0</v>
      </c>
      <c r="U148" s="53">
        <f t="shared" si="44"/>
        <v>0</v>
      </c>
      <c r="V148" s="53">
        <f t="shared" si="44"/>
        <v>0</v>
      </c>
      <c r="W148" s="53">
        <f t="shared" si="44"/>
        <v>0</v>
      </c>
      <c r="X148" s="56">
        <f t="shared" si="44"/>
        <v>426</v>
      </c>
      <c r="Y148" s="60">
        <f t="shared" si="44"/>
        <v>0</v>
      </c>
      <c r="Z148" s="53">
        <f t="shared" si="44"/>
        <v>658.596</v>
      </c>
      <c r="AA148" s="53">
        <f t="shared" si="44"/>
        <v>328.02</v>
      </c>
      <c r="AC148" s="48" t="s">
        <v>60</v>
      </c>
      <c r="AD148" s="49" t="s">
        <v>9</v>
      </c>
      <c r="AE148" s="50"/>
      <c r="AF148" s="50"/>
      <c r="AG148" s="50"/>
      <c r="AH148" s="1" t="str">
        <f t="shared" si="45"/>
        <v/>
      </c>
      <c r="AI148" s="1" t="str">
        <f t="shared" si="45"/>
        <v/>
      </c>
      <c r="AJ148" s="1" t="str">
        <f t="shared" si="45"/>
        <v/>
      </c>
      <c r="AK148" s="1" t="str">
        <f t="shared" si="45"/>
        <v/>
      </c>
      <c r="AL148" s="1" t="str">
        <f t="shared" si="45"/>
        <v/>
      </c>
      <c r="AM148" s="1" t="str">
        <f t="shared" si="45"/>
        <v/>
      </c>
      <c r="AN148" s="52" t="str">
        <f t="shared" si="45"/>
        <v/>
      </c>
      <c r="AO148" s="1" t="str">
        <f t="shared" si="45"/>
        <v/>
      </c>
      <c r="AP148" s="1" t="str">
        <f t="shared" si="45"/>
        <v/>
      </c>
      <c r="AQ148" s="1" t="str">
        <f t="shared" si="45"/>
        <v/>
      </c>
      <c r="AR148" s="1" t="str">
        <f t="shared" si="45"/>
        <v/>
      </c>
      <c r="AS148" s="1" t="str">
        <f t="shared" si="45"/>
        <v/>
      </c>
      <c r="AT148" s="1" t="str">
        <f t="shared" si="45"/>
        <v/>
      </c>
      <c r="AU148" s="1" t="str">
        <f t="shared" si="45"/>
        <v/>
      </c>
      <c r="AV148" s="1" t="str">
        <f t="shared" si="45"/>
        <v/>
      </c>
      <c r="AW148" s="1" t="str">
        <f t="shared" si="45"/>
        <v/>
      </c>
      <c r="AX148" s="1" t="str">
        <f t="shared" si="46"/>
        <v/>
      </c>
      <c r="AY148" s="1" t="str">
        <f t="shared" si="46"/>
        <v/>
      </c>
      <c r="AZ148" s="1">
        <f t="shared" si="46"/>
        <v>178.92</v>
      </c>
      <c r="BA148" s="1" t="str">
        <f t="shared" si="46"/>
        <v/>
      </c>
      <c r="BB148" s="1">
        <f t="shared" si="46"/>
        <v>351.87599999999998</v>
      </c>
      <c r="BC148" s="1">
        <f t="shared" si="46"/>
        <v>164.01</v>
      </c>
    </row>
    <row r="149" spans="1:55" ht="15.75" thickTop="1" x14ac:dyDescent="0.25">
      <c r="A149" s="15" t="s">
        <v>51</v>
      </c>
      <c r="B149" s="16" t="s">
        <v>52</v>
      </c>
      <c r="C149" s="16" t="s">
        <v>53</v>
      </c>
      <c r="D149" s="2"/>
      <c r="E149" s="2"/>
      <c r="F149" s="47">
        <f t="shared" si="44"/>
        <v>0</v>
      </c>
      <c r="G149" s="47">
        <f t="shared" si="44"/>
        <v>0</v>
      </c>
      <c r="H149" s="47">
        <f t="shared" si="44"/>
        <v>0</v>
      </c>
      <c r="I149" s="47">
        <f t="shared" si="44"/>
        <v>0</v>
      </c>
      <c r="J149" s="47">
        <f t="shared" si="44"/>
        <v>0</v>
      </c>
      <c r="K149" s="47">
        <f t="shared" si="44"/>
        <v>0</v>
      </c>
      <c r="L149" s="63">
        <f t="shared" si="44"/>
        <v>0</v>
      </c>
      <c r="M149" s="47">
        <f t="shared" si="44"/>
        <v>0</v>
      </c>
      <c r="N149" s="47">
        <f t="shared" si="44"/>
        <v>0</v>
      </c>
      <c r="O149" s="47">
        <f t="shared" si="44"/>
        <v>0</v>
      </c>
      <c r="P149" s="47">
        <f t="shared" si="44"/>
        <v>0</v>
      </c>
      <c r="Q149" s="47">
        <f t="shared" si="44"/>
        <v>0</v>
      </c>
      <c r="R149" s="47">
        <f t="shared" si="44"/>
        <v>0</v>
      </c>
      <c r="S149" s="47">
        <f t="shared" si="44"/>
        <v>0</v>
      </c>
      <c r="T149" s="47">
        <f t="shared" si="44"/>
        <v>0</v>
      </c>
      <c r="U149" s="47">
        <f t="shared" si="44"/>
        <v>0</v>
      </c>
      <c r="V149" s="47">
        <f t="shared" si="44"/>
        <v>0</v>
      </c>
      <c r="W149" s="47">
        <f t="shared" si="44"/>
        <v>0</v>
      </c>
      <c r="X149" s="57">
        <f t="shared" si="44"/>
        <v>0</v>
      </c>
      <c r="Y149" s="61">
        <f t="shared" si="44"/>
        <v>0</v>
      </c>
      <c r="Z149" s="47">
        <f t="shared" si="44"/>
        <v>0</v>
      </c>
      <c r="AA149" s="47">
        <f t="shared" si="44"/>
        <v>0</v>
      </c>
      <c r="AC149" s="15" t="s">
        <v>51</v>
      </c>
      <c r="AD149" s="16" t="s">
        <v>52</v>
      </c>
      <c r="AE149" s="16" t="s">
        <v>53</v>
      </c>
      <c r="AF149" s="2"/>
      <c r="AG149" s="2"/>
      <c r="AH149" s="90" t="str">
        <f t="shared" si="45"/>
        <v/>
      </c>
      <c r="AI149" s="90" t="str">
        <f t="shared" si="45"/>
        <v/>
      </c>
      <c r="AJ149" s="90" t="str">
        <f t="shared" si="45"/>
        <v/>
      </c>
      <c r="AK149" s="90" t="str">
        <f t="shared" si="45"/>
        <v/>
      </c>
      <c r="AL149" s="90" t="str">
        <f t="shared" si="45"/>
        <v/>
      </c>
      <c r="AM149" s="90" t="str">
        <f t="shared" si="45"/>
        <v/>
      </c>
      <c r="AN149" s="90" t="str">
        <f t="shared" si="45"/>
        <v/>
      </c>
      <c r="AO149" s="90" t="str">
        <f t="shared" si="45"/>
        <v/>
      </c>
      <c r="AP149" s="90" t="str">
        <f t="shared" si="45"/>
        <v/>
      </c>
      <c r="AQ149" s="90" t="str">
        <f t="shared" si="45"/>
        <v/>
      </c>
      <c r="AR149" s="90" t="str">
        <f t="shared" si="45"/>
        <v/>
      </c>
      <c r="AS149" s="90" t="str">
        <f t="shared" si="45"/>
        <v/>
      </c>
      <c r="AT149" s="90" t="str">
        <f t="shared" si="45"/>
        <v/>
      </c>
      <c r="AU149" s="90" t="str">
        <f t="shared" si="45"/>
        <v/>
      </c>
      <c r="AV149" s="90" t="str">
        <f t="shared" si="45"/>
        <v/>
      </c>
      <c r="AW149" s="90" t="str">
        <f t="shared" si="45"/>
        <v/>
      </c>
      <c r="AX149" s="90" t="str">
        <f t="shared" si="46"/>
        <v/>
      </c>
      <c r="AY149" s="90" t="str">
        <f t="shared" si="46"/>
        <v/>
      </c>
      <c r="AZ149" s="90" t="str">
        <f t="shared" si="46"/>
        <v/>
      </c>
      <c r="BA149" s="90" t="str">
        <f t="shared" si="46"/>
        <v/>
      </c>
      <c r="BB149" s="90" t="str">
        <f t="shared" si="46"/>
        <v/>
      </c>
      <c r="BC149" s="90" t="str">
        <f t="shared" si="46"/>
        <v/>
      </c>
    </row>
    <row r="150" spans="1:55" x14ac:dyDescent="0.25">
      <c r="A150" s="15" t="s">
        <v>51</v>
      </c>
      <c r="B150" s="16" t="s">
        <v>52</v>
      </c>
      <c r="C150" s="16" t="s">
        <v>54</v>
      </c>
      <c r="D150" s="2"/>
      <c r="E150" s="2"/>
      <c r="F150" s="1">
        <f t="shared" si="44"/>
        <v>0</v>
      </c>
      <c r="G150" s="1">
        <f t="shared" si="44"/>
        <v>0</v>
      </c>
      <c r="H150" s="1">
        <f t="shared" si="44"/>
        <v>0</v>
      </c>
      <c r="I150" s="1">
        <f t="shared" si="44"/>
        <v>0</v>
      </c>
      <c r="J150" s="1">
        <f t="shared" si="44"/>
        <v>0</v>
      </c>
      <c r="K150" s="1">
        <f t="shared" si="44"/>
        <v>0</v>
      </c>
      <c r="L150" s="52">
        <f t="shared" si="44"/>
        <v>0</v>
      </c>
      <c r="M150" s="1">
        <f t="shared" si="44"/>
        <v>0</v>
      </c>
      <c r="N150" s="1">
        <f t="shared" si="44"/>
        <v>0</v>
      </c>
      <c r="O150" s="1">
        <f t="shared" si="44"/>
        <v>0</v>
      </c>
      <c r="P150" s="1">
        <f t="shared" si="44"/>
        <v>0</v>
      </c>
      <c r="Q150" s="1">
        <f t="shared" si="44"/>
        <v>0</v>
      </c>
      <c r="R150" s="1">
        <f t="shared" si="44"/>
        <v>0</v>
      </c>
      <c r="S150" s="1">
        <f t="shared" si="44"/>
        <v>0</v>
      </c>
      <c r="T150" s="1">
        <f t="shared" si="44"/>
        <v>0</v>
      </c>
      <c r="U150" s="1">
        <f t="shared" si="44"/>
        <v>0</v>
      </c>
      <c r="V150" s="1">
        <f t="shared" si="44"/>
        <v>0</v>
      </c>
      <c r="W150" s="1">
        <f t="shared" si="44"/>
        <v>0</v>
      </c>
      <c r="X150" s="54">
        <f t="shared" si="44"/>
        <v>0</v>
      </c>
      <c r="Y150" s="58">
        <f t="shared" si="44"/>
        <v>0</v>
      </c>
      <c r="Z150" s="1">
        <f t="shared" si="44"/>
        <v>0</v>
      </c>
      <c r="AA150" s="1">
        <f t="shared" si="44"/>
        <v>0</v>
      </c>
      <c r="AC150" s="15" t="s">
        <v>51</v>
      </c>
      <c r="AD150" s="16" t="s">
        <v>52</v>
      </c>
      <c r="AE150" s="16" t="s">
        <v>54</v>
      </c>
      <c r="AF150" s="2"/>
      <c r="AG150" s="2"/>
      <c r="AH150" s="90" t="str">
        <f t="shared" si="45"/>
        <v/>
      </c>
      <c r="AI150" s="90" t="str">
        <f t="shared" si="45"/>
        <v/>
      </c>
      <c r="AJ150" s="90" t="str">
        <f t="shared" si="45"/>
        <v/>
      </c>
      <c r="AK150" s="90" t="str">
        <f t="shared" si="45"/>
        <v/>
      </c>
      <c r="AL150" s="90" t="str">
        <f t="shared" si="45"/>
        <v/>
      </c>
      <c r="AM150" s="90" t="str">
        <f t="shared" si="45"/>
        <v/>
      </c>
      <c r="AN150" s="90" t="str">
        <f t="shared" si="45"/>
        <v/>
      </c>
      <c r="AO150" s="90" t="str">
        <f t="shared" si="45"/>
        <v/>
      </c>
      <c r="AP150" s="90" t="str">
        <f t="shared" si="45"/>
        <v/>
      </c>
      <c r="AQ150" s="90" t="str">
        <f t="shared" si="45"/>
        <v/>
      </c>
      <c r="AR150" s="90" t="str">
        <f t="shared" si="45"/>
        <v/>
      </c>
      <c r="AS150" s="90" t="str">
        <f t="shared" si="45"/>
        <v/>
      </c>
      <c r="AT150" s="90" t="str">
        <f t="shared" si="45"/>
        <v/>
      </c>
      <c r="AU150" s="90" t="str">
        <f t="shared" si="45"/>
        <v/>
      </c>
      <c r="AV150" s="90" t="str">
        <f t="shared" si="45"/>
        <v/>
      </c>
      <c r="AW150" s="90" t="str">
        <f t="shared" si="45"/>
        <v/>
      </c>
      <c r="AX150" s="90" t="str">
        <f t="shared" si="46"/>
        <v/>
      </c>
      <c r="AY150" s="90" t="str">
        <f t="shared" si="46"/>
        <v/>
      </c>
      <c r="AZ150" s="90" t="str">
        <f t="shared" si="46"/>
        <v/>
      </c>
      <c r="BA150" s="90" t="str">
        <f t="shared" si="46"/>
        <v/>
      </c>
      <c r="BB150" s="90" t="str">
        <f t="shared" si="46"/>
        <v/>
      </c>
      <c r="BC150" s="90" t="str">
        <f t="shared" si="46"/>
        <v/>
      </c>
    </row>
    <row r="151" spans="1:55" x14ac:dyDescent="0.25">
      <c r="A151" s="15" t="s">
        <v>51</v>
      </c>
      <c r="B151" s="16" t="s">
        <v>52</v>
      </c>
      <c r="C151" s="16" t="s">
        <v>55</v>
      </c>
      <c r="D151" s="2"/>
      <c r="E151" s="2"/>
      <c r="F151" s="1">
        <f t="shared" si="44"/>
        <v>0</v>
      </c>
      <c r="G151" s="1">
        <f t="shared" si="44"/>
        <v>0</v>
      </c>
      <c r="H151" s="1">
        <f t="shared" si="44"/>
        <v>0</v>
      </c>
      <c r="I151" s="1">
        <f t="shared" si="44"/>
        <v>0</v>
      </c>
      <c r="J151" s="1">
        <f t="shared" si="44"/>
        <v>0</v>
      </c>
      <c r="K151" s="1">
        <f t="shared" si="44"/>
        <v>0</v>
      </c>
      <c r="L151" s="52">
        <f t="shared" si="44"/>
        <v>0</v>
      </c>
      <c r="M151" s="1">
        <f t="shared" si="44"/>
        <v>0</v>
      </c>
      <c r="N151" s="1">
        <f t="shared" si="44"/>
        <v>0</v>
      </c>
      <c r="O151" s="1">
        <f t="shared" si="44"/>
        <v>0</v>
      </c>
      <c r="P151" s="1">
        <f t="shared" si="44"/>
        <v>0</v>
      </c>
      <c r="Q151" s="1">
        <f t="shared" si="44"/>
        <v>0</v>
      </c>
      <c r="R151" s="1">
        <f t="shared" si="44"/>
        <v>0</v>
      </c>
      <c r="S151" s="1">
        <f t="shared" si="44"/>
        <v>0</v>
      </c>
      <c r="T151" s="1">
        <f t="shared" ref="G151:AA165" si="47">IF(T196&gt;0,T16/T196,0)</f>
        <v>0</v>
      </c>
      <c r="U151" s="1">
        <f t="shared" si="47"/>
        <v>0</v>
      </c>
      <c r="V151" s="1">
        <f t="shared" si="47"/>
        <v>0</v>
      </c>
      <c r="W151" s="1">
        <f t="shared" si="47"/>
        <v>0</v>
      </c>
      <c r="X151" s="54">
        <f t="shared" si="47"/>
        <v>0</v>
      </c>
      <c r="Y151" s="58">
        <f t="shared" si="47"/>
        <v>0</v>
      </c>
      <c r="Z151" s="1">
        <f t="shared" si="47"/>
        <v>0</v>
      </c>
      <c r="AA151" s="1">
        <f t="shared" si="47"/>
        <v>0</v>
      </c>
      <c r="AC151" s="15" t="s">
        <v>51</v>
      </c>
      <c r="AD151" s="16" t="s">
        <v>52</v>
      </c>
      <c r="AE151" s="16" t="s">
        <v>55</v>
      </c>
      <c r="AF151" s="2"/>
      <c r="AG151" s="2"/>
      <c r="AH151" s="90" t="str">
        <f t="shared" si="45"/>
        <v/>
      </c>
      <c r="AI151" s="90" t="str">
        <f t="shared" si="45"/>
        <v/>
      </c>
      <c r="AJ151" s="90" t="str">
        <f t="shared" si="45"/>
        <v/>
      </c>
      <c r="AK151" s="90" t="str">
        <f t="shared" si="45"/>
        <v/>
      </c>
      <c r="AL151" s="90" t="str">
        <f t="shared" si="45"/>
        <v/>
      </c>
      <c r="AM151" s="90" t="str">
        <f t="shared" si="45"/>
        <v/>
      </c>
      <c r="AN151" s="90" t="str">
        <f t="shared" si="45"/>
        <v/>
      </c>
      <c r="AO151" s="90" t="str">
        <f t="shared" si="45"/>
        <v/>
      </c>
      <c r="AP151" s="90" t="str">
        <f t="shared" si="45"/>
        <v/>
      </c>
      <c r="AQ151" s="90" t="str">
        <f t="shared" si="45"/>
        <v/>
      </c>
      <c r="AR151" s="90" t="str">
        <f t="shared" si="45"/>
        <v/>
      </c>
      <c r="AS151" s="90" t="str">
        <f t="shared" si="45"/>
        <v/>
      </c>
      <c r="AT151" s="90" t="str">
        <f t="shared" si="45"/>
        <v/>
      </c>
      <c r="AU151" s="90" t="str">
        <f t="shared" si="45"/>
        <v/>
      </c>
      <c r="AV151" s="90" t="str">
        <f t="shared" si="45"/>
        <v/>
      </c>
      <c r="AW151" s="90" t="str">
        <f t="shared" si="45"/>
        <v/>
      </c>
      <c r="AX151" s="90" t="str">
        <f t="shared" si="46"/>
        <v/>
      </c>
      <c r="AY151" s="90" t="str">
        <f t="shared" si="46"/>
        <v/>
      </c>
      <c r="AZ151" s="90" t="str">
        <f t="shared" si="46"/>
        <v/>
      </c>
      <c r="BA151" s="90" t="str">
        <f t="shared" si="46"/>
        <v/>
      </c>
      <c r="BB151" s="90" t="str">
        <f t="shared" si="46"/>
        <v/>
      </c>
      <c r="BC151" s="90" t="str">
        <f t="shared" si="46"/>
        <v/>
      </c>
    </row>
    <row r="152" spans="1:55" x14ac:dyDescent="0.25">
      <c r="A152" s="25" t="s">
        <v>51</v>
      </c>
      <c r="B152" s="26" t="s">
        <v>56</v>
      </c>
      <c r="C152" s="26" t="s">
        <v>57</v>
      </c>
      <c r="D152" s="2"/>
      <c r="E152" s="2"/>
      <c r="F152" s="1">
        <f t="shared" ref="F152:F170" si="48">IF(F197&gt;0,F17/F197,0)</f>
        <v>0</v>
      </c>
      <c r="G152" s="1">
        <f t="shared" si="47"/>
        <v>0</v>
      </c>
      <c r="H152" s="1">
        <f t="shared" si="47"/>
        <v>0</v>
      </c>
      <c r="I152" s="1">
        <f t="shared" si="47"/>
        <v>0</v>
      </c>
      <c r="J152" s="1">
        <f t="shared" si="47"/>
        <v>0</v>
      </c>
      <c r="K152" s="1">
        <f t="shared" si="47"/>
        <v>0</v>
      </c>
      <c r="L152" s="52">
        <f t="shared" si="47"/>
        <v>0</v>
      </c>
      <c r="M152" s="1">
        <f t="shared" si="47"/>
        <v>0</v>
      </c>
      <c r="N152" s="1">
        <f t="shared" si="47"/>
        <v>0</v>
      </c>
      <c r="O152" s="1">
        <f t="shared" si="47"/>
        <v>0</v>
      </c>
      <c r="P152" s="1">
        <f t="shared" si="47"/>
        <v>0</v>
      </c>
      <c r="Q152" s="1">
        <f t="shared" si="47"/>
        <v>0</v>
      </c>
      <c r="R152" s="1">
        <f t="shared" si="47"/>
        <v>0</v>
      </c>
      <c r="S152" s="1">
        <f t="shared" si="47"/>
        <v>0</v>
      </c>
      <c r="T152" s="1">
        <f t="shared" si="47"/>
        <v>0</v>
      </c>
      <c r="U152" s="1">
        <f t="shared" si="47"/>
        <v>0</v>
      </c>
      <c r="V152" s="1">
        <f t="shared" si="47"/>
        <v>0</v>
      </c>
      <c r="W152" s="1">
        <f t="shared" si="47"/>
        <v>0</v>
      </c>
      <c r="X152" s="54">
        <f t="shared" si="47"/>
        <v>0</v>
      </c>
      <c r="Y152" s="58">
        <f t="shared" si="47"/>
        <v>0</v>
      </c>
      <c r="Z152" s="1">
        <f t="shared" si="47"/>
        <v>0</v>
      </c>
      <c r="AA152" s="1">
        <f t="shared" si="47"/>
        <v>0</v>
      </c>
      <c r="AC152" s="25" t="s">
        <v>51</v>
      </c>
      <c r="AD152" s="26" t="s">
        <v>56</v>
      </c>
      <c r="AE152" s="26" t="s">
        <v>57</v>
      </c>
      <c r="AF152" s="2"/>
      <c r="AG152" s="2"/>
      <c r="AH152" s="90" t="str">
        <f t="shared" si="45"/>
        <v/>
      </c>
      <c r="AI152" s="90" t="str">
        <f t="shared" si="45"/>
        <v/>
      </c>
      <c r="AJ152" s="90" t="str">
        <f t="shared" si="45"/>
        <v/>
      </c>
      <c r="AK152" s="90" t="str">
        <f t="shared" si="45"/>
        <v/>
      </c>
      <c r="AL152" s="90" t="str">
        <f t="shared" si="45"/>
        <v/>
      </c>
      <c r="AM152" s="90" t="str">
        <f t="shared" si="45"/>
        <v/>
      </c>
      <c r="AN152" s="90" t="str">
        <f t="shared" si="45"/>
        <v/>
      </c>
      <c r="AO152" s="90" t="str">
        <f t="shared" si="45"/>
        <v/>
      </c>
      <c r="AP152" s="90" t="str">
        <f t="shared" si="45"/>
        <v/>
      </c>
      <c r="AQ152" s="90" t="str">
        <f t="shared" si="45"/>
        <v/>
      </c>
      <c r="AR152" s="90" t="str">
        <f t="shared" si="45"/>
        <v/>
      </c>
      <c r="AS152" s="90" t="str">
        <f t="shared" si="45"/>
        <v/>
      </c>
      <c r="AT152" s="90" t="str">
        <f t="shared" si="45"/>
        <v/>
      </c>
      <c r="AU152" s="90" t="str">
        <f t="shared" si="45"/>
        <v/>
      </c>
      <c r="AV152" s="90" t="str">
        <f t="shared" si="45"/>
        <v/>
      </c>
      <c r="AW152" s="90" t="str">
        <f t="shared" si="45"/>
        <v/>
      </c>
      <c r="AX152" s="90" t="str">
        <f t="shared" si="46"/>
        <v/>
      </c>
      <c r="AY152" s="90" t="str">
        <f t="shared" si="46"/>
        <v/>
      </c>
      <c r="AZ152" s="90" t="str">
        <f t="shared" si="46"/>
        <v/>
      </c>
      <c r="BA152" s="90" t="str">
        <f t="shared" si="46"/>
        <v/>
      </c>
      <c r="BB152" s="90" t="str">
        <f t="shared" si="46"/>
        <v/>
      </c>
      <c r="BC152" s="90" t="str">
        <f t="shared" si="46"/>
        <v/>
      </c>
    </row>
    <row r="153" spans="1:55" x14ac:dyDescent="0.25">
      <c r="A153" s="15" t="s">
        <v>51</v>
      </c>
      <c r="B153" s="16" t="s">
        <v>56</v>
      </c>
      <c r="C153" s="27" t="s">
        <v>58</v>
      </c>
      <c r="D153" s="2"/>
      <c r="E153" s="2"/>
      <c r="F153" s="1">
        <f t="shared" si="48"/>
        <v>0</v>
      </c>
      <c r="G153" s="1">
        <f t="shared" si="47"/>
        <v>0</v>
      </c>
      <c r="H153" s="1">
        <f t="shared" si="47"/>
        <v>0</v>
      </c>
      <c r="I153" s="1">
        <f t="shared" si="47"/>
        <v>0</v>
      </c>
      <c r="J153" s="1">
        <f t="shared" si="47"/>
        <v>0</v>
      </c>
      <c r="K153" s="1">
        <f t="shared" si="47"/>
        <v>0</v>
      </c>
      <c r="L153" s="52">
        <f t="shared" si="47"/>
        <v>0</v>
      </c>
      <c r="M153" s="1">
        <f t="shared" si="47"/>
        <v>0</v>
      </c>
      <c r="N153" s="1">
        <f t="shared" si="47"/>
        <v>0</v>
      </c>
      <c r="O153" s="1">
        <f t="shared" si="47"/>
        <v>0</v>
      </c>
      <c r="P153" s="1">
        <f t="shared" si="47"/>
        <v>0</v>
      </c>
      <c r="Q153" s="1">
        <f t="shared" si="47"/>
        <v>0</v>
      </c>
      <c r="R153" s="1">
        <f t="shared" si="47"/>
        <v>0</v>
      </c>
      <c r="S153" s="1">
        <f t="shared" si="47"/>
        <v>0</v>
      </c>
      <c r="T153" s="1">
        <f t="shared" si="47"/>
        <v>0</v>
      </c>
      <c r="U153" s="1">
        <f t="shared" si="47"/>
        <v>0</v>
      </c>
      <c r="V153" s="1">
        <f t="shared" si="47"/>
        <v>0</v>
      </c>
      <c r="W153" s="1">
        <f t="shared" si="47"/>
        <v>0</v>
      </c>
      <c r="X153" s="54">
        <f t="shared" si="47"/>
        <v>0</v>
      </c>
      <c r="Y153" s="58">
        <f t="shared" si="47"/>
        <v>0</v>
      </c>
      <c r="Z153" s="1">
        <f t="shared" si="47"/>
        <v>0</v>
      </c>
      <c r="AA153" s="1">
        <f t="shared" si="47"/>
        <v>0</v>
      </c>
      <c r="AC153" s="15" t="s">
        <v>51</v>
      </c>
      <c r="AD153" s="16" t="s">
        <v>56</v>
      </c>
      <c r="AE153" s="27" t="s">
        <v>58</v>
      </c>
      <c r="AF153" s="2"/>
      <c r="AG153" s="2"/>
      <c r="AH153" s="90" t="str">
        <f t="shared" si="45"/>
        <v/>
      </c>
      <c r="AI153" s="90" t="str">
        <f t="shared" si="45"/>
        <v/>
      </c>
      <c r="AJ153" s="90" t="str">
        <f t="shared" si="45"/>
        <v/>
      </c>
      <c r="AK153" s="90" t="str">
        <f t="shared" si="45"/>
        <v/>
      </c>
      <c r="AL153" s="90" t="str">
        <f t="shared" si="45"/>
        <v/>
      </c>
      <c r="AM153" s="90" t="str">
        <f t="shared" si="45"/>
        <v/>
      </c>
      <c r="AN153" s="90" t="str">
        <f t="shared" si="45"/>
        <v/>
      </c>
      <c r="AO153" s="90" t="str">
        <f t="shared" si="45"/>
        <v/>
      </c>
      <c r="AP153" s="90" t="str">
        <f t="shared" si="45"/>
        <v/>
      </c>
      <c r="AQ153" s="90" t="str">
        <f t="shared" si="45"/>
        <v/>
      </c>
      <c r="AR153" s="90" t="str">
        <f t="shared" si="45"/>
        <v/>
      </c>
      <c r="AS153" s="90" t="str">
        <f t="shared" si="45"/>
        <v/>
      </c>
      <c r="AT153" s="90" t="str">
        <f t="shared" si="45"/>
        <v/>
      </c>
      <c r="AU153" s="90" t="str">
        <f t="shared" si="45"/>
        <v/>
      </c>
      <c r="AV153" s="90" t="str">
        <f t="shared" si="45"/>
        <v/>
      </c>
      <c r="AW153" s="90" t="str">
        <f t="shared" si="45"/>
        <v/>
      </c>
      <c r="AX153" s="90" t="str">
        <f t="shared" si="46"/>
        <v/>
      </c>
      <c r="AY153" s="90" t="str">
        <f t="shared" si="46"/>
        <v/>
      </c>
      <c r="AZ153" s="90" t="str">
        <f t="shared" si="46"/>
        <v/>
      </c>
      <c r="BA153" s="90" t="str">
        <f t="shared" si="46"/>
        <v/>
      </c>
      <c r="BB153" s="90" t="str">
        <f t="shared" si="46"/>
        <v/>
      </c>
      <c r="BC153" s="90" t="str">
        <f t="shared" si="46"/>
        <v/>
      </c>
    </row>
    <row r="154" spans="1:55" x14ac:dyDescent="0.25">
      <c r="A154" s="15" t="s">
        <v>51</v>
      </c>
      <c r="B154" s="16" t="s">
        <v>9</v>
      </c>
      <c r="C154" s="27" t="s">
        <v>59</v>
      </c>
      <c r="D154" s="2"/>
      <c r="E154" s="2"/>
      <c r="F154" s="1">
        <f t="shared" si="48"/>
        <v>0</v>
      </c>
      <c r="G154" s="1">
        <f t="shared" si="47"/>
        <v>0</v>
      </c>
      <c r="H154" s="1">
        <f t="shared" si="47"/>
        <v>0</v>
      </c>
      <c r="I154" s="1">
        <f t="shared" si="47"/>
        <v>0</v>
      </c>
      <c r="J154" s="1">
        <f t="shared" si="47"/>
        <v>0</v>
      </c>
      <c r="K154" s="1">
        <f t="shared" si="47"/>
        <v>0</v>
      </c>
      <c r="L154" s="52">
        <f t="shared" si="47"/>
        <v>0</v>
      </c>
      <c r="M154" s="1">
        <f t="shared" si="47"/>
        <v>0</v>
      </c>
      <c r="N154" s="1">
        <f t="shared" si="47"/>
        <v>0</v>
      </c>
      <c r="O154" s="1">
        <f t="shared" si="47"/>
        <v>0</v>
      </c>
      <c r="P154" s="1">
        <f t="shared" si="47"/>
        <v>0</v>
      </c>
      <c r="Q154" s="1">
        <f t="shared" si="47"/>
        <v>0</v>
      </c>
      <c r="R154" s="1">
        <f t="shared" si="47"/>
        <v>0</v>
      </c>
      <c r="S154" s="1">
        <f t="shared" si="47"/>
        <v>0</v>
      </c>
      <c r="T154" s="1">
        <f t="shared" si="47"/>
        <v>0</v>
      </c>
      <c r="U154" s="1">
        <f t="shared" si="47"/>
        <v>0</v>
      </c>
      <c r="V154" s="1">
        <f t="shared" si="47"/>
        <v>0</v>
      </c>
      <c r="W154" s="1">
        <f t="shared" si="47"/>
        <v>0</v>
      </c>
      <c r="X154" s="54">
        <f t="shared" si="47"/>
        <v>0</v>
      </c>
      <c r="Y154" s="58">
        <f t="shared" si="47"/>
        <v>0</v>
      </c>
      <c r="Z154" s="1">
        <f t="shared" si="47"/>
        <v>0</v>
      </c>
      <c r="AA154" s="1">
        <f t="shared" si="47"/>
        <v>0</v>
      </c>
      <c r="AC154" s="15" t="s">
        <v>51</v>
      </c>
      <c r="AD154" s="16" t="s">
        <v>9</v>
      </c>
      <c r="AE154" s="27" t="s">
        <v>59</v>
      </c>
      <c r="AF154" s="2"/>
      <c r="AG154" s="2"/>
      <c r="AH154" s="90" t="str">
        <f t="shared" si="45"/>
        <v/>
      </c>
      <c r="AI154" s="90" t="str">
        <f t="shared" si="45"/>
        <v/>
      </c>
      <c r="AJ154" s="90" t="str">
        <f t="shared" si="45"/>
        <v/>
      </c>
      <c r="AK154" s="90" t="str">
        <f t="shared" si="45"/>
        <v/>
      </c>
      <c r="AL154" s="90" t="str">
        <f t="shared" si="45"/>
        <v/>
      </c>
      <c r="AM154" s="90" t="str">
        <f t="shared" si="45"/>
        <v/>
      </c>
      <c r="AN154" s="90" t="str">
        <f t="shared" si="45"/>
        <v/>
      </c>
      <c r="AO154" s="90" t="str">
        <f t="shared" si="45"/>
        <v/>
      </c>
      <c r="AP154" s="90" t="str">
        <f t="shared" si="45"/>
        <v/>
      </c>
      <c r="AQ154" s="90" t="str">
        <f t="shared" si="45"/>
        <v/>
      </c>
      <c r="AR154" s="90" t="str">
        <f t="shared" si="45"/>
        <v/>
      </c>
      <c r="AS154" s="90" t="str">
        <f t="shared" si="45"/>
        <v/>
      </c>
      <c r="AT154" s="90" t="str">
        <f t="shared" si="45"/>
        <v/>
      </c>
      <c r="AU154" s="90" t="str">
        <f t="shared" si="45"/>
        <v/>
      </c>
      <c r="AV154" s="90" t="str">
        <f t="shared" si="45"/>
        <v/>
      </c>
      <c r="AW154" s="90" t="str">
        <f t="shared" si="45"/>
        <v/>
      </c>
      <c r="AX154" s="90" t="str">
        <f t="shared" si="46"/>
        <v/>
      </c>
      <c r="AY154" s="90" t="str">
        <f t="shared" si="46"/>
        <v/>
      </c>
      <c r="AZ154" s="90" t="str">
        <f t="shared" si="46"/>
        <v/>
      </c>
      <c r="BA154" s="90" t="str">
        <f t="shared" si="46"/>
        <v/>
      </c>
      <c r="BB154" s="90" t="str">
        <f t="shared" si="46"/>
        <v/>
      </c>
      <c r="BC154" s="90" t="str">
        <f t="shared" si="46"/>
        <v/>
      </c>
    </row>
    <row r="155" spans="1:55" x14ac:dyDescent="0.25">
      <c r="A155" s="15" t="s">
        <v>51</v>
      </c>
      <c r="B155" s="16" t="s">
        <v>9</v>
      </c>
      <c r="C155" s="27" t="s">
        <v>9</v>
      </c>
      <c r="D155" s="2"/>
      <c r="E155" s="2"/>
      <c r="F155" s="1">
        <f t="shared" si="48"/>
        <v>0</v>
      </c>
      <c r="G155" s="1">
        <f t="shared" si="47"/>
        <v>0</v>
      </c>
      <c r="H155" s="1">
        <f t="shared" si="47"/>
        <v>0</v>
      </c>
      <c r="I155" s="1">
        <f t="shared" si="47"/>
        <v>0</v>
      </c>
      <c r="J155" s="1">
        <f t="shared" si="47"/>
        <v>0</v>
      </c>
      <c r="K155" s="1">
        <f t="shared" si="47"/>
        <v>0</v>
      </c>
      <c r="L155" s="52">
        <f t="shared" si="47"/>
        <v>0</v>
      </c>
      <c r="M155" s="1">
        <f t="shared" si="47"/>
        <v>0</v>
      </c>
      <c r="N155" s="1">
        <f t="shared" si="47"/>
        <v>0</v>
      </c>
      <c r="O155" s="1">
        <f t="shared" si="47"/>
        <v>0</v>
      </c>
      <c r="P155" s="1">
        <f t="shared" si="47"/>
        <v>0</v>
      </c>
      <c r="Q155" s="1">
        <f t="shared" si="47"/>
        <v>0</v>
      </c>
      <c r="R155" s="1">
        <f t="shared" si="47"/>
        <v>0</v>
      </c>
      <c r="S155" s="1">
        <f t="shared" si="47"/>
        <v>0</v>
      </c>
      <c r="T155" s="1">
        <f t="shared" si="47"/>
        <v>0</v>
      </c>
      <c r="U155" s="1">
        <f t="shared" si="47"/>
        <v>0</v>
      </c>
      <c r="V155" s="1">
        <f t="shared" si="47"/>
        <v>0</v>
      </c>
      <c r="W155" s="1">
        <f t="shared" si="47"/>
        <v>0</v>
      </c>
      <c r="X155" s="54">
        <f t="shared" si="47"/>
        <v>0</v>
      </c>
      <c r="Y155" s="58">
        <f t="shared" si="47"/>
        <v>0</v>
      </c>
      <c r="Z155" s="1">
        <f t="shared" si="47"/>
        <v>0</v>
      </c>
      <c r="AA155" s="1">
        <f t="shared" si="47"/>
        <v>0</v>
      </c>
      <c r="AC155" s="15" t="s">
        <v>51</v>
      </c>
      <c r="AD155" s="16" t="s">
        <v>9</v>
      </c>
      <c r="AE155" s="27" t="s">
        <v>9</v>
      </c>
      <c r="AF155" s="2"/>
      <c r="AG155" s="2"/>
      <c r="AH155" s="90" t="str">
        <f t="shared" si="45"/>
        <v/>
      </c>
      <c r="AI155" s="90" t="str">
        <f t="shared" si="45"/>
        <v/>
      </c>
      <c r="AJ155" s="90" t="str">
        <f t="shared" si="45"/>
        <v/>
      </c>
      <c r="AK155" s="90" t="str">
        <f t="shared" si="45"/>
        <v/>
      </c>
      <c r="AL155" s="90" t="str">
        <f t="shared" si="45"/>
        <v/>
      </c>
      <c r="AM155" s="90" t="str">
        <f t="shared" si="45"/>
        <v/>
      </c>
      <c r="AN155" s="90" t="str">
        <f t="shared" si="45"/>
        <v/>
      </c>
      <c r="AO155" s="90" t="str">
        <f t="shared" si="45"/>
        <v/>
      </c>
      <c r="AP155" s="90" t="str">
        <f t="shared" si="45"/>
        <v/>
      </c>
      <c r="AQ155" s="90" t="str">
        <f t="shared" si="45"/>
        <v/>
      </c>
      <c r="AR155" s="90" t="str">
        <f t="shared" si="45"/>
        <v/>
      </c>
      <c r="AS155" s="90" t="str">
        <f t="shared" si="45"/>
        <v/>
      </c>
      <c r="AT155" s="90" t="str">
        <f t="shared" si="45"/>
        <v/>
      </c>
      <c r="AU155" s="90" t="str">
        <f t="shared" si="45"/>
        <v/>
      </c>
      <c r="AV155" s="90" t="str">
        <f t="shared" si="45"/>
        <v/>
      </c>
      <c r="AW155" s="90" t="str">
        <f t="shared" ref="AW155:BC180" si="49">IF(U200&gt;0,U65/U200,"")</f>
        <v/>
      </c>
      <c r="AX155" s="90" t="str">
        <f t="shared" si="46"/>
        <v/>
      </c>
      <c r="AY155" s="90" t="str">
        <f t="shared" si="46"/>
        <v/>
      </c>
      <c r="AZ155" s="90" t="str">
        <f t="shared" si="46"/>
        <v/>
      </c>
      <c r="BA155" s="90" t="str">
        <f t="shared" si="46"/>
        <v/>
      </c>
      <c r="BB155" s="90" t="str">
        <f t="shared" si="46"/>
        <v/>
      </c>
      <c r="BC155" s="90" t="str">
        <f t="shared" si="46"/>
        <v/>
      </c>
    </row>
    <row r="156" spans="1:55" x14ac:dyDescent="0.25">
      <c r="A156" s="28" t="s">
        <v>60</v>
      </c>
      <c r="B156" s="29" t="s">
        <v>13</v>
      </c>
      <c r="C156" s="29" t="s">
        <v>61</v>
      </c>
      <c r="D156" s="2"/>
      <c r="E156" s="2"/>
      <c r="F156" s="51">
        <f t="shared" si="48"/>
        <v>54.888888888888886</v>
      </c>
      <c r="G156" s="51">
        <f t="shared" si="47"/>
        <v>0</v>
      </c>
      <c r="H156" s="51">
        <f t="shared" si="47"/>
        <v>4.3903999999999996</v>
      </c>
      <c r="I156" s="91">
        <v>29</v>
      </c>
      <c r="J156" s="51">
        <f>IF(J201&gt;0,J21/J201,0)</f>
        <v>48.75</v>
      </c>
      <c r="K156" s="91">
        <v>29</v>
      </c>
      <c r="L156" s="52">
        <f t="shared" si="47"/>
        <v>0</v>
      </c>
      <c r="M156" s="64">
        <v>400</v>
      </c>
      <c r="N156" s="51">
        <f t="shared" si="47"/>
        <v>780.64516129032256</v>
      </c>
      <c r="O156" s="51">
        <f t="shared" si="47"/>
        <v>8073</v>
      </c>
      <c r="P156" s="51">
        <f t="shared" si="47"/>
        <v>80555.555555555562</v>
      </c>
      <c r="Q156" s="77">
        <v>940</v>
      </c>
      <c r="R156" s="77">
        <v>426</v>
      </c>
      <c r="S156" s="51">
        <f t="shared" si="47"/>
        <v>0</v>
      </c>
      <c r="T156" s="77">
        <v>426</v>
      </c>
      <c r="U156" s="77">
        <v>426</v>
      </c>
      <c r="V156" s="77">
        <v>426</v>
      </c>
      <c r="W156" s="77">
        <v>426</v>
      </c>
      <c r="X156" s="79">
        <v>426</v>
      </c>
      <c r="Y156" s="59">
        <f t="shared" si="47"/>
        <v>24.14540055914393</v>
      </c>
      <c r="Z156" s="51">
        <f t="shared" si="47"/>
        <v>1359.8155869072825</v>
      </c>
      <c r="AA156" s="51">
        <f t="shared" si="47"/>
        <v>150.33034405581589</v>
      </c>
      <c r="AC156" s="28" t="s">
        <v>60</v>
      </c>
      <c r="AD156" s="29" t="s">
        <v>13</v>
      </c>
      <c r="AE156" s="29" t="s">
        <v>61</v>
      </c>
      <c r="AF156" s="2"/>
      <c r="AG156" s="2"/>
      <c r="AH156" s="1">
        <f t="shared" ref="AH156:AV172" si="50">IF(F201&gt;0,F66/F201,"")</f>
        <v>10.893335555555556</v>
      </c>
      <c r="AI156" s="1" t="str">
        <f t="shared" si="50"/>
        <v/>
      </c>
      <c r="AJ156" s="1">
        <f t="shared" si="50"/>
        <v>1.056</v>
      </c>
      <c r="AK156" s="1">
        <f t="shared" si="50"/>
        <v>5.4674441205053448</v>
      </c>
      <c r="AL156" s="1">
        <f t="shared" si="50"/>
        <v>11.16</v>
      </c>
      <c r="AM156" s="1">
        <f t="shared" si="50"/>
        <v>4.2243333333333331</v>
      </c>
      <c r="AN156" s="52" t="str">
        <f t="shared" si="50"/>
        <v/>
      </c>
      <c r="AO156" s="1">
        <f t="shared" si="50"/>
        <v>100</v>
      </c>
      <c r="AP156" s="1">
        <f t="shared" si="50"/>
        <v>203.2258064516129</v>
      </c>
      <c r="AQ156" s="1">
        <f t="shared" si="50"/>
        <v>1800</v>
      </c>
      <c r="AR156" s="1">
        <f t="shared" si="50"/>
        <v>2777.7777777777778</v>
      </c>
      <c r="AS156" s="1">
        <f t="shared" si="50"/>
        <v>263.2</v>
      </c>
      <c r="AT156" s="1">
        <f t="shared" si="50"/>
        <v>127.79999999999998</v>
      </c>
      <c r="AU156" s="1" t="str">
        <f t="shared" si="50"/>
        <v/>
      </c>
      <c r="AV156" s="1">
        <f t="shared" si="50"/>
        <v>127.79999999999998</v>
      </c>
      <c r="AW156" s="1">
        <f t="shared" si="49"/>
        <v>127.8</v>
      </c>
      <c r="AX156" s="1">
        <f t="shared" si="49"/>
        <v>511.2</v>
      </c>
      <c r="AY156" s="1">
        <f t="shared" si="49"/>
        <v>340.8</v>
      </c>
      <c r="AZ156" s="1">
        <f t="shared" si="49"/>
        <v>213</v>
      </c>
      <c r="BA156" s="1">
        <f t="shared" si="49"/>
        <v>4.7569172756193971</v>
      </c>
      <c r="BB156" s="1">
        <f t="shared" si="49"/>
        <v>200.97772212459728</v>
      </c>
      <c r="BC156" s="1">
        <f t="shared" si="49"/>
        <v>23.294510931457815</v>
      </c>
    </row>
    <row r="157" spans="1:55" x14ac:dyDescent="0.25">
      <c r="A157" s="36" t="s">
        <v>60</v>
      </c>
      <c r="B157" s="37" t="s">
        <v>13</v>
      </c>
      <c r="C157" s="29" t="s">
        <v>62</v>
      </c>
      <c r="D157" s="2"/>
      <c r="E157" s="2"/>
      <c r="F157" s="51">
        <f t="shared" si="48"/>
        <v>44.333333333333336</v>
      </c>
      <c r="G157" s="51">
        <f t="shared" si="47"/>
        <v>23.2</v>
      </c>
      <c r="H157" s="51">
        <f t="shared" si="47"/>
        <v>7.4299076923076921</v>
      </c>
      <c r="I157" s="77">
        <v>20</v>
      </c>
      <c r="J157" s="51">
        <f t="shared" si="47"/>
        <v>0</v>
      </c>
      <c r="K157" s="51">
        <f t="shared" si="47"/>
        <v>0</v>
      </c>
      <c r="L157" s="52">
        <f t="shared" si="47"/>
        <v>0</v>
      </c>
      <c r="M157" s="51">
        <f t="shared" si="47"/>
        <v>0</v>
      </c>
      <c r="N157" s="51">
        <f t="shared" si="47"/>
        <v>0</v>
      </c>
      <c r="O157" s="51">
        <f t="shared" si="47"/>
        <v>0</v>
      </c>
      <c r="P157" s="51">
        <f t="shared" si="47"/>
        <v>51785.71428571429</v>
      </c>
      <c r="Q157" s="51">
        <f t="shared" si="47"/>
        <v>0</v>
      </c>
      <c r="R157" s="51">
        <f t="shared" si="47"/>
        <v>0</v>
      </c>
      <c r="S157" s="51">
        <f t="shared" si="47"/>
        <v>0</v>
      </c>
      <c r="T157" s="51">
        <f t="shared" si="47"/>
        <v>0</v>
      </c>
      <c r="U157" s="51">
        <f t="shared" si="47"/>
        <v>0</v>
      </c>
      <c r="V157" s="51">
        <f t="shared" si="47"/>
        <v>0</v>
      </c>
      <c r="W157" s="51">
        <f t="shared" si="47"/>
        <v>0</v>
      </c>
      <c r="X157" s="55">
        <f t="shared" si="47"/>
        <v>0</v>
      </c>
      <c r="Y157" s="59">
        <f t="shared" si="47"/>
        <v>10.462834437086093</v>
      </c>
      <c r="Z157" s="51">
        <f t="shared" si="47"/>
        <v>51785.71428571429</v>
      </c>
      <c r="AA157" s="51">
        <f t="shared" si="47"/>
        <v>68.003069432684171</v>
      </c>
      <c r="AB157" s="14">
        <f>0.74*55</f>
        <v>40.700000000000003</v>
      </c>
      <c r="AC157" s="36" t="s">
        <v>60</v>
      </c>
      <c r="AD157" s="37" t="s">
        <v>13</v>
      </c>
      <c r="AE157" s="29" t="s">
        <v>62</v>
      </c>
      <c r="AF157" s="2"/>
      <c r="AG157" s="2"/>
      <c r="AH157" s="1">
        <f t="shared" si="50"/>
        <v>8.7555440000000022</v>
      </c>
      <c r="AI157" s="1">
        <f t="shared" si="50"/>
        <v>5.5839755575924226</v>
      </c>
      <c r="AJ157" s="1">
        <f t="shared" si="50"/>
        <v>1.8086538461538462</v>
      </c>
      <c r="AK157" s="1" t="str">
        <f t="shared" si="50"/>
        <v/>
      </c>
      <c r="AL157" s="1" t="str">
        <f t="shared" si="50"/>
        <v/>
      </c>
      <c r="AM157" s="1" t="str">
        <f t="shared" si="50"/>
        <v/>
      </c>
      <c r="AN157" s="52" t="str">
        <f t="shared" si="50"/>
        <v/>
      </c>
      <c r="AO157" s="1" t="str">
        <f t="shared" si="50"/>
        <v/>
      </c>
      <c r="AP157" s="1" t="str">
        <f t="shared" si="50"/>
        <v/>
      </c>
      <c r="AQ157" s="1" t="str">
        <f t="shared" si="50"/>
        <v/>
      </c>
      <c r="AR157" s="1">
        <f t="shared" si="50"/>
        <v>2738.0952380952381</v>
      </c>
      <c r="AS157" s="1" t="str">
        <f t="shared" si="50"/>
        <v/>
      </c>
      <c r="AT157" s="1" t="str">
        <f t="shared" si="50"/>
        <v/>
      </c>
      <c r="AU157" s="1" t="str">
        <f t="shared" si="50"/>
        <v/>
      </c>
      <c r="AV157" s="1" t="str">
        <f t="shared" si="50"/>
        <v/>
      </c>
      <c r="AW157" s="1" t="str">
        <f t="shared" si="49"/>
        <v/>
      </c>
      <c r="AX157" s="1" t="str">
        <f t="shared" si="49"/>
        <v/>
      </c>
      <c r="AY157" s="1" t="str">
        <f t="shared" si="49"/>
        <v/>
      </c>
      <c r="AZ157" s="1" t="str">
        <f t="shared" si="49"/>
        <v/>
      </c>
      <c r="BA157" s="1">
        <f t="shared" si="49"/>
        <v>2.4597211745952738</v>
      </c>
      <c r="BB157" s="1">
        <f t="shared" si="49"/>
        <v>2738.0952380952381</v>
      </c>
      <c r="BC157" s="1">
        <f t="shared" si="49"/>
        <v>5.4999596301061491</v>
      </c>
    </row>
    <row r="158" spans="1:55" x14ac:dyDescent="0.25">
      <c r="A158" s="30" t="s">
        <v>60</v>
      </c>
      <c r="B158" s="31" t="s">
        <v>13</v>
      </c>
      <c r="C158" s="32" t="s">
        <v>63</v>
      </c>
      <c r="D158" s="2"/>
      <c r="E158" s="2"/>
      <c r="F158" s="51">
        <f t="shared" si="48"/>
        <v>0</v>
      </c>
      <c r="G158" s="51">
        <f t="shared" si="47"/>
        <v>0</v>
      </c>
      <c r="H158" s="51">
        <f t="shared" si="47"/>
        <v>0</v>
      </c>
      <c r="I158" s="51">
        <f t="shared" si="47"/>
        <v>0</v>
      </c>
      <c r="J158" s="51">
        <f t="shared" si="47"/>
        <v>0</v>
      </c>
      <c r="K158" s="51">
        <f t="shared" si="47"/>
        <v>0</v>
      </c>
      <c r="L158" s="52">
        <f t="shared" si="47"/>
        <v>0</v>
      </c>
      <c r="M158" s="51">
        <f t="shared" si="47"/>
        <v>0</v>
      </c>
      <c r="N158" s="51">
        <f t="shared" si="47"/>
        <v>0</v>
      </c>
      <c r="O158" s="51">
        <f t="shared" si="47"/>
        <v>0</v>
      </c>
      <c r="P158" s="51">
        <f t="shared" si="47"/>
        <v>0</v>
      </c>
      <c r="Q158" s="51">
        <f t="shared" si="47"/>
        <v>0</v>
      </c>
      <c r="R158" s="51">
        <f t="shared" si="47"/>
        <v>0</v>
      </c>
      <c r="S158" s="51">
        <f t="shared" si="47"/>
        <v>0</v>
      </c>
      <c r="T158" s="51">
        <f t="shared" si="47"/>
        <v>0</v>
      </c>
      <c r="U158" s="51">
        <f t="shared" si="47"/>
        <v>0</v>
      </c>
      <c r="V158" s="51">
        <f t="shared" si="47"/>
        <v>0</v>
      </c>
      <c r="W158" s="51">
        <f t="shared" si="47"/>
        <v>0</v>
      </c>
      <c r="X158" s="55">
        <f t="shared" si="47"/>
        <v>0</v>
      </c>
      <c r="Y158" s="59">
        <f t="shared" si="47"/>
        <v>0</v>
      </c>
      <c r="Z158" s="51">
        <f t="shared" si="47"/>
        <v>0</v>
      </c>
      <c r="AA158" s="51">
        <f t="shared" si="47"/>
        <v>0</v>
      </c>
      <c r="AB158" s="14">
        <f>0.75*70</f>
        <v>52.5</v>
      </c>
      <c r="AC158" s="30" t="s">
        <v>60</v>
      </c>
      <c r="AD158" s="31" t="s">
        <v>13</v>
      </c>
      <c r="AE158" s="32" t="s">
        <v>63</v>
      </c>
      <c r="AF158" s="2"/>
      <c r="AG158" s="2"/>
      <c r="AH158" s="1" t="str">
        <f t="shared" si="50"/>
        <v/>
      </c>
      <c r="AI158" s="1" t="str">
        <f t="shared" si="50"/>
        <v/>
      </c>
      <c r="AJ158" s="1" t="str">
        <f t="shared" si="50"/>
        <v/>
      </c>
      <c r="AK158" s="1" t="str">
        <f t="shared" si="50"/>
        <v/>
      </c>
      <c r="AL158" s="1" t="str">
        <f t="shared" si="50"/>
        <v/>
      </c>
      <c r="AM158" s="1" t="str">
        <f t="shared" si="50"/>
        <v/>
      </c>
      <c r="AN158" s="52" t="str">
        <f t="shared" si="50"/>
        <v/>
      </c>
      <c r="AO158" s="1" t="str">
        <f t="shared" si="50"/>
        <v/>
      </c>
      <c r="AP158" s="1" t="str">
        <f t="shared" si="50"/>
        <v/>
      </c>
      <c r="AQ158" s="1" t="str">
        <f t="shared" si="50"/>
        <v/>
      </c>
      <c r="AR158" s="1" t="str">
        <f t="shared" si="50"/>
        <v/>
      </c>
      <c r="AS158" s="1" t="str">
        <f t="shared" si="50"/>
        <v/>
      </c>
      <c r="AT158" s="1" t="str">
        <f t="shared" si="50"/>
        <v/>
      </c>
      <c r="AU158" s="1" t="str">
        <f t="shared" si="50"/>
        <v/>
      </c>
      <c r="AV158" s="1" t="str">
        <f t="shared" si="50"/>
        <v/>
      </c>
      <c r="AW158" s="1" t="str">
        <f t="shared" si="49"/>
        <v/>
      </c>
      <c r="AX158" s="1" t="str">
        <f t="shared" si="49"/>
        <v/>
      </c>
      <c r="AY158" s="1" t="str">
        <f t="shared" si="49"/>
        <v/>
      </c>
      <c r="AZ158" s="1" t="str">
        <f t="shared" si="49"/>
        <v/>
      </c>
      <c r="BA158" s="1" t="str">
        <f t="shared" si="49"/>
        <v/>
      </c>
      <c r="BB158" s="1" t="str">
        <f t="shared" si="49"/>
        <v/>
      </c>
      <c r="BC158" s="1" t="str">
        <f t="shared" si="49"/>
        <v/>
      </c>
    </row>
    <row r="159" spans="1:55" ht="15.75" thickBot="1" x14ac:dyDescent="0.3">
      <c r="A159" s="30" t="s">
        <v>60</v>
      </c>
      <c r="B159" s="32" t="s">
        <v>23</v>
      </c>
      <c r="C159" s="31" t="s">
        <v>50</v>
      </c>
      <c r="D159" s="2"/>
      <c r="E159" s="2"/>
      <c r="F159" s="77">
        <v>40</v>
      </c>
      <c r="G159" s="51">
        <f t="shared" si="47"/>
        <v>0</v>
      </c>
      <c r="H159" s="51">
        <f t="shared" si="47"/>
        <v>0</v>
      </c>
      <c r="I159" s="51">
        <f t="shared" si="47"/>
        <v>0</v>
      </c>
      <c r="J159" s="77">
        <v>45</v>
      </c>
      <c r="K159" s="77">
        <v>2.2000000000000002</v>
      </c>
      <c r="L159" s="52">
        <f t="shared" si="47"/>
        <v>0</v>
      </c>
      <c r="M159" s="51">
        <f t="shared" si="47"/>
        <v>0</v>
      </c>
      <c r="N159" s="53">
        <f t="shared" si="47"/>
        <v>7920</v>
      </c>
      <c r="O159" s="53">
        <f t="shared" si="47"/>
        <v>0</v>
      </c>
      <c r="P159" s="53">
        <f t="shared" si="47"/>
        <v>0</v>
      </c>
      <c r="Q159" s="51">
        <f t="shared" si="47"/>
        <v>0</v>
      </c>
      <c r="R159" s="51">
        <f t="shared" si="47"/>
        <v>0</v>
      </c>
      <c r="S159" s="51">
        <f t="shared" si="47"/>
        <v>0</v>
      </c>
      <c r="T159" s="51">
        <f t="shared" si="47"/>
        <v>0</v>
      </c>
      <c r="U159" s="51">
        <f t="shared" si="47"/>
        <v>0</v>
      </c>
      <c r="V159" s="77">
        <v>426</v>
      </c>
      <c r="W159" s="51">
        <f t="shared" si="47"/>
        <v>0</v>
      </c>
      <c r="X159" s="55">
        <f t="shared" si="47"/>
        <v>0</v>
      </c>
      <c r="Y159" s="59">
        <f t="shared" si="47"/>
        <v>2.2000000000000002</v>
      </c>
      <c r="Z159" s="51">
        <f t="shared" si="47"/>
        <v>7920</v>
      </c>
      <c r="AA159" s="51">
        <f t="shared" si="47"/>
        <v>18.296063574200705</v>
      </c>
      <c r="AC159" s="30" t="s">
        <v>60</v>
      </c>
      <c r="AD159" s="32" t="s">
        <v>23</v>
      </c>
      <c r="AE159" s="31" t="s">
        <v>50</v>
      </c>
      <c r="AF159" s="2"/>
      <c r="AG159" s="2"/>
      <c r="AH159" s="1" t="str">
        <f t="shared" si="50"/>
        <v/>
      </c>
      <c r="AI159" s="1" t="str">
        <f t="shared" si="50"/>
        <v/>
      </c>
      <c r="AJ159" s="1" t="str">
        <f t="shared" si="50"/>
        <v/>
      </c>
      <c r="AK159" s="1" t="str">
        <f t="shared" si="50"/>
        <v/>
      </c>
      <c r="AL159" s="1" t="str">
        <f t="shared" si="50"/>
        <v/>
      </c>
      <c r="AM159" s="1">
        <f t="shared" si="50"/>
        <v>0.85555555555555574</v>
      </c>
      <c r="AN159" s="52" t="str">
        <f t="shared" si="50"/>
        <v/>
      </c>
      <c r="AO159" s="1" t="str">
        <f t="shared" si="50"/>
        <v/>
      </c>
      <c r="AP159" s="1">
        <f t="shared" si="50"/>
        <v>2550</v>
      </c>
      <c r="AQ159" s="1" t="str">
        <f t="shared" si="50"/>
        <v/>
      </c>
      <c r="AR159" s="1" t="str">
        <f t="shared" si="50"/>
        <v/>
      </c>
      <c r="AS159" s="1" t="str">
        <f t="shared" si="50"/>
        <v/>
      </c>
      <c r="AT159" s="1" t="str">
        <f t="shared" si="50"/>
        <v/>
      </c>
      <c r="AU159" s="1" t="str">
        <f t="shared" si="50"/>
        <v/>
      </c>
      <c r="AV159" s="1" t="str">
        <f t="shared" si="50"/>
        <v/>
      </c>
      <c r="AW159" s="1" t="str">
        <f t="shared" si="49"/>
        <v/>
      </c>
      <c r="AX159" s="1" t="str">
        <f t="shared" si="49"/>
        <v/>
      </c>
      <c r="AY159" s="1" t="str">
        <f t="shared" si="49"/>
        <v/>
      </c>
      <c r="AZ159" s="1" t="str">
        <f t="shared" si="49"/>
        <v/>
      </c>
      <c r="BA159" s="1">
        <f t="shared" si="49"/>
        <v>0.85555555555555574</v>
      </c>
      <c r="BB159" s="1">
        <f t="shared" si="49"/>
        <v>2550</v>
      </c>
      <c r="BC159" s="1">
        <f t="shared" si="49"/>
        <v>6.0986878580669011</v>
      </c>
    </row>
    <row r="160" spans="1:55" ht="15.75" thickTop="1" x14ac:dyDescent="0.25">
      <c r="A160" s="30" t="s">
        <v>60</v>
      </c>
      <c r="B160" s="32" t="s">
        <v>23</v>
      </c>
      <c r="C160" s="31" t="s">
        <v>49</v>
      </c>
      <c r="D160" s="2"/>
      <c r="E160" s="2"/>
      <c r="F160" s="51">
        <f t="shared" si="48"/>
        <v>0</v>
      </c>
      <c r="G160" s="51">
        <f t="shared" si="47"/>
        <v>0</v>
      </c>
      <c r="H160" s="51">
        <f t="shared" si="47"/>
        <v>0</v>
      </c>
      <c r="I160" s="51">
        <f t="shared" si="47"/>
        <v>0</v>
      </c>
      <c r="J160" s="77">
        <v>40</v>
      </c>
      <c r="K160" s="77">
        <v>40</v>
      </c>
      <c r="L160" s="52">
        <f t="shared" si="47"/>
        <v>0</v>
      </c>
      <c r="M160" s="51">
        <f t="shared" si="47"/>
        <v>0</v>
      </c>
      <c r="N160" s="51">
        <f t="shared" si="47"/>
        <v>0</v>
      </c>
      <c r="O160" s="51">
        <f t="shared" si="47"/>
        <v>0</v>
      </c>
      <c r="P160" s="51">
        <f t="shared" si="47"/>
        <v>0</v>
      </c>
      <c r="Q160" s="51">
        <f t="shared" si="47"/>
        <v>0</v>
      </c>
      <c r="R160" s="51">
        <f t="shared" si="47"/>
        <v>0</v>
      </c>
      <c r="S160" s="77">
        <v>100</v>
      </c>
      <c r="T160" s="77">
        <v>406</v>
      </c>
      <c r="U160" s="51">
        <f t="shared" si="47"/>
        <v>0</v>
      </c>
      <c r="V160" s="77">
        <v>406</v>
      </c>
      <c r="W160" s="51">
        <f t="shared" si="47"/>
        <v>0</v>
      </c>
      <c r="X160" s="77">
        <v>100</v>
      </c>
      <c r="Y160" s="59">
        <f t="shared" si="47"/>
        <v>40</v>
      </c>
      <c r="Z160" s="51">
        <f t="shared" si="47"/>
        <v>225.69143983788817</v>
      </c>
      <c r="AA160" s="51">
        <f t="shared" si="47"/>
        <v>68.31135864527927</v>
      </c>
      <c r="AC160" s="30" t="s">
        <v>60</v>
      </c>
      <c r="AD160" s="32" t="s">
        <v>23</v>
      </c>
      <c r="AE160" s="31" t="s">
        <v>49</v>
      </c>
      <c r="AF160" s="2"/>
      <c r="AG160" s="2"/>
      <c r="AH160" s="1" t="str">
        <f t="shared" si="50"/>
        <v/>
      </c>
      <c r="AI160" s="1" t="str">
        <f t="shared" si="50"/>
        <v/>
      </c>
      <c r="AJ160" s="1" t="str">
        <f t="shared" si="50"/>
        <v/>
      </c>
      <c r="AK160" s="1" t="str">
        <f t="shared" si="50"/>
        <v/>
      </c>
      <c r="AL160" s="1">
        <f t="shared" si="50"/>
        <v>8.9280000000000008</v>
      </c>
      <c r="AM160" s="1" t="str">
        <f t="shared" si="50"/>
        <v/>
      </c>
      <c r="AN160" s="52" t="str">
        <f t="shared" si="50"/>
        <v/>
      </c>
      <c r="AO160" s="1" t="str">
        <f t="shared" si="50"/>
        <v/>
      </c>
      <c r="AP160" s="1" t="str">
        <f t="shared" si="50"/>
        <v/>
      </c>
      <c r="AQ160" s="1" t="str">
        <f t="shared" si="50"/>
        <v/>
      </c>
      <c r="AR160" s="1" t="str">
        <f t="shared" si="50"/>
        <v/>
      </c>
      <c r="AS160" s="1" t="str">
        <f t="shared" si="50"/>
        <v/>
      </c>
      <c r="AT160" s="1" t="str">
        <f t="shared" si="50"/>
        <v/>
      </c>
      <c r="AU160" s="1">
        <f t="shared" si="50"/>
        <v>53.571428571428569</v>
      </c>
      <c r="AV160" s="1">
        <f t="shared" si="50"/>
        <v>162.4</v>
      </c>
      <c r="AW160" s="1" t="str">
        <f t="shared" si="49"/>
        <v/>
      </c>
      <c r="AX160" s="1" t="str">
        <f t="shared" si="49"/>
        <v/>
      </c>
      <c r="AY160" s="1" t="str">
        <f t="shared" si="49"/>
        <v/>
      </c>
      <c r="AZ160" s="1">
        <f t="shared" si="49"/>
        <v>90</v>
      </c>
      <c r="BA160" s="1">
        <f t="shared" si="49"/>
        <v>15.5</v>
      </c>
      <c r="BB160" s="1">
        <f t="shared" si="49"/>
        <v>108.39859795169505</v>
      </c>
      <c r="BC160" s="1">
        <f t="shared" si="49"/>
        <v>13.136799739476782</v>
      </c>
    </row>
    <row r="161" spans="1:55" x14ac:dyDescent="0.25">
      <c r="A161" s="30" t="s">
        <v>60</v>
      </c>
      <c r="B161" s="32" t="s">
        <v>23</v>
      </c>
      <c r="C161" s="31" t="s">
        <v>64</v>
      </c>
      <c r="D161" s="2"/>
      <c r="E161" s="2"/>
      <c r="F161" s="51">
        <f t="shared" si="48"/>
        <v>0</v>
      </c>
      <c r="G161" s="51">
        <f t="shared" si="47"/>
        <v>0</v>
      </c>
      <c r="H161" s="51">
        <f t="shared" si="47"/>
        <v>0</v>
      </c>
      <c r="I161" s="51">
        <f t="shared" si="47"/>
        <v>0</v>
      </c>
      <c r="J161" s="51">
        <f t="shared" si="47"/>
        <v>0</v>
      </c>
      <c r="K161" s="51">
        <f t="shared" si="47"/>
        <v>0</v>
      </c>
      <c r="L161" s="52">
        <f t="shared" si="47"/>
        <v>0</v>
      </c>
      <c r="M161" s="51">
        <f t="shared" si="47"/>
        <v>0</v>
      </c>
      <c r="N161" s="51">
        <f t="shared" si="47"/>
        <v>0</v>
      </c>
      <c r="O161" s="51">
        <f t="shared" si="47"/>
        <v>0</v>
      </c>
      <c r="P161" s="51">
        <f t="shared" si="47"/>
        <v>0</v>
      </c>
      <c r="Q161" s="51">
        <f t="shared" si="47"/>
        <v>0</v>
      </c>
      <c r="R161" s="51">
        <f t="shared" si="47"/>
        <v>0</v>
      </c>
      <c r="S161" s="51">
        <f t="shared" si="47"/>
        <v>0</v>
      </c>
      <c r="T161" s="51">
        <f t="shared" si="47"/>
        <v>0</v>
      </c>
      <c r="U161" s="51">
        <f t="shared" si="47"/>
        <v>0</v>
      </c>
      <c r="V161" s="51">
        <f t="shared" si="47"/>
        <v>0</v>
      </c>
      <c r="W161" s="51">
        <f t="shared" si="47"/>
        <v>0</v>
      </c>
      <c r="X161" s="55">
        <f t="shared" si="47"/>
        <v>0</v>
      </c>
      <c r="Y161" s="59">
        <f t="shared" si="47"/>
        <v>0</v>
      </c>
      <c r="Z161" s="51">
        <f t="shared" si="47"/>
        <v>0</v>
      </c>
      <c r="AA161" s="51">
        <f t="shared" si="47"/>
        <v>0</v>
      </c>
      <c r="AC161" s="30" t="s">
        <v>60</v>
      </c>
      <c r="AD161" s="32" t="s">
        <v>23</v>
      </c>
      <c r="AE161" s="31" t="s">
        <v>64</v>
      </c>
      <c r="AF161" s="2"/>
      <c r="AG161" s="2"/>
      <c r="AH161" s="1" t="str">
        <f t="shared" si="50"/>
        <v/>
      </c>
      <c r="AI161" s="1" t="str">
        <f t="shared" si="50"/>
        <v/>
      </c>
      <c r="AJ161" s="1" t="str">
        <f t="shared" si="50"/>
        <v/>
      </c>
      <c r="AK161" s="1" t="str">
        <f t="shared" si="50"/>
        <v/>
      </c>
      <c r="AL161" s="1" t="str">
        <f t="shared" si="50"/>
        <v/>
      </c>
      <c r="AM161" s="1" t="str">
        <f t="shared" si="50"/>
        <v/>
      </c>
      <c r="AN161" s="52" t="str">
        <f t="shared" si="50"/>
        <v/>
      </c>
      <c r="AO161" s="1" t="str">
        <f t="shared" si="50"/>
        <v/>
      </c>
      <c r="AP161" s="1" t="str">
        <f t="shared" si="50"/>
        <v/>
      </c>
      <c r="AQ161" s="1" t="str">
        <f t="shared" si="50"/>
        <v/>
      </c>
      <c r="AR161" s="1" t="str">
        <f t="shared" si="50"/>
        <v/>
      </c>
      <c r="AS161" s="1" t="str">
        <f t="shared" si="50"/>
        <v/>
      </c>
      <c r="AT161" s="1" t="str">
        <f t="shared" si="50"/>
        <v/>
      </c>
      <c r="AU161" s="1" t="str">
        <f t="shared" si="50"/>
        <v/>
      </c>
      <c r="AV161" s="1" t="str">
        <f t="shared" si="50"/>
        <v/>
      </c>
      <c r="AW161" s="1" t="str">
        <f t="shared" si="49"/>
        <v/>
      </c>
      <c r="AX161" s="1" t="str">
        <f t="shared" si="49"/>
        <v/>
      </c>
      <c r="AY161" s="1" t="str">
        <f t="shared" si="49"/>
        <v/>
      </c>
      <c r="AZ161" s="1" t="str">
        <f t="shared" si="49"/>
        <v/>
      </c>
      <c r="BA161" s="1" t="str">
        <f t="shared" si="49"/>
        <v/>
      </c>
      <c r="BB161" s="1" t="str">
        <f t="shared" si="49"/>
        <v/>
      </c>
      <c r="BC161" s="1" t="str">
        <f t="shared" si="49"/>
        <v/>
      </c>
    </row>
    <row r="162" spans="1:55" x14ac:dyDescent="0.25">
      <c r="A162" s="30" t="s">
        <v>60</v>
      </c>
      <c r="B162" s="32" t="s">
        <v>65</v>
      </c>
      <c r="C162" s="31" t="s">
        <v>66</v>
      </c>
      <c r="D162" s="2"/>
      <c r="E162" s="2"/>
      <c r="F162" s="51">
        <f t="shared" si="48"/>
        <v>0</v>
      </c>
      <c r="G162" s="51">
        <f t="shared" si="47"/>
        <v>0</v>
      </c>
      <c r="H162" s="51">
        <f t="shared" si="47"/>
        <v>0</v>
      </c>
      <c r="I162" s="51">
        <f t="shared" si="47"/>
        <v>0</v>
      </c>
      <c r="J162" s="77">
        <v>56</v>
      </c>
      <c r="K162" s="51">
        <f t="shared" si="47"/>
        <v>0</v>
      </c>
      <c r="L162" s="52">
        <f t="shared" si="47"/>
        <v>0</v>
      </c>
      <c r="M162" s="77">
        <f>300</f>
        <v>300</v>
      </c>
      <c r="N162" s="51">
        <f t="shared" si="47"/>
        <v>0</v>
      </c>
      <c r="O162" s="51">
        <f t="shared" si="47"/>
        <v>0</v>
      </c>
      <c r="P162" s="51">
        <f t="shared" si="47"/>
        <v>0</v>
      </c>
      <c r="Q162" s="51">
        <f t="shared" si="47"/>
        <v>0</v>
      </c>
      <c r="R162" s="51">
        <f t="shared" si="47"/>
        <v>0</v>
      </c>
      <c r="S162" s="51">
        <f t="shared" si="47"/>
        <v>0</v>
      </c>
      <c r="T162" s="51">
        <f t="shared" si="47"/>
        <v>0</v>
      </c>
      <c r="U162" s="51">
        <f t="shared" si="47"/>
        <v>0</v>
      </c>
      <c r="V162" s="51">
        <f t="shared" si="47"/>
        <v>0</v>
      </c>
      <c r="W162" s="51">
        <f t="shared" si="47"/>
        <v>0</v>
      </c>
      <c r="X162" s="55">
        <f t="shared" si="47"/>
        <v>0</v>
      </c>
      <c r="Y162" s="59">
        <f t="shared" si="47"/>
        <v>56</v>
      </c>
      <c r="Z162" s="51">
        <f t="shared" si="47"/>
        <v>300</v>
      </c>
      <c r="AA162" s="51">
        <f t="shared" si="47"/>
        <v>195.90443686006824</v>
      </c>
      <c r="AC162" s="30" t="s">
        <v>60</v>
      </c>
      <c r="AD162" s="32" t="s">
        <v>65</v>
      </c>
      <c r="AE162" s="31" t="s">
        <v>66</v>
      </c>
      <c r="AF162" s="2"/>
      <c r="AG162" s="2"/>
      <c r="AH162" s="1" t="str">
        <f t="shared" si="50"/>
        <v/>
      </c>
      <c r="AI162" s="1" t="str">
        <f t="shared" si="50"/>
        <v/>
      </c>
      <c r="AJ162" s="1" t="str">
        <f t="shared" si="50"/>
        <v/>
      </c>
      <c r="AK162" s="1" t="str">
        <f t="shared" si="50"/>
        <v/>
      </c>
      <c r="AL162" s="1">
        <f t="shared" si="50"/>
        <v>6.7199999999999989</v>
      </c>
      <c r="AM162" s="1" t="str">
        <f t="shared" si="50"/>
        <v/>
      </c>
      <c r="AN162" s="52" t="str">
        <f t="shared" si="50"/>
        <v/>
      </c>
      <c r="AO162" s="1">
        <f t="shared" si="50"/>
        <v>24</v>
      </c>
      <c r="AP162" s="1" t="str">
        <f t="shared" si="50"/>
        <v/>
      </c>
      <c r="AQ162" s="1" t="str">
        <f t="shared" si="50"/>
        <v/>
      </c>
      <c r="AR162" s="1" t="str">
        <f t="shared" si="50"/>
        <v/>
      </c>
      <c r="AS162" s="1" t="str">
        <f t="shared" si="50"/>
        <v/>
      </c>
      <c r="AT162" s="1" t="str">
        <f t="shared" si="50"/>
        <v/>
      </c>
      <c r="AU162" s="1" t="str">
        <f t="shared" si="50"/>
        <v/>
      </c>
      <c r="AV162" s="1" t="str">
        <f t="shared" si="50"/>
        <v/>
      </c>
      <c r="AW162" s="1" t="str">
        <f t="shared" si="49"/>
        <v/>
      </c>
      <c r="AX162" s="1" t="str">
        <f t="shared" si="49"/>
        <v/>
      </c>
      <c r="AY162" s="1" t="str">
        <f t="shared" si="49"/>
        <v/>
      </c>
      <c r="AZ162" s="1" t="str">
        <f t="shared" si="49"/>
        <v/>
      </c>
      <c r="BA162" s="1">
        <f t="shared" si="49"/>
        <v>6.7199999999999989</v>
      </c>
      <c r="BB162" s="1">
        <f t="shared" si="49"/>
        <v>24</v>
      </c>
      <c r="BC162" s="1">
        <f t="shared" si="49"/>
        <v>16.627986348122867</v>
      </c>
    </row>
    <row r="163" spans="1:55" x14ac:dyDescent="0.25">
      <c r="A163" s="30" t="s">
        <v>60</v>
      </c>
      <c r="B163" s="32" t="s">
        <v>65</v>
      </c>
      <c r="C163" s="31" t="s">
        <v>67</v>
      </c>
      <c r="D163" s="2"/>
      <c r="E163" s="2"/>
      <c r="F163" s="51">
        <f t="shared" si="48"/>
        <v>0</v>
      </c>
      <c r="G163" s="51">
        <f t="shared" si="47"/>
        <v>0</v>
      </c>
      <c r="H163" s="51">
        <f t="shared" si="47"/>
        <v>0</v>
      </c>
      <c r="I163" s="51">
        <f t="shared" si="47"/>
        <v>0</v>
      </c>
      <c r="J163" s="51">
        <f t="shared" si="47"/>
        <v>0</v>
      </c>
      <c r="K163" s="51">
        <f t="shared" si="47"/>
        <v>0</v>
      </c>
      <c r="L163" s="52">
        <f t="shared" si="47"/>
        <v>0</v>
      </c>
      <c r="M163" s="51">
        <f t="shared" si="47"/>
        <v>0</v>
      </c>
      <c r="N163" s="51">
        <f t="shared" si="47"/>
        <v>0</v>
      </c>
      <c r="O163" s="51">
        <f t="shared" si="47"/>
        <v>0</v>
      </c>
      <c r="P163" s="51">
        <f t="shared" si="47"/>
        <v>0</v>
      </c>
      <c r="Q163" s="77">
        <v>940</v>
      </c>
      <c r="R163" s="77">
        <v>426</v>
      </c>
      <c r="S163" s="51">
        <f t="shared" si="47"/>
        <v>0</v>
      </c>
      <c r="T163" s="77">
        <v>426</v>
      </c>
      <c r="U163" s="77">
        <v>426</v>
      </c>
      <c r="V163" s="77">
        <v>426</v>
      </c>
      <c r="W163" s="77">
        <v>426</v>
      </c>
      <c r="X163" s="79">
        <v>426</v>
      </c>
      <c r="Y163" s="59">
        <f t="shared" si="47"/>
        <v>0</v>
      </c>
      <c r="Z163" s="51">
        <f t="shared" si="47"/>
        <v>518.50306281948372</v>
      </c>
      <c r="AA163" s="51">
        <f t="shared" si="47"/>
        <v>518.50306281948372</v>
      </c>
      <c r="AC163" s="30" t="s">
        <v>60</v>
      </c>
      <c r="AD163" s="32" t="s">
        <v>65</v>
      </c>
      <c r="AE163" s="31" t="s">
        <v>67</v>
      </c>
      <c r="AF163" s="2"/>
      <c r="AG163" s="2"/>
      <c r="AH163" s="1" t="str">
        <f t="shared" si="50"/>
        <v/>
      </c>
      <c r="AI163" s="1" t="str">
        <f t="shared" si="50"/>
        <v/>
      </c>
      <c r="AJ163" s="1" t="str">
        <f t="shared" si="50"/>
        <v/>
      </c>
      <c r="AK163" s="1" t="str">
        <f t="shared" si="50"/>
        <v/>
      </c>
      <c r="AL163" s="1" t="str">
        <f t="shared" si="50"/>
        <v/>
      </c>
      <c r="AM163" s="1" t="str">
        <f t="shared" si="50"/>
        <v/>
      </c>
      <c r="AN163" s="52" t="str">
        <f t="shared" si="50"/>
        <v/>
      </c>
      <c r="AO163" s="1" t="str">
        <f t="shared" si="50"/>
        <v/>
      </c>
      <c r="AP163" s="1" t="str">
        <f t="shared" si="50"/>
        <v/>
      </c>
      <c r="AQ163" s="1" t="str">
        <f t="shared" si="50"/>
        <v/>
      </c>
      <c r="AR163" s="1" t="str">
        <f t="shared" si="50"/>
        <v/>
      </c>
      <c r="AS163" s="1">
        <f t="shared" si="50"/>
        <v>84.600000000000009</v>
      </c>
      <c r="AT163" s="1">
        <f t="shared" si="50"/>
        <v>42.6</v>
      </c>
      <c r="AU163" s="1" t="str">
        <f t="shared" si="50"/>
        <v/>
      </c>
      <c r="AV163" s="1">
        <f t="shared" si="50"/>
        <v>51.120000000000005</v>
      </c>
      <c r="AW163" s="1">
        <f t="shared" si="49"/>
        <v>46.86</v>
      </c>
      <c r="AX163" s="1">
        <f t="shared" si="49"/>
        <v>63.900000000000006</v>
      </c>
      <c r="AY163" s="1">
        <f t="shared" si="49"/>
        <v>42.6</v>
      </c>
      <c r="AZ163" s="1">
        <f t="shared" si="49"/>
        <v>63.900000000000006</v>
      </c>
      <c r="BA163" s="1" t="str">
        <f t="shared" si="49"/>
        <v/>
      </c>
      <c r="BB163" s="1">
        <f t="shared" si="49"/>
        <v>55.19139453339529</v>
      </c>
      <c r="BC163" s="1">
        <f t="shared" si="49"/>
        <v>55.19139453339529</v>
      </c>
    </row>
    <row r="164" spans="1:55" x14ac:dyDescent="0.25">
      <c r="A164" s="30" t="s">
        <v>60</v>
      </c>
      <c r="B164" s="32" t="s">
        <v>65</v>
      </c>
      <c r="C164" s="31" t="s">
        <v>68</v>
      </c>
      <c r="D164" s="2"/>
      <c r="E164" s="2"/>
      <c r="F164" s="51">
        <f t="shared" si="48"/>
        <v>0</v>
      </c>
      <c r="G164" s="51">
        <f t="shared" si="47"/>
        <v>0</v>
      </c>
      <c r="H164" s="51">
        <f t="shared" si="47"/>
        <v>0</v>
      </c>
      <c r="I164" s="51">
        <f t="shared" si="47"/>
        <v>0</v>
      </c>
      <c r="J164" s="51">
        <f t="shared" si="47"/>
        <v>0</v>
      </c>
      <c r="K164" s="51">
        <f t="shared" si="47"/>
        <v>0</v>
      </c>
      <c r="L164" s="77">
        <v>750</v>
      </c>
      <c r="M164" s="51">
        <f t="shared" si="47"/>
        <v>0</v>
      </c>
      <c r="N164" s="51">
        <f t="shared" si="47"/>
        <v>0</v>
      </c>
      <c r="O164" s="51">
        <f t="shared" si="47"/>
        <v>0</v>
      </c>
      <c r="P164" s="51">
        <f t="shared" si="47"/>
        <v>0</v>
      </c>
      <c r="Q164" s="51">
        <f t="shared" si="47"/>
        <v>0</v>
      </c>
      <c r="R164" s="51">
        <f t="shared" si="47"/>
        <v>0</v>
      </c>
      <c r="S164" s="51">
        <f t="shared" si="47"/>
        <v>0</v>
      </c>
      <c r="T164" s="51">
        <f t="shared" si="47"/>
        <v>0</v>
      </c>
      <c r="U164" s="51">
        <f t="shared" si="47"/>
        <v>0</v>
      </c>
      <c r="V164" s="51">
        <f t="shared" si="47"/>
        <v>0</v>
      </c>
      <c r="W164" s="51">
        <f t="shared" si="47"/>
        <v>0</v>
      </c>
      <c r="X164" s="55">
        <f t="shared" si="47"/>
        <v>0</v>
      </c>
      <c r="Y164" s="59">
        <f t="shared" si="47"/>
        <v>0</v>
      </c>
      <c r="Z164" s="51">
        <f t="shared" si="47"/>
        <v>0</v>
      </c>
      <c r="AA164" s="51">
        <f t="shared" si="47"/>
        <v>750</v>
      </c>
      <c r="AC164" s="30" t="s">
        <v>60</v>
      </c>
      <c r="AD164" s="32" t="s">
        <v>65</v>
      </c>
      <c r="AE164" s="31" t="s">
        <v>68</v>
      </c>
      <c r="AF164" s="2"/>
      <c r="AG164" s="2"/>
      <c r="AH164" s="1" t="str">
        <f t="shared" si="50"/>
        <v/>
      </c>
      <c r="AI164" s="1" t="str">
        <f t="shared" si="50"/>
        <v/>
      </c>
      <c r="AJ164" s="1" t="str">
        <f t="shared" si="50"/>
        <v/>
      </c>
      <c r="AK164" s="1" t="str">
        <f t="shared" si="50"/>
        <v/>
      </c>
      <c r="AL164" s="1" t="str">
        <f t="shared" si="50"/>
        <v/>
      </c>
      <c r="AM164" s="1" t="str">
        <f t="shared" si="50"/>
        <v/>
      </c>
      <c r="AN164" s="52">
        <f t="shared" si="50"/>
        <v>63.750000000000007</v>
      </c>
      <c r="AO164" s="1" t="str">
        <f t="shared" si="50"/>
        <v/>
      </c>
      <c r="AP164" s="1" t="str">
        <f t="shared" si="50"/>
        <v/>
      </c>
      <c r="AQ164" s="1" t="str">
        <f t="shared" si="50"/>
        <v/>
      </c>
      <c r="AR164" s="1" t="str">
        <f t="shared" si="50"/>
        <v/>
      </c>
      <c r="AS164" s="1" t="str">
        <f t="shared" si="50"/>
        <v/>
      </c>
      <c r="AT164" s="1" t="str">
        <f t="shared" si="50"/>
        <v/>
      </c>
      <c r="AU164" s="1" t="str">
        <f t="shared" si="50"/>
        <v/>
      </c>
      <c r="AV164" s="1" t="str">
        <f t="shared" si="50"/>
        <v/>
      </c>
      <c r="AW164" s="1" t="str">
        <f t="shared" si="49"/>
        <v/>
      </c>
      <c r="AX164" s="1" t="str">
        <f t="shared" si="49"/>
        <v/>
      </c>
      <c r="AY164" s="1" t="str">
        <f t="shared" si="49"/>
        <v/>
      </c>
      <c r="AZ164" s="1" t="str">
        <f t="shared" si="49"/>
        <v/>
      </c>
      <c r="BA164" s="1" t="str">
        <f t="shared" si="49"/>
        <v/>
      </c>
      <c r="BB164" s="1" t="str">
        <f t="shared" si="49"/>
        <v/>
      </c>
      <c r="BC164" s="1">
        <f t="shared" si="49"/>
        <v>63.750000000000007</v>
      </c>
    </row>
    <row r="165" spans="1:55" x14ac:dyDescent="0.25">
      <c r="A165" s="30" t="s">
        <v>60</v>
      </c>
      <c r="B165" s="32" t="s">
        <v>9</v>
      </c>
      <c r="C165" s="31" t="s">
        <v>69</v>
      </c>
      <c r="D165" s="2"/>
      <c r="E165" s="2"/>
      <c r="F165" s="51">
        <f t="shared" si="48"/>
        <v>0</v>
      </c>
      <c r="G165" s="51">
        <f t="shared" si="47"/>
        <v>0</v>
      </c>
      <c r="H165" s="51">
        <f t="shared" si="47"/>
        <v>0</v>
      </c>
      <c r="I165" s="51">
        <f t="shared" si="47"/>
        <v>0</v>
      </c>
      <c r="J165" s="51">
        <f t="shared" si="47"/>
        <v>0</v>
      </c>
      <c r="K165" s="51">
        <f t="shared" si="47"/>
        <v>0</v>
      </c>
      <c r="L165" s="52">
        <f t="shared" ref="G165:AA178" si="51">IF(L210&gt;0,L30/L210,0)</f>
        <v>0</v>
      </c>
      <c r="M165" s="51">
        <f t="shared" si="51"/>
        <v>0</v>
      </c>
      <c r="N165" s="51">
        <f t="shared" si="51"/>
        <v>0</v>
      </c>
      <c r="O165" s="51">
        <f t="shared" si="51"/>
        <v>0</v>
      </c>
      <c r="P165" s="51">
        <f t="shared" si="51"/>
        <v>0</v>
      </c>
      <c r="Q165" s="51">
        <f t="shared" si="51"/>
        <v>0</v>
      </c>
      <c r="R165" s="51">
        <f t="shared" si="51"/>
        <v>0</v>
      </c>
      <c r="S165" s="51">
        <f t="shared" si="51"/>
        <v>0</v>
      </c>
      <c r="T165" s="51">
        <f t="shared" si="51"/>
        <v>0</v>
      </c>
      <c r="U165" s="51">
        <f t="shared" si="51"/>
        <v>0</v>
      </c>
      <c r="V165" s="51">
        <f t="shared" si="51"/>
        <v>0</v>
      </c>
      <c r="W165" s="51">
        <f t="shared" si="51"/>
        <v>0</v>
      </c>
      <c r="X165" s="79">
        <v>426</v>
      </c>
      <c r="Y165" s="59">
        <f t="shared" si="51"/>
        <v>0</v>
      </c>
      <c r="Z165" s="51">
        <f t="shared" si="51"/>
        <v>658.596</v>
      </c>
      <c r="AA165" s="51">
        <f t="shared" si="51"/>
        <v>658.596</v>
      </c>
      <c r="AC165" s="30" t="s">
        <v>60</v>
      </c>
      <c r="AD165" s="32" t="s">
        <v>9</v>
      </c>
      <c r="AE165" s="31" t="s">
        <v>69</v>
      </c>
      <c r="AF165" s="2"/>
      <c r="AG165" s="2"/>
      <c r="AH165" s="1" t="str">
        <f t="shared" si="50"/>
        <v/>
      </c>
      <c r="AI165" s="1" t="str">
        <f t="shared" si="50"/>
        <v/>
      </c>
      <c r="AJ165" s="1" t="str">
        <f t="shared" si="50"/>
        <v/>
      </c>
      <c r="AK165" s="1" t="str">
        <f t="shared" si="50"/>
        <v/>
      </c>
      <c r="AL165" s="1" t="str">
        <f t="shared" si="50"/>
        <v/>
      </c>
      <c r="AM165" s="1" t="str">
        <f t="shared" si="50"/>
        <v/>
      </c>
      <c r="AN165" s="52" t="str">
        <f t="shared" si="50"/>
        <v/>
      </c>
      <c r="AO165" s="1" t="str">
        <f t="shared" si="50"/>
        <v/>
      </c>
      <c r="AP165" s="1" t="str">
        <f t="shared" si="50"/>
        <v/>
      </c>
      <c r="AQ165" s="1" t="str">
        <f t="shared" si="50"/>
        <v/>
      </c>
      <c r="AR165" s="1" t="str">
        <f t="shared" si="50"/>
        <v/>
      </c>
      <c r="AS165" s="1" t="str">
        <f t="shared" si="50"/>
        <v/>
      </c>
      <c r="AT165" s="1" t="str">
        <f t="shared" si="50"/>
        <v/>
      </c>
      <c r="AU165" s="1" t="str">
        <f t="shared" si="50"/>
        <v/>
      </c>
      <c r="AV165" s="1" t="str">
        <f t="shared" si="50"/>
        <v/>
      </c>
      <c r="AW165" s="1" t="str">
        <f t="shared" si="49"/>
        <v/>
      </c>
      <c r="AX165" s="1" t="str">
        <f t="shared" si="49"/>
        <v/>
      </c>
      <c r="AY165" s="1" t="str">
        <f t="shared" si="49"/>
        <v/>
      </c>
      <c r="AZ165" s="1">
        <f t="shared" si="49"/>
        <v>178.92</v>
      </c>
      <c r="BA165" s="1" t="str">
        <f t="shared" si="49"/>
        <v/>
      </c>
      <c r="BB165" s="1">
        <f t="shared" si="49"/>
        <v>351.87599999999998</v>
      </c>
      <c r="BC165" s="1">
        <f t="shared" si="49"/>
        <v>351.87599999999998</v>
      </c>
    </row>
    <row r="166" spans="1:55" x14ac:dyDescent="0.25">
      <c r="A166" s="15" t="s">
        <v>51</v>
      </c>
      <c r="B166" s="16" t="s">
        <v>56</v>
      </c>
      <c r="C166" s="27" t="s">
        <v>57</v>
      </c>
      <c r="D166" s="16" t="s">
        <v>70</v>
      </c>
      <c r="E166" s="16"/>
      <c r="F166" s="1">
        <f t="shared" si="48"/>
        <v>0</v>
      </c>
      <c r="G166" s="1">
        <f t="shared" si="51"/>
        <v>0</v>
      </c>
      <c r="H166" s="1">
        <f t="shared" si="51"/>
        <v>0</v>
      </c>
      <c r="I166" s="1">
        <f t="shared" si="51"/>
        <v>0</v>
      </c>
      <c r="J166" s="1">
        <f t="shared" si="51"/>
        <v>0</v>
      </c>
      <c r="K166" s="1">
        <f t="shared" si="51"/>
        <v>0</v>
      </c>
      <c r="L166" s="52">
        <f t="shared" si="51"/>
        <v>0</v>
      </c>
      <c r="M166" s="1">
        <f t="shared" si="51"/>
        <v>0</v>
      </c>
      <c r="N166" s="1">
        <f t="shared" si="51"/>
        <v>0</v>
      </c>
      <c r="O166" s="1">
        <f t="shared" si="51"/>
        <v>0</v>
      </c>
      <c r="P166" s="1">
        <f t="shared" si="51"/>
        <v>0</v>
      </c>
      <c r="Q166" s="1">
        <f t="shared" si="51"/>
        <v>0</v>
      </c>
      <c r="R166" s="1">
        <f t="shared" si="51"/>
        <v>0</v>
      </c>
      <c r="S166" s="1">
        <f t="shared" si="51"/>
        <v>0</v>
      </c>
      <c r="T166" s="1">
        <f t="shared" si="51"/>
        <v>0</v>
      </c>
      <c r="U166" s="1">
        <f t="shared" si="51"/>
        <v>0</v>
      </c>
      <c r="V166" s="1">
        <f t="shared" si="51"/>
        <v>0</v>
      </c>
      <c r="W166" s="1">
        <f t="shared" si="51"/>
        <v>0</v>
      </c>
      <c r="X166" s="54">
        <f t="shared" si="51"/>
        <v>0</v>
      </c>
      <c r="Y166" s="58">
        <f t="shared" si="51"/>
        <v>0</v>
      </c>
      <c r="Z166" s="1">
        <f t="shared" si="51"/>
        <v>0</v>
      </c>
      <c r="AA166" s="1">
        <f t="shared" si="51"/>
        <v>0</v>
      </c>
      <c r="AC166" s="15" t="s">
        <v>51</v>
      </c>
      <c r="AD166" s="16" t="s">
        <v>56</v>
      </c>
      <c r="AE166" s="27" t="s">
        <v>57</v>
      </c>
      <c r="AF166" s="16" t="s">
        <v>70</v>
      </c>
      <c r="AG166" s="16"/>
      <c r="AH166" s="90" t="str">
        <f t="shared" si="50"/>
        <v/>
      </c>
      <c r="AI166" s="90" t="str">
        <f t="shared" si="50"/>
        <v/>
      </c>
      <c r="AJ166" s="90" t="str">
        <f t="shared" si="50"/>
        <v/>
      </c>
      <c r="AK166" s="90" t="str">
        <f t="shared" si="50"/>
        <v/>
      </c>
      <c r="AL166" s="90" t="str">
        <f t="shared" si="50"/>
        <v/>
      </c>
      <c r="AM166" s="90" t="str">
        <f t="shared" si="50"/>
        <v/>
      </c>
      <c r="AN166" s="90" t="str">
        <f t="shared" si="50"/>
        <v/>
      </c>
      <c r="AO166" s="90" t="str">
        <f t="shared" si="50"/>
        <v/>
      </c>
      <c r="AP166" s="90" t="str">
        <f t="shared" si="50"/>
        <v/>
      </c>
      <c r="AQ166" s="90" t="str">
        <f t="shared" si="50"/>
        <v/>
      </c>
      <c r="AR166" s="90" t="str">
        <f t="shared" si="50"/>
        <v/>
      </c>
      <c r="AS166" s="90" t="str">
        <f t="shared" si="50"/>
        <v/>
      </c>
      <c r="AT166" s="90" t="str">
        <f t="shared" si="50"/>
        <v/>
      </c>
      <c r="AU166" s="90" t="str">
        <f t="shared" si="50"/>
        <v/>
      </c>
      <c r="AV166" s="90" t="str">
        <f t="shared" si="50"/>
        <v/>
      </c>
      <c r="AW166" s="90" t="str">
        <f t="shared" si="49"/>
        <v/>
      </c>
      <c r="AX166" s="90" t="str">
        <f t="shared" si="49"/>
        <v/>
      </c>
      <c r="AY166" s="90" t="str">
        <f t="shared" si="49"/>
        <v/>
      </c>
      <c r="AZ166" s="90" t="str">
        <f t="shared" si="49"/>
        <v/>
      </c>
      <c r="BA166" s="90" t="str">
        <f t="shared" si="49"/>
        <v/>
      </c>
      <c r="BB166" s="90" t="str">
        <f t="shared" si="49"/>
        <v/>
      </c>
      <c r="BC166" s="90" t="str">
        <f t="shared" si="49"/>
        <v/>
      </c>
    </row>
    <row r="167" spans="1:55" x14ac:dyDescent="0.25">
      <c r="A167" s="15" t="s">
        <v>51</v>
      </c>
      <c r="B167" s="16" t="s">
        <v>56</v>
      </c>
      <c r="C167" s="27" t="s">
        <v>57</v>
      </c>
      <c r="D167" s="16" t="s">
        <v>71</v>
      </c>
      <c r="E167" s="16"/>
      <c r="F167" s="1">
        <f t="shared" si="48"/>
        <v>0</v>
      </c>
      <c r="G167" s="1">
        <f t="shared" si="51"/>
        <v>0</v>
      </c>
      <c r="H167" s="1">
        <f t="shared" si="51"/>
        <v>0</v>
      </c>
      <c r="I167" s="1">
        <f t="shared" si="51"/>
        <v>0</v>
      </c>
      <c r="J167" s="1">
        <f t="shared" si="51"/>
        <v>0</v>
      </c>
      <c r="K167" s="1">
        <f t="shared" si="51"/>
        <v>0</v>
      </c>
      <c r="L167" s="52">
        <f t="shared" si="51"/>
        <v>0</v>
      </c>
      <c r="M167" s="1">
        <f t="shared" si="51"/>
        <v>0</v>
      </c>
      <c r="N167" s="1">
        <f t="shared" si="51"/>
        <v>0</v>
      </c>
      <c r="O167" s="1">
        <f t="shared" si="51"/>
        <v>0</v>
      </c>
      <c r="P167" s="1">
        <f t="shared" si="51"/>
        <v>0</v>
      </c>
      <c r="Q167" s="1">
        <f t="shared" si="51"/>
        <v>0</v>
      </c>
      <c r="R167" s="1">
        <f t="shared" si="51"/>
        <v>0</v>
      </c>
      <c r="S167" s="1">
        <f t="shared" si="51"/>
        <v>0</v>
      </c>
      <c r="T167" s="1">
        <f t="shared" si="51"/>
        <v>0</v>
      </c>
      <c r="U167" s="1">
        <f t="shared" si="51"/>
        <v>0</v>
      </c>
      <c r="V167" s="1">
        <f t="shared" si="51"/>
        <v>0</v>
      </c>
      <c r="W167" s="1">
        <f t="shared" si="51"/>
        <v>0</v>
      </c>
      <c r="X167" s="54">
        <f t="shared" si="51"/>
        <v>0</v>
      </c>
      <c r="Y167" s="58">
        <f t="shared" si="51"/>
        <v>0</v>
      </c>
      <c r="Z167" s="1">
        <f t="shared" si="51"/>
        <v>0</v>
      </c>
      <c r="AA167" s="1">
        <f t="shared" si="51"/>
        <v>0</v>
      </c>
      <c r="AC167" s="15" t="s">
        <v>51</v>
      </c>
      <c r="AD167" s="16" t="s">
        <v>56</v>
      </c>
      <c r="AE167" s="27" t="s">
        <v>57</v>
      </c>
      <c r="AF167" s="16" t="s">
        <v>71</v>
      </c>
      <c r="AG167" s="16"/>
      <c r="AH167" s="90" t="str">
        <f t="shared" si="50"/>
        <v/>
      </c>
      <c r="AI167" s="90" t="str">
        <f t="shared" si="50"/>
        <v/>
      </c>
      <c r="AJ167" s="90" t="str">
        <f t="shared" si="50"/>
        <v/>
      </c>
      <c r="AK167" s="90" t="str">
        <f t="shared" si="50"/>
        <v/>
      </c>
      <c r="AL167" s="90" t="str">
        <f t="shared" si="50"/>
        <v/>
      </c>
      <c r="AM167" s="90" t="str">
        <f t="shared" si="50"/>
        <v/>
      </c>
      <c r="AN167" s="90" t="str">
        <f t="shared" si="50"/>
        <v/>
      </c>
      <c r="AO167" s="90" t="str">
        <f t="shared" si="50"/>
        <v/>
      </c>
      <c r="AP167" s="90" t="str">
        <f t="shared" si="50"/>
        <v/>
      </c>
      <c r="AQ167" s="90" t="str">
        <f t="shared" si="50"/>
        <v/>
      </c>
      <c r="AR167" s="90" t="str">
        <f t="shared" si="50"/>
        <v/>
      </c>
      <c r="AS167" s="90" t="str">
        <f t="shared" si="50"/>
        <v/>
      </c>
      <c r="AT167" s="90" t="str">
        <f t="shared" si="50"/>
        <v/>
      </c>
      <c r="AU167" s="90" t="str">
        <f t="shared" si="50"/>
        <v/>
      </c>
      <c r="AV167" s="90" t="str">
        <f t="shared" si="50"/>
        <v/>
      </c>
      <c r="AW167" s="90" t="str">
        <f t="shared" si="49"/>
        <v/>
      </c>
      <c r="AX167" s="90" t="str">
        <f t="shared" si="49"/>
        <v/>
      </c>
      <c r="AY167" s="90" t="str">
        <f t="shared" si="49"/>
        <v/>
      </c>
      <c r="AZ167" s="90" t="str">
        <f t="shared" si="49"/>
        <v/>
      </c>
      <c r="BA167" s="90" t="str">
        <f t="shared" si="49"/>
        <v/>
      </c>
      <c r="BB167" s="90" t="str">
        <f t="shared" si="49"/>
        <v/>
      </c>
      <c r="BC167" s="90" t="str">
        <f t="shared" si="49"/>
        <v/>
      </c>
    </row>
    <row r="168" spans="1:55" x14ac:dyDescent="0.25">
      <c r="A168" s="15" t="s">
        <v>51</v>
      </c>
      <c r="B168" s="16" t="s">
        <v>56</v>
      </c>
      <c r="C168" s="27" t="s">
        <v>27</v>
      </c>
      <c r="D168" s="16" t="s">
        <v>72</v>
      </c>
      <c r="E168" s="16"/>
      <c r="F168" s="1">
        <f t="shared" si="48"/>
        <v>0</v>
      </c>
      <c r="G168" s="1">
        <f t="shared" si="51"/>
        <v>0</v>
      </c>
      <c r="H168" s="1">
        <f t="shared" si="51"/>
        <v>0</v>
      </c>
      <c r="I168" s="1">
        <f t="shared" si="51"/>
        <v>0</v>
      </c>
      <c r="J168" s="1">
        <f t="shared" si="51"/>
        <v>0</v>
      </c>
      <c r="K168" s="1">
        <f t="shared" si="51"/>
        <v>0</v>
      </c>
      <c r="L168" s="52">
        <f t="shared" si="51"/>
        <v>0</v>
      </c>
      <c r="M168" s="1">
        <f t="shared" si="51"/>
        <v>0</v>
      </c>
      <c r="N168" s="1">
        <f t="shared" si="51"/>
        <v>0</v>
      </c>
      <c r="O168" s="1">
        <f t="shared" si="51"/>
        <v>0</v>
      </c>
      <c r="P168" s="1">
        <f t="shared" si="51"/>
        <v>0</v>
      </c>
      <c r="Q168" s="1">
        <f t="shared" si="51"/>
        <v>0</v>
      </c>
      <c r="R168" s="1">
        <f t="shared" si="51"/>
        <v>0</v>
      </c>
      <c r="S168" s="1">
        <f t="shared" si="51"/>
        <v>0</v>
      </c>
      <c r="T168" s="1">
        <f t="shared" si="51"/>
        <v>0</v>
      </c>
      <c r="U168" s="1">
        <f t="shared" si="51"/>
        <v>0</v>
      </c>
      <c r="V168" s="1">
        <f t="shared" si="51"/>
        <v>0</v>
      </c>
      <c r="W168" s="1">
        <f t="shared" si="51"/>
        <v>0</v>
      </c>
      <c r="X168" s="54">
        <f t="shared" si="51"/>
        <v>0</v>
      </c>
      <c r="Y168" s="58">
        <f t="shared" si="51"/>
        <v>0</v>
      </c>
      <c r="Z168" s="1">
        <f t="shared" si="51"/>
        <v>0</v>
      </c>
      <c r="AA168" s="1">
        <f t="shared" si="51"/>
        <v>0</v>
      </c>
      <c r="AC168" s="15" t="s">
        <v>51</v>
      </c>
      <c r="AD168" s="16" t="s">
        <v>56</v>
      </c>
      <c r="AE168" s="27" t="s">
        <v>27</v>
      </c>
      <c r="AF168" s="16" t="s">
        <v>72</v>
      </c>
      <c r="AG168" s="16"/>
      <c r="AH168" s="90" t="str">
        <f t="shared" si="50"/>
        <v/>
      </c>
      <c r="AI168" s="90" t="str">
        <f t="shared" si="50"/>
        <v/>
      </c>
      <c r="AJ168" s="90" t="str">
        <f t="shared" si="50"/>
        <v/>
      </c>
      <c r="AK168" s="90" t="str">
        <f t="shared" si="50"/>
        <v/>
      </c>
      <c r="AL168" s="90" t="str">
        <f t="shared" si="50"/>
        <v/>
      </c>
      <c r="AM168" s="90" t="str">
        <f t="shared" si="50"/>
        <v/>
      </c>
      <c r="AN168" s="90" t="str">
        <f t="shared" si="50"/>
        <v/>
      </c>
      <c r="AO168" s="90" t="str">
        <f t="shared" si="50"/>
        <v/>
      </c>
      <c r="AP168" s="90" t="str">
        <f t="shared" si="50"/>
        <v/>
      </c>
      <c r="AQ168" s="90" t="str">
        <f t="shared" si="50"/>
        <v/>
      </c>
      <c r="AR168" s="90" t="str">
        <f t="shared" si="50"/>
        <v/>
      </c>
      <c r="AS168" s="90" t="str">
        <f t="shared" si="50"/>
        <v/>
      </c>
      <c r="AT168" s="90" t="str">
        <f t="shared" si="50"/>
        <v/>
      </c>
      <c r="AU168" s="90" t="str">
        <f t="shared" si="50"/>
        <v/>
      </c>
      <c r="AV168" s="90" t="str">
        <f t="shared" si="50"/>
        <v/>
      </c>
      <c r="AW168" s="90" t="str">
        <f t="shared" si="49"/>
        <v/>
      </c>
      <c r="AX168" s="90" t="str">
        <f t="shared" si="49"/>
        <v/>
      </c>
      <c r="AY168" s="90" t="str">
        <f t="shared" si="49"/>
        <v/>
      </c>
      <c r="AZ168" s="90" t="str">
        <f t="shared" si="49"/>
        <v/>
      </c>
      <c r="BA168" s="90" t="str">
        <f t="shared" si="49"/>
        <v/>
      </c>
      <c r="BB168" s="90" t="str">
        <f t="shared" si="49"/>
        <v/>
      </c>
      <c r="BC168" s="90" t="str">
        <f t="shared" si="49"/>
        <v/>
      </c>
    </row>
    <row r="169" spans="1:55" x14ac:dyDescent="0.25">
      <c r="A169" s="15" t="s">
        <v>51</v>
      </c>
      <c r="B169" s="16" t="s">
        <v>56</v>
      </c>
      <c r="C169" s="27" t="s">
        <v>57</v>
      </c>
      <c r="D169" s="16" t="s">
        <v>73</v>
      </c>
      <c r="E169" s="16"/>
      <c r="F169" s="1">
        <f t="shared" si="48"/>
        <v>0</v>
      </c>
      <c r="G169" s="1">
        <f t="shared" si="51"/>
        <v>0</v>
      </c>
      <c r="H169" s="1">
        <f t="shared" si="51"/>
        <v>0</v>
      </c>
      <c r="I169" s="1">
        <f t="shared" si="51"/>
        <v>0</v>
      </c>
      <c r="J169" s="1">
        <f t="shared" si="51"/>
        <v>0</v>
      </c>
      <c r="K169" s="1">
        <f t="shared" si="51"/>
        <v>0</v>
      </c>
      <c r="L169" s="52">
        <f t="shared" si="51"/>
        <v>0</v>
      </c>
      <c r="M169" s="1">
        <f t="shared" si="51"/>
        <v>0</v>
      </c>
      <c r="N169" s="1">
        <f t="shared" si="51"/>
        <v>0</v>
      </c>
      <c r="O169" s="1">
        <f t="shared" si="51"/>
        <v>0</v>
      </c>
      <c r="P169" s="1">
        <f t="shared" si="51"/>
        <v>0</v>
      </c>
      <c r="Q169" s="1">
        <f t="shared" si="51"/>
        <v>0</v>
      </c>
      <c r="R169" s="1">
        <f t="shared" si="51"/>
        <v>0</v>
      </c>
      <c r="S169" s="1">
        <f t="shared" si="51"/>
        <v>0</v>
      </c>
      <c r="T169" s="1">
        <f t="shared" si="51"/>
        <v>0</v>
      </c>
      <c r="U169" s="1">
        <f t="shared" si="51"/>
        <v>0</v>
      </c>
      <c r="V169" s="1">
        <f t="shared" si="51"/>
        <v>0</v>
      </c>
      <c r="W169" s="1">
        <f t="shared" si="51"/>
        <v>0</v>
      </c>
      <c r="X169" s="54">
        <f t="shared" si="51"/>
        <v>0</v>
      </c>
      <c r="Y169" s="58">
        <f t="shared" si="51"/>
        <v>0</v>
      </c>
      <c r="Z169" s="1">
        <f t="shared" si="51"/>
        <v>0</v>
      </c>
      <c r="AA169" s="1">
        <f t="shared" si="51"/>
        <v>0</v>
      </c>
      <c r="AC169" s="15" t="s">
        <v>51</v>
      </c>
      <c r="AD169" s="16" t="s">
        <v>56</v>
      </c>
      <c r="AE169" s="27" t="s">
        <v>57</v>
      </c>
      <c r="AF169" s="16" t="s">
        <v>73</v>
      </c>
      <c r="AG169" s="16"/>
      <c r="AH169" s="90" t="str">
        <f t="shared" si="50"/>
        <v/>
      </c>
      <c r="AI169" s="90" t="str">
        <f t="shared" si="50"/>
        <v/>
      </c>
      <c r="AJ169" s="90" t="str">
        <f t="shared" si="50"/>
        <v/>
      </c>
      <c r="AK169" s="90" t="str">
        <f t="shared" si="50"/>
        <v/>
      </c>
      <c r="AL169" s="90" t="str">
        <f t="shared" si="50"/>
        <v/>
      </c>
      <c r="AM169" s="90" t="str">
        <f t="shared" si="50"/>
        <v/>
      </c>
      <c r="AN169" s="90" t="str">
        <f t="shared" si="50"/>
        <v/>
      </c>
      <c r="AO169" s="90" t="str">
        <f t="shared" si="50"/>
        <v/>
      </c>
      <c r="AP169" s="90" t="str">
        <f t="shared" si="50"/>
        <v/>
      </c>
      <c r="AQ169" s="90" t="str">
        <f t="shared" si="50"/>
        <v/>
      </c>
      <c r="AR169" s="90" t="str">
        <f t="shared" si="50"/>
        <v/>
      </c>
      <c r="AS169" s="90" t="str">
        <f t="shared" si="50"/>
        <v/>
      </c>
      <c r="AT169" s="90" t="str">
        <f t="shared" si="50"/>
        <v/>
      </c>
      <c r="AU169" s="90" t="str">
        <f t="shared" si="50"/>
        <v/>
      </c>
      <c r="AV169" s="90" t="str">
        <f t="shared" si="50"/>
        <v/>
      </c>
      <c r="AW169" s="90" t="str">
        <f t="shared" si="49"/>
        <v/>
      </c>
      <c r="AX169" s="90" t="str">
        <f t="shared" si="49"/>
        <v/>
      </c>
      <c r="AY169" s="90" t="str">
        <f t="shared" si="49"/>
        <v/>
      </c>
      <c r="AZ169" s="90" t="str">
        <f t="shared" si="49"/>
        <v/>
      </c>
      <c r="BA169" s="90" t="str">
        <f t="shared" si="49"/>
        <v/>
      </c>
      <c r="BB169" s="90" t="str">
        <f t="shared" si="49"/>
        <v/>
      </c>
      <c r="BC169" s="90" t="str">
        <f t="shared" si="49"/>
        <v/>
      </c>
    </row>
    <row r="170" spans="1:55" x14ac:dyDescent="0.25">
      <c r="A170" s="15" t="s">
        <v>51</v>
      </c>
      <c r="B170" s="16" t="s">
        <v>56</v>
      </c>
      <c r="C170" s="27" t="s">
        <v>57</v>
      </c>
      <c r="D170" s="16" t="s">
        <v>74</v>
      </c>
      <c r="E170" s="16"/>
      <c r="F170" s="1">
        <f t="shared" si="48"/>
        <v>0</v>
      </c>
      <c r="G170" s="1">
        <f t="shared" si="51"/>
        <v>0</v>
      </c>
      <c r="H170" s="1">
        <f t="shared" si="51"/>
        <v>0</v>
      </c>
      <c r="I170" s="1">
        <f t="shared" si="51"/>
        <v>0</v>
      </c>
      <c r="J170" s="1">
        <f t="shared" si="51"/>
        <v>0</v>
      </c>
      <c r="K170" s="1">
        <f t="shared" si="51"/>
        <v>0</v>
      </c>
      <c r="L170" s="52">
        <f t="shared" si="51"/>
        <v>0</v>
      </c>
      <c r="M170" s="1">
        <f t="shared" si="51"/>
        <v>0</v>
      </c>
      <c r="N170" s="1">
        <f t="shared" si="51"/>
        <v>0</v>
      </c>
      <c r="O170" s="1">
        <f t="shared" si="51"/>
        <v>0</v>
      </c>
      <c r="P170" s="1">
        <f t="shared" si="51"/>
        <v>0</v>
      </c>
      <c r="Q170" s="1">
        <f t="shared" si="51"/>
        <v>0</v>
      </c>
      <c r="R170" s="1">
        <f t="shared" si="51"/>
        <v>0</v>
      </c>
      <c r="S170" s="1">
        <f t="shared" si="51"/>
        <v>0</v>
      </c>
      <c r="T170" s="1">
        <f t="shared" si="51"/>
        <v>0</v>
      </c>
      <c r="U170" s="1">
        <f t="shared" si="51"/>
        <v>0</v>
      </c>
      <c r="V170" s="1">
        <f t="shared" si="51"/>
        <v>0</v>
      </c>
      <c r="W170" s="1">
        <f t="shared" si="51"/>
        <v>0</v>
      </c>
      <c r="X170" s="54">
        <f t="shared" si="51"/>
        <v>0</v>
      </c>
      <c r="Y170" s="58">
        <f t="shared" si="51"/>
        <v>0</v>
      </c>
      <c r="Z170" s="1">
        <f t="shared" si="51"/>
        <v>0</v>
      </c>
      <c r="AA170" s="1">
        <f t="shared" si="51"/>
        <v>0</v>
      </c>
      <c r="AC170" s="15" t="s">
        <v>51</v>
      </c>
      <c r="AD170" s="16" t="s">
        <v>56</v>
      </c>
      <c r="AE170" s="27" t="s">
        <v>57</v>
      </c>
      <c r="AF170" s="16" t="s">
        <v>74</v>
      </c>
      <c r="AG170" s="16"/>
      <c r="AH170" s="90" t="str">
        <f t="shared" si="50"/>
        <v/>
      </c>
      <c r="AI170" s="90" t="str">
        <f t="shared" si="50"/>
        <v/>
      </c>
      <c r="AJ170" s="90" t="str">
        <f t="shared" si="50"/>
        <v/>
      </c>
      <c r="AK170" s="90" t="str">
        <f t="shared" si="50"/>
        <v/>
      </c>
      <c r="AL170" s="90" t="str">
        <f t="shared" si="50"/>
        <v/>
      </c>
      <c r="AM170" s="90" t="str">
        <f t="shared" si="50"/>
        <v/>
      </c>
      <c r="AN170" s="90" t="str">
        <f t="shared" si="50"/>
        <v/>
      </c>
      <c r="AO170" s="90" t="str">
        <f t="shared" si="50"/>
        <v/>
      </c>
      <c r="AP170" s="90" t="str">
        <f t="shared" si="50"/>
        <v/>
      </c>
      <c r="AQ170" s="90" t="str">
        <f t="shared" si="50"/>
        <v/>
      </c>
      <c r="AR170" s="90" t="str">
        <f t="shared" si="50"/>
        <v/>
      </c>
      <c r="AS170" s="90" t="str">
        <f t="shared" si="50"/>
        <v/>
      </c>
      <c r="AT170" s="90" t="str">
        <f t="shared" si="50"/>
        <v/>
      </c>
      <c r="AU170" s="90" t="str">
        <f t="shared" si="50"/>
        <v/>
      </c>
      <c r="AV170" s="90" t="str">
        <f t="shared" si="50"/>
        <v/>
      </c>
      <c r="AW170" s="90" t="str">
        <f t="shared" si="49"/>
        <v/>
      </c>
      <c r="AX170" s="90" t="str">
        <f t="shared" si="49"/>
        <v/>
      </c>
      <c r="AY170" s="90" t="str">
        <f t="shared" si="49"/>
        <v/>
      </c>
      <c r="AZ170" s="90" t="str">
        <f t="shared" si="49"/>
        <v/>
      </c>
      <c r="BA170" s="90" t="str">
        <f t="shared" si="49"/>
        <v/>
      </c>
      <c r="BB170" s="90" t="str">
        <f t="shared" si="49"/>
        <v/>
      </c>
      <c r="BC170" s="90" t="str">
        <f t="shared" si="49"/>
        <v/>
      </c>
    </row>
    <row r="171" spans="1:55" x14ac:dyDescent="0.25">
      <c r="A171" s="30" t="s">
        <v>60</v>
      </c>
      <c r="B171" s="31" t="s">
        <v>13</v>
      </c>
      <c r="C171" s="32" t="s">
        <v>61</v>
      </c>
      <c r="D171" s="31" t="s">
        <v>75</v>
      </c>
      <c r="E171" s="31"/>
      <c r="F171" s="51">
        <f>F156*0.9</f>
        <v>49.4</v>
      </c>
      <c r="G171" s="73"/>
      <c r="H171" s="51">
        <f>H156</f>
        <v>4.3903999999999996</v>
      </c>
      <c r="I171" s="51">
        <f>I156*0.9</f>
        <v>26.1</v>
      </c>
      <c r="J171" s="51">
        <v>0</v>
      </c>
      <c r="K171" s="51">
        <f>K156*0.8</f>
        <v>23.200000000000003</v>
      </c>
      <c r="L171" s="52">
        <v>0</v>
      </c>
      <c r="M171" s="73">
        <f>M156*0.1</f>
        <v>40</v>
      </c>
      <c r="N171" s="73">
        <v>0</v>
      </c>
      <c r="O171" s="73">
        <v>0</v>
      </c>
      <c r="P171" s="73">
        <v>0</v>
      </c>
      <c r="Q171" s="73"/>
      <c r="R171" s="73"/>
      <c r="S171" s="51"/>
      <c r="T171" s="51"/>
      <c r="U171" s="51"/>
      <c r="V171" s="51"/>
      <c r="W171" s="51">
        <f>W156</f>
        <v>426</v>
      </c>
      <c r="X171" s="55">
        <f>X201*0.1</f>
        <v>1.4084507042253522</v>
      </c>
      <c r="Y171" s="59">
        <f t="shared" si="51"/>
        <v>20.06354891741579</v>
      </c>
      <c r="Z171" s="51">
        <f t="shared" si="51"/>
        <v>233.5081029551954</v>
      </c>
      <c r="AA171" s="51">
        <f t="shared" si="51"/>
        <v>22.262128158312517</v>
      </c>
      <c r="AC171" s="30" t="s">
        <v>60</v>
      </c>
      <c r="AD171" s="31" t="s">
        <v>13</v>
      </c>
      <c r="AE171" s="32" t="s">
        <v>61</v>
      </c>
      <c r="AF171" s="31" t="s">
        <v>75</v>
      </c>
      <c r="AG171" s="31"/>
      <c r="AH171" s="1">
        <f t="shared" si="50"/>
        <v>10.893335555555556</v>
      </c>
      <c r="AI171" s="1" t="str">
        <f t="shared" si="50"/>
        <v/>
      </c>
      <c r="AJ171" s="1">
        <f t="shared" si="50"/>
        <v>1.056</v>
      </c>
      <c r="AK171" s="1">
        <f t="shared" si="50"/>
        <v>5.4674441205053439</v>
      </c>
      <c r="AL171" s="1" t="str">
        <f t="shared" si="50"/>
        <v/>
      </c>
      <c r="AM171" s="1">
        <f t="shared" si="50"/>
        <v>4.2243333333333339</v>
      </c>
      <c r="AN171" s="52" t="str">
        <f t="shared" si="50"/>
        <v/>
      </c>
      <c r="AO171" s="1">
        <f t="shared" si="50"/>
        <v>100</v>
      </c>
      <c r="AP171" s="1" t="str">
        <f t="shared" si="50"/>
        <v/>
      </c>
      <c r="AQ171" s="1" t="str">
        <f t="shared" si="50"/>
        <v/>
      </c>
      <c r="AR171" s="1" t="str">
        <f t="shared" si="50"/>
        <v/>
      </c>
      <c r="AS171" s="1" t="str">
        <f t="shared" si="50"/>
        <v/>
      </c>
      <c r="AT171" s="1" t="str">
        <f t="shared" si="50"/>
        <v/>
      </c>
      <c r="AU171" s="1" t="str">
        <f t="shared" si="50"/>
        <v/>
      </c>
      <c r="AV171" s="1" t="str">
        <f t="shared" si="50"/>
        <v/>
      </c>
      <c r="AW171" s="1" t="str">
        <f t="shared" si="49"/>
        <v/>
      </c>
      <c r="AX171" s="1" t="str">
        <f t="shared" si="49"/>
        <v/>
      </c>
      <c r="AY171" s="1">
        <f t="shared" si="49"/>
        <v>340.8</v>
      </c>
      <c r="AZ171" s="1">
        <f t="shared" si="49"/>
        <v>1.4999999999999998E-2</v>
      </c>
      <c r="BA171" s="1">
        <f t="shared" si="49"/>
        <v>3.7991095188125965</v>
      </c>
      <c r="BB171" s="1">
        <f t="shared" si="49"/>
        <v>58.48667302192564</v>
      </c>
      <c r="BC171" s="1">
        <f t="shared" si="49"/>
        <v>4.362417129986806</v>
      </c>
    </row>
    <row r="172" spans="1:55" x14ac:dyDescent="0.25">
      <c r="A172" s="30" t="s">
        <v>60</v>
      </c>
      <c r="B172" s="31" t="s">
        <v>13</v>
      </c>
      <c r="C172" s="32" t="s">
        <v>61</v>
      </c>
      <c r="D172" s="31" t="s">
        <v>76</v>
      </c>
      <c r="E172" s="31"/>
      <c r="F172" s="51">
        <f>F156*0.1</f>
        <v>5.4888888888888889</v>
      </c>
      <c r="G172" s="51">
        <v>0</v>
      </c>
      <c r="H172" s="51">
        <v>0</v>
      </c>
      <c r="I172" s="51">
        <f>I156*0.05</f>
        <v>1.4500000000000002</v>
      </c>
      <c r="J172" s="51">
        <f>J156</f>
        <v>48.75</v>
      </c>
      <c r="K172" s="51">
        <f>K156*0.05</f>
        <v>1.4500000000000002</v>
      </c>
      <c r="L172" s="52">
        <v>0</v>
      </c>
      <c r="M172" s="73">
        <f>M156*0.5</f>
        <v>200</v>
      </c>
      <c r="N172" s="73">
        <f>N156</f>
        <v>780.64516129032256</v>
      </c>
      <c r="O172" s="73">
        <f>O156*0.5</f>
        <v>4036.5</v>
      </c>
      <c r="P172" s="73">
        <f>P156*0.59</f>
        <v>47527.777777777781</v>
      </c>
      <c r="Q172" s="73"/>
      <c r="R172" s="73">
        <f>R156</f>
        <v>426</v>
      </c>
      <c r="S172" s="51"/>
      <c r="T172" s="51"/>
      <c r="U172" s="51"/>
      <c r="V172" s="51"/>
      <c r="W172" s="51"/>
      <c r="X172" s="55">
        <f>X201*0.1</f>
        <v>1.4084507042253522</v>
      </c>
      <c r="Y172" s="59">
        <f t="shared" si="51"/>
        <v>46.902819395260153</v>
      </c>
      <c r="Z172" s="51">
        <f t="shared" si="51"/>
        <v>1584.7277917014219</v>
      </c>
      <c r="AA172" s="51">
        <f t="shared" si="51"/>
        <v>419.46153427260526</v>
      </c>
      <c r="AC172" s="30" t="s">
        <v>60</v>
      </c>
      <c r="AD172" s="31" t="s">
        <v>13</v>
      </c>
      <c r="AE172" s="32" t="s">
        <v>61</v>
      </c>
      <c r="AF172" s="31" t="s">
        <v>76</v>
      </c>
      <c r="AG172" s="31"/>
      <c r="AH172" s="1">
        <f t="shared" si="50"/>
        <v>10.893335555555558</v>
      </c>
      <c r="AI172" s="1" t="str">
        <f t="shared" si="50"/>
        <v/>
      </c>
      <c r="AJ172" s="1" t="str">
        <f t="shared" si="50"/>
        <v/>
      </c>
      <c r="AK172" s="1">
        <f t="shared" si="50"/>
        <v>5.4674441205053448</v>
      </c>
      <c r="AL172" s="1">
        <f t="shared" si="50"/>
        <v>11.16</v>
      </c>
      <c r="AM172" s="1">
        <f t="shared" si="50"/>
        <v>4.2243333333333339</v>
      </c>
      <c r="AN172" s="52" t="str">
        <f t="shared" si="50"/>
        <v/>
      </c>
      <c r="AO172" s="1">
        <f t="shared" si="50"/>
        <v>100</v>
      </c>
      <c r="AP172" s="1">
        <f t="shared" si="50"/>
        <v>203.2258064516129</v>
      </c>
      <c r="AQ172" s="1">
        <f t="shared" si="50"/>
        <v>1800</v>
      </c>
      <c r="AR172" s="1">
        <f t="shared" si="50"/>
        <v>2777.7777777777783</v>
      </c>
      <c r="AS172" s="1" t="str">
        <f t="shared" si="50"/>
        <v/>
      </c>
      <c r="AT172" s="1">
        <f t="shared" si="50"/>
        <v>127.79999999999998</v>
      </c>
      <c r="AU172" s="1" t="str">
        <f t="shared" si="50"/>
        <v/>
      </c>
      <c r="AV172" s="1" t="str">
        <f t="shared" si="50"/>
        <v/>
      </c>
      <c r="AW172" s="1" t="str">
        <f t="shared" si="49"/>
        <v/>
      </c>
      <c r="AX172" s="1" t="str">
        <f t="shared" si="49"/>
        <v/>
      </c>
      <c r="AY172" s="1" t="str">
        <f t="shared" si="49"/>
        <v/>
      </c>
      <c r="AZ172" s="1">
        <f t="shared" si="49"/>
        <v>1.4999999999999998E-2</v>
      </c>
      <c r="BA172" s="1">
        <f t="shared" si="49"/>
        <v>10.383141712067557</v>
      </c>
      <c r="BB172" s="1">
        <f t="shared" si="49"/>
        <v>171.72470042940745</v>
      </c>
      <c r="BC172" s="1">
        <f t="shared" si="49"/>
        <v>49.470297178075214</v>
      </c>
    </row>
    <row r="173" spans="1:55" x14ac:dyDescent="0.25">
      <c r="A173" s="30" t="s">
        <v>60</v>
      </c>
      <c r="B173" s="31" t="s">
        <v>13</v>
      </c>
      <c r="C173" s="32" t="s">
        <v>61</v>
      </c>
      <c r="D173" s="31" t="s">
        <v>77</v>
      </c>
      <c r="E173" s="31"/>
      <c r="F173" s="51">
        <v>0</v>
      </c>
      <c r="G173" s="51">
        <v>0</v>
      </c>
      <c r="H173" s="51">
        <v>0</v>
      </c>
      <c r="I173" s="51">
        <v>0</v>
      </c>
      <c r="J173" s="51">
        <v>0</v>
      </c>
      <c r="K173" s="51">
        <f>K156*0.1</f>
        <v>2.9000000000000004</v>
      </c>
      <c r="L173" s="52">
        <v>0</v>
      </c>
      <c r="M173" s="73">
        <f>M156*0.4</f>
        <v>160</v>
      </c>
      <c r="N173" s="73">
        <v>0</v>
      </c>
      <c r="O173" s="73">
        <f>O156*0.5</f>
        <v>4036.5</v>
      </c>
      <c r="P173" s="73">
        <f>P156*0.4</f>
        <v>32222.222222222226</v>
      </c>
      <c r="Q173" s="73"/>
      <c r="R173" s="73"/>
      <c r="S173" s="51"/>
      <c r="T173" s="51">
        <f>T156</f>
        <v>426</v>
      </c>
      <c r="U173" s="51">
        <f>U156</f>
        <v>426</v>
      </c>
      <c r="V173" s="51"/>
      <c r="W173" s="51"/>
      <c r="X173" s="55">
        <f>X201*0.7</f>
        <v>9.8591549295774641</v>
      </c>
      <c r="Y173" s="59">
        <f t="shared" si="51"/>
        <v>29</v>
      </c>
      <c r="Z173" s="51">
        <f t="shared" si="51"/>
        <v>850.46005918978574</v>
      </c>
      <c r="AA173" s="51">
        <f t="shared" si="51"/>
        <v>694.93066094652352</v>
      </c>
      <c r="AC173" s="30" t="s">
        <v>60</v>
      </c>
      <c r="AD173" s="31" t="s">
        <v>13</v>
      </c>
      <c r="AE173" s="32" t="s">
        <v>61</v>
      </c>
      <c r="AF173" s="31" t="s">
        <v>77</v>
      </c>
      <c r="AG173" s="31"/>
      <c r="AH173" s="1" t="str">
        <f t="shared" ref="AH173:AV180" si="52">IF(F218&gt;0,F83/F218,"")</f>
        <v/>
      </c>
      <c r="AI173" s="1" t="str">
        <f t="shared" si="52"/>
        <v/>
      </c>
      <c r="AJ173" s="1" t="str">
        <f t="shared" si="52"/>
        <v/>
      </c>
      <c r="AK173" s="1" t="str">
        <f t="shared" si="52"/>
        <v/>
      </c>
      <c r="AL173" s="1" t="str">
        <f t="shared" si="52"/>
        <v/>
      </c>
      <c r="AM173" s="1">
        <f t="shared" si="52"/>
        <v>4.2243333333333339</v>
      </c>
      <c r="AN173" s="52" t="str">
        <f t="shared" si="52"/>
        <v/>
      </c>
      <c r="AO173" s="1">
        <f t="shared" si="52"/>
        <v>100</v>
      </c>
      <c r="AP173" s="1" t="str">
        <f t="shared" si="52"/>
        <v/>
      </c>
      <c r="AQ173" s="1">
        <f t="shared" si="52"/>
        <v>1800</v>
      </c>
      <c r="AR173" s="1">
        <f t="shared" si="52"/>
        <v>2777.7777777777778</v>
      </c>
      <c r="AS173" s="1" t="str">
        <f t="shared" si="52"/>
        <v/>
      </c>
      <c r="AT173" s="1" t="str">
        <f t="shared" si="52"/>
        <v/>
      </c>
      <c r="AU173" s="1" t="str">
        <f t="shared" si="52"/>
        <v/>
      </c>
      <c r="AV173" s="1">
        <f t="shared" si="52"/>
        <v>127.79999999999998</v>
      </c>
      <c r="AW173" s="1">
        <f t="shared" si="49"/>
        <v>127.8</v>
      </c>
      <c r="AX173" s="1" t="str">
        <f t="shared" si="49"/>
        <v/>
      </c>
      <c r="AY173" s="1" t="str">
        <f t="shared" si="49"/>
        <v/>
      </c>
      <c r="AZ173" s="1">
        <f t="shared" si="49"/>
        <v>1.4999999999999999E-2</v>
      </c>
      <c r="BA173" s="1">
        <f t="shared" si="49"/>
        <v>4.2243333333333339</v>
      </c>
      <c r="BB173" s="1">
        <f t="shared" si="49"/>
        <v>90.314652249054987</v>
      </c>
      <c r="BC173" s="1">
        <f t="shared" si="49"/>
        <v>74.014924288161794</v>
      </c>
    </row>
    <row r="174" spans="1:55" x14ac:dyDescent="0.25">
      <c r="A174" s="30" t="s">
        <v>60</v>
      </c>
      <c r="B174" s="31" t="s">
        <v>13</v>
      </c>
      <c r="C174" s="32" t="s">
        <v>61</v>
      </c>
      <c r="D174" s="31" t="s">
        <v>78</v>
      </c>
      <c r="E174" s="31"/>
      <c r="F174" s="51">
        <v>0</v>
      </c>
      <c r="G174" s="51">
        <v>0</v>
      </c>
      <c r="H174" s="51">
        <v>0</v>
      </c>
      <c r="I174" s="51">
        <f>I156*0.05</f>
        <v>1.4500000000000002</v>
      </c>
      <c r="J174" s="51">
        <v>0</v>
      </c>
      <c r="K174" s="51">
        <f>K156*0.05</f>
        <v>1.4500000000000002</v>
      </c>
      <c r="L174" s="52">
        <v>0</v>
      </c>
      <c r="M174" s="73">
        <f>M156*0</f>
        <v>0</v>
      </c>
      <c r="N174" s="73">
        <v>0</v>
      </c>
      <c r="O174" s="73">
        <f>O156*0</f>
        <v>0</v>
      </c>
      <c r="P174" s="73">
        <f>(P156)*0.01</f>
        <v>805.55555555555566</v>
      </c>
      <c r="Q174" s="73">
        <f>Q156</f>
        <v>940</v>
      </c>
      <c r="R174" s="73"/>
      <c r="S174" s="51"/>
      <c r="T174" s="51"/>
      <c r="U174" s="51"/>
      <c r="V174" s="51"/>
      <c r="W174" s="51"/>
      <c r="X174" s="55">
        <f>X156*0.1</f>
        <v>42.6</v>
      </c>
      <c r="Y174" s="59">
        <f t="shared" si="51"/>
        <v>29</v>
      </c>
      <c r="Z174" s="51">
        <f t="shared" si="51"/>
        <v>923.28107489104377</v>
      </c>
      <c r="AA174" s="51">
        <f t="shared" si="51"/>
        <v>407.76647402332702</v>
      </c>
      <c r="AC174" s="30" t="s">
        <v>60</v>
      </c>
      <c r="AD174" s="31" t="s">
        <v>13</v>
      </c>
      <c r="AE174" s="32" t="s">
        <v>61</v>
      </c>
      <c r="AF174" s="31" t="s">
        <v>78</v>
      </c>
      <c r="AG174" s="31"/>
      <c r="AH174" s="1" t="str">
        <f t="shared" si="52"/>
        <v/>
      </c>
      <c r="AI174" s="1" t="str">
        <f t="shared" si="52"/>
        <v/>
      </c>
      <c r="AJ174" s="1" t="str">
        <f t="shared" si="52"/>
        <v/>
      </c>
      <c r="AK174" s="1">
        <f t="shared" si="52"/>
        <v>5.4674441205053448</v>
      </c>
      <c r="AL174" s="1" t="str">
        <f t="shared" si="52"/>
        <v/>
      </c>
      <c r="AM174" s="1">
        <f t="shared" si="52"/>
        <v>4.2243333333333339</v>
      </c>
      <c r="AN174" s="52" t="str">
        <f t="shared" si="52"/>
        <v/>
      </c>
      <c r="AO174" s="1" t="str">
        <f t="shared" si="52"/>
        <v/>
      </c>
      <c r="AP174" s="1" t="str">
        <f t="shared" si="52"/>
        <v/>
      </c>
      <c r="AQ174" s="1" t="str">
        <f t="shared" si="52"/>
        <v/>
      </c>
      <c r="AR174" s="1">
        <f t="shared" si="52"/>
        <v>2777.7777777777778</v>
      </c>
      <c r="AS174" s="1">
        <f t="shared" si="52"/>
        <v>263.2</v>
      </c>
      <c r="AT174" s="1" t="str">
        <f t="shared" si="52"/>
        <v/>
      </c>
      <c r="AU174" s="1" t="str">
        <f t="shared" si="52"/>
        <v/>
      </c>
      <c r="AV174" s="1" t="str">
        <f t="shared" si="52"/>
        <v/>
      </c>
      <c r="AW174" s="1" t="str">
        <f t="shared" si="49"/>
        <v/>
      </c>
      <c r="AX174" s="1" t="str">
        <f t="shared" si="49"/>
        <v/>
      </c>
      <c r="AY174" s="1" t="str">
        <f t="shared" si="49"/>
        <v/>
      </c>
      <c r="AZ174" s="1">
        <f t="shared" si="49"/>
        <v>212.99999999999997</v>
      </c>
      <c r="BA174" s="1">
        <f t="shared" si="49"/>
        <v>4.9433670601461497</v>
      </c>
      <c r="BB174" s="1">
        <f t="shared" si="49"/>
        <v>257.36499581583513</v>
      </c>
      <c r="BC174" s="1">
        <f t="shared" si="49"/>
        <v>111.85477665546408</v>
      </c>
    </row>
    <row r="175" spans="1:55" ht="15.75" thickBot="1" x14ac:dyDescent="0.3">
      <c r="A175" s="33" t="s">
        <v>60</v>
      </c>
      <c r="B175" s="34" t="s">
        <v>13</v>
      </c>
      <c r="C175" s="35" t="s">
        <v>61</v>
      </c>
      <c r="D175" s="34" t="s">
        <v>79</v>
      </c>
      <c r="E175" s="31"/>
      <c r="F175" s="51">
        <v>0</v>
      </c>
      <c r="G175" s="51">
        <v>0</v>
      </c>
      <c r="H175" s="51">
        <v>0</v>
      </c>
      <c r="I175" s="51">
        <v>0</v>
      </c>
      <c r="J175" s="51">
        <v>0</v>
      </c>
      <c r="K175" s="51">
        <v>0</v>
      </c>
      <c r="L175" s="52">
        <v>0</v>
      </c>
      <c r="M175" s="51">
        <v>0</v>
      </c>
      <c r="N175" s="51">
        <v>0</v>
      </c>
      <c r="O175" s="51">
        <v>0</v>
      </c>
      <c r="P175" s="51">
        <v>0</v>
      </c>
      <c r="Q175" s="51">
        <v>0</v>
      </c>
      <c r="R175" s="51">
        <v>0</v>
      </c>
      <c r="S175" s="51">
        <v>0</v>
      </c>
      <c r="T175" s="51">
        <v>0</v>
      </c>
      <c r="U175" s="51">
        <v>0</v>
      </c>
      <c r="V175" s="51">
        <v>0</v>
      </c>
      <c r="W175" s="51">
        <v>0</v>
      </c>
      <c r="X175" s="55">
        <v>0</v>
      </c>
      <c r="Y175" s="59">
        <f t="shared" si="51"/>
        <v>0</v>
      </c>
      <c r="Z175" s="51">
        <f t="shared" si="51"/>
        <v>0</v>
      </c>
      <c r="AA175" s="51">
        <f t="shared" si="51"/>
        <v>0</v>
      </c>
      <c r="AC175" s="33" t="s">
        <v>60</v>
      </c>
      <c r="AD175" s="34" t="s">
        <v>13</v>
      </c>
      <c r="AE175" s="35" t="s">
        <v>61</v>
      </c>
      <c r="AF175" s="34" t="s">
        <v>79</v>
      </c>
      <c r="AG175" s="31"/>
      <c r="AH175" s="1" t="str">
        <f t="shared" si="52"/>
        <v/>
      </c>
      <c r="AI175" s="1" t="str">
        <f t="shared" si="52"/>
        <v/>
      </c>
      <c r="AJ175" s="1" t="str">
        <f t="shared" si="52"/>
        <v/>
      </c>
      <c r="AK175" s="1" t="str">
        <f t="shared" si="52"/>
        <v/>
      </c>
      <c r="AL175" s="1" t="str">
        <f t="shared" si="52"/>
        <v/>
      </c>
      <c r="AM175" s="1" t="str">
        <f t="shared" si="52"/>
        <v/>
      </c>
      <c r="AN175" s="52" t="str">
        <f t="shared" si="52"/>
        <v/>
      </c>
      <c r="AO175" s="1" t="str">
        <f t="shared" si="52"/>
        <v/>
      </c>
      <c r="AP175" s="1" t="str">
        <f t="shared" si="52"/>
        <v/>
      </c>
      <c r="AQ175" s="1" t="str">
        <f t="shared" si="52"/>
        <v/>
      </c>
      <c r="AR175" s="1" t="str">
        <f t="shared" si="52"/>
        <v/>
      </c>
      <c r="AS175" s="1" t="str">
        <f t="shared" si="52"/>
        <v/>
      </c>
      <c r="AT175" s="1" t="str">
        <f t="shared" si="52"/>
        <v/>
      </c>
      <c r="AU175" s="1" t="str">
        <f t="shared" si="52"/>
        <v/>
      </c>
      <c r="AV175" s="1" t="str">
        <f t="shared" si="52"/>
        <v/>
      </c>
      <c r="AW175" s="1" t="str">
        <f t="shared" si="49"/>
        <v/>
      </c>
      <c r="AX175" s="1" t="str">
        <f t="shared" si="49"/>
        <v/>
      </c>
      <c r="AY175" s="1" t="str">
        <f t="shared" si="49"/>
        <v/>
      </c>
      <c r="AZ175" s="1" t="str">
        <f t="shared" si="49"/>
        <v/>
      </c>
      <c r="BA175" s="1" t="str">
        <f t="shared" si="49"/>
        <v/>
      </c>
      <c r="BB175" s="1" t="str">
        <f t="shared" si="49"/>
        <v/>
      </c>
      <c r="BC175" s="1" t="str">
        <f t="shared" si="49"/>
        <v/>
      </c>
    </row>
    <row r="176" spans="1:55" x14ac:dyDescent="0.25">
      <c r="A176" s="30" t="s">
        <v>60</v>
      </c>
      <c r="B176" s="31" t="s">
        <v>13</v>
      </c>
      <c r="C176" s="32" t="s">
        <v>62</v>
      </c>
      <c r="D176" s="31" t="s">
        <v>75</v>
      </c>
      <c r="E176" s="31"/>
      <c r="F176" s="51"/>
      <c r="G176" s="73">
        <f>G157</f>
        <v>23.2</v>
      </c>
      <c r="H176" s="51">
        <f>H157*0.3</f>
        <v>2.2289723076923074</v>
      </c>
      <c r="I176" s="51">
        <v>0</v>
      </c>
      <c r="J176" s="51">
        <v>0</v>
      </c>
      <c r="K176" s="51">
        <v>0</v>
      </c>
      <c r="L176" s="52">
        <v>0</v>
      </c>
      <c r="M176" s="51">
        <v>0</v>
      </c>
      <c r="N176" s="51">
        <v>0</v>
      </c>
      <c r="O176" s="51">
        <v>0</v>
      </c>
      <c r="P176" s="51">
        <v>0</v>
      </c>
      <c r="Q176" s="51">
        <v>0</v>
      </c>
      <c r="R176" s="51">
        <v>0</v>
      </c>
      <c r="S176" s="51">
        <v>0</v>
      </c>
      <c r="T176" s="51">
        <v>0</v>
      </c>
      <c r="U176" s="51">
        <v>0</v>
      </c>
      <c r="V176" s="51">
        <v>0</v>
      </c>
      <c r="W176" s="51">
        <v>0</v>
      </c>
      <c r="X176" s="55">
        <v>0</v>
      </c>
      <c r="Y176" s="59">
        <f t="shared" si="51"/>
        <v>11.810488888888889</v>
      </c>
      <c r="Z176" s="51">
        <f t="shared" si="51"/>
        <v>0</v>
      </c>
      <c r="AA176" s="51">
        <f t="shared" si="51"/>
        <v>11.810488888888889</v>
      </c>
      <c r="AC176" s="30" t="s">
        <v>60</v>
      </c>
      <c r="AD176" s="31" t="s">
        <v>13</v>
      </c>
      <c r="AE176" s="32" t="s">
        <v>62</v>
      </c>
      <c r="AF176" s="31" t="s">
        <v>75</v>
      </c>
      <c r="AG176" s="31"/>
      <c r="AH176" s="1" t="str">
        <f t="shared" si="52"/>
        <v/>
      </c>
      <c r="AI176" s="1">
        <f t="shared" si="52"/>
        <v>5.5839755575924226</v>
      </c>
      <c r="AJ176" s="1">
        <f t="shared" si="52"/>
        <v>1.8086538461538462</v>
      </c>
      <c r="AK176" s="1" t="str">
        <f t="shared" si="52"/>
        <v/>
      </c>
      <c r="AL176" s="1" t="str">
        <f t="shared" si="52"/>
        <v/>
      </c>
      <c r="AM176" s="1" t="str">
        <f t="shared" si="52"/>
        <v/>
      </c>
      <c r="AN176" s="52" t="str">
        <f t="shared" si="52"/>
        <v/>
      </c>
      <c r="AO176" s="1" t="str">
        <f t="shared" si="52"/>
        <v/>
      </c>
      <c r="AP176" s="1" t="str">
        <f t="shared" si="52"/>
        <v/>
      </c>
      <c r="AQ176" s="1" t="str">
        <f t="shared" si="52"/>
        <v/>
      </c>
      <c r="AR176" s="1" t="str">
        <f t="shared" si="52"/>
        <v/>
      </c>
      <c r="AS176" s="1" t="str">
        <f t="shared" si="52"/>
        <v/>
      </c>
      <c r="AT176" s="1" t="str">
        <f t="shared" si="52"/>
        <v/>
      </c>
      <c r="AU176" s="1" t="str">
        <f t="shared" si="52"/>
        <v/>
      </c>
      <c r="AV176" s="1" t="str">
        <f t="shared" si="52"/>
        <v/>
      </c>
      <c r="AW176" s="1" t="str">
        <f t="shared" si="49"/>
        <v/>
      </c>
      <c r="AX176" s="1" t="str">
        <f t="shared" si="49"/>
        <v/>
      </c>
      <c r="AY176" s="1" t="str">
        <f t="shared" si="49"/>
        <v/>
      </c>
      <c r="AZ176" s="1" t="str">
        <f t="shared" si="49"/>
        <v/>
      </c>
      <c r="BA176" s="1">
        <f t="shared" si="49"/>
        <v>2.8573543215534505</v>
      </c>
      <c r="BB176" s="1" t="str">
        <f t="shared" si="49"/>
        <v/>
      </c>
      <c r="BC176" s="1">
        <f t="shared" si="49"/>
        <v>2.8573543215534505</v>
      </c>
    </row>
    <row r="177" spans="1:55" x14ac:dyDescent="0.25">
      <c r="A177" s="30" t="s">
        <v>60</v>
      </c>
      <c r="B177" s="31" t="s">
        <v>13</v>
      </c>
      <c r="C177" s="32" t="s">
        <v>62</v>
      </c>
      <c r="D177" s="31" t="s">
        <v>76</v>
      </c>
      <c r="E177" s="31"/>
      <c r="F177" s="51">
        <f>F157</f>
        <v>44.333333333333336</v>
      </c>
      <c r="G177" s="51">
        <f>G157*0</f>
        <v>0</v>
      </c>
      <c r="H177" s="51">
        <f>H157*0.7</f>
        <v>5.2009353846153843</v>
      </c>
      <c r="I177" s="51">
        <v>0</v>
      </c>
      <c r="J177" s="51">
        <v>0</v>
      </c>
      <c r="K177" s="51">
        <v>0</v>
      </c>
      <c r="L177" s="52">
        <v>0</v>
      </c>
      <c r="M177" s="51">
        <v>0</v>
      </c>
      <c r="N177" s="51">
        <v>0</v>
      </c>
      <c r="O177" s="51">
        <v>0</v>
      </c>
      <c r="P177" s="51">
        <f>P157</f>
        <v>51785.71428571429</v>
      </c>
      <c r="Q177" s="51">
        <v>0</v>
      </c>
      <c r="R177" s="51">
        <v>0</v>
      </c>
      <c r="S177" s="51">
        <v>0</v>
      </c>
      <c r="T177" s="51">
        <v>0</v>
      </c>
      <c r="U177" s="51">
        <v>0</v>
      </c>
      <c r="V177" s="51">
        <v>0</v>
      </c>
      <c r="W177" s="51">
        <v>0</v>
      </c>
      <c r="X177" s="55">
        <v>0</v>
      </c>
      <c r="Y177" s="59">
        <f t="shared" si="51"/>
        <v>9.7125938144329904</v>
      </c>
      <c r="Z177" s="51">
        <f t="shared" si="51"/>
        <v>51785.71428571429</v>
      </c>
      <c r="AA177" s="51">
        <f t="shared" si="51"/>
        <v>99.231450683352563</v>
      </c>
      <c r="AC177" s="30" t="s">
        <v>60</v>
      </c>
      <c r="AD177" s="31" t="s">
        <v>13</v>
      </c>
      <c r="AE177" s="32" t="s">
        <v>62</v>
      </c>
      <c r="AF177" s="31" t="s">
        <v>76</v>
      </c>
      <c r="AG177" s="31"/>
      <c r="AH177" s="1">
        <f t="shared" si="52"/>
        <v>8.7555440000000022</v>
      </c>
      <c r="AI177" s="1" t="str">
        <f t="shared" si="52"/>
        <v/>
      </c>
      <c r="AJ177" s="1">
        <f t="shared" si="52"/>
        <v>1.8086538461538464</v>
      </c>
      <c r="AK177" s="1" t="str">
        <f t="shared" si="52"/>
        <v/>
      </c>
      <c r="AL177" s="1" t="str">
        <f t="shared" si="52"/>
        <v/>
      </c>
      <c r="AM177" s="1" t="str">
        <f t="shared" si="52"/>
        <v/>
      </c>
      <c r="AN177" s="52" t="str">
        <f t="shared" si="52"/>
        <v/>
      </c>
      <c r="AO177" s="1" t="str">
        <f t="shared" si="52"/>
        <v/>
      </c>
      <c r="AP177" s="1" t="str">
        <f t="shared" si="52"/>
        <v/>
      </c>
      <c r="AQ177" s="1" t="str">
        <f t="shared" si="52"/>
        <v/>
      </c>
      <c r="AR177" s="1">
        <f t="shared" si="52"/>
        <v>2738.0952380952381</v>
      </c>
      <c r="AS177" s="1" t="str">
        <f t="shared" si="52"/>
        <v/>
      </c>
      <c r="AT177" s="1" t="str">
        <f t="shared" si="52"/>
        <v/>
      </c>
      <c r="AU177" s="1" t="str">
        <f t="shared" si="52"/>
        <v/>
      </c>
      <c r="AV177" s="1" t="str">
        <f t="shared" si="52"/>
        <v/>
      </c>
      <c r="AW177" s="1" t="str">
        <f t="shared" si="49"/>
        <v/>
      </c>
      <c r="AX177" s="1" t="str">
        <f t="shared" si="49"/>
        <v/>
      </c>
      <c r="AY177" s="1" t="str">
        <f t="shared" si="49"/>
        <v/>
      </c>
      <c r="AZ177" s="1" t="str">
        <f t="shared" si="49"/>
        <v/>
      </c>
      <c r="BA177" s="1">
        <f t="shared" si="49"/>
        <v>2.2383583917525778</v>
      </c>
      <c r="BB177" s="1">
        <f t="shared" si="49"/>
        <v>2738.0952380952381</v>
      </c>
      <c r="BC177" s="1">
        <f t="shared" si="49"/>
        <v>6.9685571793182959</v>
      </c>
    </row>
    <row r="178" spans="1:55" x14ac:dyDescent="0.25">
      <c r="A178" s="30" t="s">
        <v>60</v>
      </c>
      <c r="B178" s="31" t="s">
        <v>13</v>
      </c>
      <c r="C178" s="32" t="s">
        <v>62</v>
      </c>
      <c r="D178" s="31" t="s">
        <v>77</v>
      </c>
      <c r="E178" s="31"/>
      <c r="F178" s="51">
        <v>0</v>
      </c>
      <c r="G178" s="51">
        <v>0</v>
      </c>
      <c r="H178" s="51">
        <v>0</v>
      </c>
      <c r="I178" s="51">
        <v>0</v>
      </c>
      <c r="J178" s="51">
        <v>0</v>
      </c>
      <c r="K178" s="51">
        <v>0</v>
      </c>
      <c r="L178" s="52">
        <v>0</v>
      </c>
      <c r="M178" s="51">
        <v>0</v>
      </c>
      <c r="N178" s="51">
        <v>0</v>
      </c>
      <c r="O178" s="51">
        <v>0</v>
      </c>
      <c r="P178" s="51">
        <v>0</v>
      </c>
      <c r="Q178" s="51">
        <v>0</v>
      </c>
      <c r="R178" s="51">
        <v>0</v>
      </c>
      <c r="S178" s="51">
        <v>0</v>
      </c>
      <c r="T178" s="51">
        <v>0</v>
      </c>
      <c r="U178" s="51">
        <v>0</v>
      </c>
      <c r="V178" s="51">
        <v>0</v>
      </c>
      <c r="W178" s="51">
        <v>0</v>
      </c>
      <c r="X178" s="55">
        <v>0</v>
      </c>
      <c r="Y178" s="59">
        <f t="shared" si="51"/>
        <v>0</v>
      </c>
      <c r="Z178" s="51">
        <f t="shared" si="51"/>
        <v>0</v>
      </c>
      <c r="AA178" s="51">
        <f t="shared" si="51"/>
        <v>0</v>
      </c>
      <c r="AC178" s="30" t="s">
        <v>60</v>
      </c>
      <c r="AD178" s="31" t="s">
        <v>13</v>
      </c>
      <c r="AE178" s="32" t="s">
        <v>62</v>
      </c>
      <c r="AF178" s="31" t="s">
        <v>77</v>
      </c>
      <c r="AG178" s="31"/>
      <c r="AH178" s="1" t="str">
        <f t="shared" si="52"/>
        <v/>
      </c>
      <c r="AI178" s="1" t="str">
        <f t="shared" si="52"/>
        <v/>
      </c>
      <c r="AJ178" s="1" t="str">
        <f t="shared" si="52"/>
        <v/>
      </c>
      <c r="AK178" s="1" t="str">
        <f t="shared" si="52"/>
        <v/>
      </c>
      <c r="AL178" s="1" t="str">
        <f t="shared" si="52"/>
        <v/>
      </c>
      <c r="AM178" s="1" t="str">
        <f t="shared" si="52"/>
        <v/>
      </c>
      <c r="AN178" s="52" t="str">
        <f t="shared" si="52"/>
        <v/>
      </c>
      <c r="AO178" s="1" t="str">
        <f t="shared" si="52"/>
        <v/>
      </c>
      <c r="AP178" s="1" t="str">
        <f t="shared" si="52"/>
        <v/>
      </c>
      <c r="AQ178" s="1" t="str">
        <f t="shared" si="52"/>
        <v/>
      </c>
      <c r="AR178" s="1" t="str">
        <f t="shared" si="52"/>
        <v/>
      </c>
      <c r="AS178" s="1" t="str">
        <f t="shared" si="52"/>
        <v/>
      </c>
      <c r="AT178" s="1" t="str">
        <f t="shared" si="52"/>
        <v/>
      </c>
      <c r="AU178" s="1" t="str">
        <f t="shared" si="52"/>
        <v/>
      </c>
      <c r="AV178" s="1" t="str">
        <f t="shared" si="52"/>
        <v/>
      </c>
      <c r="AW178" s="1" t="str">
        <f t="shared" si="49"/>
        <v/>
      </c>
      <c r="AX178" s="1" t="str">
        <f t="shared" si="49"/>
        <v/>
      </c>
      <c r="AY178" s="1" t="str">
        <f t="shared" si="49"/>
        <v/>
      </c>
      <c r="AZ178" s="1" t="str">
        <f t="shared" si="49"/>
        <v/>
      </c>
      <c r="BA178" s="1" t="str">
        <f t="shared" si="49"/>
        <v/>
      </c>
      <c r="BB178" s="1" t="str">
        <f t="shared" si="49"/>
        <v/>
      </c>
      <c r="BC178" s="1" t="str">
        <f t="shared" si="49"/>
        <v/>
      </c>
    </row>
    <row r="179" spans="1:55" x14ac:dyDescent="0.25">
      <c r="A179" s="30" t="s">
        <v>60</v>
      </c>
      <c r="B179" s="31" t="s">
        <v>13</v>
      </c>
      <c r="C179" s="32" t="s">
        <v>62</v>
      </c>
      <c r="D179" s="31" t="s">
        <v>78</v>
      </c>
      <c r="E179" s="31"/>
      <c r="F179" s="51">
        <v>0</v>
      </c>
      <c r="G179" s="51">
        <v>0</v>
      </c>
      <c r="H179" s="51">
        <v>0</v>
      </c>
      <c r="I179" s="51">
        <v>0</v>
      </c>
      <c r="J179" s="51">
        <v>0</v>
      </c>
      <c r="K179" s="51">
        <v>0</v>
      </c>
      <c r="L179" s="52">
        <v>0</v>
      </c>
      <c r="M179" s="51">
        <v>0</v>
      </c>
      <c r="N179" s="51">
        <v>0</v>
      </c>
      <c r="O179" s="51">
        <v>0</v>
      </c>
      <c r="P179" s="51">
        <v>0</v>
      </c>
      <c r="Q179" s="51">
        <v>0</v>
      </c>
      <c r="R179" s="51">
        <v>0</v>
      </c>
      <c r="S179" s="51">
        <v>0</v>
      </c>
      <c r="T179" s="51">
        <v>0</v>
      </c>
      <c r="U179" s="51">
        <v>0</v>
      </c>
      <c r="V179" s="51">
        <v>0</v>
      </c>
      <c r="W179" s="51">
        <v>0</v>
      </c>
      <c r="X179" s="55">
        <v>0</v>
      </c>
      <c r="Y179" s="59">
        <f t="shared" ref="Y179:AA180" si="53">IF(Y224&gt;0,Y44/Y224,0)</f>
        <v>0</v>
      </c>
      <c r="Z179" s="51">
        <f t="shared" si="53"/>
        <v>0</v>
      </c>
      <c r="AA179" s="51">
        <f t="shared" si="53"/>
        <v>0</v>
      </c>
      <c r="AC179" s="30" t="s">
        <v>60</v>
      </c>
      <c r="AD179" s="31" t="s">
        <v>13</v>
      </c>
      <c r="AE179" s="32" t="s">
        <v>62</v>
      </c>
      <c r="AF179" s="31" t="s">
        <v>78</v>
      </c>
      <c r="AG179" s="31"/>
      <c r="AH179" s="1" t="str">
        <f t="shared" si="52"/>
        <v/>
      </c>
      <c r="AI179" s="1" t="str">
        <f t="shared" si="52"/>
        <v/>
      </c>
      <c r="AJ179" s="1" t="str">
        <f t="shared" si="52"/>
        <v/>
      </c>
      <c r="AK179" s="1" t="str">
        <f t="shared" si="52"/>
        <v/>
      </c>
      <c r="AL179" s="1" t="str">
        <f t="shared" si="52"/>
        <v/>
      </c>
      <c r="AM179" s="1" t="str">
        <f t="shared" si="52"/>
        <v/>
      </c>
      <c r="AN179" s="52" t="str">
        <f t="shared" si="52"/>
        <v/>
      </c>
      <c r="AO179" s="1" t="str">
        <f t="shared" si="52"/>
        <v/>
      </c>
      <c r="AP179" s="1" t="str">
        <f t="shared" si="52"/>
        <v/>
      </c>
      <c r="AQ179" s="1" t="str">
        <f t="shared" si="52"/>
        <v/>
      </c>
      <c r="AR179" s="1" t="str">
        <f t="shared" si="52"/>
        <v/>
      </c>
      <c r="AS179" s="1" t="str">
        <f t="shared" si="52"/>
        <v/>
      </c>
      <c r="AT179" s="1" t="str">
        <f t="shared" si="52"/>
        <v/>
      </c>
      <c r="AU179" s="1" t="str">
        <f t="shared" si="52"/>
        <v/>
      </c>
      <c r="AV179" s="1" t="str">
        <f t="shared" si="52"/>
        <v/>
      </c>
      <c r="AW179" s="1" t="str">
        <f t="shared" si="49"/>
        <v/>
      </c>
      <c r="AX179" s="1" t="str">
        <f t="shared" si="49"/>
        <v/>
      </c>
      <c r="AY179" s="1" t="str">
        <f t="shared" si="49"/>
        <v/>
      </c>
      <c r="AZ179" s="1" t="str">
        <f t="shared" si="49"/>
        <v/>
      </c>
      <c r="BA179" s="1" t="str">
        <f t="shared" si="49"/>
        <v/>
      </c>
      <c r="BB179" s="1" t="str">
        <f t="shared" si="49"/>
        <v/>
      </c>
      <c r="BC179" s="1" t="str">
        <f t="shared" si="49"/>
        <v/>
      </c>
    </row>
    <row r="180" spans="1:55" ht="15.75" thickBot="1" x14ac:dyDescent="0.3">
      <c r="A180" s="33" t="s">
        <v>60</v>
      </c>
      <c r="B180" s="34" t="s">
        <v>13</v>
      </c>
      <c r="C180" s="32" t="s">
        <v>62</v>
      </c>
      <c r="D180" s="34" t="s">
        <v>79</v>
      </c>
      <c r="E180" s="31"/>
      <c r="F180" s="51">
        <v>0</v>
      </c>
      <c r="G180" s="51">
        <v>0</v>
      </c>
      <c r="H180" s="51">
        <v>0</v>
      </c>
      <c r="I180" s="51">
        <v>0</v>
      </c>
      <c r="J180" s="51">
        <v>0</v>
      </c>
      <c r="K180" s="51">
        <v>0</v>
      </c>
      <c r="L180" s="52">
        <v>0</v>
      </c>
      <c r="M180" s="51">
        <v>0</v>
      </c>
      <c r="N180" s="51">
        <v>0</v>
      </c>
      <c r="O180" s="51">
        <v>0</v>
      </c>
      <c r="P180" s="51">
        <v>0</v>
      </c>
      <c r="Q180" s="51">
        <v>0</v>
      </c>
      <c r="R180" s="51">
        <v>0</v>
      </c>
      <c r="S180" s="51">
        <v>0</v>
      </c>
      <c r="T180" s="51">
        <v>0</v>
      </c>
      <c r="U180" s="51">
        <v>0</v>
      </c>
      <c r="V180" s="51">
        <v>0</v>
      </c>
      <c r="W180" s="51">
        <v>0</v>
      </c>
      <c r="X180" s="55">
        <v>0</v>
      </c>
      <c r="Y180" s="59">
        <f t="shared" si="53"/>
        <v>0</v>
      </c>
      <c r="Z180" s="51">
        <f t="shared" si="53"/>
        <v>0</v>
      </c>
      <c r="AA180" s="51">
        <f t="shared" si="53"/>
        <v>0</v>
      </c>
      <c r="AC180" s="33" t="s">
        <v>60</v>
      </c>
      <c r="AD180" s="34" t="s">
        <v>13</v>
      </c>
      <c r="AE180" s="32" t="s">
        <v>62</v>
      </c>
      <c r="AF180" s="34" t="s">
        <v>79</v>
      </c>
      <c r="AG180" s="31"/>
      <c r="AH180" s="1" t="str">
        <f t="shared" si="52"/>
        <v/>
      </c>
      <c r="AI180" s="1" t="str">
        <f t="shared" si="52"/>
        <v/>
      </c>
      <c r="AJ180" s="1" t="str">
        <f t="shared" si="52"/>
        <v/>
      </c>
      <c r="AK180" s="1" t="str">
        <f t="shared" si="52"/>
        <v/>
      </c>
      <c r="AL180" s="1" t="str">
        <f t="shared" si="52"/>
        <v/>
      </c>
      <c r="AM180" s="1" t="str">
        <f t="shared" si="52"/>
        <v/>
      </c>
      <c r="AN180" s="52" t="str">
        <f t="shared" si="52"/>
        <v/>
      </c>
      <c r="AO180" s="1" t="str">
        <f t="shared" si="52"/>
        <v/>
      </c>
      <c r="AP180" s="1" t="str">
        <f t="shared" si="52"/>
        <v/>
      </c>
      <c r="AQ180" s="1" t="str">
        <f t="shared" si="52"/>
        <v/>
      </c>
      <c r="AR180" s="1" t="str">
        <f t="shared" si="52"/>
        <v/>
      </c>
      <c r="AS180" s="1" t="str">
        <f t="shared" si="52"/>
        <v/>
      </c>
      <c r="AT180" s="1" t="str">
        <f t="shared" si="52"/>
        <v/>
      </c>
      <c r="AU180" s="1" t="str">
        <f t="shared" si="52"/>
        <v/>
      </c>
      <c r="AV180" s="1" t="str">
        <f t="shared" si="52"/>
        <v/>
      </c>
      <c r="AW180" s="1" t="str">
        <f t="shared" si="49"/>
        <v/>
      </c>
      <c r="AX180" s="1" t="str">
        <f t="shared" si="49"/>
        <v/>
      </c>
      <c r="AY180" s="1" t="str">
        <f t="shared" si="49"/>
        <v/>
      </c>
      <c r="AZ180" s="1" t="str">
        <f t="shared" si="49"/>
        <v/>
      </c>
      <c r="BA180" s="1" t="str">
        <f t="shared" si="49"/>
        <v/>
      </c>
      <c r="BB180" s="1" t="str">
        <f t="shared" si="49"/>
        <v/>
      </c>
      <c r="BC180" s="1" t="str">
        <f t="shared" si="49"/>
        <v/>
      </c>
    </row>
    <row r="181" spans="1:55" x14ac:dyDescent="0.25">
      <c r="F181" s="99">
        <v>170</v>
      </c>
      <c r="G181" s="99">
        <v>230</v>
      </c>
      <c r="H181" s="99">
        <v>1900</v>
      </c>
    </row>
    <row r="182" spans="1:55" x14ac:dyDescent="0.25">
      <c r="D182" s="41" t="s">
        <v>35</v>
      </c>
      <c r="E182" s="41"/>
      <c r="M182" s="24" t="s">
        <v>81</v>
      </c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AF182" s="41" t="s">
        <v>101</v>
      </c>
      <c r="AG182" s="41"/>
      <c r="AO182" s="24" t="s">
        <v>81</v>
      </c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</row>
    <row r="183" spans="1:55" x14ac:dyDescent="0.25">
      <c r="F183" s="23" t="s">
        <v>44</v>
      </c>
      <c r="G183" s="23"/>
      <c r="H183" s="23"/>
      <c r="I183" s="23"/>
      <c r="J183" s="23"/>
      <c r="K183" s="23"/>
      <c r="L183" s="7" t="s">
        <v>30</v>
      </c>
      <c r="M183" s="24" t="s">
        <v>46</v>
      </c>
      <c r="N183" s="24"/>
      <c r="O183" s="24"/>
      <c r="P183" s="24"/>
      <c r="Q183" s="24"/>
      <c r="R183" s="24" t="s">
        <v>47</v>
      </c>
      <c r="S183" s="24"/>
      <c r="T183" s="24"/>
      <c r="U183" s="24"/>
      <c r="V183" s="24"/>
      <c r="W183" s="24"/>
      <c r="X183" s="24"/>
      <c r="Y183" s="44" t="s">
        <v>85</v>
      </c>
      <c r="Z183" s="44" t="s">
        <v>48</v>
      </c>
      <c r="AA183" s="44" t="s">
        <v>3</v>
      </c>
      <c r="AH183" s="23" t="s">
        <v>44</v>
      </c>
      <c r="AI183" s="23"/>
      <c r="AJ183" s="23"/>
      <c r="AK183" s="23"/>
      <c r="AL183" s="23"/>
      <c r="AM183" s="23"/>
      <c r="AN183" s="7" t="s">
        <v>30</v>
      </c>
      <c r="AO183" s="24" t="s">
        <v>46</v>
      </c>
      <c r="AP183" s="24"/>
      <c r="AQ183" s="24"/>
      <c r="AR183" s="24"/>
      <c r="AS183" s="24"/>
      <c r="AT183" s="24" t="s">
        <v>47</v>
      </c>
      <c r="AU183" s="24"/>
      <c r="AV183" s="24"/>
      <c r="AW183" s="24"/>
      <c r="AX183" s="24"/>
      <c r="AY183" s="24"/>
      <c r="AZ183" s="24"/>
      <c r="BA183" s="44" t="s">
        <v>85</v>
      </c>
      <c r="BB183" s="44" t="s">
        <v>48</v>
      </c>
      <c r="BC183" s="44" t="s">
        <v>3</v>
      </c>
    </row>
    <row r="184" spans="1:55" ht="63" x14ac:dyDescent="0.25">
      <c r="F184" s="38" t="s">
        <v>36</v>
      </c>
      <c r="G184" s="38" t="s">
        <v>37</v>
      </c>
      <c r="H184" s="38" t="s">
        <v>38</v>
      </c>
      <c r="I184" s="38" t="s">
        <v>80</v>
      </c>
      <c r="J184" s="38" t="s">
        <v>39</v>
      </c>
      <c r="K184" s="38" t="s">
        <v>45</v>
      </c>
      <c r="L184" s="39" t="s">
        <v>16</v>
      </c>
      <c r="M184" s="40" t="s">
        <v>34</v>
      </c>
      <c r="N184" s="40" t="s">
        <v>5</v>
      </c>
      <c r="O184" s="40" t="s">
        <v>7</v>
      </c>
      <c r="P184" s="40" t="s">
        <v>8</v>
      </c>
      <c r="Q184" s="40" t="s">
        <v>40</v>
      </c>
      <c r="R184" s="40" t="s">
        <v>41</v>
      </c>
      <c r="S184" s="40" t="s">
        <v>42</v>
      </c>
      <c r="T184" s="40" t="s">
        <v>31</v>
      </c>
      <c r="U184" s="40" t="s">
        <v>43</v>
      </c>
      <c r="V184" s="40" t="s">
        <v>82</v>
      </c>
      <c r="W184" s="40" t="s">
        <v>87</v>
      </c>
      <c r="X184" s="40" t="s">
        <v>83</v>
      </c>
      <c r="Y184" s="45" t="s">
        <v>3</v>
      </c>
      <c r="Z184" s="45" t="s">
        <v>3</v>
      </c>
      <c r="AA184" s="45" t="s">
        <v>3</v>
      </c>
      <c r="AH184" s="38" t="s">
        <v>36</v>
      </c>
      <c r="AI184" s="38" t="s">
        <v>37</v>
      </c>
      <c r="AJ184" s="38" t="s">
        <v>38</v>
      </c>
      <c r="AK184" s="38" t="s">
        <v>80</v>
      </c>
      <c r="AL184" s="38" t="s">
        <v>39</v>
      </c>
      <c r="AM184" s="38" t="s">
        <v>45</v>
      </c>
      <c r="AN184" s="39" t="s">
        <v>16</v>
      </c>
      <c r="AO184" s="40" t="s">
        <v>34</v>
      </c>
      <c r="AP184" s="40" t="s">
        <v>5</v>
      </c>
      <c r="AQ184" s="40" t="s">
        <v>7</v>
      </c>
      <c r="AR184" s="40" t="s">
        <v>8</v>
      </c>
      <c r="AS184" s="40" t="s">
        <v>40</v>
      </c>
      <c r="AT184" s="40" t="s">
        <v>41</v>
      </c>
      <c r="AU184" s="40" t="s">
        <v>42</v>
      </c>
      <c r="AV184" s="40" t="s">
        <v>31</v>
      </c>
      <c r="AW184" s="40" t="s">
        <v>43</v>
      </c>
      <c r="AX184" s="40" t="s">
        <v>82</v>
      </c>
      <c r="AY184" s="40" t="s">
        <v>87</v>
      </c>
      <c r="AZ184" s="40" t="s">
        <v>83</v>
      </c>
      <c r="BA184" s="45" t="s">
        <v>3</v>
      </c>
      <c r="BB184" s="45" t="s">
        <v>86</v>
      </c>
      <c r="BC184" s="45" t="s">
        <v>3</v>
      </c>
    </row>
    <row r="185" spans="1:55" x14ac:dyDescent="0.25">
      <c r="A185" s="15" t="s">
        <v>51</v>
      </c>
      <c r="B185" s="2"/>
      <c r="C185" s="2"/>
      <c r="F185" s="1">
        <f t="shared" ref="F185:X185" si="54">F187+F188+F189</f>
        <v>0</v>
      </c>
      <c r="G185" s="1">
        <f t="shared" si="54"/>
        <v>0</v>
      </c>
      <c r="H185" s="1">
        <f t="shared" si="54"/>
        <v>0</v>
      </c>
      <c r="I185" s="1">
        <f t="shared" si="54"/>
        <v>0</v>
      </c>
      <c r="J185" s="1">
        <f t="shared" si="54"/>
        <v>0</v>
      </c>
      <c r="K185" s="1">
        <f t="shared" si="54"/>
        <v>0</v>
      </c>
      <c r="L185" s="52">
        <f t="shared" si="54"/>
        <v>0</v>
      </c>
      <c r="M185" s="1">
        <f t="shared" si="54"/>
        <v>0</v>
      </c>
      <c r="N185" s="1">
        <f t="shared" si="54"/>
        <v>0</v>
      </c>
      <c r="O185" s="1">
        <f t="shared" si="54"/>
        <v>0</v>
      </c>
      <c r="P185" s="1">
        <f t="shared" si="54"/>
        <v>0</v>
      </c>
      <c r="Q185" s="1">
        <f t="shared" si="54"/>
        <v>0</v>
      </c>
      <c r="R185" s="1">
        <f t="shared" si="54"/>
        <v>0</v>
      </c>
      <c r="S185" s="1">
        <f t="shared" si="54"/>
        <v>0</v>
      </c>
      <c r="T185" s="1">
        <f t="shared" si="54"/>
        <v>0</v>
      </c>
      <c r="U185" s="1">
        <f t="shared" si="54"/>
        <v>0</v>
      </c>
      <c r="V185" s="1">
        <f t="shared" si="54"/>
        <v>0</v>
      </c>
      <c r="W185" s="1">
        <f t="shared" si="54"/>
        <v>0</v>
      </c>
      <c r="X185" s="1">
        <f t="shared" si="54"/>
        <v>0</v>
      </c>
      <c r="Y185" s="58">
        <f t="shared" ref="Y185:Y225" si="55">SUM(F185:K185)</f>
        <v>0</v>
      </c>
      <c r="Z185" s="1">
        <f t="shared" ref="Z185:Z225" si="56">SUM(M185:X185)</f>
        <v>0</v>
      </c>
      <c r="AA185" s="1">
        <f t="shared" ref="AA185:AA225" si="57">L185+Y185+Z185</f>
        <v>0</v>
      </c>
      <c r="AC185" s="15" t="s">
        <v>51</v>
      </c>
      <c r="AD185" s="2"/>
      <c r="AE185" s="2"/>
      <c r="AH185" s="1" t="str">
        <f t="shared" ref="AH185:AW200" si="58">IF(F185&gt;0,F230/F185*1000,"")</f>
        <v/>
      </c>
      <c r="AI185" s="1" t="str">
        <f t="shared" si="58"/>
        <v/>
      </c>
      <c r="AJ185" s="1" t="str">
        <f t="shared" si="58"/>
        <v/>
      </c>
      <c r="AK185" s="1" t="str">
        <f t="shared" si="58"/>
        <v/>
      </c>
      <c r="AL185" s="1" t="str">
        <f t="shared" si="58"/>
        <v/>
      </c>
      <c r="AM185" s="1" t="str">
        <f t="shared" si="58"/>
        <v/>
      </c>
      <c r="AN185" s="52" t="str">
        <f t="shared" si="58"/>
        <v/>
      </c>
      <c r="AO185" s="1" t="str">
        <f t="shared" si="58"/>
        <v/>
      </c>
      <c r="AP185" s="1" t="str">
        <f t="shared" si="58"/>
        <v/>
      </c>
      <c r="AQ185" s="1" t="str">
        <f t="shared" si="58"/>
        <v/>
      </c>
      <c r="AR185" s="1" t="str">
        <f t="shared" si="58"/>
        <v/>
      </c>
      <c r="AS185" s="1" t="str">
        <f t="shared" si="58"/>
        <v/>
      </c>
      <c r="AT185" s="1" t="str">
        <f t="shared" si="58"/>
        <v/>
      </c>
      <c r="AU185" s="1" t="str">
        <f t="shared" si="58"/>
        <v/>
      </c>
      <c r="AV185" s="1" t="str">
        <f t="shared" si="58"/>
        <v/>
      </c>
      <c r="AW185" s="1" t="str">
        <f t="shared" si="58"/>
        <v/>
      </c>
      <c r="AX185" s="1" t="str">
        <f t="shared" ref="AX185:BC200" si="59">IF(V185&gt;0,V230/V185*1000,"")</f>
        <v/>
      </c>
      <c r="AY185" s="1" t="str">
        <f t="shared" si="59"/>
        <v/>
      </c>
      <c r="AZ185" s="1" t="str">
        <f t="shared" si="59"/>
        <v/>
      </c>
      <c r="BA185" s="1" t="str">
        <f t="shared" si="59"/>
        <v/>
      </c>
      <c r="BB185" s="1" t="str">
        <f t="shared" si="59"/>
        <v/>
      </c>
      <c r="BC185" s="1" t="str">
        <f t="shared" si="59"/>
        <v/>
      </c>
    </row>
    <row r="186" spans="1:55" x14ac:dyDescent="0.25">
      <c r="A186" s="30" t="s">
        <v>60</v>
      </c>
      <c r="B186" s="2"/>
      <c r="C186" s="2"/>
      <c r="F186" s="1">
        <f>F190+F191+F192+F193</f>
        <v>150</v>
      </c>
      <c r="G186" s="1">
        <f t="shared" ref="G186:X186" si="60">G190+G191+G192+G193</f>
        <v>150</v>
      </c>
      <c r="H186" s="1">
        <f t="shared" si="60"/>
        <v>1600</v>
      </c>
      <c r="I186" s="1">
        <f t="shared" si="60"/>
        <v>141.93103448275863</v>
      </c>
      <c r="J186" s="1">
        <f t="shared" si="60"/>
        <v>141.66666666666669</v>
      </c>
      <c r="K186" s="1">
        <f t="shared" si="60"/>
        <v>250.72100313479621</v>
      </c>
      <c r="L186" s="52">
        <f t="shared" si="60"/>
        <v>397.6</v>
      </c>
      <c r="M186" s="1">
        <f t="shared" si="60"/>
        <v>81</v>
      </c>
      <c r="N186" s="1">
        <f t="shared" si="60"/>
        <v>3.4</v>
      </c>
      <c r="O186" s="1">
        <f t="shared" si="60"/>
        <v>1</v>
      </c>
      <c r="P186" s="1">
        <f t="shared" si="60"/>
        <v>2.4</v>
      </c>
      <c r="Q186" s="1">
        <f t="shared" si="60"/>
        <v>50.151975683890576</v>
      </c>
      <c r="R186" s="1">
        <f t="shared" si="60"/>
        <v>78.247261345852891</v>
      </c>
      <c r="S186" s="1">
        <f t="shared" si="60"/>
        <v>1.1200000000000001</v>
      </c>
      <c r="T186" s="1">
        <f t="shared" si="60"/>
        <v>58.598333294787885</v>
      </c>
      <c r="U186" s="1">
        <f t="shared" si="60"/>
        <v>30.516431924882628</v>
      </c>
      <c r="V186" s="1">
        <f t="shared" si="60"/>
        <v>9.976525821596244</v>
      </c>
      <c r="W186" s="1">
        <f t="shared" si="60"/>
        <v>21.449530516431924</v>
      </c>
      <c r="X186" s="54">
        <f t="shared" si="60"/>
        <v>41.50972501676727</v>
      </c>
      <c r="Y186" s="58">
        <f t="shared" si="55"/>
        <v>2434.3187042842214</v>
      </c>
      <c r="Z186" s="1">
        <f t="shared" si="56"/>
        <v>379.36978360420943</v>
      </c>
      <c r="AA186" s="1">
        <f t="shared" si="57"/>
        <v>3211.2884878884306</v>
      </c>
      <c r="AC186" s="30" t="s">
        <v>60</v>
      </c>
      <c r="AD186" s="2"/>
      <c r="AE186" s="2"/>
      <c r="AH186" s="1">
        <f t="shared" si="58"/>
        <v>266.66666666666669</v>
      </c>
      <c r="AI186" s="1">
        <f t="shared" si="58"/>
        <v>122.10526315789473</v>
      </c>
      <c r="AJ186" s="1">
        <f t="shared" si="58"/>
        <v>38.1111111111111</v>
      </c>
      <c r="AK186" s="1">
        <f t="shared" si="58"/>
        <v>161.11111111111109</v>
      </c>
      <c r="AL186" s="1">
        <f t="shared" si="58"/>
        <v>699.19261822375995</v>
      </c>
      <c r="AM186" s="1">
        <f t="shared" si="58"/>
        <v>88.846287202052636</v>
      </c>
      <c r="AN186" s="52">
        <f t="shared" si="58"/>
        <v>18750</v>
      </c>
      <c r="AO186" s="1">
        <f t="shared" si="58"/>
        <v>5871.0562414266115</v>
      </c>
      <c r="AP186" s="1">
        <f t="shared" si="58"/>
        <v>15199.660633484162</v>
      </c>
      <c r="AQ186" s="1">
        <f t="shared" si="58"/>
        <v>44850</v>
      </c>
      <c r="AR186" s="1">
        <f t="shared" si="58"/>
        <v>335648.14814814815</v>
      </c>
      <c r="AS186" s="1">
        <f t="shared" si="58"/>
        <v>23579.124579124582</v>
      </c>
      <c r="AT186" s="1">
        <f t="shared" si="58"/>
        <v>10602.666666666668</v>
      </c>
      <c r="AU186" s="1">
        <f t="shared" si="58"/>
        <v>2222.2222222222222</v>
      </c>
      <c r="AV186" s="1">
        <f t="shared" si="58"/>
        <v>11633.319300461329</v>
      </c>
      <c r="AW186" s="1">
        <f t="shared" si="58"/>
        <v>9908.79120879121</v>
      </c>
      <c r="AX186" s="1">
        <f t="shared" si="59"/>
        <v>12056.078431372547</v>
      </c>
      <c r="AY186" s="1">
        <f t="shared" si="59"/>
        <v>12023.887694612731</v>
      </c>
      <c r="AZ186" s="1">
        <f t="shared" si="59"/>
        <v>7785.5153953455792</v>
      </c>
      <c r="BA186" s="1">
        <f t="shared" si="59"/>
        <v>108.23897104689256</v>
      </c>
      <c r="BB186" s="1">
        <f t="shared" si="59"/>
        <v>13384.648906774497</v>
      </c>
      <c r="BC186" s="1">
        <f t="shared" si="59"/>
        <v>3984.7617426447378</v>
      </c>
    </row>
    <row r="187" spans="1:55" x14ac:dyDescent="0.25">
      <c r="A187" s="15" t="s">
        <v>51</v>
      </c>
      <c r="B187" s="16" t="s">
        <v>52</v>
      </c>
      <c r="C187" s="2"/>
      <c r="F187" s="1">
        <f>F194+F195+F196</f>
        <v>0</v>
      </c>
      <c r="G187" s="1">
        <f t="shared" ref="G187:X187" si="61">G194+G195+G196</f>
        <v>0</v>
      </c>
      <c r="H187" s="1">
        <f t="shared" si="61"/>
        <v>0</v>
      </c>
      <c r="I187" s="1">
        <f t="shared" si="61"/>
        <v>0</v>
      </c>
      <c r="J187" s="1">
        <f t="shared" si="61"/>
        <v>0</v>
      </c>
      <c r="K187" s="1">
        <f t="shared" si="61"/>
        <v>0</v>
      </c>
      <c r="L187" s="52">
        <f t="shared" si="61"/>
        <v>0</v>
      </c>
      <c r="M187" s="1">
        <f t="shared" si="61"/>
        <v>0</v>
      </c>
      <c r="N187" s="1">
        <f t="shared" si="61"/>
        <v>0</v>
      </c>
      <c r="O187" s="1">
        <f t="shared" si="61"/>
        <v>0</v>
      </c>
      <c r="P187" s="1">
        <f t="shared" si="61"/>
        <v>0</v>
      </c>
      <c r="Q187" s="1">
        <f t="shared" si="61"/>
        <v>0</v>
      </c>
      <c r="R187" s="1">
        <f t="shared" si="61"/>
        <v>0</v>
      </c>
      <c r="S187" s="1">
        <f t="shared" si="61"/>
        <v>0</v>
      </c>
      <c r="T187" s="1">
        <f t="shared" si="61"/>
        <v>0</v>
      </c>
      <c r="U187" s="1">
        <f t="shared" si="61"/>
        <v>0</v>
      </c>
      <c r="V187" s="1">
        <f t="shared" si="61"/>
        <v>0</v>
      </c>
      <c r="W187" s="1">
        <f t="shared" si="61"/>
        <v>0</v>
      </c>
      <c r="X187" s="54">
        <f t="shared" si="61"/>
        <v>0</v>
      </c>
      <c r="Y187" s="58">
        <f t="shared" si="55"/>
        <v>0</v>
      </c>
      <c r="Z187" s="1">
        <f t="shared" si="56"/>
        <v>0</v>
      </c>
      <c r="AA187" s="1">
        <f t="shared" si="57"/>
        <v>0</v>
      </c>
      <c r="AC187" s="15" t="s">
        <v>51</v>
      </c>
      <c r="AD187" s="16" t="s">
        <v>52</v>
      </c>
      <c r="AE187" s="2"/>
      <c r="AH187" s="1" t="str">
        <f t="shared" si="58"/>
        <v/>
      </c>
      <c r="AI187" s="1" t="str">
        <f t="shared" si="58"/>
        <v/>
      </c>
      <c r="AJ187" s="1" t="str">
        <f t="shared" si="58"/>
        <v/>
      </c>
      <c r="AK187" s="1" t="str">
        <f t="shared" si="58"/>
        <v/>
      </c>
      <c r="AL187" s="1" t="str">
        <f t="shared" si="58"/>
        <v/>
      </c>
      <c r="AM187" s="1" t="str">
        <f t="shared" si="58"/>
        <v/>
      </c>
      <c r="AN187" s="52" t="str">
        <f t="shared" si="58"/>
        <v/>
      </c>
      <c r="AO187" s="1" t="str">
        <f t="shared" si="58"/>
        <v/>
      </c>
      <c r="AP187" s="1" t="str">
        <f t="shared" si="58"/>
        <v/>
      </c>
      <c r="AQ187" s="1" t="str">
        <f t="shared" si="58"/>
        <v/>
      </c>
      <c r="AR187" s="1" t="str">
        <f t="shared" si="58"/>
        <v/>
      </c>
      <c r="AS187" s="1" t="str">
        <f t="shared" si="58"/>
        <v/>
      </c>
      <c r="AT187" s="1" t="str">
        <f t="shared" si="58"/>
        <v/>
      </c>
      <c r="AU187" s="1" t="str">
        <f t="shared" si="58"/>
        <v/>
      </c>
      <c r="AV187" s="1" t="str">
        <f t="shared" si="58"/>
        <v/>
      </c>
      <c r="AW187" s="1" t="str">
        <f t="shared" si="58"/>
        <v/>
      </c>
      <c r="AX187" s="1" t="str">
        <f t="shared" si="59"/>
        <v/>
      </c>
      <c r="AY187" s="1" t="str">
        <f t="shared" si="59"/>
        <v/>
      </c>
      <c r="AZ187" s="1" t="str">
        <f t="shared" si="59"/>
        <v/>
      </c>
      <c r="BA187" s="1" t="str">
        <f t="shared" si="59"/>
        <v/>
      </c>
      <c r="BB187" s="1" t="str">
        <f t="shared" si="59"/>
        <v/>
      </c>
      <c r="BC187" s="1" t="str">
        <f t="shared" si="59"/>
        <v/>
      </c>
    </row>
    <row r="188" spans="1:55" x14ac:dyDescent="0.25">
      <c r="A188" s="15" t="s">
        <v>51</v>
      </c>
      <c r="B188" s="16" t="s">
        <v>56</v>
      </c>
      <c r="C188" s="2"/>
      <c r="F188" s="1">
        <f>F197+F198+F199</f>
        <v>0</v>
      </c>
      <c r="G188" s="1">
        <f t="shared" ref="G188:X188" si="62">G197+G198+G199</f>
        <v>0</v>
      </c>
      <c r="H188" s="1">
        <f t="shared" si="62"/>
        <v>0</v>
      </c>
      <c r="I188" s="1">
        <f t="shared" si="62"/>
        <v>0</v>
      </c>
      <c r="J188" s="1">
        <f t="shared" si="62"/>
        <v>0</v>
      </c>
      <c r="K188" s="1">
        <f t="shared" si="62"/>
        <v>0</v>
      </c>
      <c r="L188" s="52">
        <f t="shared" si="62"/>
        <v>0</v>
      </c>
      <c r="M188" s="1">
        <f t="shared" si="62"/>
        <v>0</v>
      </c>
      <c r="N188" s="1">
        <f t="shared" si="62"/>
        <v>0</v>
      </c>
      <c r="O188" s="1">
        <f t="shared" si="62"/>
        <v>0</v>
      </c>
      <c r="P188" s="1">
        <f t="shared" si="62"/>
        <v>0</v>
      </c>
      <c r="Q188" s="1">
        <f t="shared" si="62"/>
        <v>0</v>
      </c>
      <c r="R188" s="1">
        <f t="shared" si="62"/>
        <v>0</v>
      </c>
      <c r="S188" s="1">
        <f t="shared" si="62"/>
        <v>0</v>
      </c>
      <c r="T188" s="1">
        <f t="shared" si="62"/>
        <v>0</v>
      </c>
      <c r="U188" s="1">
        <f t="shared" si="62"/>
        <v>0</v>
      </c>
      <c r="V188" s="1">
        <f t="shared" si="62"/>
        <v>0</v>
      </c>
      <c r="W188" s="1">
        <f t="shared" si="62"/>
        <v>0</v>
      </c>
      <c r="X188" s="54">
        <f t="shared" si="62"/>
        <v>0</v>
      </c>
      <c r="Y188" s="58">
        <f t="shared" si="55"/>
        <v>0</v>
      </c>
      <c r="Z188" s="1">
        <f t="shared" si="56"/>
        <v>0</v>
      </c>
      <c r="AA188" s="1">
        <f t="shared" si="57"/>
        <v>0</v>
      </c>
      <c r="AC188" s="15" t="s">
        <v>51</v>
      </c>
      <c r="AD188" s="16" t="s">
        <v>56</v>
      </c>
      <c r="AE188" s="2"/>
      <c r="AH188" s="1" t="str">
        <f t="shared" si="58"/>
        <v/>
      </c>
      <c r="AI188" s="1" t="str">
        <f t="shared" si="58"/>
        <v/>
      </c>
      <c r="AJ188" s="1" t="str">
        <f t="shared" si="58"/>
        <v/>
      </c>
      <c r="AK188" s="1" t="str">
        <f t="shared" si="58"/>
        <v/>
      </c>
      <c r="AL188" s="1" t="str">
        <f t="shared" si="58"/>
        <v/>
      </c>
      <c r="AM188" s="1" t="str">
        <f t="shared" si="58"/>
        <v/>
      </c>
      <c r="AN188" s="52" t="str">
        <f t="shared" si="58"/>
        <v/>
      </c>
      <c r="AO188" s="1" t="str">
        <f t="shared" si="58"/>
        <v/>
      </c>
      <c r="AP188" s="1" t="str">
        <f t="shared" si="58"/>
        <v/>
      </c>
      <c r="AQ188" s="1" t="str">
        <f t="shared" si="58"/>
        <v/>
      </c>
      <c r="AR188" s="1" t="str">
        <f t="shared" si="58"/>
        <v/>
      </c>
      <c r="AS188" s="1" t="str">
        <f t="shared" si="58"/>
        <v/>
      </c>
      <c r="AT188" s="1" t="str">
        <f t="shared" si="58"/>
        <v/>
      </c>
      <c r="AU188" s="1" t="str">
        <f t="shared" si="58"/>
        <v/>
      </c>
      <c r="AV188" s="1" t="str">
        <f t="shared" si="58"/>
        <v/>
      </c>
      <c r="AW188" s="1" t="str">
        <f t="shared" si="58"/>
        <v/>
      </c>
      <c r="AX188" s="1" t="str">
        <f t="shared" si="59"/>
        <v/>
      </c>
      <c r="AY188" s="1" t="str">
        <f t="shared" si="59"/>
        <v/>
      </c>
      <c r="AZ188" s="1" t="str">
        <f t="shared" si="59"/>
        <v/>
      </c>
      <c r="BA188" s="1" t="str">
        <f t="shared" si="59"/>
        <v/>
      </c>
      <c r="BB188" s="1" t="str">
        <f t="shared" si="59"/>
        <v/>
      </c>
      <c r="BC188" s="1" t="str">
        <f t="shared" si="59"/>
        <v/>
      </c>
    </row>
    <row r="189" spans="1:55" x14ac:dyDescent="0.25">
      <c r="A189" s="15" t="s">
        <v>51</v>
      </c>
      <c r="B189" s="16" t="s">
        <v>9</v>
      </c>
      <c r="C189" s="2"/>
      <c r="F189" s="1">
        <f>F200</f>
        <v>0</v>
      </c>
      <c r="G189" s="1">
        <f t="shared" ref="G189:X189" si="63">G200</f>
        <v>0</v>
      </c>
      <c r="H189" s="1">
        <f t="shared" si="63"/>
        <v>0</v>
      </c>
      <c r="I189" s="1">
        <f t="shared" si="63"/>
        <v>0</v>
      </c>
      <c r="J189" s="1">
        <f t="shared" si="63"/>
        <v>0</v>
      </c>
      <c r="K189" s="1">
        <f t="shared" si="63"/>
        <v>0</v>
      </c>
      <c r="L189" s="52">
        <f t="shared" si="63"/>
        <v>0</v>
      </c>
      <c r="M189" s="1">
        <f t="shared" si="63"/>
        <v>0</v>
      </c>
      <c r="N189" s="1">
        <f t="shared" si="63"/>
        <v>0</v>
      </c>
      <c r="O189" s="1">
        <f t="shared" si="63"/>
        <v>0</v>
      </c>
      <c r="P189" s="1">
        <f t="shared" si="63"/>
        <v>0</v>
      </c>
      <c r="Q189" s="1">
        <f t="shared" si="63"/>
        <v>0</v>
      </c>
      <c r="R189" s="1">
        <f t="shared" si="63"/>
        <v>0</v>
      </c>
      <c r="S189" s="1">
        <f t="shared" si="63"/>
        <v>0</v>
      </c>
      <c r="T189" s="1">
        <f t="shared" si="63"/>
        <v>0</v>
      </c>
      <c r="U189" s="1">
        <f t="shared" si="63"/>
        <v>0</v>
      </c>
      <c r="V189" s="1">
        <f t="shared" si="63"/>
        <v>0</v>
      </c>
      <c r="W189" s="1">
        <f t="shared" si="63"/>
        <v>0</v>
      </c>
      <c r="X189" s="54">
        <f t="shared" si="63"/>
        <v>0</v>
      </c>
      <c r="Y189" s="58">
        <f t="shared" si="55"/>
        <v>0</v>
      </c>
      <c r="Z189" s="1">
        <f t="shared" si="56"/>
        <v>0</v>
      </c>
      <c r="AA189" s="1">
        <f t="shared" si="57"/>
        <v>0</v>
      </c>
      <c r="AC189" s="15" t="s">
        <v>51</v>
      </c>
      <c r="AD189" s="16" t="s">
        <v>9</v>
      </c>
      <c r="AE189" s="2"/>
      <c r="AH189" s="1" t="str">
        <f t="shared" si="58"/>
        <v/>
      </c>
      <c r="AI189" s="1" t="str">
        <f t="shared" si="58"/>
        <v/>
      </c>
      <c r="AJ189" s="1" t="str">
        <f t="shared" si="58"/>
        <v/>
      </c>
      <c r="AK189" s="1" t="str">
        <f t="shared" si="58"/>
        <v/>
      </c>
      <c r="AL189" s="1" t="str">
        <f t="shared" si="58"/>
        <v/>
      </c>
      <c r="AM189" s="1" t="str">
        <f t="shared" si="58"/>
        <v/>
      </c>
      <c r="AN189" s="52" t="str">
        <f t="shared" si="58"/>
        <v/>
      </c>
      <c r="AO189" s="1" t="str">
        <f t="shared" si="58"/>
        <v/>
      </c>
      <c r="AP189" s="1" t="str">
        <f t="shared" si="58"/>
        <v/>
      </c>
      <c r="AQ189" s="1" t="str">
        <f t="shared" si="58"/>
        <v/>
      </c>
      <c r="AR189" s="1" t="str">
        <f t="shared" si="58"/>
        <v/>
      </c>
      <c r="AS189" s="1" t="str">
        <f t="shared" si="58"/>
        <v/>
      </c>
      <c r="AT189" s="1" t="str">
        <f t="shared" si="58"/>
        <v/>
      </c>
      <c r="AU189" s="1" t="str">
        <f t="shared" si="58"/>
        <v/>
      </c>
      <c r="AV189" s="1" t="str">
        <f t="shared" si="58"/>
        <v/>
      </c>
      <c r="AW189" s="1" t="str">
        <f t="shared" si="58"/>
        <v/>
      </c>
      <c r="AX189" s="1" t="str">
        <f t="shared" si="59"/>
        <v/>
      </c>
      <c r="AY189" s="1" t="str">
        <f t="shared" si="59"/>
        <v/>
      </c>
      <c r="AZ189" s="1" t="str">
        <f t="shared" si="59"/>
        <v/>
      </c>
      <c r="BA189" s="1" t="str">
        <f t="shared" si="59"/>
        <v/>
      </c>
      <c r="BB189" s="1" t="str">
        <f t="shared" si="59"/>
        <v/>
      </c>
      <c r="BC189" s="1" t="str">
        <f t="shared" si="59"/>
        <v/>
      </c>
    </row>
    <row r="190" spans="1:55" x14ac:dyDescent="0.25">
      <c r="A190" s="30" t="s">
        <v>60</v>
      </c>
      <c r="B190" s="32" t="s">
        <v>13</v>
      </c>
      <c r="C190" s="2"/>
      <c r="F190" s="73">
        <f>F201+F202+F203</f>
        <v>150</v>
      </c>
      <c r="G190" s="51">
        <f t="shared" ref="G190:X190" si="64">G201+G202+G203</f>
        <v>150</v>
      </c>
      <c r="H190" s="51">
        <f t="shared" si="64"/>
        <v>1600</v>
      </c>
      <c r="I190" s="51">
        <f t="shared" si="64"/>
        <v>141.93103448275863</v>
      </c>
      <c r="J190" s="51">
        <f t="shared" si="64"/>
        <v>80</v>
      </c>
      <c r="K190" s="51">
        <f t="shared" si="64"/>
        <v>103.44827586206897</v>
      </c>
      <c r="L190" s="52">
        <f t="shared" si="64"/>
        <v>0</v>
      </c>
      <c r="M190" s="51">
        <f t="shared" si="64"/>
        <v>25</v>
      </c>
      <c r="N190" s="51">
        <f t="shared" si="64"/>
        <v>3.1</v>
      </c>
      <c r="O190" s="51">
        <f t="shared" si="64"/>
        <v>1</v>
      </c>
      <c r="P190" s="51">
        <f t="shared" si="64"/>
        <v>2.4</v>
      </c>
      <c r="Q190" s="51">
        <f t="shared" si="64"/>
        <v>7.598784194528875</v>
      </c>
      <c r="R190" s="51">
        <f t="shared" si="64"/>
        <v>12.519561815336465</v>
      </c>
      <c r="S190" s="51">
        <f t="shared" si="64"/>
        <v>0</v>
      </c>
      <c r="T190" s="51">
        <f t="shared" si="64"/>
        <v>3.1298904538341161</v>
      </c>
      <c r="U190" s="51">
        <f t="shared" si="64"/>
        <v>7.042253521126761</v>
      </c>
      <c r="V190" s="51">
        <f t="shared" si="64"/>
        <v>0.11737089201877934</v>
      </c>
      <c r="W190" s="51">
        <f t="shared" si="64"/>
        <v>0.32276995305164319</v>
      </c>
      <c r="X190" s="55">
        <f t="shared" si="64"/>
        <v>14.084507042253522</v>
      </c>
      <c r="Y190" s="59">
        <f t="shared" si="55"/>
        <v>2225.3793103448274</v>
      </c>
      <c r="Z190" s="51">
        <f t="shared" si="56"/>
        <v>76.31513787215016</v>
      </c>
      <c r="AA190" s="51">
        <f t="shared" si="57"/>
        <v>2301.6944482169774</v>
      </c>
      <c r="AB190" s="97">
        <v>5200</v>
      </c>
      <c r="AC190" s="30" t="s">
        <v>60</v>
      </c>
      <c r="AD190" s="32" t="s">
        <v>13</v>
      </c>
      <c r="AE190" s="2"/>
      <c r="AH190" s="1">
        <f t="shared" si="58"/>
        <v>266.66666666666669</v>
      </c>
      <c r="AI190" s="1">
        <f t="shared" si="58"/>
        <v>122.10526315789473</v>
      </c>
      <c r="AJ190" s="1">
        <f t="shared" si="58"/>
        <v>38.1111111111111</v>
      </c>
      <c r="AK190" s="1">
        <f t="shared" si="58"/>
        <v>161.11111111111109</v>
      </c>
      <c r="AL190" s="1">
        <f t="shared" si="58"/>
        <v>286.76470588235293</v>
      </c>
      <c r="AM190" s="1">
        <f t="shared" si="58"/>
        <v>170.58823529411765</v>
      </c>
      <c r="AN190" s="52" t="str">
        <f t="shared" si="58"/>
        <v/>
      </c>
      <c r="AO190" s="1">
        <f t="shared" si="58"/>
        <v>2222.2222222222222</v>
      </c>
      <c r="AP190" s="1">
        <f t="shared" si="58"/>
        <v>4879.0322580645161</v>
      </c>
      <c r="AQ190" s="1">
        <f t="shared" si="58"/>
        <v>44850</v>
      </c>
      <c r="AR190" s="1">
        <f t="shared" si="58"/>
        <v>335648.14814814815</v>
      </c>
      <c r="AS190" s="1">
        <f t="shared" si="58"/>
        <v>5222.2222222222217</v>
      </c>
      <c r="AT190" s="1">
        <f t="shared" si="58"/>
        <v>2366.6666666666665</v>
      </c>
      <c r="AU190" s="1" t="str">
        <f t="shared" si="58"/>
        <v/>
      </c>
      <c r="AV190" s="1">
        <f t="shared" si="58"/>
        <v>2366.6666666666665</v>
      </c>
      <c r="AW190" s="1">
        <f t="shared" si="58"/>
        <v>2366.6666666666665</v>
      </c>
      <c r="AX190" s="1">
        <f t="shared" si="59"/>
        <v>2366.6666666666665</v>
      </c>
      <c r="AY190" s="1">
        <f t="shared" si="59"/>
        <v>2366.6666666666665</v>
      </c>
      <c r="AZ190" s="1">
        <f t="shared" si="59"/>
        <v>2366.6666666666665</v>
      </c>
      <c r="BA190" s="1">
        <f t="shared" si="59"/>
        <v>82.120143906581504</v>
      </c>
      <c r="BB190" s="1">
        <f t="shared" si="59"/>
        <v>13743.634405201179</v>
      </c>
      <c r="BC190" s="1">
        <f t="shared" si="59"/>
        <v>535.08224111313496</v>
      </c>
    </row>
    <row r="191" spans="1:55" x14ac:dyDescent="0.25">
      <c r="A191" s="30" t="s">
        <v>60</v>
      </c>
      <c r="B191" s="31" t="s">
        <v>23</v>
      </c>
      <c r="C191" s="2"/>
      <c r="F191" s="51">
        <f>F204+F205+F206</f>
        <v>0</v>
      </c>
      <c r="G191" s="51">
        <f t="shared" ref="G191:X191" si="65">G204+G205+G206</f>
        <v>0</v>
      </c>
      <c r="H191" s="51">
        <f t="shared" si="65"/>
        <v>0</v>
      </c>
      <c r="I191" s="51">
        <f t="shared" si="65"/>
        <v>0</v>
      </c>
      <c r="J191" s="51">
        <f t="shared" si="65"/>
        <v>20</v>
      </c>
      <c r="K191" s="51">
        <f t="shared" si="65"/>
        <v>147.27272727272725</v>
      </c>
      <c r="L191" s="52">
        <f t="shared" si="65"/>
        <v>0</v>
      </c>
      <c r="M191" s="51">
        <f t="shared" si="65"/>
        <v>0</v>
      </c>
      <c r="N191" s="51">
        <f t="shared" si="65"/>
        <v>0.3</v>
      </c>
      <c r="O191" s="51">
        <f t="shared" si="65"/>
        <v>0</v>
      </c>
      <c r="P191" s="51">
        <f t="shared" si="65"/>
        <v>0</v>
      </c>
      <c r="Q191" s="51">
        <f t="shared" si="65"/>
        <v>0</v>
      </c>
      <c r="R191" s="51">
        <f t="shared" si="65"/>
        <v>0</v>
      </c>
      <c r="S191" s="51">
        <f t="shared" si="65"/>
        <v>1.1200000000000001</v>
      </c>
      <c r="T191" s="51">
        <f t="shared" si="65"/>
        <v>1.4778325123152709</v>
      </c>
      <c r="U191" s="51">
        <f t="shared" si="65"/>
        <v>0</v>
      </c>
      <c r="V191" s="51">
        <f t="shared" si="65"/>
        <v>0</v>
      </c>
      <c r="W191" s="51">
        <f t="shared" si="65"/>
        <v>0</v>
      </c>
      <c r="X191" s="55">
        <f t="shared" si="65"/>
        <v>1</v>
      </c>
      <c r="Y191" s="59">
        <f t="shared" si="55"/>
        <v>167.27272727272725</v>
      </c>
      <c r="Z191" s="51">
        <f t="shared" si="56"/>
        <v>3.8978325123152713</v>
      </c>
      <c r="AA191" s="51">
        <f t="shared" si="57"/>
        <v>171.17055978504251</v>
      </c>
      <c r="AC191" s="30" t="s">
        <v>60</v>
      </c>
      <c r="AD191" s="31" t="s">
        <v>23</v>
      </c>
      <c r="AE191" s="2"/>
      <c r="AH191" s="1" t="str">
        <f t="shared" si="58"/>
        <v/>
      </c>
      <c r="AI191" s="1" t="str">
        <f t="shared" si="58"/>
        <v/>
      </c>
      <c r="AJ191" s="1" t="str">
        <f t="shared" si="58"/>
        <v/>
      </c>
      <c r="AK191" s="1" t="str">
        <f t="shared" si="58"/>
        <v/>
      </c>
      <c r="AL191" s="1">
        <f t="shared" si="58"/>
        <v>888.88888888888891</v>
      </c>
      <c r="AM191" s="1">
        <f t="shared" si="58"/>
        <v>31.428571428571438</v>
      </c>
      <c r="AN191" s="52" t="str">
        <f t="shared" si="58"/>
        <v/>
      </c>
      <c r="AO191" s="1" t="str">
        <f t="shared" si="58"/>
        <v/>
      </c>
      <c r="AP191" s="1">
        <f t="shared" si="58"/>
        <v>121846.15384615384</v>
      </c>
      <c r="AQ191" s="1" t="str">
        <f t="shared" si="58"/>
        <v/>
      </c>
      <c r="AR191" s="1" t="str">
        <f t="shared" si="58"/>
        <v/>
      </c>
      <c r="AS191" s="1" t="str">
        <f t="shared" si="58"/>
        <v/>
      </c>
      <c r="AT191" s="1" t="str">
        <f t="shared" si="58"/>
        <v/>
      </c>
      <c r="AU191" s="1">
        <f t="shared" si="58"/>
        <v>2222.2222222222222</v>
      </c>
      <c r="AV191" s="1">
        <f t="shared" si="58"/>
        <v>11600</v>
      </c>
      <c r="AW191" s="1" t="str">
        <f t="shared" si="58"/>
        <v/>
      </c>
      <c r="AX191" s="1" t="str">
        <f t="shared" si="59"/>
        <v/>
      </c>
      <c r="AY191" s="1" t="str">
        <f t="shared" si="59"/>
        <v/>
      </c>
      <c r="AZ191" s="1">
        <f t="shared" si="59"/>
        <v>2222.2222222222222</v>
      </c>
      <c r="BA191" s="1">
        <f t="shared" si="59"/>
        <v>133.95100069013117</v>
      </c>
      <c r="BB191" s="1">
        <f t="shared" si="59"/>
        <v>14984.690651348892</v>
      </c>
      <c r="BC191" s="1">
        <f t="shared" si="59"/>
        <v>472.1265369211315</v>
      </c>
    </row>
    <row r="192" spans="1:55" x14ac:dyDescent="0.25">
      <c r="A192" s="30" t="s">
        <v>60</v>
      </c>
      <c r="B192" s="31" t="s">
        <v>65</v>
      </c>
      <c r="C192" s="46"/>
      <c r="F192" s="51">
        <f>F207+F208+F209</f>
        <v>0</v>
      </c>
      <c r="G192" s="51">
        <f t="shared" ref="G192:X192" si="66">G207+G208+G209</f>
        <v>0</v>
      </c>
      <c r="H192" s="51">
        <f t="shared" si="66"/>
        <v>0</v>
      </c>
      <c r="I192" s="51">
        <f t="shared" si="66"/>
        <v>0</v>
      </c>
      <c r="J192" s="86">
        <f>J207+J208+J209</f>
        <v>41.666666666666671</v>
      </c>
      <c r="K192" s="51">
        <f t="shared" si="66"/>
        <v>0</v>
      </c>
      <c r="L192" s="52">
        <f t="shared" si="66"/>
        <v>397.6</v>
      </c>
      <c r="M192" s="51">
        <f t="shared" si="66"/>
        <v>56</v>
      </c>
      <c r="N192" s="51">
        <f t="shared" si="66"/>
        <v>0</v>
      </c>
      <c r="O192" s="51">
        <f t="shared" si="66"/>
        <v>0</v>
      </c>
      <c r="P192" s="51">
        <f t="shared" si="66"/>
        <v>0</v>
      </c>
      <c r="Q192" s="51">
        <f t="shared" si="66"/>
        <v>42.553191489361701</v>
      </c>
      <c r="R192" s="51">
        <f t="shared" si="66"/>
        <v>65.727699530516432</v>
      </c>
      <c r="S192" s="51">
        <f t="shared" si="66"/>
        <v>0</v>
      </c>
      <c r="T192" s="51">
        <f t="shared" si="66"/>
        <v>53.990610328638496</v>
      </c>
      <c r="U192" s="51">
        <f t="shared" si="66"/>
        <v>23.474178403755868</v>
      </c>
      <c r="V192" s="51">
        <f t="shared" si="66"/>
        <v>9.8591549295774641</v>
      </c>
      <c r="W192" s="51">
        <f t="shared" si="66"/>
        <v>21.12676056338028</v>
      </c>
      <c r="X192" s="55">
        <f t="shared" si="66"/>
        <v>19.718309859154928</v>
      </c>
      <c r="Y192" s="59">
        <f t="shared" si="55"/>
        <v>41.666666666666671</v>
      </c>
      <c r="Z192" s="51">
        <f t="shared" si="56"/>
        <v>292.44990510438521</v>
      </c>
      <c r="AA192" s="51">
        <f t="shared" si="57"/>
        <v>731.71657177105192</v>
      </c>
      <c r="AC192" s="30" t="s">
        <v>60</v>
      </c>
      <c r="AD192" s="31" t="s">
        <v>65</v>
      </c>
      <c r="AE192" s="46"/>
      <c r="AH192" s="1" t="str">
        <f t="shared" si="58"/>
        <v/>
      </c>
      <c r="AI192" s="1" t="str">
        <f t="shared" si="58"/>
        <v/>
      </c>
      <c r="AJ192" s="1" t="str">
        <f t="shared" si="58"/>
        <v/>
      </c>
      <c r="AK192" s="1" t="str">
        <f t="shared" si="58"/>
        <v/>
      </c>
      <c r="AL192" s="1">
        <f t="shared" si="58"/>
        <v>1400</v>
      </c>
      <c r="AM192" s="1" t="str">
        <f t="shared" si="58"/>
        <v/>
      </c>
      <c r="AN192" s="52">
        <f t="shared" si="58"/>
        <v>18750</v>
      </c>
      <c r="AO192" s="1">
        <f t="shared" si="58"/>
        <v>7500</v>
      </c>
      <c r="AP192" s="1" t="str">
        <f t="shared" si="58"/>
        <v/>
      </c>
      <c r="AQ192" s="1" t="str">
        <f t="shared" si="58"/>
        <v/>
      </c>
      <c r="AR192" s="1" t="str">
        <f t="shared" si="58"/>
        <v/>
      </c>
      <c r="AS192" s="1">
        <f t="shared" si="58"/>
        <v>26857.142857142859</v>
      </c>
      <c r="AT192" s="1">
        <f t="shared" si="58"/>
        <v>12171.428571428571</v>
      </c>
      <c r="AU192" s="1" t="str">
        <f t="shared" si="58"/>
        <v/>
      </c>
      <c r="AV192" s="1">
        <f t="shared" si="58"/>
        <v>12171.428571428571</v>
      </c>
      <c r="AW192" s="1">
        <f t="shared" si="58"/>
        <v>12171.428571428572</v>
      </c>
      <c r="AX192" s="1">
        <f t="shared" si="59"/>
        <v>12171.428571428572</v>
      </c>
      <c r="AY192" s="1">
        <f t="shared" si="59"/>
        <v>12171.428571428572</v>
      </c>
      <c r="AZ192" s="1">
        <f t="shared" si="59"/>
        <v>12171.428571428572</v>
      </c>
      <c r="BA192" s="1">
        <f t="shared" si="59"/>
        <v>1400</v>
      </c>
      <c r="BB192" s="1">
        <f t="shared" si="59"/>
        <v>13413.774716243945</v>
      </c>
      <c r="BC192" s="1">
        <f t="shared" si="59"/>
        <v>15629.262637185107</v>
      </c>
    </row>
    <row r="193" spans="1:55" ht="15.75" thickBot="1" x14ac:dyDescent="0.3">
      <c r="A193" s="48" t="s">
        <v>60</v>
      </c>
      <c r="B193" s="49" t="s">
        <v>9</v>
      </c>
      <c r="C193" s="50"/>
      <c r="D193" s="50"/>
      <c r="E193" s="50"/>
      <c r="F193" s="53">
        <f>F210</f>
        <v>0</v>
      </c>
      <c r="G193" s="53">
        <f t="shared" ref="G193:X193" si="67">G210</f>
        <v>0</v>
      </c>
      <c r="H193" s="53">
        <f t="shared" si="67"/>
        <v>0</v>
      </c>
      <c r="I193" s="53">
        <f t="shared" si="67"/>
        <v>0</v>
      </c>
      <c r="J193" s="53">
        <f t="shared" si="67"/>
        <v>0</v>
      </c>
      <c r="K193" s="53">
        <f t="shared" si="67"/>
        <v>0</v>
      </c>
      <c r="L193" s="62">
        <f t="shared" si="67"/>
        <v>0</v>
      </c>
      <c r="M193" s="53">
        <f t="shared" si="67"/>
        <v>0</v>
      </c>
      <c r="N193" s="53">
        <f t="shared" si="67"/>
        <v>0</v>
      </c>
      <c r="O193" s="53">
        <f t="shared" si="67"/>
        <v>0</v>
      </c>
      <c r="P193" s="53">
        <f t="shared" si="67"/>
        <v>0</v>
      </c>
      <c r="Q193" s="53">
        <f t="shared" si="67"/>
        <v>0</v>
      </c>
      <c r="R193" s="53">
        <f t="shared" si="67"/>
        <v>0</v>
      </c>
      <c r="S193" s="53">
        <f t="shared" si="67"/>
        <v>0</v>
      </c>
      <c r="T193" s="53">
        <f t="shared" si="67"/>
        <v>0</v>
      </c>
      <c r="U193" s="53">
        <f t="shared" si="67"/>
        <v>0</v>
      </c>
      <c r="V193" s="53">
        <f t="shared" si="67"/>
        <v>0</v>
      </c>
      <c r="W193" s="53">
        <f t="shared" si="67"/>
        <v>0</v>
      </c>
      <c r="X193" s="56">
        <f t="shared" si="67"/>
        <v>6.7069081153588197</v>
      </c>
      <c r="Y193" s="60">
        <f t="shared" si="55"/>
        <v>0</v>
      </c>
      <c r="Z193" s="53">
        <f t="shared" si="56"/>
        <v>6.7069081153588197</v>
      </c>
      <c r="AA193" s="53">
        <f t="shared" si="57"/>
        <v>6.7069081153588197</v>
      </c>
      <c r="AC193" s="48" t="s">
        <v>60</v>
      </c>
      <c r="AD193" s="49" t="s">
        <v>9</v>
      </c>
      <c r="AE193" s="50"/>
      <c r="AF193" s="50"/>
      <c r="AG193" s="50"/>
      <c r="AH193" s="1" t="str">
        <f t="shared" si="58"/>
        <v/>
      </c>
      <c r="AI193" s="1" t="str">
        <f t="shared" si="58"/>
        <v/>
      </c>
      <c r="AJ193" s="1" t="str">
        <f t="shared" si="58"/>
        <v/>
      </c>
      <c r="AK193" s="1" t="str">
        <f t="shared" si="58"/>
        <v/>
      </c>
      <c r="AL193" s="1" t="str">
        <f t="shared" si="58"/>
        <v/>
      </c>
      <c r="AM193" s="1" t="str">
        <f t="shared" si="58"/>
        <v/>
      </c>
      <c r="AN193" s="52" t="str">
        <f t="shared" si="58"/>
        <v/>
      </c>
      <c r="AO193" s="1" t="str">
        <f t="shared" si="58"/>
        <v/>
      </c>
      <c r="AP193" s="1" t="str">
        <f t="shared" si="58"/>
        <v/>
      </c>
      <c r="AQ193" s="1" t="str">
        <f t="shared" si="58"/>
        <v/>
      </c>
      <c r="AR193" s="1" t="str">
        <f t="shared" si="58"/>
        <v/>
      </c>
      <c r="AS193" s="1" t="str">
        <f t="shared" si="58"/>
        <v/>
      </c>
      <c r="AT193" s="1" t="str">
        <f t="shared" si="58"/>
        <v/>
      </c>
      <c r="AU193" s="1" t="str">
        <f t="shared" si="58"/>
        <v/>
      </c>
      <c r="AV193" s="1" t="str">
        <f t="shared" si="58"/>
        <v/>
      </c>
      <c r="AW193" s="1" t="str">
        <f t="shared" si="58"/>
        <v/>
      </c>
      <c r="AX193" s="1" t="str">
        <f t="shared" si="59"/>
        <v/>
      </c>
      <c r="AY193" s="1" t="str">
        <f t="shared" si="59"/>
        <v/>
      </c>
      <c r="AZ193" s="1">
        <f t="shared" si="59"/>
        <v>7100</v>
      </c>
      <c r="BA193" s="1" t="str">
        <f t="shared" si="59"/>
        <v/>
      </c>
      <c r="BB193" s="1">
        <f t="shared" si="59"/>
        <v>7100</v>
      </c>
      <c r="BC193" s="1">
        <f t="shared" si="59"/>
        <v>7100</v>
      </c>
    </row>
    <row r="194" spans="1:55" ht="15.75" thickTop="1" x14ac:dyDescent="0.25">
      <c r="A194" s="15" t="s">
        <v>51</v>
      </c>
      <c r="B194" s="16" t="s">
        <v>52</v>
      </c>
      <c r="C194" s="16" t="s">
        <v>53</v>
      </c>
      <c r="D194" s="2"/>
      <c r="E194" s="2"/>
      <c r="F194" s="47">
        <v>0</v>
      </c>
      <c r="G194" s="47">
        <v>0</v>
      </c>
      <c r="H194" s="47">
        <v>0</v>
      </c>
      <c r="I194" s="47">
        <v>0</v>
      </c>
      <c r="J194" s="47">
        <v>0</v>
      </c>
      <c r="K194" s="47">
        <v>0</v>
      </c>
      <c r="L194" s="63">
        <v>0</v>
      </c>
      <c r="M194" s="47">
        <v>0</v>
      </c>
      <c r="N194" s="47">
        <v>0</v>
      </c>
      <c r="O194" s="47">
        <v>0</v>
      </c>
      <c r="P194" s="47">
        <v>0</v>
      </c>
      <c r="Q194" s="47">
        <v>0</v>
      </c>
      <c r="R194" s="47">
        <v>0</v>
      </c>
      <c r="S194" s="47">
        <v>0</v>
      </c>
      <c r="T194" s="47">
        <v>0</v>
      </c>
      <c r="U194" s="47">
        <v>0</v>
      </c>
      <c r="V194" s="47">
        <v>0</v>
      </c>
      <c r="W194" s="47">
        <v>0</v>
      </c>
      <c r="X194" s="57">
        <v>0</v>
      </c>
      <c r="Y194" s="61">
        <f t="shared" si="55"/>
        <v>0</v>
      </c>
      <c r="Z194" s="47">
        <f t="shared" si="56"/>
        <v>0</v>
      </c>
      <c r="AA194" s="47">
        <f t="shared" si="57"/>
        <v>0</v>
      </c>
      <c r="AC194" s="15" t="s">
        <v>51</v>
      </c>
      <c r="AD194" s="16" t="s">
        <v>52</v>
      </c>
      <c r="AE194" s="16" t="s">
        <v>53</v>
      </c>
      <c r="AF194" s="2"/>
      <c r="AG194" s="2"/>
      <c r="AH194" s="90" t="str">
        <f t="shared" si="58"/>
        <v/>
      </c>
      <c r="AI194" s="90" t="str">
        <f t="shared" si="58"/>
        <v/>
      </c>
      <c r="AJ194" s="90" t="str">
        <f t="shared" si="58"/>
        <v/>
      </c>
      <c r="AK194" s="90" t="str">
        <f t="shared" si="58"/>
        <v/>
      </c>
      <c r="AL194" s="90" t="str">
        <f t="shared" si="58"/>
        <v/>
      </c>
      <c r="AM194" s="90" t="str">
        <f t="shared" si="58"/>
        <v/>
      </c>
      <c r="AN194" s="90" t="str">
        <f t="shared" si="58"/>
        <v/>
      </c>
      <c r="AO194" s="90" t="str">
        <f t="shared" si="58"/>
        <v/>
      </c>
      <c r="AP194" s="90" t="str">
        <f t="shared" si="58"/>
        <v/>
      </c>
      <c r="AQ194" s="90" t="str">
        <f t="shared" si="58"/>
        <v/>
      </c>
      <c r="AR194" s="90" t="str">
        <f t="shared" si="58"/>
        <v/>
      </c>
      <c r="AS194" s="90" t="str">
        <f t="shared" si="58"/>
        <v/>
      </c>
      <c r="AT194" s="90" t="str">
        <f t="shared" si="58"/>
        <v/>
      </c>
      <c r="AU194" s="90" t="str">
        <f t="shared" si="58"/>
        <v/>
      </c>
      <c r="AV194" s="90" t="str">
        <f t="shared" si="58"/>
        <v/>
      </c>
      <c r="AW194" s="90" t="str">
        <f t="shared" si="58"/>
        <v/>
      </c>
      <c r="AX194" s="90" t="str">
        <f t="shared" si="59"/>
        <v/>
      </c>
      <c r="AY194" s="90" t="str">
        <f t="shared" si="59"/>
        <v/>
      </c>
      <c r="AZ194" s="90" t="str">
        <f t="shared" si="59"/>
        <v/>
      </c>
      <c r="BA194" s="90" t="str">
        <f t="shared" si="59"/>
        <v/>
      </c>
      <c r="BB194" s="90" t="str">
        <f t="shared" si="59"/>
        <v/>
      </c>
      <c r="BC194" s="90" t="str">
        <f t="shared" si="59"/>
        <v/>
      </c>
    </row>
    <row r="195" spans="1:55" x14ac:dyDescent="0.25">
      <c r="A195" s="15" t="s">
        <v>51</v>
      </c>
      <c r="B195" s="16" t="s">
        <v>52</v>
      </c>
      <c r="C195" s="16" t="s">
        <v>54</v>
      </c>
      <c r="D195" s="2"/>
      <c r="E195" s="2"/>
      <c r="F195" s="47">
        <v>0</v>
      </c>
      <c r="G195" s="47">
        <v>0</v>
      </c>
      <c r="H195" s="1">
        <v>0</v>
      </c>
      <c r="I195" s="1">
        <v>0</v>
      </c>
      <c r="J195" s="1">
        <v>0</v>
      </c>
      <c r="K195" s="1">
        <v>0</v>
      </c>
      <c r="L195" s="52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54">
        <v>0</v>
      </c>
      <c r="Y195" s="58">
        <f t="shared" si="55"/>
        <v>0</v>
      </c>
      <c r="Z195" s="1">
        <f t="shared" si="56"/>
        <v>0</v>
      </c>
      <c r="AA195" s="1">
        <f t="shared" si="57"/>
        <v>0</v>
      </c>
      <c r="AC195" s="15" t="s">
        <v>51</v>
      </c>
      <c r="AD195" s="16" t="s">
        <v>52</v>
      </c>
      <c r="AE195" s="16" t="s">
        <v>54</v>
      </c>
      <c r="AF195" s="2"/>
      <c r="AG195" s="2"/>
      <c r="AH195" s="90" t="str">
        <f t="shared" si="58"/>
        <v/>
      </c>
      <c r="AI195" s="90" t="str">
        <f t="shared" si="58"/>
        <v/>
      </c>
      <c r="AJ195" s="90" t="str">
        <f t="shared" si="58"/>
        <v/>
      </c>
      <c r="AK195" s="90" t="str">
        <f t="shared" si="58"/>
        <v/>
      </c>
      <c r="AL195" s="90" t="str">
        <f t="shared" si="58"/>
        <v/>
      </c>
      <c r="AM195" s="90" t="str">
        <f t="shared" si="58"/>
        <v/>
      </c>
      <c r="AN195" s="90" t="str">
        <f t="shared" si="58"/>
        <v/>
      </c>
      <c r="AO195" s="90" t="str">
        <f t="shared" si="58"/>
        <v/>
      </c>
      <c r="AP195" s="90" t="str">
        <f t="shared" si="58"/>
        <v/>
      </c>
      <c r="AQ195" s="90" t="str">
        <f t="shared" si="58"/>
        <v/>
      </c>
      <c r="AR195" s="90" t="str">
        <f t="shared" si="58"/>
        <v/>
      </c>
      <c r="AS195" s="90" t="str">
        <f t="shared" si="58"/>
        <v/>
      </c>
      <c r="AT195" s="90" t="str">
        <f t="shared" si="58"/>
        <v/>
      </c>
      <c r="AU195" s="90" t="str">
        <f t="shared" si="58"/>
        <v/>
      </c>
      <c r="AV195" s="90" t="str">
        <f t="shared" si="58"/>
        <v/>
      </c>
      <c r="AW195" s="90" t="str">
        <f t="shared" si="58"/>
        <v/>
      </c>
      <c r="AX195" s="90" t="str">
        <f t="shared" si="59"/>
        <v/>
      </c>
      <c r="AY195" s="90" t="str">
        <f t="shared" si="59"/>
        <v/>
      </c>
      <c r="AZ195" s="90" t="str">
        <f t="shared" si="59"/>
        <v/>
      </c>
      <c r="BA195" s="90" t="str">
        <f t="shared" si="59"/>
        <v/>
      </c>
      <c r="BB195" s="90" t="str">
        <f t="shared" si="59"/>
        <v/>
      </c>
      <c r="BC195" s="90" t="str">
        <f t="shared" si="59"/>
        <v/>
      </c>
    </row>
    <row r="196" spans="1:55" x14ac:dyDescent="0.25">
      <c r="A196" s="15" t="s">
        <v>51</v>
      </c>
      <c r="B196" s="16" t="s">
        <v>52</v>
      </c>
      <c r="C196" s="16" t="s">
        <v>55</v>
      </c>
      <c r="D196" s="2"/>
      <c r="E196" s="2"/>
      <c r="F196" s="47">
        <v>0</v>
      </c>
      <c r="G196" s="47">
        <v>0</v>
      </c>
      <c r="H196" s="1">
        <v>0</v>
      </c>
      <c r="I196" s="1">
        <v>0</v>
      </c>
      <c r="J196" s="1">
        <v>0</v>
      </c>
      <c r="K196" s="1">
        <v>0</v>
      </c>
      <c r="L196" s="52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54">
        <v>0</v>
      </c>
      <c r="Y196" s="58">
        <f t="shared" si="55"/>
        <v>0</v>
      </c>
      <c r="Z196" s="1">
        <f t="shared" si="56"/>
        <v>0</v>
      </c>
      <c r="AA196" s="1">
        <f t="shared" si="57"/>
        <v>0</v>
      </c>
      <c r="AC196" s="15" t="s">
        <v>51</v>
      </c>
      <c r="AD196" s="16" t="s">
        <v>52</v>
      </c>
      <c r="AE196" s="16" t="s">
        <v>55</v>
      </c>
      <c r="AF196" s="2"/>
      <c r="AG196" s="2"/>
      <c r="AH196" s="90" t="str">
        <f t="shared" si="58"/>
        <v/>
      </c>
      <c r="AI196" s="90" t="str">
        <f t="shared" si="58"/>
        <v/>
      </c>
      <c r="AJ196" s="90" t="str">
        <f t="shared" si="58"/>
        <v/>
      </c>
      <c r="AK196" s="90" t="str">
        <f t="shared" si="58"/>
        <v/>
      </c>
      <c r="AL196" s="90" t="str">
        <f t="shared" si="58"/>
        <v/>
      </c>
      <c r="AM196" s="90" t="str">
        <f t="shared" si="58"/>
        <v/>
      </c>
      <c r="AN196" s="90" t="str">
        <f t="shared" si="58"/>
        <v/>
      </c>
      <c r="AO196" s="90" t="str">
        <f t="shared" si="58"/>
        <v/>
      </c>
      <c r="AP196" s="90" t="str">
        <f t="shared" si="58"/>
        <v/>
      </c>
      <c r="AQ196" s="90" t="str">
        <f t="shared" si="58"/>
        <v/>
      </c>
      <c r="AR196" s="90" t="str">
        <f t="shared" si="58"/>
        <v/>
      </c>
      <c r="AS196" s="90" t="str">
        <f t="shared" si="58"/>
        <v/>
      </c>
      <c r="AT196" s="90" t="str">
        <f t="shared" si="58"/>
        <v/>
      </c>
      <c r="AU196" s="90" t="str">
        <f t="shared" si="58"/>
        <v/>
      </c>
      <c r="AV196" s="90" t="str">
        <f t="shared" si="58"/>
        <v/>
      </c>
      <c r="AW196" s="90" t="str">
        <f t="shared" si="58"/>
        <v/>
      </c>
      <c r="AX196" s="90" t="str">
        <f t="shared" si="59"/>
        <v/>
      </c>
      <c r="AY196" s="90" t="str">
        <f t="shared" si="59"/>
        <v/>
      </c>
      <c r="AZ196" s="90" t="str">
        <f t="shared" si="59"/>
        <v/>
      </c>
      <c r="BA196" s="90" t="str">
        <f t="shared" si="59"/>
        <v/>
      </c>
      <c r="BB196" s="90" t="str">
        <f t="shared" si="59"/>
        <v/>
      </c>
      <c r="BC196" s="90" t="str">
        <f t="shared" si="59"/>
        <v/>
      </c>
    </row>
    <row r="197" spans="1:55" x14ac:dyDescent="0.25">
      <c r="A197" s="25" t="s">
        <v>51</v>
      </c>
      <c r="B197" s="26" t="s">
        <v>56</v>
      </c>
      <c r="C197" s="26" t="s">
        <v>57</v>
      </c>
      <c r="D197" s="2"/>
      <c r="E197" s="2"/>
      <c r="F197" s="47">
        <v>0</v>
      </c>
      <c r="G197" s="47">
        <v>0</v>
      </c>
      <c r="H197" s="1">
        <v>0</v>
      </c>
      <c r="I197" s="1">
        <v>0</v>
      </c>
      <c r="J197" s="1">
        <v>0</v>
      </c>
      <c r="K197" s="1">
        <v>0</v>
      </c>
      <c r="L197" s="52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54">
        <v>0</v>
      </c>
      <c r="Y197" s="58">
        <f t="shared" si="55"/>
        <v>0</v>
      </c>
      <c r="Z197" s="1">
        <f t="shared" si="56"/>
        <v>0</v>
      </c>
      <c r="AA197" s="1">
        <f t="shared" si="57"/>
        <v>0</v>
      </c>
      <c r="AC197" s="25" t="s">
        <v>51</v>
      </c>
      <c r="AD197" s="26" t="s">
        <v>56</v>
      </c>
      <c r="AE197" s="26" t="s">
        <v>57</v>
      </c>
      <c r="AF197" s="2"/>
      <c r="AG197" s="2"/>
      <c r="AH197" s="90" t="str">
        <f t="shared" si="58"/>
        <v/>
      </c>
      <c r="AI197" s="90" t="str">
        <f t="shared" si="58"/>
        <v/>
      </c>
      <c r="AJ197" s="90" t="str">
        <f t="shared" si="58"/>
        <v/>
      </c>
      <c r="AK197" s="90" t="str">
        <f t="shared" si="58"/>
        <v/>
      </c>
      <c r="AL197" s="90" t="str">
        <f t="shared" si="58"/>
        <v/>
      </c>
      <c r="AM197" s="90" t="str">
        <f t="shared" si="58"/>
        <v/>
      </c>
      <c r="AN197" s="90" t="str">
        <f t="shared" si="58"/>
        <v/>
      </c>
      <c r="AO197" s="90" t="str">
        <f t="shared" si="58"/>
        <v/>
      </c>
      <c r="AP197" s="90" t="str">
        <f t="shared" si="58"/>
        <v/>
      </c>
      <c r="AQ197" s="90" t="str">
        <f t="shared" si="58"/>
        <v/>
      </c>
      <c r="AR197" s="90" t="str">
        <f t="shared" si="58"/>
        <v/>
      </c>
      <c r="AS197" s="90" t="str">
        <f t="shared" si="58"/>
        <v/>
      </c>
      <c r="AT197" s="90" t="str">
        <f t="shared" si="58"/>
        <v/>
      </c>
      <c r="AU197" s="90" t="str">
        <f t="shared" si="58"/>
        <v/>
      </c>
      <c r="AV197" s="90" t="str">
        <f t="shared" si="58"/>
        <v/>
      </c>
      <c r="AW197" s="90" t="str">
        <f t="shared" si="58"/>
        <v/>
      </c>
      <c r="AX197" s="90" t="str">
        <f t="shared" si="59"/>
        <v/>
      </c>
      <c r="AY197" s="90" t="str">
        <f t="shared" si="59"/>
        <v/>
      </c>
      <c r="AZ197" s="90" t="str">
        <f t="shared" si="59"/>
        <v/>
      </c>
      <c r="BA197" s="90" t="str">
        <f t="shared" si="59"/>
        <v/>
      </c>
      <c r="BB197" s="90" t="str">
        <f t="shared" si="59"/>
        <v/>
      </c>
      <c r="BC197" s="90" t="str">
        <f t="shared" si="59"/>
        <v/>
      </c>
    </row>
    <row r="198" spans="1:55" x14ac:dyDescent="0.25">
      <c r="A198" s="15" t="s">
        <v>51</v>
      </c>
      <c r="B198" s="16" t="s">
        <v>56</v>
      </c>
      <c r="C198" s="27" t="s">
        <v>58</v>
      </c>
      <c r="D198" s="2"/>
      <c r="E198" s="2"/>
      <c r="F198" s="47">
        <v>0</v>
      </c>
      <c r="G198" s="47">
        <v>0</v>
      </c>
      <c r="H198" s="1">
        <v>0</v>
      </c>
      <c r="I198" s="1">
        <v>0</v>
      </c>
      <c r="J198" s="1">
        <v>0</v>
      </c>
      <c r="K198" s="1">
        <v>0</v>
      </c>
      <c r="L198" s="52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54">
        <v>0</v>
      </c>
      <c r="Y198" s="58">
        <f t="shared" si="55"/>
        <v>0</v>
      </c>
      <c r="Z198" s="1">
        <f t="shared" si="56"/>
        <v>0</v>
      </c>
      <c r="AA198" s="1">
        <f t="shared" si="57"/>
        <v>0</v>
      </c>
      <c r="AC198" s="15" t="s">
        <v>51</v>
      </c>
      <c r="AD198" s="16" t="s">
        <v>56</v>
      </c>
      <c r="AE198" s="27" t="s">
        <v>58</v>
      </c>
      <c r="AF198" s="2"/>
      <c r="AG198" s="2"/>
      <c r="AH198" s="90" t="str">
        <f t="shared" si="58"/>
        <v/>
      </c>
      <c r="AI198" s="90" t="str">
        <f t="shared" si="58"/>
        <v/>
      </c>
      <c r="AJ198" s="90" t="str">
        <f t="shared" si="58"/>
        <v/>
      </c>
      <c r="AK198" s="90" t="str">
        <f t="shared" si="58"/>
        <v/>
      </c>
      <c r="AL198" s="90" t="str">
        <f t="shared" si="58"/>
        <v/>
      </c>
      <c r="AM198" s="90" t="str">
        <f t="shared" si="58"/>
        <v/>
      </c>
      <c r="AN198" s="90" t="str">
        <f t="shared" si="58"/>
        <v/>
      </c>
      <c r="AO198" s="90" t="str">
        <f t="shared" si="58"/>
        <v/>
      </c>
      <c r="AP198" s="90" t="str">
        <f t="shared" si="58"/>
        <v/>
      </c>
      <c r="AQ198" s="90" t="str">
        <f t="shared" si="58"/>
        <v/>
      </c>
      <c r="AR198" s="90" t="str">
        <f t="shared" si="58"/>
        <v/>
      </c>
      <c r="AS198" s="90" t="str">
        <f t="shared" si="58"/>
        <v/>
      </c>
      <c r="AT198" s="90" t="str">
        <f t="shared" si="58"/>
        <v/>
      </c>
      <c r="AU198" s="90" t="str">
        <f t="shared" si="58"/>
        <v/>
      </c>
      <c r="AV198" s="90" t="str">
        <f t="shared" si="58"/>
        <v/>
      </c>
      <c r="AW198" s="90" t="str">
        <f t="shared" si="58"/>
        <v/>
      </c>
      <c r="AX198" s="90" t="str">
        <f t="shared" si="59"/>
        <v/>
      </c>
      <c r="AY198" s="90" t="str">
        <f t="shared" si="59"/>
        <v/>
      </c>
      <c r="AZ198" s="90" t="str">
        <f t="shared" si="59"/>
        <v/>
      </c>
      <c r="BA198" s="90" t="str">
        <f t="shared" si="59"/>
        <v/>
      </c>
      <c r="BB198" s="90" t="str">
        <f t="shared" si="59"/>
        <v/>
      </c>
      <c r="BC198" s="90" t="str">
        <f t="shared" si="59"/>
        <v/>
      </c>
    </row>
    <row r="199" spans="1:55" x14ac:dyDescent="0.25">
      <c r="A199" s="15" t="s">
        <v>51</v>
      </c>
      <c r="B199" s="16" t="s">
        <v>9</v>
      </c>
      <c r="C199" s="27" t="s">
        <v>59</v>
      </c>
      <c r="D199" s="2"/>
      <c r="E199" s="2"/>
      <c r="F199" s="47">
        <v>0</v>
      </c>
      <c r="G199" s="47">
        <v>0</v>
      </c>
      <c r="H199" s="1">
        <v>0</v>
      </c>
      <c r="I199" s="1">
        <v>0</v>
      </c>
      <c r="J199" s="1">
        <v>0</v>
      </c>
      <c r="K199" s="1">
        <v>0</v>
      </c>
      <c r="L199" s="52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54">
        <v>0</v>
      </c>
      <c r="Y199" s="58">
        <f t="shared" si="55"/>
        <v>0</v>
      </c>
      <c r="Z199" s="1">
        <f t="shared" si="56"/>
        <v>0</v>
      </c>
      <c r="AA199" s="1">
        <f t="shared" si="57"/>
        <v>0</v>
      </c>
      <c r="AC199" s="15" t="s">
        <v>51</v>
      </c>
      <c r="AD199" s="16" t="s">
        <v>9</v>
      </c>
      <c r="AE199" s="27" t="s">
        <v>59</v>
      </c>
      <c r="AF199" s="2"/>
      <c r="AG199" s="2"/>
      <c r="AH199" s="90" t="str">
        <f t="shared" si="58"/>
        <v/>
      </c>
      <c r="AI199" s="90" t="str">
        <f t="shared" si="58"/>
        <v/>
      </c>
      <c r="AJ199" s="90" t="str">
        <f t="shared" si="58"/>
        <v/>
      </c>
      <c r="AK199" s="90" t="str">
        <f t="shared" si="58"/>
        <v/>
      </c>
      <c r="AL199" s="90" t="str">
        <f t="shared" si="58"/>
        <v/>
      </c>
      <c r="AM199" s="90" t="str">
        <f t="shared" si="58"/>
        <v/>
      </c>
      <c r="AN199" s="90" t="str">
        <f t="shared" si="58"/>
        <v/>
      </c>
      <c r="AO199" s="90" t="str">
        <f t="shared" si="58"/>
        <v/>
      </c>
      <c r="AP199" s="90" t="str">
        <f t="shared" si="58"/>
        <v/>
      </c>
      <c r="AQ199" s="90" t="str">
        <f t="shared" si="58"/>
        <v/>
      </c>
      <c r="AR199" s="90" t="str">
        <f t="shared" si="58"/>
        <v/>
      </c>
      <c r="AS199" s="90" t="str">
        <f t="shared" si="58"/>
        <v/>
      </c>
      <c r="AT199" s="90" t="str">
        <f t="shared" si="58"/>
        <v/>
      </c>
      <c r="AU199" s="90" t="str">
        <f t="shared" si="58"/>
        <v/>
      </c>
      <c r="AV199" s="90" t="str">
        <f t="shared" si="58"/>
        <v/>
      </c>
      <c r="AW199" s="90" t="str">
        <f t="shared" si="58"/>
        <v/>
      </c>
      <c r="AX199" s="90" t="str">
        <f t="shared" si="59"/>
        <v/>
      </c>
      <c r="AY199" s="90" t="str">
        <f t="shared" si="59"/>
        <v/>
      </c>
      <c r="AZ199" s="90" t="str">
        <f t="shared" si="59"/>
        <v/>
      </c>
      <c r="BA199" s="90" t="str">
        <f t="shared" si="59"/>
        <v/>
      </c>
      <c r="BB199" s="90" t="str">
        <f t="shared" si="59"/>
        <v/>
      </c>
      <c r="BC199" s="90" t="str">
        <f t="shared" si="59"/>
        <v/>
      </c>
    </row>
    <row r="200" spans="1:55" x14ac:dyDescent="0.25">
      <c r="A200" s="15" t="s">
        <v>51</v>
      </c>
      <c r="B200" s="16" t="s">
        <v>9</v>
      </c>
      <c r="C200" s="27" t="s">
        <v>9</v>
      </c>
      <c r="D200" s="2"/>
      <c r="E200" s="2"/>
      <c r="F200" s="47">
        <v>0</v>
      </c>
      <c r="G200" s="47">
        <v>0</v>
      </c>
      <c r="H200" s="1">
        <v>0</v>
      </c>
      <c r="I200" s="1">
        <v>0</v>
      </c>
      <c r="J200" s="1">
        <v>0</v>
      </c>
      <c r="K200" s="1">
        <v>0</v>
      </c>
      <c r="L200" s="52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54">
        <v>0</v>
      </c>
      <c r="Y200" s="58">
        <f t="shared" si="55"/>
        <v>0</v>
      </c>
      <c r="Z200" s="1">
        <f t="shared" si="56"/>
        <v>0</v>
      </c>
      <c r="AA200" s="1">
        <f t="shared" si="57"/>
        <v>0</v>
      </c>
      <c r="AC200" s="15" t="s">
        <v>51</v>
      </c>
      <c r="AD200" s="16" t="s">
        <v>9</v>
      </c>
      <c r="AE200" s="27" t="s">
        <v>9</v>
      </c>
      <c r="AF200" s="2"/>
      <c r="AG200" s="2"/>
      <c r="AH200" s="90" t="str">
        <f t="shared" si="58"/>
        <v/>
      </c>
      <c r="AI200" s="90" t="str">
        <f t="shared" si="58"/>
        <v/>
      </c>
      <c r="AJ200" s="90" t="str">
        <f t="shared" si="58"/>
        <v/>
      </c>
      <c r="AK200" s="90" t="str">
        <f t="shared" si="58"/>
        <v/>
      </c>
      <c r="AL200" s="90" t="str">
        <f t="shared" si="58"/>
        <v/>
      </c>
      <c r="AM200" s="90" t="str">
        <f t="shared" si="58"/>
        <v/>
      </c>
      <c r="AN200" s="90" t="str">
        <f t="shared" si="58"/>
        <v/>
      </c>
      <c r="AO200" s="90" t="str">
        <f t="shared" si="58"/>
        <v/>
      </c>
      <c r="AP200" s="90" t="str">
        <f t="shared" si="58"/>
        <v/>
      </c>
      <c r="AQ200" s="90" t="str">
        <f t="shared" si="58"/>
        <v/>
      </c>
      <c r="AR200" s="90" t="str">
        <f t="shared" si="58"/>
        <v/>
      </c>
      <c r="AS200" s="90" t="str">
        <f t="shared" si="58"/>
        <v/>
      </c>
      <c r="AT200" s="90" t="str">
        <f t="shared" si="58"/>
        <v/>
      </c>
      <c r="AU200" s="90" t="str">
        <f t="shared" si="58"/>
        <v/>
      </c>
      <c r="AV200" s="90" t="str">
        <f t="shared" si="58"/>
        <v/>
      </c>
      <c r="AW200" s="90" t="str">
        <f t="shared" ref="AW200:BC225" si="68">IF(U200&gt;0,U245/U200*1000,"")</f>
        <v/>
      </c>
      <c r="AX200" s="90" t="str">
        <f t="shared" si="59"/>
        <v/>
      </c>
      <c r="AY200" s="90" t="str">
        <f t="shared" si="59"/>
        <v/>
      </c>
      <c r="AZ200" s="90" t="str">
        <f t="shared" si="59"/>
        <v/>
      </c>
      <c r="BA200" s="90" t="str">
        <f t="shared" si="59"/>
        <v/>
      </c>
      <c r="BB200" s="90" t="str">
        <f t="shared" si="59"/>
        <v/>
      </c>
      <c r="BC200" s="90" t="str">
        <f t="shared" si="59"/>
        <v/>
      </c>
    </row>
    <row r="201" spans="1:55" x14ac:dyDescent="0.25">
      <c r="A201" s="28" t="s">
        <v>60</v>
      </c>
      <c r="B201" s="29" t="s">
        <v>13</v>
      </c>
      <c r="C201" s="29" t="s">
        <v>61</v>
      </c>
      <c r="D201" s="2"/>
      <c r="E201" s="2"/>
      <c r="F201" s="214">
        <v>90</v>
      </c>
      <c r="G201" s="215">
        <v>0</v>
      </c>
      <c r="H201" s="215">
        <v>300</v>
      </c>
      <c r="I201" s="77">
        <f>I21/I156</f>
        <v>141.93103448275863</v>
      </c>
      <c r="J201" s="214">
        <f>100*0.8</f>
        <v>80</v>
      </c>
      <c r="K201" s="77">
        <f>K21/K156</f>
        <v>103.44827586206897</v>
      </c>
      <c r="L201" s="52">
        <v>0</v>
      </c>
      <c r="M201" s="80">
        <f>M21/M156</f>
        <v>25</v>
      </c>
      <c r="N201" s="217">
        <v>3.1</v>
      </c>
      <c r="O201" s="217">
        <v>1</v>
      </c>
      <c r="P201" s="217">
        <f>2.4*0.3</f>
        <v>0.72</v>
      </c>
      <c r="Q201" s="84">
        <f t="shared" ref="Q201:X201" si="69">Q21/Q156</f>
        <v>7.598784194528875</v>
      </c>
      <c r="R201" s="80">
        <f t="shared" si="69"/>
        <v>12.519561815336465</v>
      </c>
      <c r="S201" s="51">
        <v>0</v>
      </c>
      <c r="T201" s="80">
        <f t="shared" si="69"/>
        <v>3.1298904538341161</v>
      </c>
      <c r="U201" s="80">
        <f t="shared" si="69"/>
        <v>7.042253521126761</v>
      </c>
      <c r="V201" s="80">
        <f t="shared" si="69"/>
        <v>0.11737089201877934</v>
      </c>
      <c r="W201" s="80">
        <f t="shared" si="69"/>
        <v>0.32276995305164319</v>
      </c>
      <c r="X201" s="80">
        <f t="shared" si="69"/>
        <v>14.084507042253522</v>
      </c>
      <c r="Y201" s="59">
        <f t="shared" si="55"/>
        <v>715.37931034482756</v>
      </c>
      <c r="Z201" s="51">
        <f t="shared" si="56"/>
        <v>74.635137872150153</v>
      </c>
      <c r="AA201" s="51">
        <f t="shared" si="57"/>
        <v>790.01444821697771</v>
      </c>
      <c r="AB201" s="5" t="s">
        <v>124</v>
      </c>
      <c r="AC201" s="28" t="s">
        <v>60</v>
      </c>
      <c r="AD201" s="29" t="s">
        <v>13</v>
      </c>
      <c r="AE201" s="29" t="s">
        <v>61</v>
      </c>
      <c r="AF201" s="2"/>
      <c r="AG201" s="2"/>
      <c r="AH201" s="1">
        <f t="shared" ref="AH201:AV217" si="70">IF(F201&gt;0,F246/F201*1000,"")</f>
        <v>288.88888888888886</v>
      </c>
      <c r="AI201" s="1" t="str">
        <f t="shared" si="70"/>
        <v/>
      </c>
      <c r="AJ201" s="1">
        <f t="shared" si="70"/>
        <v>24.391111111111108</v>
      </c>
      <c r="AK201" s="1">
        <f t="shared" si="70"/>
        <v>161.11111111111109</v>
      </c>
      <c r="AL201" s="1">
        <f t="shared" si="70"/>
        <v>286.76470588235293</v>
      </c>
      <c r="AM201" s="1">
        <f t="shared" si="70"/>
        <v>170.58823529411765</v>
      </c>
      <c r="AN201" s="52" t="str">
        <f t="shared" si="70"/>
        <v/>
      </c>
      <c r="AO201" s="1">
        <f t="shared" si="70"/>
        <v>2222.2222222222222</v>
      </c>
      <c r="AP201" s="1">
        <f t="shared" si="70"/>
        <v>4879.0322580645161</v>
      </c>
      <c r="AQ201" s="1">
        <f t="shared" si="70"/>
        <v>44850</v>
      </c>
      <c r="AR201" s="1">
        <f t="shared" si="70"/>
        <v>447530.8641975309</v>
      </c>
      <c r="AS201" s="1">
        <f t="shared" si="70"/>
        <v>5222.2222222222217</v>
      </c>
      <c r="AT201" s="1">
        <f t="shared" si="70"/>
        <v>2366.6666666666665</v>
      </c>
      <c r="AU201" s="1" t="str">
        <f t="shared" si="70"/>
        <v/>
      </c>
      <c r="AV201" s="1">
        <f t="shared" si="70"/>
        <v>2366.6666666666665</v>
      </c>
      <c r="AW201" s="1">
        <f t="shared" si="68"/>
        <v>2366.6666666666665</v>
      </c>
      <c r="AX201" s="1">
        <f t="shared" si="68"/>
        <v>2366.6666666666665</v>
      </c>
      <c r="AY201" s="1">
        <f t="shared" si="68"/>
        <v>2366.6666666666665</v>
      </c>
      <c r="AZ201" s="1">
        <f t="shared" si="68"/>
        <v>2366.6666666666665</v>
      </c>
      <c r="BA201" s="1">
        <f t="shared" si="68"/>
        <v>0</v>
      </c>
      <c r="BB201" s="1">
        <f t="shared" si="68"/>
        <v>0</v>
      </c>
      <c r="BC201" s="1">
        <f t="shared" si="68"/>
        <v>0</v>
      </c>
    </row>
    <row r="202" spans="1:55" x14ac:dyDescent="0.25">
      <c r="A202" s="36" t="s">
        <v>60</v>
      </c>
      <c r="B202" s="37" t="s">
        <v>13</v>
      </c>
      <c r="C202" s="29" t="s">
        <v>62</v>
      </c>
      <c r="D202" s="2"/>
      <c r="E202" s="2"/>
      <c r="F202" s="214">
        <v>60</v>
      </c>
      <c r="G202" s="215">
        <v>150</v>
      </c>
      <c r="H202" s="215">
        <v>1300</v>
      </c>
      <c r="I202" s="51">
        <v>0</v>
      </c>
      <c r="J202" s="51">
        <v>0</v>
      </c>
      <c r="K202" s="51">
        <v>0</v>
      </c>
      <c r="L202" s="52">
        <v>0</v>
      </c>
      <c r="M202" s="51">
        <v>0</v>
      </c>
      <c r="N202" s="51">
        <v>0</v>
      </c>
      <c r="O202" s="51">
        <v>0</v>
      </c>
      <c r="P202" s="217">
        <f>2.4*0.7</f>
        <v>1.68</v>
      </c>
      <c r="Q202" s="51">
        <v>0</v>
      </c>
      <c r="R202" s="51">
        <v>0</v>
      </c>
      <c r="S202" s="51">
        <v>0</v>
      </c>
      <c r="T202" s="51">
        <v>0</v>
      </c>
      <c r="U202" s="51">
        <v>0</v>
      </c>
      <c r="V202" s="51">
        <v>0</v>
      </c>
      <c r="W202" s="51">
        <v>0</v>
      </c>
      <c r="X202" s="55">
        <v>0</v>
      </c>
      <c r="Y202" s="59">
        <f t="shared" si="55"/>
        <v>1510</v>
      </c>
      <c r="Z202" s="51">
        <f t="shared" si="56"/>
        <v>1.68</v>
      </c>
      <c r="AA202" s="51">
        <f t="shared" si="57"/>
        <v>1511.68</v>
      </c>
      <c r="AC202" s="36" t="s">
        <v>60</v>
      </c>
      <c r="AD202" s="37" t="s">
        <v>13</v>
      </c>
      <c r="AE202" s="29" t="s">
        <v>62</v>
      </c>
      <c r="AF202" s="2"/>
      <c r="AG202" s="2"/>
      <c r="AH202" s="1">
        <f t="shared" si="70"/>
        <v>233.33333333333334</v>
      </c>
      <c r="AI202" s="1">
        <f t="shared" si="70"/>
        <v>122.10526315789473</v>
      </c>
      <c r="AJ202" s="1">
        <f t="shared" si="70"/>
        <v>41.277264957264947</v>
      </c>
      <c r="AK202" s="1" t="str">
        <f t="shared" si="70"/>
        <v/>
      </c>
      <c r="AL202" s="1" t="str">
        <f t="shared" si="70"/>
        <v/>
      </c>
      <c r="AM202" s="1" t="str">
        <f t="shared" si="70"/>
        <v/>
      </c>
      <c r="AN202" s="52" t="str">
        <f t="shared" si="70"/>
        <v/>
      </c>
      <c r="AO202" s="1" t="str">
        <f t="shared" si="70"/>
        <v/>
      </c>
      <c r="AP202" s="1" t="str">
        <f t="shared" si="70"/>
        <v/>
      </c>
      <c r="AQ202" s="1" t="str">
        <f t="shared" si="70"/>
        <v/>
      </c>
      <c r="AR202" s="1">
        <f t="shared" si="70"/>
        <v>287698.41269841272</v>
      </c>
      <c r="AS202" s="1" t="str">
        <f t="shared" si="70"/>
        <v/>
      </c>
      <c r="AT202" s="1" t="str">
        <f t="shared" si="70"/>
        <v/>
      </c>
      <c r="AU202" s="1" t="str">
        <f t="shared" si="70"/>
        <v/>
      </c>
      <c r="AV202" s="1" t="str">
        <f t="shared" si="70"/>
        <v/>
      </c>
      <c r="AW202" s="1" t="str">
        <f t="shared" si="68"/>
        <v/>
      </c>
      <c r="AX202" s="1" t="str">
        <f t="shared" si="68"/>
        <v/>
      </c>
      <c r="AY202" s="1" t="str">
        <f t="shared" si="68"/>
        <v/>
      </c>
      <c r="AZ202" s="1" t="str">
        <f t="shared" si="68"/>
        <v/>
      </c>
      <c r="BA202" s="1">
        <f t="shared" si="68"/>
        <v>0</v>
      </c>
      <c r="BB202" s="1">
        <f t="shared" si="68"/>
        <v>0</v>
      </c>
      <c r="BC202" s="1">
        <f t="shared" si="68"/>
        <v>0</v>
      </c>
    </row>
    <row r="203" spans="1:55" ht="15.75" thickBot="1" x14ac:dyDescent="0.3">
      <c r="A203" s="30" t="s">
        <v>60</v>
      </c>
      <c r="B203" s="31" t="s">
        <v>13</v>
      </c>
      <c r="C203" s="32" t="s">
        <v>63</v>
      </c>
      <c r="D203" s="2"/>
      <c r="E203" s="2"/>
      <c r="F203" s="277">
        <v>0</v>
      </c>
      <c r="G203" s="277">
        <v>0</v>
      </c>
      <c r="H203" s="277">
        <v>0</v>
      </c>
      <c r="I203" s="277">
        <v>0</v>
      </c>
      <c r="J203" s="277">
        <v>0</v>
      </c>
      <c r="K203" s="277">
        <v>0</v>
      </c>
      <c r="L203" s="255">
        <v>0</v>
      </c>
      <c r="M203" s="277">
        <v>0</v>
      </c>
      <c r="N203" s="277">
        <v>0</v>
      </c>
      <c r="O203" s="277">
        <v>0</v>
      </c>
      <c r="P203" s="277">
        <v>0</v>
      </c>
      <c r="Q203" s="277">
        <v>0</v>
      </c>
      <c r="R203" s="277">
        <v>0</v>
      </c>
      <c r="S203" s="277">
        <v>0</v>
      </c>
      <c r="T203" s="277">
        <v>0</v>
      </c>
      <c r="U203" s="277">
        <v>0</v>
      </c>
      <c r="V203" s="277">
        <v>0</v>
      </c>
      <c r="W203" s="277">
        <v>0</v>
      </c>
      <c r="X203" s="278">
        <v>0</v>
      </c>
      <c r="Y203" s="279">
        <f t="shared" si="55"/>
        <v>0</v>
      </c>
      <c r="Z203" s="277">
        <f t="shared" si="56"/>
        <v>0</v>
      </c>
      <c r="AA203" s="277">
        <f t="shared" si="57"/>
        <v>0</v>
      </c>
      <c r="AC203" s="30" t="s">
        <v>60</v>
      </c>
      <c r="AD203" s="31" t="s">
        <v>13</v>
      </c>
      <c r="AE203" s="32" t="s">
        <v>63</v>
      </c>
      <c r="AF203" s="2"/>
      <c r="AG203" s="2"/>
      <c r="AH203" s="254" t="str">
        <f t="shared" si="70"/>
        <v/>
      </c>
      <c r="AI203" s="254" t="str">
        <f t="shared" si="70"/>
        <v/>
      </c>
      <c r="AJ203" s="254" t="str">
        <f t="shared" si="70"/>
        <v/>
      </c>
      <c r="AK203" s="254" t="str">
        <f t="shared" si="70"/>
        <v/>
      </c>
      <c r="AL203" s="254" t="str">
        <f t="shared" si="70"/>
        <v/>
      </c>
      <c r="AM203" s="254" t="str">
        <f t="shared" si="70"/>
        <v/>
      </c>
      <c r="AN203" s="255" t="str">
        <f t="shared" si="70"/>
        <v/>
      </c>
      <c r="AO203" s="254" t="str">
        <f t="shared" si="70"/>
        <v/>
      </c>
      <c r="AP203" s="254" t="str">
        <f t="shared" si="70"/>
        <v/>
      </c>
      <c r="AQ203" s="254" t="str">
        <f t="shared" si="70"/>
        <v/>
      </c>
      <c r="AR203" s="254" t="str">
        <f t="shared" si="70"/>
        <v/>
      </c>
      <c r="AS203" s="254" t="str">
        <f t="shared" si="70"/>
        <v/>
      </c>
      <c r="AT203" s="254" t="str">
        <f t="shared" si="70"/>
        <v/>
      </c>
      <c r="AU203" s="254" t="str">
        <f t="shared" si="70"/>
        <v/>
      </c>
      <c r="AV203" s="254" t="str">
        <f t="shared" si="70"/>
        <v/>
      </c>
      <c r="AW203" s="254" t="str">
        <f t="shared" si="68"/>
        <v/>
      </c>
      <c r="AX203" s="254" t="str">
        <f t="shared" si="68"/>
        <v/>
      </c>
      <c r="AY203" s="254" t="str">
        <f t="shared" si="68"/>
        <v/>
      </c>
      <c r="AZ203" s="254" t="str">
        <f t="shared" si="68"/>
        <v/>
      </c>
      <c r="BA203" s="254" t="str">
        <f t="shared" si="68"/>
        <v/>
      </c>
      <c r="BB203" s="254" t="str">
        <f t="shared" si="68"/>
        <v/>
      </c>
      <c r="BC203" s="254" t="str">
        <f t="shared" si="68"/>
        <v/>
      </c>
    </row>
    <row r="204" spans="1:55" s="18" customFormat="1" x14ac:dyDescent="0.25">
      <c r="A204" s="258" t="s">
        <v>60</v>
      </c>
      <c r="B204" s="260" t="s">
        <v>23</v>
      </c>
      <c r="C204" s="259" t="s">
        <v>50</v>
      </c>
      <c r="F204" s="280">
        <v>0</v>
      </c>
      <c r="G204" s="261">
        <v>0</v>
      </c>
      <c r="H204" s="261">
        <v>0</v>
      </c>
      <c r="I204" s="261">
        <v>0</v>
      </c>
      <c r="J204" s="274">
        <f>J24/J159</f>
        <v>0</v>
      </c>
      <c r="K204" s="273">
        <f>K24/K159</f>
        <v>147.27272727272725</v>
      </c>
      <c r="L204" s="263">
        <v>0</v>
      </c>
      <c r="M204" s="261">
        <v>0</v>
      </c>
      <c r="N204" s="275">
        <v>0.3</v>
      </c>
      <c r="O204" s="261">
        <v>0</v>
      </c>
      <c r="P204" s="261">
        <v>0</v>
      </c>
      <c r="Q204" s="261">
        <v>0</v>
      </c>
      <c r="R204" s="261">
        <v>0</v>
      </c>
      <c r="S204" s="261">
        <v>0</v>
      </c>
      <c r="T204" s="261">
        <v>0</v>
      </c>
      <c r="U204" s="261">
        <v>0</v>
      </c>
      <c r="V204" s="261">
        <v>0</v>
      </c>
      <c r="W204" s="261">
        <v>0</v>
      </c>
      <c r="X204" s="264">
        <v>0</v>
      </c>
      <c r="Y204" s="265">
        <f t="shared" si="55"/>
        <v>147.27272727272725</v>
      </c>
      <c r="Z204" s="261">
        <f t="shared" si="56"/>
        <v>0.3</v>
      </c>
      <c r="AA204" s="261">
        <f t="shared" si="57"/>
        <v>147.57272727272726</v>
      </c>
      <c r="AC204" s="258" t="s">
        <v>60</v>
      </c>
      <c r="AD204" s="260" t="s">
        <v>23</v>
      </c>
      <c r="AE204" s="259" t="s">
        <v>50</v>
      </c>
      <c r="AH204" s="266" t="str">
        <f t="shared" si="70"/>
        <v/>
      </c>
      <c r="AI204" s="266" t="str">
        <f t="shared" si="70"/>
        <v/>
      </c>
      <c r="AJ204" s="266" t="str">
        <f t="shared" si="70"/>
        <v/>
      </c>
      <c r="AK204" s="266" t="str">
        <f t="shared" si="70"/>
        <v/>
      </c>
      <c r="AL204" s="266" t="str">
        <f t="shared" si="70"/>
        <v/>
      </c>
      <c r="AM204" s="266">
        <f t="shared" si="70"/>
        <v>31.428571428571438</v>
      </c>
      <c r="AN204" s="263" t="str">
        <f t="shared" si="70"/>
        <v/>
      </c>
      <c r="AO204" s="266" t="str">
        <f t="shared" si="70"/>
        <v/>
      </c>
      <c r="AP204" s="266">
        <f t="shared" si="70"/>
        <v>121846.15384615384</v>
      </c>
      <c r="AQ204" s="266" t="str">
        <f t="shared" si="70"/>
        <v/>
      </c>
      <c r="AR204" s="266" t="str">
        <f t="shared" si="70"/>
        <v/>
      </c>
      <c r="AS204" s="266" t="str">
        <f t="shared" si="70"/>
        <v/>
      </c>
      <c r="AT204" s="266" t="str">
        <f t="shared" si="70"/>
        <v/>
      </c>
      <c r="AU204" s="266" t="str">
        <f t="shared" si="70"/>
        <v/>
      </c>
      <c r="AV204" s="266" t="str">
        <f t="shared" si="70"/>
        <v/>
      </c>
      <c r="AW204" s="266" t="str">
        <f t="shared" si="68"/>
        <v/>
      </c>
      <c r="AX204" s="266" t="str">
        <f t="shared" si="68"/>
        <v/>
      </c>
      <c r="AY204" s="266" t="str">
        <f t="shared" si="68"/>
        <v/>
      </c>
      <c r="AZ204" s="266" t="str">
        <f t="shared" si="68"/>
        <v/>
      </c>
      <c r="BA204" s="266">
        <f t="shared" si="68"/>
        <v>0</v>
      </c>
      <c r="BB204" s="266">
        <f t="shared" si="68"/>
        <v>0</v>
      </c>
      <c r="BC204" s="266">
        <f t="shared" si="68"/>
        <v>0</v>
      </c>
    </row>
    <row r="205" spans="1:55" s="2" customFormat="1" x14ac:dyDescent="0.25">
      <c r="A205" s="30" t="s">
        <v>60</v>
      </c>
      <c r="B205" s="32" t="s">
        <v>23</v>
      </c>
      <c r="C205" s="31" t="s">
        <v>49</v>
      </c>
      <c r="F205" s="51">
        <v>0</v>
      </c>
      <c r="G205" s="51">
        <v>0</v>
      </c>
      <c r="H205" s="51">
        <v>0</v>
      </c>
      <c r="I205" s="51">
        <v>0</v>
      </c>
      <c r="J205" s="80">
        <f>J25/J160</f>
        <v>20</v>
      </c>
      <c r="K205" s="80">
        <f>K25/K160</f>
        <v>0</v>
      </c>
      <c r="L205" s="52">
        <v>0</v>
      </c>
      <c r="M205" s="51">
        <v>0</v>
      </c>
      <c r="N205" s="51">
        <v>0</v>
      </c>
      <c r="O205" s="51">
        <v>0</v>
      </c>
      <c r="P205" s="51">
        <v>0</v>
      </c>
      <c r="Q205" s="51">
        <v>0</v>
      </c>
      <c r="R205" s="51">
        <v>0</v>
      </c>
      <c r="S205" s="77">
        <f t="shared" ref="S205:X205" si="71">S25/S160</f>
        <v>1.1200000000000001</v>
      </c>
      <c r="T205" s="80">
        <f t="shared" si="71"/>
        <v>1.4778325123152709</v>
      </c>
      <c r="U205" s="86">
        <v>0</v>
      </c>
      <c r="V205" s="80">
        <f t="shared" si="71"/>
        <v>0</v>
      </c>
      <c r="W205" s="86">
        <v>0</v>
      </c>
      <c r="X205" s="80">
        <f t="shared" si="71"/>
        <v>1</v>
      </c>
      <c r="Y205" s="59">
        <f t="shared" si="55"/>
        <v>20</v>
      </c>
      <c r="Z205" s="51">
        <f t="shared" si="56"/>
        <v>3.597832512315271</v>
      </c>
      <c r="AA205" s="51">
        <f t="shared" si="57"/>
        <v>23.597832512315271</v>
      </c>
      <c r="AC205" s="30" t="s">
        <v>60</v>
      </c>
      <c r="AD205" s="32" t="s">
        <v>23</v>
      </c>
      <c r="AE205" s="31" t="s">
        <v>49</v>
      </c>
      <c r="AH205" s="1" t="str">
        <f t="shared" si="70"/>
        <v/>
      </c>
      <c r="AI205" s="1" t="str">
        <f t="shared" si="70"/>
        <v/>
      </c>
      <c r="AJ205" s="1" t="str">
        <f t="shared" si="70"/>
        <v/>
      </c>
      <c r="AK205" s="1" t="str">
        <f t="shared" si="70"/>
        <v/>
      </c>
      <c r="AL205" s="1">
        <f t="shared" si="70"/>
        <v>888.88888888888891</v>
      </c>
      <c r="AM205" s="1" t="str">
        <f t="shared" si="70"/>
        <v/>
      </c>
      <c r="AN205" s="52" t="str">
        <f t="shared" si="70"/>
        <v/>
      </c>
      <c r="AO205" s="1" t="str">
        <f t="shared" si="70"/>
        <v/>
      </c>
      <c r="AP205" s="1" t="str">
        <f t="shared" si="70"/>
        <v/>
      </c>
      <c r="AQ205" s="1" t="str">
        <f t="shared" si="70"/>
        <v/>
      </c>
      <c r="AR205" s="1" t="str">
        <f t="shared" si="70"/>
        <v/>
      </c>
      <c r="AS205" s="1" t="str">
        <f t="shared" si="70"/>
        <v/>
      </c>
      <c r="AT205" s="1" t="str">
        <f t="shared" si="70"/>
        <v/>
      </c>
      <c r="AU205" s="1">
        <f t="shared" si="70"/>
        <v>2222.2222222222222</v>
      </c>
      <c r="AV205" s="1">
        <f t="shared" si="70"/>
        <v>11600</v>
      </c>
      <c r="AW205" s="1" t="str">
        <f t="shared" si="68"/>
        <v/>
      </c>
      <c r="AX205" s="1" t="str">
        <f t="shared" si="68"/>
        <v/>
      </c>
      <c r="AY205" s="1" t="str">
        <f t="shared" si="68"/>
        <v/>
      </c>
      <c r="AZ205" s="1">
        <f t="shared" si="68"/>
        <v>2222.2222222222222</v>
      </c>
      <c r="BA205" s="1">
        <f t="shared" si="68"/>
        <v>0</v>
      </c>
      <c r="BB205" s="1">
        <f t="shared" si="68"/>
        <v>0</v>
      </c>
      <c r="BC205" s="1">
        <f t="shared" si="68"/>
        <v>0</v>
      </c>
    </row>
    <row r="206" spans="1:55" s="2" customFormat="1" x14ac:dyDescent="0.25">
      <c r="A206" s="30" t="s">
        <v>60</v>
      </c>
      <c r="B206" s="32" t="s">
        <v>23</v>
      </c>
      <c r="C206" s="31" t="s">
        <v>64</v>
      </c>
      <c r="F206" s="51">
        <v>0</v>
      </c>
      <c r="G206" s="51">
        <v>0</v>
      </c>
      <c r="H206" s="51">
        <v>0</v>
      </c>
      <c r="I206" s="51">
        <v>0</v>
      </c>
      <c r="J206" s="51">
        <v>0</v>
      </c>
      <c r="K206" s="51">
        <v>0</v>
      </c>
      <c r="L206" s="52">
        <v>0</v>
      </c>
      <c r="M206" s="51">
        <v>0</v>
      </c>
      <c r="N206" s="51">
        <v>0</v>
      </c>
      <c r="O206" s="51">
        <v>0</v>
      </c>
      <c r="P206" s="51">
        <v>0</v>
      </c>
      <c r="Q206" s="51">
        <v>0</v>
      </c>
      <c r="R206" s="51">
        <v>0</v>
      </c>
      <c r="S206" s="51">
        <v>0</v>
      </c>
      <c r="T206" s="51">
        <v>0</v>
      </c>
      <c r="U206" s="51">
        <v>0</v>
      </c>
      <c r="V206" s="51">
        <v>0</v>
      </c>
      <c r="W206" s="51">
        <v>0</v>
      </c>
      <c r="X206" s="55">
        <v>0</v>
      </c>
      <c r="Y206" s="59">
        <f t="shared" si="55"/>
        <v>0</v>
      </c>
      <c r="Z206" s="51">
        <f t="shared" si="56"/>
        <v>0</v>
      </c>
      <c r="AA206" s="51">
        <f t="shared" si="57"/>
        <v>0</v>
      </c>
      <c r="AC206" s="30" t="s">
        <v>60</v>
      </c>
      <c r="AD206" s="32" t="s">
        <v>23</v>
      </c>
      <c r="AE206" s="31" t="s">
        <v>64</v>
      </c>
      <c r="AH206" s="1" t="str">
        <f t="shared" si="70"/>
        <v/>
      </c>
      <c r="AI206" s="1" t="str">
        <f t="shared" si="70"/>
        <v/>
      </c>
      <c r="AJ206" s="1" t="str">
        <f t="shared" si="70"/>
        <v/>
      </c>
      <c r="AK206" s="1" t="str">
        <f t="shared" si="70"/>
        <v/>
      </c>
      <c r="AL206" s="1" t="str">
        <f t="shared" si="70"/>
        <v/>
      </c>
      <c r="AM206" s="1" t="str">
        <f t="shared" si="70"/>
        <v/>
      </c>
      <c r="AN206" s="52" t="str">
        <f t="shared" si="70"/>
        <v/>
      </c>
      <c r="AO206" s="1" t="str">
        <f t="shared" si="70"/>
        <v/>
      </c>
      <c r="AP206" s="1" t="str">
        <f t="shared" si="70"/>
        <v/>
      </c>
      <c r="AQ206" s="1" t="str">
        <f t="shared" si="70"/>
        <v/>
      </c>
      <c r="AR206" s="1" t="str">
        <f t="shared" si="70"/>
        <v/>
      </c>
      <c r="AS206" s="1" t="str">
        <f t="shared" si="70"/>
        <v/>
      </c>
      <c r="AT206" s="1" t="str">
        <f t="shared" si="70"/>
        <v/>
      </c>
      <c r="AU206" s="1" t="str">
        <f t="shared" si="70"/>
        <v/>
      </c>
      <c r="AV206" s="1" t="str">
        <f t="shared" si="70"/>
        <v/>
      </c>
      <c r="AW206" s="1" t="str">
        <f t="shared" si="68"/>
        <v/>
      </c>
      <c r="AX206" s="1" t="str">
        <f t="shared" si="68"/>
        <v/>
      </c>
      <c r="AY206" s="1" t="str">
        <f t="shared" si="68"/>
        <v/>
      </c>
      <c r="AZ206" s="1" t="str">
        <f t="shared" si="68"/>
        <v/>
      </c>
      <c r="BA206" s="1" t="str">
        <f t="shared" si="68"/>
        <v/>
      </c>
      <c r="BB206" s="1" t="str">
        <f t="shared" si="68"/>
        <v/>
      </c>
      <c r="BC206" s="1" t="str">
        <f t="shared" si="68"/>
        <v/>
      </c>
    </row>
    <row r="207" spans="1:55" s="2" customFormat="1" x14ac:dyDescent="0.25">
      <c r="A207" s="30" t="s">
        <v>60</v>
      </c>
      <c r="B207" s="32" t="s">
        <v>65</v>
      </c>
      <c r="C207" s="31" t="s">
        <v>66</v>
      </c>
      <c r="F207" s="51">
        <v>0</v>
      </c>
      <c r="G207" s="51">
        <v>0</v>
      </c>
      <c r="H207" s="51">
        <v>0</v>
      </c>
      <c r="I207" s="51">
        <v>0</v>
      </c>
      <c r="J207" s="80">
        <f>J27/J162</f>
        <v>41.666666666666671</v>
      </c>
      <c r="K207" s="51">
        <v>0</v>
      </c>
      <c r="L207" s="52">
        <v>0</v>
      </c>
      <c r="M207" s="81">
        <f>M27/M162</f>
        <v>56</v>
      </c>
      <c r="N207" s="51">
        <v>0</v>
      </c>
      <c r="O207" s="51">
        <v>0</v>
      </c>
      <c r="P207" s="51">
        <v>0</v>
      </c>
      <c r="Q207" s="51">
        <v>0</v>
      </c>
      <c r="R207" s="51">
        <v>0</v>
      </c>
      <c r="S207" s="51">
        <v>0</v>
      </c>
      <c r="T207" s="51">
        <v>0</v>
      </c>
      <c r="U207" s="51">
        <v>0</v>
      </c>
      <c r="V207" s="51">
        <v>0</v>
      </c>
      <c r="W207" s="51">
        <v>0</v>
      </c>
      <c r="X207" s="55">
        <v>0</v>
      </c>
      <c r="Y207" s="59">
        <f t="shared" si="55"/>
        <v>41.666666666666671</v>
      </c>
      <c r="Z207" s="51">
        <f t="shared" si="56"/>
        <v>56</v>
      </c>
      <c r="AA207" s="51">
        <f t="shared" si="57"/>
        <v>97.666666666666671</v>
      </c>
      <c r="AC207" s="30" t="s">
        <v>60</v>
      </c>
      <c r="AD207" s="32" t="s">
        <v>65</v>
      </c>
      <c r="AE207" s="31" t="s">
        <v>66</v>
      </c>
      <c r="AH207" s="1" t="str">
        <f t="shared" si="70"/>
        <v/>
      </c>
      <c r="AI207" s="1" t="str">
        <f t="shared" si="70"/>
        <v/>
      </c>
      <c r="AJ207" s="1" t="str">
        <f t="shared" si="70"/>
        <v/>
      </c>
      <c r="AK207" s="1" t="str">
        <f t="shared" si="70"/>
        <v/>
      </c>
      <c r="AL207" s="1">
        <f t="shared" si="70"/>
        <v>1400</v>
      </c>
      <c r="AM207" s="1" t="str">
        <f t="shared" si="70"/>
        <v/>
      </c>
      <c r="AN207" s="52" t="str">
        <f t="shared" si="70"/>
        <v/>
      </c>
      <c r="AO207" s="1">
        <f t="shared" si="70"/>
        <v>7500</v>
      </c>
      <c r="AP207" s="1" t="str">
        <f t="shared" si="70"/>
        <v/>
      </c>
      <c r="AQ207" s="1" t="str">
        <f t="shared" si="70"/>
        <v/>
      </c>
      <c r="AR207" s="1" t="str">
        <f t="shared" si="70"/>
        <v/>
      </c>
      <c r="AS207" s="1" t="str">
        <f t="shared" si="70"/>
        <v/>
      </c>
      <c r="AT207" s="1" t="str">
        <f t="shared" si="70"/>
        <v/>
      </c>
      <c r="AU207" s="1" t="str">
        <f t="shared" si="70"/>
        <v/>
      </c>
      <c r="AV207" s="1" t="str">
        <f t="shared" si="70"/>
        <v/>
      </c>
      <c r="AW207" s="1" t="str">
        <f t="shared" si="68"/>
        <v/>
      </c>
      <c r="AX207" s="1" t="str">
        <f t="shared" si="68"/>
        <v/>
      </c>
      <c r="AY207" s="1" t="str">
        <f t="shared" si="68"/>
        <v/>
      </c>
      <c r="AZ207" s="1" t="str">
        <f t="shared" si="68"/>
        <v/>
      </c>
      <c r="BA207" s="1">
        <f t="shared" si="68"/>
        <v>0</v>
      </c>
      <c r="BB207" s="1">
        <f t="shared" si="68"/>
        <v>0</v>
      </c>
      <c r="BC207" s="1">
        <f t="shared" si="68"/>
        <v>0</v>
      </c>
    </row>
    <row r="208" spans="1:55" s="2" customFormat="1" x14ac:dyDescent="0.25">
      <c r="A208" s="30" t="s">
        <v>60</v>
      </c>
      <c r="B208" s="32" t="s">
        <v>65</v>
      </c>
      <c r="C208" s="31" t="s">
        <v>67</v>
      </c>
      <c r="F208" s="51">
        <v>0</v>
      </c>
      <c r="G208" s="51">
        <v>0</v>
      </c>
      <c r="H208" s="51">
        <v>0</v>
      </c>
      <c r="I208" s="51">
        <v>0</v>
      </c>
      <c r="J208" s="51">
        <v>0</v>
      </c>
      <c r="K208" s="51">
        <v>0</v>
      </c>
      <c r="L208" s="52">
        <v>0</v>
      </c>
      <c r="M208" s="51">
        <v>0</v>
      </c>
      <c r="N208" s="51">
        <v>0</v>
      </c>
      <c r="O208" s="51">
        <v>0</v>
      </c>
      <c r="P208" s="51">
        <v>0</v>
      </c>
      <c r="Q208" s="80">
        <f>Q28/Q163</f>
        <v>42.553191489361701</v>
      </c>
      <c r="R208" s="80">
        <f>R28/R163</f>
        <v>65.727699530516432</v>
      </c>
      <c r="S208" s="51">
        <v>0</v>
      </c>
      <c r="T208" s="80">
        <f>T28/T163</f>
        <v>53.990610328638496</v>
      </c>
      <c r="U208" s="80">
        <f>U28/U163</f>
        <v>23.474178403755868</v>
      </c>
      <c r="V208" s="80">
        <f>V28/V163</f>
        <v>9.8591549295774641</v>
      </c>
      <c r="W208" s="80">
        <f>W28/W163</f>
        <v>21.12676056338028</v>
      </c>
      <c r="X208" s="80">
        <f>X28/X163</f>
        <v>19.718309859154928</v>
      </c>
      <c r="Y208" s="59">
        <f t="shared" si="55"/>
        <v>0</v>
      </c>
      <c r="Z208" s="51">
        <f t="shared" si="56"/>
        <v>236.44990510438521</v>
      </c>
      <c r="AA208" s="51">
        <f t="shared" si="57"/>
        <v>236.44990510438521</v>
      </c>
      <c r="AC208" s="30" t="s">
        <v>60</v>
      </c>
      <c r="AD208" s="32" t="s">
        <v>65</v>
      </c>
      <c r="AE208" s="31" t="s">
        <v>67</v>
      </c>
      <c r="AH208" s="1" t="str">
        <f t="shared" si="70"/>
        <v/>
      </c>
      <c r="AI208" s="1" t="str">
        <f t="shared" si="70"/>
        <v/>
      </c>
      <c r="AJ208" s="1" t="str">
        <f t="shared" si="70"/>
        <v/>
      </c>
      <c r="AK208" s="1" t="str">
        <f t="shared" si="70"/>
        <v/>
      </c>
      <c r="AL208" s="1" t="str">
        <f t="shared" si="70"/>
        <v/>
      </c>
      <c r="AM208" s="1" t="str">
        <f t="shared" si="70"/>
        <v/>
      </c>
      <c r="AN208" s="52" t="str">
        <f t="shared" si="70"/>
        <v/>
      </c>
      <c r="AO208" s="1" t="str">
        <f t="shared" si="70"/>
        <v/>
      </c>
      <c r="AP208" s="1" t="str">
        <f t="shared" si="70"/>
        <v/>
      </c>
      <c r="AQ208" s="1" t="str">
        <f t="shared" si="70"/>
        <v/>
      </c>
      <c r="AR208" s="1" t="str">
        <f t="shared" si="70"/>
        <v/>
      </c>
      <c r="AS208" s="1">
        <f t="shared" si="70"/>
        <v>26857.142857142859</v>
      </c>
      <c r="AT208" s="1">
        <f t="shared" si="70"/>
        <v>12171.428571428571</v>
      </c>
      <c r="AU208" s="1" t="str">
        <f t="shared" si="70"/>
        <v/>
      </c>
      <c r="AV208" s="1">
        <f t="shared" si="70"/>
        <v>12171.428571428571</v>
      </c>
      <c r="AW208" s="1">
        <f t="shared" si="68"/>
        <v>12171.428571428572</v>
      </c>
      <c r="AX208" s="1">
        <f t="shared" si="68"/>
        <v>12171.428571428572</v>
      </c>
      <c r="AY208" s="1">
        <f t="shared" si="68"/>
        <v>12171.428571428572</v>
      </c>
      <c r="AZ208" s="1">
        <f t="shared" si="68"/>
        <v>12171.428571428572</v>
      </c>
      <c r="BA208" s="1" t="str">
        <f t="shared" si="68"/>
        <v/>
      </c>
      <c r="BB208" s="1">
        <f t="shared" si="68"/>
        <v>0</v>
      </c>
      <c r="BC208" s="1">
        <f t="shared" si="68"/>
        <v>0</v>
      </c>
    </row>
    <row r="209" spans="1:55" s="2" customFormat="1" x14ac:dyDescent="0.25">
      <c r="A209" s="30" t="s">
        <v>60</v>
      </c>
      <c r="B209" s="32" t="s">
        <v>65</v>
      </c>
      <c r="C209" s="31" t="s">
        <v>68</v>
      </c>
      <c r="F209" s="51">
        <v>0</v>
      </c>
      <c r="G209" s="51">
        <v>0</v>
      </c>
      <c r="H209" s="51">
        <v>0</v>
      </c>
      <c r="I209" s="51">
        <v>0</v>
      </c>
      <c r="J209" s="51">
        <v>0</v>
      </c>
      <c r="K209" s="51">
        <v>0</v>
      </c>
      <c r="L209" s="80">
        <f>L29/L164</f>
        <v>397.6</v>
      </c>
      <c r="M209" s="51">
        <v>0</v>
      </c>
      <c r="N209" s="51">
        <v>0</v>
      </c>
      <c r="O209" s="51">
        <v>0</v>
      </c>
      <c r="P209" s="51">
        <v>0</v>
      </c>
      <c r="Q209" s="51">
        <v>0</v>
      </c>
      <c r="R209" s="51">
        <v>0</v>
      </c>
      <c r="S209" s="51">
        <v>0</v>
      </c>
      <c r="T209" s="51">
        <v>0</v>
      </c>
      <c r="U209" s="51">
        <v>0</v>
      </c>
      <c r="V209" s="51">
        <v>0</v>
      </c>
      <c r="W209" s="51">
        <v>0</v>
      </c>
      <c r="X209" s="55">
        <v>0</v>
      </c>
      <c r="Y209" s="59">
        <f t="shared" si="55"/>
        <v>0</v>
      </c>
      <c r="Z209" s="51">
        <f t="shared" si="56"/>
        <v>0</v>
      </c>
      <c r="AA209" s="51">
        <f t="shared" si="57"/>
        <v>397.6</v>
      </c>
      <c r="AC209" s="30" t="s">
        <v>60</v>
      </c>
      <c r="AD209" s="32" t="s">
        <v>65</v>
      </c>
      <c r="AE209" s="31" t="s">
        <v>68</v>
      </c>
      <c r="AH209" s="1" t="str">
        <f t="shared" si="70"/>
        <v/>
      </c>
      <c r="AI209" s="1" t="str">
        <f t="shared" si="70"/>
        <v/>
      </c>
      <c r="AJ209" s="1" t="str">
        <f t="shared" si="70"/>
        <v/>
      </c>
      <c r="AK209" s="1" t="str">
        <f t="shared" si="70"/>
        <v/>
      </c>
      <c r="AL209" s="1" t="str">
        <f t="shared" si="70"/>
        <v/>
      </c>
      <c r="AM209" s="1" t="str">
        <f t="shared" si="70"/>
        <v/>
      </c>
      <c r="AN209" s="52">
        <f t="shared" si="70"/>
        <v>18750</v>
      </c>
      <c r="AO209" s="1" t="str">
        <f t="shared" si="70"/>
        <v/>
      </c>
      <c r="AP209" s="1" t="str">
        <f t="shared" si="70"/>
        <v/>
      </c>
      <c r="AQ209" s="1" t="str">
        <f t="shared" si="70"/>
        <v/>
      </c>
      <c r="AR209" s="1" t="str">
        <f t="shared" si="70"/>
        <v/>
      </c>
      <c r="AS209" s="1" t="str">
        <f t="shared" si="70"/>
        <v/>
      </c>
      <c r="AT209" s="1" t="str">
        <f t="shared" si="70"/>
        <v/>
      </c>
      <c r="AU209" s="1" t="str">
        <f t="shared" si="70"/>
        <v/>
      </c>
      <c r="AV209" s="1" t="str">
        <f t="shared" si="70"/>
        <v/>
      </c>
      <c r="AW209" s="1" t="str">
        <f t="shared" si="68"/>
        <v/>
      </c>
      <c r="AX209" s="1" t="str">
        <f t="shared" si="68"/>
        <v/>
      </c>
      <c r="AY209" s="1" t="str">
        <f t="shared" si="68"/>
        <v/>
      </c>
      <c r="AZ209" s="1" t="str">
        <f t="shared" si="68"/>
        <v/>
      </c>
      <c r="BA209" s="1" t="str">
        <f t="shared" si="68"/>
        <v/>
      </c>
      <c r="BB209" s="1" t="str">
        <f t="shared" si="68"/>
        <v/>
      </c>
      <c r="BC209" s="1">
        <f t="shared" si="68"/>
        <v>0</v>
      </c>
    </row>
    <row r="210" spans="1:55" s="13" customFormat="1" ht="15.75" thickBot="1" x14ac:dyDescent="0.3">
      <c r="A210" s="33" t="s">
        <v>60</v>
      </c>
      <c r="B210" s="35" t="s">
        <v>9</v>
      </c>
      <c r="C210" s="34" t="s">
        <v>69</v>
      </c>
      <c r="F210" s="267">
        <v>0</v>
      </c>
      <c r="G210" s="267">
        <v>0</v>
      </c>
      <c r="H210" s="267">
        <v>0</v>
      </c>
      <c r="I210" s="267">
        <v>0</v>
      </c>
      <c r="J210" s="267">
        <v>0</v>
      </c>
      <c r="K210" s="267">
        <v>0</v>
      </c>
      <c r="L210" s="268">
        <v>0</v>
      </c>
      <c r="M210" s="267">
        <v>0</v>
      </c>
      <c r="N210" s="267">
        <v>0</v>
      </c>
      <c r="O210" s="267">
        <v>0</v>
      </c>
      <c r="P210" s="267">
        <v>0</v>
      </c>
      <c r="Q210" s="267">
        <v>0</v>
      </c>
      <c r="R210" s="267">
        <v>0</v>
      </c>
      <c r="S210" s="267">
        <v>0</v>
      </c>
      <c r="T210" s="267">
        <v>0</v>
      </c>
      <c r="U210" s="267">
        <v>0</v>
      </c>
      <c r="V210" s="267">
        <v>0</v>
      </c>
      <c r="W210" s="267">
        <v>0</v>
      </c>
      <c r="X210" s="276">
        <f>X30/X165</f>
        <v>6.7069081153588197</v>
      </c>
      <c r="Y210" s="276">
        <f t="shared" si="55"/>
        <v>0</v>
      </c>
      <c r="Z210" s="276">
        <f t="shared" si="56"/>
        <v>6.7069081153588197</v>
      </c>
      <c r="AA210" s="267">
        <f t="shared" si="57"/>
        <v>6.7069081153588197</v>
      </c>
      <c r="AC210" s="33" t="s">
        <v>60</v>
      </c>
      <c r="AD210" s="35" t="s">
        <v>9</v>
      </c>
      <c r="AE210" s="34" t="s">
        <v>69</v>
      </c>
      <c r="AH210" s="271" t="str">
        <f t="shared" si="70"/>
        <v/>
      </c>
      <c r="AI210" s="271" t="str">
        <f t="shared" si="70"/>
        <v/>
      </c>
      <c r="AJ210" s="271" t="str">
        <f t="shared" si="70"/>
        <v/>
      </c>
      <c r="AK210" s="271" t="str">
        <f t="shared" si="70"/>
        <v/>
      </c>
      <c r="AL210" s="271" t="str">
        <f t="shared" si="70"/>
        <v/>
      </c>
      <c r="AM210" s="271" t="str">
        <f t="shared" si="70"/>
        <v/>
      </c>
      <c r="AN210" s="268" t="str">
        <f t="shared" si="70"/>
        <v/>
      </c>
      <c r="AO210" s="271" t="str">
        <f t="shared" si="70"/>
        <v/>
      </c>
      <c r="AP210" s="271" t="str">
        <f t="shared" si="70"/>
        <v/>
      </c>
      <c r="AQ210" s="271" t="str">
        <f t="shared" si="70"/>
        <v/>
      </c>
      <c r="AR210" s="271" t="str">
        <f t="shared" si="70"/>
        <v/>
      </c>
      <c r="AS210" s="271" t="str">
        <f t="shared" si="70"/>
        <v/>
      </c>
      <c r="AT210" s="271" t="str">
        <f t="shared" si="70"/>
        <v/>
      </c>
      <c r="AU210" s="271" t="str">
        <f t="shared" si="70"/>
        <v/>
      </c>
      <c r="AV210" s="271" t="str">
        <f t="shared" si="70"/>
        <v/>
      </c>
      <c r="AW210" s="271" t="str">
        <f t="shared" si="68"/>
        <v/>
      </c>
      <c r="AX210" s="271" t="str">
        <f t="shared" si="68"/>
        <v/>
      </c>
      <c r="AY210" s="271" t="str">
        <f t="shared" si="68"/>
        <v/>
      </c>
      <c r="AZ210" s="271">
        <f t="shared" si="68"/>
        <v>7100</v>
      </c>
      <c r="BA210" s="271" t="str">
        <f t="shared" si="68"/>
        <v/>
      </c>
      <c r="BB210" s="271">
        <f t="shared" si="68"/>
        <v>0</v>
      </c>
      <c r="BC210" s="271">
        <f t="shared" si="68"/>
        <v>0</v>
      </c>
    </row>
    <row r="211" spans="1:55" x14ac:dyDescent="0.25">
      <c r="A211" s="15" t="s">
        <v>51</v>
      </c>
      <c r="B211" s="16" t="s">
        <v>56</v>
      </c>
      <c r="C211" s="27" t="s">
        <v>57</v>
      </c>
      <c r="D211" s="16" t="s">
        <v>70</v>
      </c>
      <c r="E211" s="16"/>
      <c r="F211" s="47">
        <v>0</v>
      </c>
      <c r="G211" s="47">
        <v>0</v>
      </c>
      <c r="H211" s="47">
        <v>0</v>
      </c>
      <c r="I211" s="47">
        <v>0</v>
      </c>
      <c r="J211" s="47">
        <v>0</v>
      </c>
      <c r="K211" s="47">
        <v>0</v>
      </c>
      <c r="L211" s="63">
        <v>0</v>
      </c>
      <c r="M211" s="47">
        <v>0</v>
      </c>
      <c r="N211" s="47">
        <v>0</v>
      </c>
      <c r="O211" s="47">
        <v>0</v>
      </c>
      <c r="P211" s="47">
        <v>0</v>
      </c>
      <c r="Q211" s="47">
        <v>0</v>
      </c>
      <c r="R211" s="47">
        <v>0</v>
      </c>
      <c r="S211" s="47">
        <v>0</v>
      </c>
      <c r="T211" s="47">
        <v>0</v>
      </c>
      <c r="U211" s="47">
        <v>0</v>
      </c>
      <c r="V211" s="47">
        <v>0</v>
      </c>
      <c r="W211" s="47">
        <v>0</v>
      </c>
      <c r="X211" s="57">
        <v>0</v>
      </c>
      <c r="Y211" s="61">
        <f t="shared" si="55"/>
        <v>0</v>
      </c>
      <c r="Z211" s="47">
        <f t="shared" si="56"/>
        <v>0</v>
      </c>
      <c r="AA211" s="47">
        <f t="shared" si="57"/>
        <v>0</v>
      </c>
      <c r="AC211" s="15" t="s">
        <v>51</v>
      </c>
      <c r="AD211" s="16" t="s">
        <v>56</v>
      </c>
      <c r="AE211" s="27" t="s">
        <v>57</v>
      </c>
      <c r="AF211" s="16" t="s">
        <v>70</v>
      </c>
      <c r="AG211" s="16"/>
      <c r="AH211" s="272" t="str">
        <f t="shared" si="70"/>
        <v/>
      </c>
      <c r="AI211" s="272" t="str">
        <f t="shared" si="70"/>
        <v/>
      </c>
      <c r="AJ211" s="272" t="str">
        <f t="shared" si="70"/>
        <v/>
      </c>
      <c r="AK211" s="272" t="str">
        <f t="shared" si="70"/>
        <v/>
      </c>
      <c r="AL211" s="272" t="str">
        <f t="shared" si="70"/>
        <v/>
      </c>
      <c r="AM211" s="272" t="str">
        <f t="shared" si="70"/>
        <v/>
      </c>
      <c r="AN211" s="272" t="str">
        <f t="shared" si="70"/>
        <v/>
      </c>
      <c r="AO211" s="272" t="str">
        <f t="shared" si="70"/>
        <v/>
      </c>
      <c r="AP211" s="272" t="str">
        <f t="shared" si="70"/>
        <v/>
      </c>
      <c r="AQ211" s="272" t="str">
        <f t="shared" si="70"/>
        <v/>
      </c>
      <c r="AR211" s="272" t="str">
        <f t="shared" si="70"/>
        <v/>
      </c>
      <c r="AS211" s="272" t="str">
        <f t="shared" si="70"/>
        <v/>
      </c>
      <c r="AT211" s="272" t="str">
        <f t="shared" si="70"/>
        <v/>
      </c>
      <c r="AU211" s="272" t="str">
        <f t="shared" si="70"/>
        <v/>
      </c>
      <c r="AV211" s="272" t="str">
        <f t="shared" si="70"/>
        <v/>
      </c>
      <c r="AW211" s="272" t="str">
        <f t="shared" si="68"/>
        <v/>
      </c>
      <c r="AX211" s="272" t="str">
        <f t="shared" si="68"/>
        <v/>
      </c>
      <c r="AY211" s="272" t="str">
        <f t="shared" si="68"/>
        <v/>
      </c>
      <c r="AZ211" s="272" t="str">
        <f t="shared" si="68"/>
        <v/>
      </c>
      <c r="BA211" s="272" t="str">
        <f t="shared" si="68"/>
        <v/>
      </c>
      <c r="BB211" s="272" t="str">
        <f t="shared" si="68"/>
        <v/>
      </c>
      <c r="BC211" s="272" t="str">
        <f t="shared" si="68"/>
        <v/>
      </c>
    </row>
    <row r="212" spans="1:55" x14ac:dyDescent="0.25">
      <c r="A212" s="15" t="s">
        <v>51</v>
      </c>
      <c r="B212" s="16" t="s">
        <v>56</v>
      </c>
      <c r="C212" s="27" t="s">
        <v>57</v>
      </c>
      <c r="D212" s="16" t="s">
        <v>71</v>
      </c>
      <c r="E212" s="16"/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52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54">
        <v>0</v>
      </c>
      <c r="Y212" s="58">
        <f t="shared" si="55"/>
        <v>0</v>
      </c>
      <c r="Z212" s="1">
        <f t="shared" si="56"/>
        <v>0</v>
      </c>
      <c r="AA212" s="1">
        <f t="shared" si="57"/>
        <v>0</v>
      </c>
      <c r="AC212" s="15" t="s">
        <v>51</v>
      </c>
      <c r="AD212" s="16" t="s">
        <v>56</v>
      </c>
      <c r="AE212" s="27" t="s">
        <v>57</v>
      </c>
      <c r="AF212" s="16" t="s">
        <v>71</v>
      </c>
      <c r="AG212" s="16"/>
      <c r="AH212" s="90" t="str">
        <f t="shared" si="70"/>
        <v/>
      </c>
      <c r="AI212" s="90" t="str">
        <f t="shared" si="70"/>
        <v/>
      </c>
      <c r="AJ212" s="90" t="str">
        <f t="shared" si="70"/>
        <v/>
      </c>
      <c r="AK212" s="90" t="str">
        <f t="shared" si="70"/>
        <v/>
      </c>
      <c r="AL212" s="90" t="str">
        <f t="shared" si="70"/>
        <v/>
      </c>
      <c r="AM212" s="90" t="str">
        <f t="shared" si="70"/>
        <v/>
      </c>
      <c r="AN212" s="90" t="str">
        <f t="shared" si="70"/>
        <v/>
      </c>
      <c r="AO212" s="90" t="str">
        <f t="shared" si="70"/>
        <v/>
      </c>
      <c r="AP212" s="90" t="str">
        <f t="shared" si="70"/>
        <v/>
      </c>
      <c r="AQ212" s="90" t="str">
        <f t="shared" si="70"/>
        <v/>
      </c>
      <c r="AR212" s="90" t="str">
        <f t="shared" si="70"/>
        <v/>
      </c>
      <c r="AS212" s="90" t="str">
        <f t="shared" si="70"/>
        <v/>
      </c>
      <c r="AT212" s="90" t="str">
        <f t="shared" si="70"/>
        <v/>
      </c>
      <c r="AU212" s="90" t="str">
        <f t="shared" si="70"/>
        <v/>
      </c>
      <c r="AV212" s="90" t="str">
        <f t="shared" si="70"/>
        <v/>
      </c>
      <c r="AW212" s="90" t="str">
        <f t="shared" si="68"/>
        <v/>
      </c>
      <c r="AX212" s="90" t="str">
        <f t="shared" si="68"/>
        <v/>
      </c>
      <c r="AY212" s="90" t="str">
        <f t="shared" si="68"/>
        <v/>
      </c>
      <c r="AZ212" s="90" t="str">
        <f t="shared" si="68"/>
        <v/>
      </c>
      <c r="BA212" s="90" t="str">
        <f t="shared" si="68"/>
        <v/>
      </c>
      <c r="BB212" s="90" t="str">
        <f t="shared" si="68"/>
        <v/>
      </c>
      <c r="BC212" s="90" t="str">
        <f t="shared" si="68"/>
        <v/>
      </c>
    </row>
    <row r="213" spans="1:55" x14ac:dyDescent="0.25">
      <c r="A213" s="15" t="s">
        <v>51</v>
      </c>
      <c r="B213" s="16" t="s">
        <v>56</v>
      </c>
      <c r="C213" s="27" t="s">
        <v>27</v>
      </c>
      <c r="D213" s="16" t="s">
        <v>72</v>
      </c>
      <c r="E213" s="16"/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52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54">
        <v>0</v>
      </c>
      <c r="Y213" s="58">
        <f t="shared" si="55"/>
        <v>0</v>
      </c>
      <c r="Z213" s="1">
        <f t="shared" si="56"/>
        <v>0</v>
      </c>
      <c r="AA213" s="1">
        <f t="shared" si="57"/>
        <v>0</v>
      </c>
      <c r="AC213" s="15" t="s">
        <v>51</v>
      </c>
      <c r="AD213" s="16" t="s">
        <v>56</v>
      </c>
      <c r="AE213" s="27" t="s">
        <v>27</v>
      </c>
      <c r="AF213" s="16" t="s">
        <v>72</v>
      </c>
      <c r="AG213" s="16"/>
      <c r="AH213" s="90" t="str">
        <f t="shared" si="70"/>
        <v/>
      </c>
      <c r="AI213" s="90" t="str">
        <f t="shared" si="70"/>
        <v/>
      </c>
      <c r="AJ213" s="90" t="str">
        <f t="shared" si="70"/>
        <v/>
      </c>
      <c r="AK213" s="90" t="str">
        <f t="shared" si="70"/>
        <v/>
      </c>
      <c r="AL213" s="90" t="str">
        <f t="shared" si="70"/>
        <v/>
      </c>
      <c r="AM213" s="90" t="str">
        <f t="shared" si="70"/>
        <v/>
      </c>
      <c r="AN213" s="90" t="str">
        <f t="shared" si="70"/>
        <v/>
      </c>
      <c r="AO213" s="90" t="str">
        <f t="shared" si="70"/>
        <v/>
      </c>
      <c r="AP213" s="90" t="str">
        <f t="shared" si="70"/>
        <v/>
      </c>
      <c r="AQ213" s="90" t="str">
        <f t="shared" si="70"/>
        <v/>
      </c>
      <c r="AR213" s="90" t="str">
        <f t="shared" si="70"/>
        <v/>
      </c>
      <c r="AS213" s="90" t="str">
        <f t="shared" si="70"/>
        <v/>
      </c>
      <c r="AT213" s="90" t="str">
        <f t="shared" si="70"/>
        <v/>
      </c>
      <c r="AU213" s="90" t="str">
        <f t="shared" si="70"/>
        <v/>
      </c>
      <c r="AV213" s="90" t="str">
        <f t="shared" si="70"/>
        <v/>
      </c>
      <c r="AW213" s="90" t="str">
        <f t="shared" si="68"/>
        <v/>
      </c>
      <c r="AX213" s="90" t="str">
        <f t="shared" si="68"/>
        <v/>
      </c>
      <c r="AY213" s="90" t="str">
        <f t="shared" si="68"/>
        <v/>
      </c>
      <c r="AZ213" s="90" t="str">
        <f t="shared" si="68"/>
        <v/>
      </c>
      <c r="BA213" s="90" t="str">
        <f t="shared" si="68"/>
        <v/>
      </c>
      <c r="BB213" s="90" t="str">
        <f t="shared" si="68"/>
        <v/>
      </c>
      <c r="BC213" s="90" t="str">
        <f t="shared" si="68"/>
        <v/>
      </c>
    </row>
    <row r="214" spans="1:55" x14ac:dyDescent="0.25">
      <c r="A214" s="15" t="s">
        <v>51</v>
      </c>
      <c r="B214" s="16" t="s">
        <v>56</v>
      </c>
      <c r="C214" s="27" t="s">
        <v>57</v>
      </c>
      <c r="D214" s="16" t="s">
        <v>73</v>
      </c>
      <c r="E214" s="16"/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52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54">
        <v>0</v>
      </c>
      <c r="Y214" s="58">
        <f t="shared" si="55"/>
        <v>0</v>
      </c>
      <c r="Z214" s="1">
        <f t="shared" si="56"/>
        <v>0</v>
      </c>
      <c r="AA214" s="1">
        <f t="shared" si="57"/>
        <v>0</v>
      </c>
      <c r="AC214" s="15" t="s">
        <v>51</v>
      </c>
      <c r="AD214" s="16" t="s">
        <v>56</v>
      </c>
      <c r="AE214" s="27" t="s">
        <v>57</v>
      </c>
      <c r="AF214" s="16" t="s">
        <v>73</v>
      </c>
      <c r="AG214" s="16"/>
      <c r="AH214" s="90" t="str">
        <f t="shared" si="70"/>
        <v/>
      </c>
      <c r="AI214" s="90" t="str">
        <f t="shared" si="70"/>
        <v/>
      </c>
      <c r="AJ214" s="90" t="str">
        <f t="shared" si="70"/>
        <v/>
      </c>
      <c r="AK214" s="90" t="str">
        <f t="shared" si="70"/>
        <v/>
      </c>
      <c r="AL214" s="90" t="str">
        <f t="shared" si="70"/>
        <v/>
      </c>
      <c r="AM214" s="90" t="str">
        <f t="shared" si="70"/>
        <v/>
      </c>
      <c r="AN214" s="90" t="str">
        <f t="shared" si="70"/>
        <v/>
      </c>
      <c r="AO214" s="90" t="str">
        <f t="shared" si="70"/>
        <v/>
      </c>
      <c r="AP214" s="90" t="str">
        <f t="shared" si="70"/>
        <v/>
      </c>
      <c r="AQ214" s="90" t="str">
        <f t="shared" si="70"/>
        <v/>
      </c>
      <c r="AR214" s="90" t="str">
        <f t="shared" si="70"/>
        <v/>
      </c>
      <c r="AS214" s="90" t="str">
        <f t="shared" si="70"/>
        <v/>
      </c>
      <c r="AT214" s="90" t="str">
        <f t="shared" si="70"/>
        <v/>
      </c>
      <c r="AU214" s="90" t="str">
        <f t="shared" si="70"/>
        <v/>
      </c>
      <c r="AV214" s="90" t="str">
        <f t="shared" si="70"/>
        <v/>
      </c>
      <c r="AW214" s="90" t="str">
        <f t="shared" si="68"/>
        <v/>
      </c>
      <c r="AX214" s="90" t="str">
        <f t="shared" si="68"/>
        <v/>
      </c>
      <c r="AY214" s="90" t="str">
        <f t="shared" si="68"/>
        <v/>
      </c>
      <c r="AZ214" s="90" t="str">
        <f t="shared" si="68"/>
        <v/>
      </c>
      <c r="BA214" s="90" t="str">
        <f t="shared" si="68"/>
        <v/>
      </c>
      <c r="BB214" s="90" t="str">
        <f t="shared" si="68"/>
        <v/>
      </c>
      <c r="BC214" s="90" t="str">
        <f t="shared" si="68"/>
        <v/>
      </c>
    </row>
    <row r="215" spans="1:55" ht="15.75" thickBot="1" x14ac:dyDescent="0.3">
      <c r="A215" s="15" t="s">
        <v>51</v>
      </c>
      <c r="B215" s="16" t="s">
        <v>56</v>
      </c>
      <c r="C215" s="27" t="s">
        <v>57</v>
      </c>
      <c r="D215" s="16" t="s">
        <v>74</v>
      </c>
      <c r="E215" s="16"/>
      <c r="F215" s="254">
        <v>0</v>
      </c>
      <c r="G215" s="254">
        <v>0</v>
      </c>
      <c r="H215" s="254">
        <v>0</v>
      </c>
      <c r="I215" s="254">
        <v>0</v>
      </c>
      <c r="J215" s="254">
        <v>0</v>
      </c>
      <c r="K215" s="254">
        <v>0</v>
      </c>
      <c r="L215" s="255">
        <v>0</v>
      </c>
      <c r="M215" s="254">
        <v>0</v>
      </c>
      <c r="N215" s="254">
        <v>0</v>
      </c>
      <c r="O215" s="254">
        <v>0</v>
      </c>
      <c r="P215" s="254">
        <v>0</v>
      </c>
      <c r="Q215" s="254">
        <v>0</v>
      </c>
      <c r="R215" s="254">
        <v>0</v>
      </c>
      <c r="S215" s="254">
        <v>0</v>
      </c>
      <c r="T215" s="254">
        <v>0</v>
      </c>
      <c r="U215" s="254">
        <v>0</v>
      </c>
      <c r="V215" s="254">
        <v>0</v>
      </c>
      <c r="W215" s="254">
        <v>0</v>
      </c>
      <c r="X215" s="4">
        <v>0</v>
      </c>
      <c r="Y215" s="256">
        <f t="shared" si="55"/>
        <v>0</v>
      </c>
      <c r="Z215" s="254">
        <f t="shared" si="56"/>
        <v>0</v>
      </c>
      <c r="AA215" s="254">
        <f t="shared" si="57"/>
        <v>0</v>
      </c>
      <c r="AC215" s="15" t="s">
        <v>51</v>
      </c>
      <c r="AD215" s="16" t="s">
        <v>56</v>
      </c>
      <c r="AE215" s="27" t="s">
        <v>57</v>
      </c>
      <c r="AF215" s="16" t="s">
        <v>74</v>
      </c>
      <c r="AG215" s="16"/>
      <c r="AH215" s="257" t="str">
        <f t="shared" si="70"/>
        <v/>
      </c>
      <c r="AI215" s="257" t="str">
        <f t="shared" si="70"/>
        <v/>
      </c>
      <c r="AJ215" s="257" t="str">
        <f t="shared" si="70"/>
        <v/>
      </c>
      <c r="AK215" s="257" t="str">
        <f t="shared" si="70"/>
        <v/>
      </c>
      <c r="AL215" s="257" t="str">
        <f t="shared" si="70"/>
        <v/>
      </c>
      <c r="AM215" s="257" t="str">
        <f t="shared" si="70"/>
        <v/>
      </c>
      <c r="AN215" s="257" t="str">
        <f t="shared" si="70"/>
        <v/>
      </c>
      <c r="AO215" s="257" t="str">
        <f t="shared" si="70"/>
        <v/>
      </c>
      <c r="AP215" s="257" t="str">
        <f t="shared" si="70"/>
        <v/>
      </c>
      <c r="AQ215" s="257" t="str">
        <f t="shared" si="70"/>
        <v/>
      </c>
      <c r="AR215" s="257" t="str">
        <f t="shared" si="70"/>
        <v/>
      </c>
      <c r="AS215" s="257" t="str">
        <f t="shared" si="70"/>
        <v/>
      </c>
      <c r="AT215" s="257" t="str">
        <f t="shared" si="70"/>
        <v/>
      </c>
      <c r="AU215" s="257" t="str">
        <f t="shared" si="70"/>
        <v/>
      </c>
      <c r="AV215" s="257" t="str">
        <f t="shared" si="70"/>
        <v/>
      </c>
      <c r="AW215" s="257" t="str">
        <f t="shared" si="68"/>
        <v/>
      </c>
      <c r="AX215" s="257" t="str">
        <f t="shared" si="68"/>
        <v/>
      </c>
      <c r="AY215" s="257" t="str">
        <f t="shared" si="68"/>
        <v/>
      </c>
      <c r="AZ215" s="257" t="str">
        <f t="shared" si="68"/>
        <v/>
      </c>
      <c r="BA215" s="257" t="str">
        <f t="shared" si="68"/>
        <v/>
      </c>
      <c r="BB215" s="257" t="str">
        <f t="shared" si="68"/>
        <v/>
      </c>
      <c r="BC215" s="257" t="str">
        <f t="shared" si="68"/>
        <v/>
      </c>
    </row>
    <row r="216" spans="1:55" s="18" customFormat="1" x14ac:dyDescent="0.25">
      <c r="A216" s="258" t="s">
        <v>60</v>
      </c>
      <c r="B216" s="259" t="s">
        <v>13</v>
      </c>
      <c r="C216" s="260" t="s">
        <v>61</v>
      </c>
      <c r="D216" s="259" t="s">
        <v>75</v>
      </c>
      <c r="E216" s="259"/>
      <c r="F216" s="261">
        <f>F201*0.9</f>
        <v>81</v>
      </c>
      <c r="G216" s="262"/>
      <c r="H216" s="261">
        <f>H201</f>
        <v>300</v>
      </c>
      <c r="I216" s="261">
        <f>I201*0.9</f>
        <v>127.73793103448277</v>
      </c>
      <c r="J216" s="261">
        <v>0</v>
      </c>
      <c r="K216" s="261">
        <f>K201*0.8</f>
        <v>82.758620689655174</v>
      </c>
      <c r="L216" s="263">
        <v>0</v>
      </c>
      <c r="M216" s="262">
        <f>M201*0.1</f>
        <v>2.5</v>
      </c>
      <c r="N216" s="262">
        <v>0</v>
      </c>
      <c r="O216" s="262">
        <v>0</v>
      </c>
      <c r="P216" s="262">
        <v>0</v>
      </c>
      <c r="Q216" s="262"/>
      <c r="R216" s="262"/>
      <c r="S216" s="261"/>
      <c r="T216" s="261"/>
      <c r="U216" s="261"/>
      <c r="V216" s="261"/>
      <c r="W216" s="261">
        <f>W201</f>
        <v>0.32276995305164319</v>
      </c>
      <c r="X216" s="264">
        <f>X246*0.1</f>
        <v>3.3333333333333339</v>
      </c>
      <c r="Y216" s="265">
        <f t="shared" si="55"/>
        <v>591.49655172413793</v>
      </c>
      <c r="Z216" s="261">
        <f t="shared" si="56"/>
        <v>6.1561032863849769</v>
      </c>
      <c r="AA216" s="261">
        <f t="shared" si="57"/>
        <v>597.65265501052295</v>
      </c>
      <c r="AC216" s="258" t="s">
        <v>60</v>
      </c>
      <c r="AD216" s="259" t="s">
        <v>13</v>
      </c>
      <c r="AE216" s="260" t="s">
        <v>61</v>
      </c>
      <c r="AF216" s="259" t="s">
        <v>75</v>
      </c>
      <c r="AG216" s="259"/>
      <c r="AH216" s="266">
        <f t="shared" si="70"/>
        <v>288.88888888888891</v>
      </c>
      <c r="AI216" s="266" t="str">
        <f t="shared" si="70"/>
        <v/>
      </c>
      <c r="AJ216" s="266">
        <f t="shared" si="70"/>
        <v>24.391111111111108</v>
      </c>
      <c r="AK216" s="266">
        <f t="shared" si="70"/>
        <v>161.11111111111111</v>
      </c>
      <c r="AL216" s="266" t="str">
        <f t="shared" si="70"/>
        <v/>
      </c>
      <c r="AM216" s="266">
        <f t="shared" si="70"/>
        <v>170.58823529411765</v>
      </c>
      <c r="AN216" s="263" t="str">
        <f t="shared" si="70"/>
        <v/>
      </c>
      <c r="AO216" s="266">
        <f t="shared" si="70"/>
        <v>2222.2222222222222</v>
      </c>
      <c r="AP216" s="266" t="str">
        <f t="shared" si="70"/>
        <v/>
      </c>
      <c r="AQ216" s="266" t="str">
        <f t="shared" si="70"/>
        <v/>
      </c>
      <c r="AR216" s="266" t="str">
        <f t="shared" si="70"/>
        <v/>
      </c>
      <c r="AS216" s="266" t="str">
        <f t="shared" si="70"/>
        <v/>
      </c>
      <c r="AT216" s="266" t="str">
        <f t="shared" si="70"/>
        <v/>
      </c>
      <c r="AU216" s="266" t="str">
        <f t="shared" si="70"/>
        <v/>
      </c>
      <c r="AV216" s="266" t="str">
        <f t="shared" si="70"/>
        <v/>
      </c>
      <c r="AW216" s="266" t="str">
        <f t="shared" si="68"/>
        <v/>
      </c>
      <c r="AX216" s="266" t="str">
        <f t="shared" si="68"/>
        <v/>
      </c>
      <c r="AY216" s="266">
        <f t="shared" si="68"/>
        <v>2366.6666666666665</v>
      </c>
      <c r="AZ216" s="266">
        <f t="shared" si="68"/>
        <v>5399.9999999999991</v>
      </c>
      <c r="BA216" s="266">
        <f t="shared" si="68"/>
        <v>0</v>
      </c>
      <c r="BB216" s="266">
        <f t="shared" si="68"/>
        <v>0</v>
      </c>
      <c r="BC216" s="266">
        <f t="shared" si="68"/>
        <v>0</v>
      </c>
    </row>
    <row r="217" spans="1:55" s="2" customFormat="1" x14ac:dyDescent="0.25">
      <c r="A217" s="30" t="s">
        <v>60</v>
      </c>
      <c r="B217" s="31" t="s">
        <v>13</v>
      </c>
      <c r="C217" s="32" t="s">
        <v>61</v>
      </c>
      <c r="D217" s="31" t="s">
        <v>76</v>
      </c>
      <c r="E217" s="31"/>
      <c r="F217" s="51">
        <f>F201*0.1</f>
        <v>9</v>
      </c>
      <c r="G217" s="51">
        <v>0</v>
      </c>
      <c r="H217" s="51">
        <v>0</v>
      </c>
      <c r="I217" s="51">
        <f>I201*0.05</f>
        <v>7.0965517241379317</v>
      </c>
      <c r="J217" s="51">
        <f>J201</f>
        <v>80</v>
      </c>
      <c r="K217" s="51">
        <f>K201*0.05</f>
        <v>5.1724137931034484</v>
      </c>
      <c r="L217" s="52">
        <v>0</v>
      </c>
      <c r="M217" s="73">
        <f>M201*0.5</f>
        <v>12.5</v>
      </c>
      <c r="N217" s="73">
        <f>N201</f>
        <v>3.1</v>
      </c>
      <c r="O217" s="73">
        <f>O201*0.5</f>
        <v>0.5</v>
      </c>
      <c r="P217" s="73">
        <f>P201*0.59</f>
        <v>0.42479999999999996</v>
      </c>
      <c r="Q217" s="73"/>
      <c r="R217" s="73">
        <f>R201</f>
        <v>12.519561815336465</v>
      </c>
      <c r="S217" s="51"/>
      <c r="T217" s="51"/>
      <c r="U217" s="51"/>
      <c r="V217" s="51"/>
      <c r="W217" s="51"/>
      <c r="X217" s="55">
        <f>X246*0.1</f>
        <v>3.3333333333333339</v>
      </c>
      <c r="Y217" s="59">
        <f t="shared" si="55"/>
        <v>101.26896551724137</v>
      </c>
      <c r="Z217" s="51">
        <f t="shared" si="56"/>
        <v>32.377695148669801</v>
      </c>
      <c r="AA217" s="51">
        <f t="shared" si="57"/>
        <v>133.64666066591116</v>
      </c>
      <c r="AC217" s="30" t="s">
        <v>60</v>
      </c>
      <c r="AD217" s="31" t="s">
        <v>13</v>
      </c>
      <c r="AE217" s="32" t="s">
        <v>61</v>
      </c>
      <c r="AF217" s="31" t="s">
        <v>76</v>
      </c>
      <c r="AG217" s="31"/>
      <c r="AH217" s="1">
        <f t="shared" si="70"/>
        <v>288.88888888888891</v>
      </c>
      <c r="AI217" s="1" t="str">
        <f t="shared" si="70"/>
        <v/>
      </c>
      <c r="AJ217" s="1" t="str">
        <f t="shared" si="70"/>
        <v/>
      </c>
      <c r="AK217" s="1">
        <f t="shared" si="70"/>
        <v>161.11111111111109</v>
      </c>
      <c r="AL217" s="1">
        <f t="shared" si="70"/>
        <v>286.76470588235293</v>
      </c>
      <c r="AM217" s="1">
        <f t="shared" si="70"/>
        <v>170.58823529411765</v>
      </c>
      <c r="AN217" s="52" t="str">
        <f t="shared" si="70"/>
        <v/>
      </c>
      <c r="AO217" s="1">
        <f t="shared" si="70"/>
        <v>2222.2222222222222</v>
      </c>
      <c r="AP217" s="1">
        <f t="shared" si="70"/>
        <v>4879.0322580645161</v>
      </c>
      <c r="AQ217" s="1">
        <f t="shared" si="70"/>
        <v>44850</v>
      </c>
      <c r="AR217" s="1">
        <f t="shared" si="70"/>
        <v>447530.86419753096</v>
      </c>
      <c r="AS217" s="1" t="str">
        <f t="shared" si="70"/>
        <v/>
      </c>
      <c r="AT217" s="1">
        <f t="shared" si="70"/>
        <v>2366.6666666666665</v>
      </c>
      <c r="AU217" s="1" t="str">
        <f t="shared" si="70"/>
        <v/>
      </c>
      <c r="AV217" s="1" t="str">
        <f t="shared" si="70"/>
        <v/>
      </c>
      <c r="AW217" s="1" t="str">
        <f t="shared" si="68"/>
        <v/>
      </c>
      <c r="AX217" s="1" t="str">
        <f t="shared" si="68"/>
        <v/>
      </c>
      <c r="AY217" s="1" t="str">
        <f t="shared" si="68"/>
        <v/>
      </c>
      <c r="AZ217" s="1">
        <f t="shared" si="68"/>
        <v>5399.9999999999991</v>
      </c>
      <c r="BA217" s="1">
        <f t="shared" si="68"/>
        <v>0</v>
      </c>
      <c r="BB217" s="1">
        <f t="shared" si="68"/>
        <v>0</v>
      </c>
      <c r="BC217" s="1">
        <f t="shared" si="68"/>
        <v>0</v>
      </c>
    </row>
    <row r="218" spans="1:55" s="2" customFormat="1" x14ac:dyDescent="0.25">
      <c r="A218" s="30" t="s">
        <v>60</v>
      </c>
      <c r="B218" s="31" t="s">
        <v>13</v>
      </c>
      <c r="C218" s="32" t="s">
        <v>61</v>
      </c>
      <c r="D218" s="31" t="s">
        <v>77</v>
      </c>
      <c r="E218" s="31"/>
      <c r="F218" s="51">
        <v>0</v>
      </c>
      <c r="G218" s="51">
        <v>0</v>
      </c>
      <c r="H218" s="51">
        <v>0</v>
      </c>
      <c r="I218" s="51">
        <v>0</v>
      </c>
      <c r="J218" s="51">
        <v>0</v>
      </c>
      <c r="K218" s="51">
        <f>K201*0.1</f>
        <v>10.344827586206897</v>
      </c>
      <c r="L218" s="52">
        <v>0</v>
      </c>
      <c r="M218" s="73">
        <f>M201*0.4</f>
        <v>10</v>
      </c>
      <c r="N218" s="73">
        <v>0</v>
      </c>
      <c r="O218" s="73">
        <f>O201*0.5</f>
        <v>0.5</v>
      </c>
      <c r="P218" s="73">
        <f>P201*0.4</f>
        <v>0.28799999999999998</v>
      </c>
      <c r="Q218" s="73"/>
      <c r="R218" s="73"/>
      <c r="S218" s="51"/>
      <c r="T218" s="51">
        <f>T201</f>
        <v>3.1298904538341161</v>
      </c>
      <c r="U218" s="51">
        <f>U201</f>
        <v>7.042253521126761</v>
      </c>
      <c r="V218" s="51"/>
      <c r="W218" s="51"/>
      <c r="X218" s="55">
        <f>X246*0.7</f>
        <v>23.333333333333332</v>
      </c>
      <c r="Y218" s="59">
        <f t="shared" si="55"/>
        <v>10.344827586206897</v>
      </c>
      <c r="Z218" s="51">
        <f t="shared" si="56"/>
        <v>44.293477308294214</v>
      </c>
      <c r="AA218" s="51">
        <f t="shared" si="57"/>
        <v>54.638304894501111</v>
      </c>
      <c r="AC218" s="30" t="s">
        <v>60</v>
      </c>
      <c r="AD218" s="31" t="s">
        <v>13</v>
      </c>
      <c r="AE218" s="32" t="s">
        <v>61</v>
      </c>
      <c r="AF218" s="31" t="s">
        <v>77</v>
      </c>
      <c r="AG218" s="31"/>
      <c r="AH218" s="1" t="str">
        <f t="shared" ref="AH218:AV225" si="72">IF(F218&gt;0,F263/F218*1000,"")</f>
        <v/>
      </c>
      <c r="AI218" s="1" t="str">
        <f t="shared" si="72"/>
        <v/>
      </c>
      <c r="AJ218" s="1" t="str">
        <f t="shared" si="72"/>
        <v/>
      </c>
      <c r="AK218" s="1" t="str">
        <f t="shared" si="72"/>
        <v/>
      </c>
      <c r="AL218" s="1" t="str">
        <f t="shared" si="72"/>
        <v/>
      </c>
      <c r="AM218" s="1">
        <f t="shared" si="72"/>
        <v>170.58823529411765</v>
      </c>
      <c r="AN218" s="52" t="str">
        <f t="shared" si="72"/>
        <v/>
      </c>
      <c r="AO218" s="1">
        <f t="shared" si="72"/>
        <v>2222.2222222222222</v>
      </c>
      <c r="AP218" s="1" t="str">
        <f t="shared" si="72"/>
        <v/>
      </c>
      <c r="AQ218" s="1">
        <f t="shared" si="72"/>
        <v>44850</v>
      </c>
      <c r="AR218" s="1">
        <f t="shared" si="72"/>
        <v>447530.8641975309</v>
      </c>
      <c r="AS218" s="1" t="str">
        <f t="shared" si="72"/>
        <v/>
      </c>
      <c r="AT218" s="1" t="str">
        <f t="shared" si="72"/>
        <v/>
      </c>
      <c r="AU218" s="1" t="str">
        <f t="shared" si="72"/>
        <v/>
      </c>
      <c r="AV218" s="1">
        <f t="shared" si="72"/>
        <v>2366.6666666666665</v>
      </c>
      <c r="AW218" s="1">
        <f t="shared" si="68"/>
        <v>2366.6666666666665</v>
      </c>
      <c r="AX218" s="1" t="str">
        <f t="shared" si="68"/>
        <v/>
      </c>
      <c r="AY218" s="1" t="str">
        <f t="shared" si="68"/>
        <v/>
      </c>
      <c r="AZ218" s="1">
        <f t="shared" si="68"/>
        <v>5399.9999999999991</v>
      </c>
      <c r="BA218" s="1">
        <f t="shared" si="68"/>
        <v>0</v>
      </c>
      <c r="BB218" s="1">
        <f t="shared" si="68"/>
        <v>0</v>
      </c>
      <c r="BC218" s="1">
        <f t="shared" si="68"/>
        <v>0</v>
      </c>
    </row>
    <row r="219" spans="1:55" s="2" customFormat="1" x14ac:dyDescent="0.25">
      <c r="A219" s="30" t="s">
        <v>60</v>
      </c>
      <c r="B219" s="31" t="s">
        <v>13</v>
      </c>
      <c r="C219" s="32" t="s">
        <v>61</v>
      </c>
      <c r="D219" s="31" t="s">
        <v>78</v>
      </c>
      <c r="E219" s="31"/>
      <c r="F219" s="51">
        <v>0</v>
      </c>
      <c r="G219" s="51">
        <v>0</v>
      </c>
      <c r="H219" s="51">
        <v>0</v>
      </c>
      <c r="I219" s="51">
        <f>I201*0.05</f>
        <v>7.0965517241379317</v>
      </c>
      <c r="J219" s="51">
        <v>0</v>
      </c>
      <c r="K219" s="51">
        <f>K201*0.05</f>
        <v>5.1724137931034484</v>
      </c>
      <c r="L219" s="52">
        <v>0</v>
      </c>
      <c r="M219" s="73">
        <f>M201*0</f>
        <v>0</v>
      </c>
      <c r="N219" s="73">
        <v>0</v>
      </c>
      <c r="O219" s="73">
        <f>O201*0</f>
        <v>0</v>
      </c>
      <c r="P219" s="73">
        <f>(P201)*0.01</f>
        <v>7.1999999999999998E-3</v>
      </c>
      <c r="Q219" s="73">
        <f>Q201</f>
        <v>7.598784194528875</v>
      </c>
      <c r="R219" s="73"/>
      <c r="S219" s="51"/>
      <c r="T219" s="51"/>
      <c r="U219" s="51"/>
      <c r="V219" s="51"/>
      <c r="W219" s="51"/>
      <c r="X219" s="55">
        <f>X201*0.1</f>
        <v>1.4084507042253522</v>
      </c>
      <c r="Y219" s="59">
        <f t="shared" si="55"/>
        <v>12.26896551724138</v>
      </c>
      <c r="Z219" s="51">
        <f t="shared" si="56"/>
        <v>9.014434898754228</v>
      </c>
      <c r="AA219" s="51">
        <f t="shared" si="57"/>
        <v>21.283400415995608</v>
      </c>
      <c r="AC219" s="30" t="s">
        <v>60</v>
      </c>
      <c r="AD219" s="31" t="s">
        <v>13</v>
      </c>
      <c r="AE219" s="32" t="s">
        <v>61</v>
      </c>
      <c r="AF219" s="31" t="s">
        <v>78</v>
      </c>
      <c r="AG219" s="31"/>
      <c r="AH219" s="1" t="str">
        <f t="shared" si="72"/>
        <v/>
      </c>
      <c r="AI219" s="1" t="str">
        <f t="shared" si="72"/>
        <v/>
      </c>
      <c r="AJ219" s="1" t="str">
        <f t="shared" si="72"/>
        <v/>
      </c>
      <c r="AK219" s="1">
        <f t="shared" si="72"/>
        <v>161.11111111111109</v>
      </c>
      <c r="AL219" s="1" t="str">
        <f t="shared" si="72"/>
        <v/>
      </c>
      <c r="AM219" s="1">
        <f t="shared" si="72"/>
        <v>170.58823529411765</v>
      </c>
      <c r="AN219" s="52" t="str">
        <f t="shared" si="72"/>
        <v/>
      </c>
      <c r="AO219" s="1" t="str">
        <f t="shared" si="72"/>
        <v/>
      </c>
      <c r="AP219" s="1" t="str">
        <f t="shared" si="72"/>
        <v/>
      </c>
      <c r="AQ219" s="1" t="str">
        <f t="shared" si="72"/>
        <v/>
      </c>
      <c r="AR219" s="1">
        <f t="shared" si="72"/>
        <v>447530.8641975309</v>
      </c>
      <c r="AS219" s="1">
        <f t="shared" si="72"/>
        <v>5222.2222222222217</v>
      </c>
      <c r="AT219" s="1" t="str">
        <f t="shared" si="72"/>
        <v/>
      </c>
      <c r="AU219" s="1" t="str">
        <f t="shared" si="72"/>
        <v/>
      </c>
      <c r="AV219" s="1" t="str">
        <f t="shared" si="72"/>
        <v/>
      </c>
      <c r="AW219" s="1" t="str">
        <f t="shared" si="68"/>
        <v/>
      </c>
      <c r="AX219" s="1" t="str">
        <f t="shared" si="68"/>
        <v/>
      </c>
      <c r="AY219" s="1" t="str">
        <f t="shared" si="68"/>
        <v/>
      </c>
      <c r="AZ219" s="1">
        <f t="shared" si="68"/>
        <v>2366.6666666666665</v>
      </c>
      <c r="BA219" s="1">
        <f t="shared" si="68"/>
        <v>0</v>
      </c>
      <c r="BB219" s="1">
        <f t="shared" si="68"/>
        <v>0</v>
      </c>
      <c r="BC219" s="1">
        <f t="shared" si="68"/>
        <v>0</v>
      </c>
    </row>
    <row r="220" spans="1:55" s="2" customFormat="1" ht="15.75" thickBot="1" x14ac:dyDescent="0.3">
      <c r="A220" s="33" t="s">
        <v>60</v>
      </c>
      <c r="B220" s="34" t="s">
        <v>13</v>
      </c>
      <c r="C220" s="35" t="s">
        <v>61</v>
      </c>
      <c r="D220" s="34" t="s">
        <v>79</v>
      </c>
      <c r="E220" s="31"/>
      <c r="F220" s="51">
        <v>0</v>
      </c>
      <c r="G220" s="51">
        <v>0</v>
      </c>
      <c r="H220" s="51">
        <v>0</v>
      </c>
      <c r="I220" s="51">
        <v>0</v>
      </c>
      <c r="J220" s="51">
        <v>0</v>
      </c>
      <c r="K220" s="51">
        <v>0</v>
      </c>
      <c r="L220" s="52">
        <v>0</v>
      </c>
      <c r="M220" s="51">
        <v>0</v>
      </c>
      <c r="N220" s="51">
        <v>0</v>
      </c>
      <c r="O220" s="51">
        <v>0</v>
      </c>
      <c r="P220" s="51">
        <v>0</v>
      </c>
      <c r="Q220" s="51">
        <v>0</v>
      </c>
      <c r="R220" s="51">
        <v>0</v>
      </c>
      <c r="S220" s="51">
        <v>0</v>
      </c>
      <c r="T220" s="51">
        <v>0</v>
      </c>
      <c r="U220" s="51">
        <v>0</v>
      </c>
      <c r="V220" s="51">
        <v>0</v>
      </c>
      <c r="W220" s="51">
        <v>0</v>
      </c>
      <c r="X220" s="55">
        <v>0</v>
      </c>
      <c r="Y220" s="59">
        <f t="shared" si="55"/>
        <v>0</v>
      </c>
      <c r="Z220" s="51">
        <f t="shared" si="56"/>
        <v>0</v>
      </c>
      <c r="AA220" s="51">
        <f t="shared" si="57"/>
        <v>0</v>
      </c>
      <c r="AC220" s="33" t="s">
        <v>60</v>
      </c>
      <c r="AD220" s="34" t="s">
        <v>13</v>
      </c>
      <c r="AE220" s="35" t="s">
        <v>61</v>
      </c>
      <c r="AF220" s="34" t="s">
        <v>79</v>
      </c>
      <c r="AG220" s="31"/>
      <c r="AH220" s="1" t="str">
        <f t="shared" si="72"/>
        <v/>
      </c>
      <c r="AI220" s="1" t="str">
        <f t="shared" si="72"/>
        <v/>
      </c>
      <c r="AJ220" s="1" t="str">
        <f t="shared" si="72"/>
        <v/>
      </c>
      <c r="AK220" s="1" t="str">
        <f t="shared" si="72"/>
        <v/>
      </c>
      <c r="AL220" s="1" t="str">
        <f t="shared" si="72"/>
        <v/>
      </c>
      <c r="AM220" s="1" t="str">
        <f t="shared" si="72"/>
        <v/>
      </c>
      <c r="AN220" s="52" t="str">
        <f t="shared" si="72"/>
        <v/>
      </c>
      <c r="AO220" s="1" t="str">
        <f t="shared" si="72"/>
        <v/>
      </c>
      <c r="AP220" s="1" t="str">
        <f t="shared" si="72"/>
        <v/>
      </c>
      <c r="AQ220" s="1" t="str">
        <f t="shared" si="72"/>
        <v/>
      </c>
      <c r="AR220" s="1" t="str">
        <f t="shared" si="72"/>
        <v/>
      </c>
      <c r="AS220" s="1" t="str">
        <f t="shared" si="72"/>
        <v/>
      </c>
      <c r="AT220" s="1" t="str">
        <f t="shared" si="72"/>
        <v/>
      </c>
      <c r="AU220" s="1" t="str">
        <f t="shared" si="72"/>
        <v/>
      </c>
      <c r="AV220" s="1" t="str">
        <f t="shared" si="72"/>
        <v/>
      </c>
      <c r="AW220" s="1" t="str">
        <f t="shared" si="68"/>
        <v/>
      </c>
      <c r="AX220" s="1" t="str">
        <f t="shared" si="68"/>
        <v/>
      </c>
      <c r="AY220" s="1" t="str">
        <f t="shared" si="68"/>
        <v/>
      </c>
      <c r="AZ220" s="1" t="str">
        <f t="shared" si="68"/>
        <v/>
      </c>
      <c r="BA220" s="1" t="str">
        <f t="shared" si="68"/>
        <v/>
      </c>
      <c r="BB220" s="1" t="str">
        <f t="shared" si="68"/>
        <v/>
      </c>
      <c r="BC220" s="1" t="str">
        <f t="shared" si="68"/>
        <v/>
      </c>
    </row>
    <row r="221" spans="1:55" s="2" customFormat="1" x14ac:dyDescent="0.25">
      <c r="A221" s="30" t="s">
        <v>60</v>
      </c>
      <c r="B221" s="31" t="s">
        <v>13</v>
      </c>
      <c r="C221" s="32" t="s">
        <v>62</v>
      </c>
      <c r="D221" s="31" t="s">
        <v>75</v>
      </c>
      <c r="E221" s="31"/>
      <c r="F221" s="51"/>
      <c r="G221" s="73">
        <f>G202</f>
        <v>150</v>
      </c>
      <c r="H221" s="51">
        <f>H202*0.3</f>
        <v>390</v>
      </c>
      <c r="I221" s="51">
        <v>0</v>
      </c>
      <c r="J221" s="51">
        <v>0</v>
      </c>
      <c r="K221" s="51">
        <v>0</v>
      </c>
      <c r="L221" s="52">
        <v>0</v>
      </c>
      <c r="M221" s="51">
        <v>0</v>
      </c>
      <c r="N221" s="51">
        <v>0</v>
      </c>
      <c r="O221" s="51">
        <v>0</v>
      </c>
      <c r="P221" s="51">
        <v>0</v>
      </c>
      <c r="Q221" s="51">
        <v>0</v>
      </c>
      <c r="R221" s="51">
        <v>0</v>
      </c>
      <c r="S221" s="51">
        <v>0</v>
      </c>
      <c r="T221" s="51">
        <v>0</v>
      </c>
      <c r="U221" s="51">
        <v>0</v>
      </c>
      <c r="V221" s="51">
        <v>0</v>
      </c>
      <c r="W221" s="51">
        <v>0</v>
      </c>
      <c r="X221" s="55">
        <v>0</v>
      </c>
      <c r="Y221" s="59">
        <f t="shared" si="55"/>
        <v>540</v>
      </c>
      <c r="Z221" s="51">
        <f t="shared" si="56"/>
        <v>0</v>
      </c>
      <c r="AA221" s="51">
        <f t="shared" si="57"/>
        <v>540</v>
      </c>
      <c r="AC221" s="30" t="s">
        <v>60</v>
      </c>
      <c r="AD221" s="31" t="s">
        <v>13</v>
      </c>
      <c r="AE221" s="32" t="s">
        <v>62</v>
      </c>
      <c r="AF221" s="31" t="s">
        <v>75</v>
      </c>
      <c r="AG221" s="31"/>
      <c r="AH221" s="1" t="str">
        <f t="shared" si="72"/>
        <v/>
      </c>
      <c r="AI221" s="1">
        <f t="shared" si="72"/>
        <v>122.10526315789473</v>
      </c>
      <c r="AJ221" s="1">
        <f t="shared" si="72"/>
        <v>41.277264957264947</v>
      </c>
      <c r="AK221" s="1" t="str">
        <f t="shared" si="72"/>
        <v/>
      </c>
      <c r="AL221" s="1" t="str">
        <f t="shared" si="72"/>
        <v/>
      </c>
      <c r="AM221" s="1" t="str">
        <f t="shared" si="72"/>
        <v/>
      </c>
      <c r="AN221" s="52" t="str">
        <f t="shared" si="72"/>
        <v/>
      </c>
      <c r="AO221" s="1" t="str">
        <f t="shared" si="72"/>
        <v/>
      </c>
      <c r="AP221" s="1" t="str">
        <f t="shared" si="72"/>
        <v/>
      </c>
      <c r="AQ221" s="1" t="str">
        <f t="shared" si="72"/>
        <v/>
      </c>
      <c r="AR221" s="1" t="str">
        <f t="shared" si="72"/>
        <v/>
      </c>
      <c r="AS221" s="1" t="str">
        <f t="shared" si="72"/>
        <v/>
      </c>
      <c r="AT221" s="1" t="str">
        <f t="shared" si="72"/>
        <v/>
      </c>
      <c r="AU221" s="1" t="str">
        <f t="shared" si="72"/>
        <v/>
      </c>
      <c r="AV221" s="1" t="str">
        <f t="shared" si="72"/>
        <v/>
      </c>
      <c r="AW221" s="1" t="str">
        <f t="shared" si="68"/>
        <v/>
      </c>
      <c r="AX221" s="1" t="str">
        <f t="shared" si="68"/>
        <v/>
      </c>
      <c r="AY221" s="1" t="str">
        <f t="shared" si="68"/>
        <v/>
      </c>
      <c r="AZ221" s="1" t="str">
        <f t="shared" si="68"/>
        <v/>
      </c>
      <c r="BA221" s="1">
        <f t="shared" si="68"/>
        <v>0</v>
      </c>
      <c r="BB221" s="1" t="str">
        <f t="shared" si="68"/>
        <v/>
      </c>
      <c r="BC221" s="1">
        <f t="shared" si="68"/>
        <v>0</v>
      </c>
    </row>
    <row r="222" spans="1:55" s="2" customFormat="1" x14ac:dyDescent="0.25">
      <c r="A222" s="30" t="s">
        <v>60</v>
      </c>
      <c r="B222" s="31" t="s">
        <v>13</v>
      </c>
      <c r="C222" s="32" t="s">
        <v>62</v>
      </c>
      <c r="D222" s="31" t="s">
        <v>76</v>
      </c>
      <c r="E222" s="31"/>
      <c r="F222" s="73">
        <f>F202</f>
        <v>60</v>
      </c>
      <c r="G222" s="51">
        <f>G202*0</f>
        <v>0</v>
      </c>
      <c r="H222" s="51">
        <f>H202*0.7</f>
        <v>909.99999999999989</v>
      </c>
      <c r="I222" s="51">
        <v>0</v>
      </c>
      <c r="J222" s="51">
        <v>0</v>
      </c>
      <c r="K222" s="51">
        <v>0</v>
      </c>
      <c r="L222" s="52">
        <v>0</v>
      </c>
      <c r="M222" s="51">
        <v>0</v>
      </c>
      <c r="N222" s="51">
        <v>0</v>
      </c>
      <c r="O222" s="51">
        <v>0</v>
      </c>
      <c r="P222" s="51">
        <f>P202</f>
        <v>1.68</v>
      </c>
      <c r="Q222" s="51">
        <v>0</v>
      </c>
      <c r="R222" s="51">
        <v>0</v>
      </c>
      <c r="S222" s="51">
        <v>0</v>
      </c>
      <c r="T222" s="51">
        <v>0</v>
      </c>
      <c r="U222" s="51">
        <v>0</v>
      </c>
      <c r="V222" s="51">
        <v>0</v>
      </c>
      <c r="W222" s="51">
        <v>0</v>
      </c>
      <c r="X222" s="55">
        <v>0</v>
      </c>
      <c r="Y222" s="59">
        <f t="shared" si="55"/>
        <v>969.99999999999989</v>
      </c>
      <c r="Z222" s="51">
        <f t="shared" si="56"/>
        <v>1.68</v>
      </c>
      <c r="AA222" s="51">
        <f t="shared" si="57"/>
        <v>971.67999999999984</v>
      </c>
      <c r="AC222" s="30" t="s">
        <v>60</v>
      </c>
      <c r="AD222" s="31" t="s">
        <v>13</v>
      </c>
      <c r="AE222" s="32" t="s">
        <v>62</v>
      </c>
      <c r="AF222" s="31" t="s">
        <v>76</v>
      </c>
      <c r="AG222" s="31"/>
      <c r="AH222" s="1">
        <f t="shared" si="72"/>
        <v>233.33333333333334</v>
      </c>
      <c r="AI222" s="1" t="str">
        <f t="shared" si="72"/>
        <v/>
      </c>
      <c r="AJ222" s="1">
        <f t="shared" si="72"/>
        <v>41.277264957264947</v>
      </c>
      <c r="AK222" s="1" t="str">
        <f t="shared" si="72"/>
        <v/>
      </c>
      <c r="AL222" s="1" t="str">
        <f t="shared" si="72"/>
        <v/>
      </c>
      <c r="AM222" s="1" t="str">
        <f t="shared" si="72"/>
        <v/>
      </c>
      <c r="AN222" s="52" t="str">
        <f t="shared" si="72"/>
        <v/>
      </c>
      <c r="AO222" s="1" t="str">
        <f t="shared" si="72"/>
        <v/>
      </c>
      <c r="AP222" s="1" t="str">
        <f t="shared" si="72"/>
        <v/>
      </c>
      <c r="AQ222" s="1" t="str">
        <f t="shared" si="72"/>
        <v/>
      </c>
      <c r="AR222" s="1">
        <f t="shared" si="72"/>
        <v>287698.41269841272</v>
      </c>
      <c r="AS222" s="1" t="str">
        <f t="shared" si="72"/>
        <v/>
      </c>
      <c r="AT222" s="1" t="str">
        <f t="shared" si="72"/>
        <v/>
      </c>
      <c r="AU222" s="1" t="str">
        <f t="shared" si="72"/>
        <v/>
      </c>
      <c r="AV222" s="1" t="str">
        <f t="shared" si="72"/>
        <v/>
      </c>
      <c r="AW222" s="1" t="str">
        <f t="shared" si="68"/>
        <v/>
      </c>
      <c r="AX222" s="1" t="str">
        <f t="shared" si="68"/>
        <v/>
      </c>
      <c r="AY222" s="1" t="str">
        <f t="shared" si="68"/>
        <v/>
      </c>
      <c r="AZ222" s="1" t="str">
        <f t="shared" si="68"/>
        <v/>
      </c>
      <c r="BA222" s="1">
        <f t="shared" si="68"/>
        <v>0</v>
      </c>
      <c r="BB222" s="1">
        <f t="shared" si="68"/>
        <v>0</v>
      </c>
      <c r="BC222" s="1">
        <f t="shared" si="68"/>
        <v>0</v>
      </c>
    </row>
    <row r="223" spans="1:55" s="2" customFormat="1" x14ac:dyDescent="0.25">
      <c r="A223" s="30" t="s">
        <v>60</v>
      </c>
      <c r="B223" s="31" t="s">
        <v>13</v>
      </c>
      <c r="C223" s="32" t="s">
        <v>62</v>
      </c>
      <c r="D223" s="31" t="s">
        <v>77</v>
      </c>
      <c r="E223" s="31"/>
      <c r="F223" s="51">
        <v>0</v>
      </c>
      <c r="G223" s="51">
        <v>0</v>
      </c>
      <c r="H223" s="51">
        <v>0</v>
      </c>
      <c r="I223" s="51">
        <v>0</v>
      </c>
      <c r="J223" s="51">
        <v>0</v>
      </c>
      <c r="K223" s="51">
        <v>0</v>
      </c>
      <c r="L223" s="52">
        <v>0</v>
      </c>
      <c r="M223" s="51">
        <v>0</v>
      </c>
      <c r="N223" s="51">
        <v>0</v>
      </c>
      <c r="O223" s="51">
        <v>0</v>
      </c>
      <c r="P223" s="51">
        <v>0</v>
      </c>
      <c r="Q223" s="51">
        <v>0</v>
      </c>
      <c r="R223" s="51">
        <v>0</v>
      </c>
      <c r="S223" s="51">
        <v>0</v>
      </c>
      <c r="T223" s="51">
        <v>0</v>
      </c>
      <c r="U223" s="51">
        <v>0</v>
      </c>
      <c r="V223" s="51">
        <v>0</v>
      </c>
      <c r="W223" s="51">
        <v>0</v>
      </c>
      <c r="X223" s="55">
        <v>0</v>
      </c>
      <c r="Y223" s="59">
        <f t="shared" si="55"/>
        <v>0</v>
      </c>
      <c r="Z223" s="51">
        <f t="shared" si="56"/>
        <v>0</v>
      </c>
      <c r="AA223" s="51">
        <f t="shared" si="57"/>
        <v>0</v>
      </c>
      <c r="AC223" s="30" t="s">
        <v>60</v>
      </c>
      <c r="AD223" s="31" t="s">
        <v>13</v>
      </c>
      <c r="AE223" s="32" t="s">
        <v>62</v>
      </c>
      <c r="AF223" s="31" t="s">
        <v>77</v>
      </c>
      <c r="AG223" s="31"/>
      <c r="AH223" s="1" t="str">
        <f t="shared" si="72"/>
        <v/>
      </c>
      <c r="AI223" s="1" t="str">
        <f t="shared" si="72"/>
        <v/>
      </c>
      <c r="AJ223" s="1" t="str">
        <f t="shared" si="72"/>
        <v/>
      </c>
      <c r="AK223" s="1" t="str">
        <f t="shared" si="72"/>
        <v/>
      </c>
      <c r="AL223" s="1" t="str">
        <f t="shared" si="72"/>
        <v/>
      </c>
      <c r="AM223" s="1" t="str">
        <f t="shared" si="72"/>
        <v/>
      </c>
      <c r="AN223" s="52" t="str">
        <f t="shared" si="72"/>
        <v/>
      </c>
      <c r="AO223" s="1" t="str">
        <f t="shared" si="72"/>
        <v/>
      </c>
      <c r="AP223" s="1" t="str">
        <f t="shared" si="72"/>
        <v/>
      </c>
      <c r="AQ223" s="1" t="str">
        <f t="shared" si="72"/>
        <v/>
      </c>
      <c r="AR223" s="1" t="str">
        <f t="shared" si="72"/>
        <v/>
      </c>
      <c r="AS223" s="1" t="str">
        <f t="shared" si="72"/>
        <v/>
      </c>
      <c r="AT223" s="1" t="str">
        <f t="shared" si="72"/>
        <v/>
      </c>
      <c r="AU223" s="1" t="str">
        <f t="shared" si="72"/>
        <v/>
      </c>
      <c r="AV223" s="1" t="str">
        <f t="shared" si="72"/>
        <v/>
      </c>
      <c r="AW223" s="1" t="str">
        <f t="shared" si="68"/>
        <v/>
      </c>
      <c r="AX223" s="1" t="str">
        <f t="shared" si="68"/>
        <v/>
      </c>
      <c r="AY223" s="1" t="str">
        <f t="shared" si="68"/>
        <v/>
      </c>
      <c r="AZ223" s="1" t="str">
        <f t="shared" si="68"/>
        <v/>
      </c>
      <c r="BA223" s="1" t="str">
        <f t="shared" si="68"/>
        <v/>
      </c>
      <c r="BB223" s="1" t="str">
        <f t="shared" si="68"/>
        <v/>
      </c>
      <c r="BC223" s="1" t="str">
        <f t="shared" si="68"/>
        <v/>
      </c>
    </row>
    <row r="224" spans="1:55" s="2" customFormat="1" x14ac:dyDescent="0.25">
      <c r="A224" s="30" t="s">
        <v>60</v>
      </c>
      <c r="B224" s="31" t="s">
        <v>13</v>
      </c>
      <c r="C224" s="32" t="s">
        <v>62</v>
      </c>
      <c r="D224" s="31" t="s">
        <v>78</v>
      </c>
      <c r="E224" s="31"/>
      <c r="F224" s="51">
        <v>0</v>
      </c>
      <c r="G224" s="51">
        <v>0</v>
      </c>
      <c r="H224" s="51">
        <v>0</v>
      </c>
      <c r="I224" s="51">
        <v>0</v>
      </c>
      <c r="J224" s="51">
        <v>0</v>
      </c>
      <c r="K224" s="51">
        <v>0</v>
      </c>
      <c r="L224" s="52">
        <v>0</v>
      </c>
      <c r="M224" s="51">
        <v>0</v>
      </c>
      <c r="N224" s="51">
        <v>0</v>
      </c>
      <c r="O224" s="51">
        <v>0</v>
      </c>
      <c r="P224" s="51">
        <v>0</v>
      </c>
      <c r="Q224" s="51">
        <v>0</v>
      </c>
      <c r="R224" s="51">
        <v>0</v>
      </c>
      <c r="S224" s="51">
        <v>0</v>
      </c>
      <c r="T224" s="51">
        <v>0</v>
      </c>
      <c r="U224" s="51">
        <v>0</v>
      </c>
      <c r="V224" s="51">
        <v>0</v>
      </c>
      <c r="W224" s="51">
        <v>0</v>
      </c>
      <c r="X224" s="55">
        <v>0</v>
      </c>
      <c r="Y224" s="59">
        <f t="shared" si="55"/>
        <v>0</v>
      </c>
      <c r="Z224" s="51">
        <f t="shared" si="56"/>
        <v>0</v>
      </c>
      <c r="AA224" s="51">
        <f t="shared" si="57"/>
        <v>0</v>
      </c>
      <c r="AC224" s="30" t="s">
        <v>60</v>
      </c>
      <c r="AD224" s="31" t="s">
        <v>13</v>
      </c>
      <c r="AE224" s="32" t="s">
        <v>62</v>
      </c>
      <c r="AF224" s="31" t="s">
        <v>78</v>
      </c>
      <c r="AG224" s="31"/>
      <c r="AH224" s="1" t="str">
        <f t="shared" si="72"/>
        <v/>
      </c>
      <c r="AI224" s="1" t="str">
        <f t="shared" si="72"/>
        <v/>
      </c>
      <c r="AJ224" s="1" t="str">
        <f t="shared" si="72"/>
        <v/>
      </c>
      <c r="AK224" s="1" t="str">
        <f t="shared" si="72"/>
        <v/>
      </c>
      <c r="AL224" s="1" t="str">
        <f t="shared" si="72"/>
        <v/>
      </c>
      <c r="AM224" s="1" t="str">
        <f t="shared" si="72"/>
        <v/>
      </c>
      <c r="AN224" s="52" t="str">
        <f t="shared" si="72"/>
        <v/>
      </c>
      <c r="AO224" s="1" t="str">
        <f t="shared" si="72"/>
        <v/>
      </c>
      <c r="AP224" s="1" t="str">
        <f t="shared" si="72"/>
        <v/>
      </c>
      <c r="AQ224" s="1" t="str">
        <f t="shared" si="72"/>
        <v/>
      </c>
      <c r="AR224" s="1" t="str">
        <f t="shared" si="72"/>
        <v/>
      </c>
      <c r="AS224" s="1" t="str">
        <f t="shared" si="72"/>
        <v/>
      </c>
      <c r="AT224" s="1" t="str">
        <f t="shared" si="72"/>
        <v/>
      </c>
      <c r="AU224" s="1" t="str">
        <f t="shared" si="72"/>
        <v/>
      </c>
      <c r="AV224" s="1" t="str">
        <f t="shared" si="72"/>
        <v/>
      </c>
      <c r="AW224" s="1" t="str">
        <f t="shared" si="68"/>
        <v/>
      </c>
      <c r="AX224" s="1" t="str">
        <f t="shared" si="68"/>
        <v/>
      </c>
      <c r="AY224" s="1" t="str">
        <f t="shared" si="68"/>
        <v/>
      </c>
      <c r="AZ224" s="1" t="str">
        <f t="shared" si="68"/>
        <v/>
      </c>
      <c r="BA224" s="1" t="str">
        <f t="shared" si="68"/>
        <v/>
      </c>
      <c r="BB224" s="1" t="str">
        <f t="shared" si="68"/>
        <v/>
      </c>
      <c r="BC224" s="1" t="str">
        <f t="shared" si="68"/>
        <v/>
      </c>
    </row>
    <row r="225" spans="1:55" s="13" customFormat="1" ht="15.75" thickBot="1" x14ac:dyDescent="0.3">
      <c r="A225" s="33" t="s">
        <v>60</v>
      </c>
      <c r="B225" s="34" t="s">
        <v>13</v>
      </c>
      <c r="C225" s="35" t="s">
        <v>62</v>
      </c>
      <c r="D225" s="34" t="s">
        <v>79</v>
      </c>
      <c r="E225" s="34"/>
      <c r="F225" s="267">
        <v>0</v>
      </c>
      <c r="G225" s="267">
        <v>0</v>
      </c>
      <c r="H225" s="267">
        <v>0</v>
      </c>
      <c r="I225" s="267">
        <v>0</v>
      </c>
      <c r="J225" s="267">
        <v>0</v>
      </c>
      <c r="K225" s="267">
        <v>0</v>
      </c>
      <c r="L225" s="268">
        <v>0</v>
      </c>
      <c r="M225" s="267">
        <v>0</v>
      </c>
      <c r="N225" s="267">
        <v>0</v>
      </c>
      <c r="O225" s="267">
        <v>0</v>
      </c>
      <c r="P225" s="267">
        <v>0</v>
      </c>
      <c r="Q225" s="267">
        <v>0</v>
      </c>
      <c r="R225" s="267">
        <v>0</v>
      </c>
      <c r="S225" s="267">
        <v>0</v>
      </c>
      <c r="T225" s="267">
        <v>0</v>
      </c>
      <c r="U225" s="267">
        <v>0</v>
      </c>
      <c r="V225" s="267">
        <v>0</v>
      </c>
      <c r="W225" s="267">
        <v>0</v>
      </c>
      <c r="X225" s="269">
        <v>0</v>
      </c>
      <c r="Y225" s="270">
        <f t="shared" si="55"/>
        <v>0</v>
      </c>
      <c r="Z225" s="267">
        <f t="shared" si="56"/>
        <v>0</v>
      </c>
      <c r="AA225" s="267">
        <f t="shared" si="57"/>
        <v>0</v>
      </c>
      <c r="AC225" s="33" t="s">
        <v>60</v>
      </c>
      <c r="AD225" s="34" t="s">
        <v>13</v>
      </c>
      <c r="AE225" s="35" t="s">
        <v>62</v>
      </c>
      <c r="AF225" s="34" t="s">
        <v>79</v>
      </c>
      <c r="AG225" s="34"/>
      <c r="AH225" s="271" t="str">
        <f t="shared" si="72"/>
        <v/>
      </c>
      <c r="AI225" s="271" t="str">
        <f t="shared" si="72"/>
        <v/>
      </c>
      <c r="AJ225" s="271" t="str">
        <f t="shared" si="72"/>
        <v/>
      </c>
      <c r="AK225" s="271" t="str">
        <f t="shared" si="72"/>
        <v/>
      </c>
      <c r="AL225" s="271" t="str">
        <f t="shared" si="72"/>
        <v/>
      </c>
      <c r="AM225" s="271" t="str">
        <f t="shared" si="72"/>
        <v/>
      </c>
      <c r="AN225" s="268" t="str">
        <f t="shared" si="72"/>
        <v/>
      </c>
      <c r="AO225" s="271" t="str">
        <f t="shared" si="72"/>
        <v/>
      </c>
      <c r="AP225" s="271" t="str">
        <f t="shared" si="72"/>
        <v/>
      </c>
      <c r="AQ225" s="271" t="str">
        <f t="shared" si="72"/>
        <v/>
      </c>
      <c r="AR225" s="271" t="str">
        <f t="shared" si="72"/>
        <v/>
      </c>
      <c r="AS225" s="271" t="str">
        <f t="shared" si="72"/>
        <v/>
      </c>
      <c r="AT225" s="271" t="str">
        <f t="shared" si="72"/>
        <v/>
      </c>
      <c r="AU225" s="271" t="str">
        <f t="shared" si="72"/>
        <v/>
      </c>
      <c r="AV225" s="271" t="str">
        <f t="shared" si="72"/>
        <v/>
      </c>
      <c r="AW225" s="271" t="str">
        <f t="shared" si="68"/>
        <v/>
      </c>
      <c r="AX225" s="271" t="str">
        <f t="shared" si="68"/>
        <v/>
      </c>
      <c r="AY225" s="271" t="str">
        <f t="shared" si="68"/>
        <v/>
      </c>
      <c r="AZ225" s="271" t="str">
        <f t="shared" si="68"/>
        <v/>
      </c>
      <c r="BA225" s="271" t="str">
        <f t="shared" si="68"/>
        <v/>
      </c>
      <c r="BB225" s="271" t="str">
        <f t="shared" si="68"/>
        <v/>
      </c>
      <c r="BC225" s="271" t="str">
        <f t="shared" si="68"/>
        <v/>
      </c>
    </row>
    <row r="227" spans="1:55" x14ac:dyDescent="0.25">
      <c r="D227" s="41" t="s">
        <v>33</v>
      </c>
      <c r="E227" s="41"/>
      <c r="M227" s="24" t="s">
        <v>81</v>
      </c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</row>
    <row r="228" spans="1:55" x14ac:dyDescent="0.25">
      <c r="F228" s="23" t="s">
        <v>44</v>
      </c>
      <c r="G228" s="23"/>
      <c r="H228" s="23"/>
      <c r="I228" s="23"/>
      <c r="J228" s="23"/>
      <c r="K228" s="23"/>
      <c r="L228" s="7" t="s">
        <v>30</v>
      </c>
      <c r="M228" s="24" t="s">
        <v>46</v>
      </c>
      <c r="N228" s="24"/>
      <c r="O228" s="24"/>
      <c r="P228" s="24"/>
      <c r="Q228" s="24"/>
      <c r="R228" s="24" t="s">
        <v>47</v>
      </c>
      <c r="S228" s="24"/>
      <c r="T228" s="24"/>
      <c r="U228" s="24"/>
      <c r="V228" s="24"/>
      <c r="W228" s="24"/>
      <c r="X228" s="24"/>
      <c r="Y228" s="44" t="s">
        <v>85</v>
      </c>
      <c r="Z228" s="44" t="s">
        <v>48</v>
      </c>
      <c r="AA228" s="44" t="s">
        <v>3</v>
      </c>
    </row>
    <row r="229" spans="1:55" ht="63" x14ac:dyDescent="0.25">
      <c r="F229" s="38" t="s">
        <v>36</v>
      </c>
      <c r="G229" s="38" t="s">
        <v>37</v>
      </c>
      <c r="H229" s="38" t="s">
        <v>38</v>
      </c>
      <c r="I229" s="38" t="s">
        <v>80</v>
      </c>
      <c r="J229" s="38" t="s">
        <v>39</v>
      </c>
      <c r="K229" s="38" t="s">
        <v>45</v>
      </c>
      <c r="L229" s="39" t="s">
        <v>16</v>
      </c>
      <c r="M229" s="40" t="s">
        <v>34</v>
      </c>
      <c r="N229" s="40" t="s">
        <v>5</v>
      </c>
      <c r="O229" s="40" t="s">
        <v>7</v>
      </c>
      <c r="P229" s="40" t="s">
        <v>8</v>
      </c>
      <c r="Q229" s="40" t="s">
        <v>40</v>
      </c>
      <c r="R229" s="40" t="s">
        <v>41</v>
      </c>
      <c r="S229" s="40" t="s">
        <v>42</v>
      </c>
      <c r="T229" s="40" t="s">
        <v>31</v>
      </c>
      <c r="U229" s="40" t="s">
        <v>43</v>
      </c>
      <c r="V229" s="40" t="s">
        <v>82</v>
      </c>
      <c r="W229" s="40" t="s">
        <v>87</v>
      </c>
      <c r="X229" s="40" t="s">
        <v>83</v>
      </c>
      <c r="Y229" s="45" t="s">
        <v>3</v>
      </c>
      <c r="Z229" s="45" t="s">
        <v>86</v>
      </c>
      <c r="AA229" s="45" t="s">
        <v>3</v>
      </c>
    </row>
    <row r="230" spans="1:55" x14ac:dyDescent="0.25">
      <c r="A230" s="15" t="s">
        <v>51</v>
      </c>
      <c r="B230" s="2"/>
      <c r="C230" s="2"/>
      <c r="F230" s="1">
        <f t="shared" ref="F230:X230" si="73">F232+F233+F234</f>
        <v>0</v>
      </c>
      <c r="G230" s="1">
        <f t="shared" si="73"/>
        <v>0</v>
      </c>
      <c r="H230" s="1">
        <f t="shared" si="73"/>
        <v>0</v>
      </c>
      <c r="I230" s="1">
        <f t="shared" si="73"/>
        <v>0</v>
      </c>
      <c r="J230" s="1">
        <f t="shared" si="73"/>
        <v>0</v>
      </c>
      <c r="K230" s="1">
        <f t="shared" si="73"/>
        <v>0</v>
      </c>
      <c r="L230" s="52">
        <f t="shared" si="73"/>
        <v>0</v>
      </c>
      <c r="M230" s="1">
        <f t="shared" si="73"/>
        <v>0</v>
      </c>
      <c r="N230" s="1">
        <f t="shared" si="73"/>
        <v>0</v>
      </c>
      <c r="O230" s="1">
        <f t="shared" si="73"/>
        <v>0</v>
      </c>
      <c r="P230" s="1">
        <f t="shared" si="73"/>
        <v>0</v>
      </c>
      <c r="Q230" s="1">
        <f t="shared" si="73"/>
        <v>0</v>
      </c>
      <c r="R230" s="1">
        <f t="shared" si="73"/>
        <v>0</v>
      </c>
      <c r="S230" s="1">
        <f t="shared" si="73"/>
        <v>0</v>
      </c>
      <c r="T230" s="1">
        <f t="shared" si="73"/>
        <v>0</v>
      </c>
      <c r="U230" s="1">
        <f t="shared" si="73"/>
        <v>0</v>
      </c>
      <c r="V230" s="1">
        <f t="shared" si="73"/>
        <v>0</v>
      </c>
      <c r="W230" s="1">
        <f t="shared" si="73"/>
        <v>0</v>
      </c>
      <c r="X230" s="1">
        <f t="shared" si="73"/>
        <v>0</v>
      </c>
      <c r="Y230" s="58">
        <f t="shared" ref="Y230:Y238" si="74">SUM(F230:K230)</f>
        <v>0</v>
      </c>
      <c r="Z230" s="1">
        <f t="shared" ref="Z230:Z238" si="75">SUM(M230:X230)</f>
        <v>0</v>
      </c>
      <c r="AA230" s="1">
        <f t="shared" ref="AA230:AA238" si="76">L230+Y230+Z230</f>
        <v>0</v>
      </c>
    </row>
    <row r="231" spans="1:55" x14ac:dyDescent="0.25">
      <c r="A231" s="30" t="s">
        <v>60</v>
      </c>
      <c r="B231" s="2"/>
      <c r="C231" s="2"/>
      <c r="F231" s="1">
        <f>F235+F236+F237+F238</f>
        <v>40</v>
      </c>
      <c r="G231" s="1">
        <f t="shared" ref="G231:X231" si="77">G235+G236+G237+G238</f>
        <v>18.315789473684209</v>
      </c>
      <c r="H231" s="1">
        <f t="shared" si="77"/>
        <v>60.977777777777767</v>
      </c>
      <c r="I231" s="1">
        <f t="shared" si="77"/>
        <v>22.866666666666667</v>
      </c>
      <c r="J231" s="1">
        <f t="shared" si="77"/>
        <v>99.052287581699346</v>
      </c>
      <c r="K231" s="1">
        <f t="shared" si="77"/>
        <v>22.275630252100843</v>
      </c>
      <c r="L231" s="52">
        <f t="shared" si="77"/>
        <v>7455</v>
      </c>
      <c r="M231" s="1">
        <f t="shared" si="77"/>
        <v>475.55555555555554</v>
      </c>
      <c r="N231" s="1">
        <f t="shared" si="77"/>
        <v>51.678846153846152</v>
      </c>
      <c r="O231" s="1">
        <f t="shared" si="77"/>
        <v>44.85</v>
      </c>
      <c r="P231" s="1">
        <f t="shared" si="77"/>
        <v>805.55555555555554</v>
      </c>
      <c r="Q231" s="1">
        <f t="shared" si="77"/>
        <v>1182.5396825396826</v>
      </c>
      <c r="R231" s="1">
        <f t="shared" si="77"/>
        <v>829.62962962962968</v>
      </c>
      <c r="S231" s="1">
        <f t="shared" si="77"/>
        <v>2.4888888888888894</v>
      </c>
      <c r="T231" s="1">
        <f t="shared" si="77"/>
        <v>681.69312169312161</v>
      </c>
      <c r="U231" s="1">
        <f t="shared" si="77"/>
        <v>302.38095238095241</v>
      </c>
      <c r="V231" s="1">
        <f t="shared" si="77"/>
        <v>120.27777777777777</v>
      </c>
      <c r="W231" s="1">
        <f t="shared" si="77"/>
        <v>257.90674603174608</v>
      </c>
      <c r="X231" s="54">
        <f t="shared" si="77"/>
        <v>323.17460317460313</v>
      </c>
      <c r="Y231" s="58">
        <f t="shared" si="74"/>
        <v>263.48815175192885</v>
      </c>
      <c r="Z231" s="1">
        <f t="shared" si="75"/>
        <v>5077.7313593813597</v>
      </c>
      <c r="AA231" s="1">
        <f t="shared" si="76"/>
        <v>12796.219511133288</v>
      </c>
      <c r="AE231" s="98" t="s">
        <v>168</v>
      </c>
      <c r="AF231" s="98"/>
      <c r="AG231" s="98"/>
    </row>
    <row r="232" spans="1:55" x14ac:dyDescent="0.25">
      <c r="A232" s="15" t="s">
        <v>51</v>
      </c>
      <c r="B232" s="16" t="s">
        <v>52</v>
      </c>
      <c r="C232" s="2"/>
      <c r="F232" s="1">
        <f>F239+F240+F241</f>
        <v>0</v>
      </c>
      <c r="G232" s="1">
        <f t="shared" ref="G232:X232" si="78">G239+G240+G241</f>
        <v>0</v>
      </c>
      <c r="H232" s="1">
        <f t="shared" si="78"/>
        <v>0</v>
      </c>
      <c r="I232" s="1">
        <f t="shared" si="78"/>
        <v>0</v>
      </c>
      <c r="J232" s="1">
        <f t="shared" si="78"/>
        <v>0</v>
      </c>
      <c r="K232" s="1">
        <f t="shared" si="78"/>
        <v>0</v>
      </c>
      <c r="L232" s="52">
        <f t="shared" si="78"/>
        <v>0</v>
      </c>
      <c r="M232" s="1">
        <f t="shared" si="78"/>
        <v>0</v>
      </c>
      <c r="N232" s="1">
        <f t="shared" si="78"/>
        <v>0</v>
      </c>
      <c r="O232" s="1">
        <f t="shared" si="78"/>
        <v>0</v>
      </c>
      <c r="P232" s="1">
        <f t="shared" si="78"/>
        <v>0</v>
      </c>
      <c r="Q232" s="1">
        <f t="shared" si="78"/>
        <v>0</v>
      </c>
      <c r="R232" s="1">
        <f t="shared" si="78"/>
        <v>0</v>
      </c>
      <c r="S232" s="1">
        <f t="shared" si="78"/>
        <v>0</v>
      </c>
      <c r="T232" s="1">
        <f t="shared" si="78"/>
        <v>0</v>
      </c>
      <c r="U232" s="1">
        <f t="shared" si="78"/>
        <v>0</v>
      </c>
      <c r="V232" s="1">
        <f t="shared" si="78"/>
        <v>0</v>
      </c>
      <c r="W232" s="1">
        <f t="shared" si="78"/>
        <v>0</v>
      </c>
      <c r="X232" s="54">
        <f t="shared" si="78"/>
        <v>0</v>
      </c>
      <c r="Y232" s="58">
        <f t="shared" si="74"/>
        <v>0</v>
      </c>
      <c r="Z232" s="1">
        <f t="shared" si="75"/>
        <v>0</v>
      </c>
      <c r="AA232" s="1">
        <f t="shared" si="76"/>
        <v>0</v>
      </c>
      <c r="AE232" s="98">
        <f>52+38+32+29+14+13+9+7+25+20</f>
        <v>239</v>
      </c>
      <c r="AF232" s="98" t="s">
        <v>98</v>
      </c>
      <c r="AG232" s="98"/>
    </row>
    <row r="233" spans="1:55" x14ac:dyDescent="0.25">
      <c r="A233" s="15" t="s">
        <v>51</v>
      </c>
      <c r="B233" s="16" t="s">
        <v>56</v>
      </c>
      <c r="C233" s="2"/>
      <c r="F233" s="1">
        <f>F242+F243+F244</f>
        <v>0</v>
      </c>
      <c r="G233" s="1">
        <f t="shared" ref="G233:X233" si="79">G242+G243+G244</f>
        <v>0</v>
      </c>
      <c r="H233" s="1">
        <f t="shared" si="79"/>
        <v>0</v>
      </c>
      <c r="I233" s="1">
        <f t="shared" si="79"/>
        <v>0</v>
      </c>
      <c r="J233" s="1">
        <f t="shared" si="79"/>
        <v>0</v>
      </c>
      <c r="K233" s="1">
        <f t="shared" si="79"/>
        <v>0</v>
      </c>
      <c r="L233" s="52">
        <f t="shared" si="79"/>
        <v>0</v>
      </c>
      <c r="M233" s="1">
        <f t="shared" si="79"/>
        <v>0</v>
      </c>
      <c r="N233" s="1">
        <f t="shared" si="79"/>
        <v>0</v>
      </c>
      <c r="O233" s="1">
        <f t="shared" si="79"/>
        <v>0</v>
      </c>
      <c r="P233" s="1">
        <f t="shared" si="79"/>
        <v>0</v>
      </c>
      <c r="Q233" s="1">
        <f t="shared" si="79"/>
        <v>0</v>
      </c>
      <c r="R233" s="1">
        <f t="shared" si="79"/>
        <v>0</v>
      </c>
      <c r="S233" s="1">
        <f t="shared" si="79"/>
        <v>0</v>
      </c>
      <c r="T233" s="1">
        <f t="shared" si="79"/>
        <v>0</v>
      </c>
      <c r="U233" s="1">
        <f t="shared" si="79"/>
        <v>0</v>
      </c>
      <c r="V233" s="1">
        <f t="shared" si="79"/>
        <v>0</v>
      </c>
      <c r="W233" s="1">
        <f t="shared" si="79"/>
        <v>0</v>
      </c>
      <c r="X233" s="54">
        <f t="shared" si="79"/>
        <v>0</v>
      </c>
      <c r="Y233" s="58">
        <f t="shared" si="74"/>
        <v>0</v>
      </c>
      <c r="Z233" s="1">
        <f t="shared" si="75"/>
        <v>0</v>
      </c>
      <c r="AA233" s="1">
        <f t="shared" si="76"/>
        <v>0</v>
      </c>
      <c r="AE233" s="98">
        <f>453</f>
        <v>453</v>
      </c>
      <c r="AF233" s="98" t="s">
        <v>169</v>
      </c>
      <c r="AG233" s="98"/>
    </row>
    <row r="234" spans="1:55" x14ac:dyDescent="0.25">
      <c r="A234" s="15" t="s">
        <v>51</v>
      </c>
      <c r="B234" s="16" t="s">
        <v>9</v>
      </c>
      <c r="C234" s="2"/>
      <c r="F234" s="1">
        <f>F245</f>
        <v>0</v>
      </c>
      <c r="G234" s="1">
        <f t="shared" ref="G234:X234" si="80">G245</f>
        <v>0</v>
      </c>
      <c r="H234" s="1">
        <f t="shared" si="80"/>
        <v>0</v>
      </c>
      <c r="I234" s="1">
        <f t="shared" si="80"/>
        <v>0</v>
      </c>
      <c r="J234" s="1">
        <f t="shared" si="80"/>
        <v>0</v>
      </c>
      <c r="K234" s="1">
        <f t="shared" si="80"/>
        <v>0</v>
      </c>
      <c r="L234" s="52">
        <f t="shared" si="80"/>
        <v>0</v>
      </c>
      <c r="M234" s="1">
        <f t="shared" si="80"/>
        <v>0</v>
      </c>
      <c r="N234" s="1">
        <f t="shared" si="80"/>
        <v>0</v>
      </c>
      <c r="O234" s="1">
        <f t="shared" si="80"/>
        <v>0</v>
      </c>
      <c r="P234" s="1">
        <f t="shared" si="80"/>
        <v>0</v>
      </c>
      <c r="Q234" s="1">
        <f t="shared" si="80"/>
        <v>0</v>
      </c>
      <c r="R234" s="1">
        <f t="shared" si="80"/>
        <v>0</v>
      </c>
      <c r="S234" s="1">
        <f t="shared" si="80"/>
        <v>0</v>
      </c>
      <c r="T234" s="1">
        <f t="shared" si="80"/>
        <v>0</v>
      </c>
      <c r="U234" s="1">
        <f t="shared" si="80"/>
        <v>0</v>
      </c>
      <c r="V234" s="1">
        <f t="shared" si="80"/>
        <v>0</v>
      </c>
      <c r="W234" s="1">
        <f t="shared" si="80"/>
        <v>0</v>
      </c>
      <c r="X234" s="54">
        <f t="shared" si="80"/>
        <v>0</v>
      </c>
      <c r="Y234" s="58">
        <f t="shared" si="74"/>
        <v>0</v>
      </c>
      <c r="Z234" s="1">
        <f t="shared" si="75"/>
        <v>0</v>
      </c>
      <c r="AA234" s="1">
        <f t="shared" si="76"/>
        <v>0</v>
      </c>
      <c r="AE234">
        <f>AE232/AE233*1000</f>
        <v>527.59381898454751</v>
      </c>
      <c r="AF234" t="s">
        <v>170</v>
      </c>
    </row>
    <row r="235" spans="1:55" x14ac:dyDescent="0.25">
      <c r="A235" s="30" t="s">
        <v>60</v>
      </c>
      <c r="B235" s="32" t="s">
        <v>13</v>
      </c>
      <c r="C235" s="2"/>
      <c r="F235" s="51">
        <f>F246+F247+F248</f>
        <v>40</v>
      </c>
      <c r="G235" s="51">
        <f t="shared" ref="G235:X235" si="81">G246+G247+G248</f>
        <v>18.315789473684209</v>
      </c>
      <c r="H235" s="51">
        <f t="shared" si="81"/>
        <v>60.977777777777767</v>
      </c>
      <c r="I235" s="51">
        <f t="shared" si="81"/>
        <v>22.866666666666667</v>
      </c>
      <c r="J235" s="51">
        <f t="shared" si="81"/>
        <v>22.941176470588236</v>
      </c>
      <c r="K235" s="51">
        <f t="shared" si="81"/>
        <v>17.647058823529413</v>
      </c>
      <c r="L235" s="52">
        <f t="shared" si="81"/>
        <v>0</v>
      </c>
      <c r="M235" s="51">
        <f t="shared" si="81"/>
        <v>55.555555555555557</v>
      </c>
      <c r="N235" s="51">
        <f t="shared" si="81"/>
        <v>15.125</v>
      </c>
      <c r="O235" s="51">
        <f t="shared" si="81"/>
        <v>44.85</v>
      </c>
      <c r="P235" s="51">
        <f t="shared" si="81"/>
        <v>805.55555555555554</v>
      </c>
      <c r="Q235" s="51">
        <f t="shared" si="81"/>
        <v>39.682539682539677</v>
      </c>
      <c r="R235" s="51">
        <f t="shared" si="81"/>
        <v>29.629629629629633</v>
      </c>
      <c r="S235" s="51">
        <f t="shared" si="81"/>
        <v>0</v>
      </c>
      <c r="T235" s="51">
        <f t="shared" si="81"/>
        <v>7.4074074074074083</v>
      </c>
      <c r="U235" s="51">
        <f t="shared" si="81"/>
        <v>16.666666666666668</v>
      </c>
      <c r="V235" s="51">
        <f t="shared" si="81"/>
        <v>0.27777777777777779</v>
      </c>
      <c r="W235" s="51">
        <f t="shared" si="81"/>
        <v>0.76388888888888884</v>
      </c>
      <c r="X235" s="55">
        <f t="shared" si="81"/>
        <v>33.333333333333336</v>
      </c>
      <c r="Y235" s="59">
        <f t="shared" si="74"/>
        <v>182.74846921224631</v>
      </c>
      <c r="Z235" s="51">
        <f t="shared" si="75"/>
        <v>1048.8473544973544</v>
      </c>
      <c r="AA235" s="51">
        <f t="shared" si="76"/>
        <v>1231.5958237096008</v>
      </c>
    </row>
    <row r="236" spans="1:55" x14ac:dyDescent="0.25">
      <c r="A236" s="30" t="s">
        <v>60</v>
      </c>
      <c r="B236" s="31" t="s">
        <v>23</v>
      </c>
      <c r="C236" s="2"/>
      <c r="F236" s="51">
        <f>F249+F250+F251</f>
        <v>0</v>
      </c>
      <c r="G236" s="51">
        <f t="shared" ref="G236:X236" si="82">G249+G250+G251</f>
        <v>0</v>
      </c>
      <c r="H236" s="51">
        <f t="shared" si="82"/>
        <v>0</v>
      </c>
      <c r="I236" s="51">
        <f t="shared" si="82"/>
        <v>0</v>
      </c>
      <c r="J236" s="51">
        <f t="shared" si="82"/>
        <v>17.777777777777779</v>
      </c>
      <c r="K236" s="51">
        <f t="shared" si="82"/>
        <v>4.628571428571429</v>
      </c>
      <c r="L236" s="52">
        <f t="shared" si="82"/>
        <v>0</v>
      </c>
      <c r="M236" s="51">
        <f t="shared" si="82"/>
        <v>0</v>
      </c>
      <c r="N236" s="51">
        <f t="shared" si="82"/>
        <v>36.553846153846152</v>
      </c>
      <c r="O236" s="51">
        <f t="shared" si="82"/>
        <v>0</v>
      </c>
      <c r="P236" s="51">
        <f t="shared" si="82"/>
        <v>0</v>
      </c>
      <c r="Q236" s="51">
        <f t="shared" si="82"/>
        <v>0</v>
      </c>
      <c r="R236" s="51">
        <f t="shared" si="82"/>
        <v>0</v>
      </c>
      <c r="S236" s="51">
        <f t="shared" si="82"/>
        <v>2.4888888888888894</v>
      </c>
      <c r="T236" s="51">
        <f t="shared" si="82"/>
        <v>17.142857142857142</v>
      </c>
      <c r="U236" s="51">
        <f t="shared" si="82"/>
        <v>0</v>
      </c>
      <c r="V236" s="51">
        <f t="shared" si="82"/>
        <v>0</v>
      </c>
      <c r="W236" s="51">
        <f t="shared" si="82"/>
        <v>0</v>
      </c>
      <c r="X236" s="55">
        <f t="shared" si="82"/>
        <v>2.2222222222222223</v>
      </c>
      <c r="Y236" s="59">
        <f t="shared" si="74"/>
        <v>22.406349206349208</v>
      </c>
      <c r="Z236" s="51">
        <f t="shared" si="75"/>
        <v>58.407814407814406</v>
      </c>
      <c r="AA236" s="51">
        <f t="shared" si="76"/>
        <v>80.814163614163618</v>
      </c>
    </row>
    <row r="237" spans="1:55" x14ac:dyDescent="0.25">
      <c r="A237" s="30" t="s">
        <v>60</v>
      </c>
      <c r="B237" s="31" t="s">
        <v>65</v>
      </c>
      <c r="C237" s="46"/>
      <c r="F237" s="51">
        <f>F252+F253+F254</f>
        <v>0</v>
      </c>
      <c r="G237" s="51">
        <f t="shared" ref="G237:X237" si="83">G252+G253+G254</f>
        <v>0</v>
      </c>
      <c r="H237" s="51">
        <f t="shared" si="83"/>
        <v>0</v>
      </c>
      <c r="I237" s="51">
        <f t="shared" si="83"/>
        <v>0</v>
      </c>
      <c r="J237" s="51">
        <f t="shared" si="83"/>
        <v>58.333333333333336</v>
      </c>
      <c r="K237" s="51">
        <f t="shared" si="83"/>
        <v>0</v>
      </c>
      <c r="L237" s="52">
        <f t="shared" si="83"/>
        <v>7455</v>
      </c>
      <c r="M237" s="51">
        <f t="shared" si="83"/>
        <v>420</v>
      </c>
      <c r="N237" s="51">
        <f t="shared" si="83"/>
        <v>0</v>
      </c>
      <c r="O237" s="51">
        <f t="shared" si="83"/>
        <v>0</v>
      </c>
      <c r="P237" s="51">
        <f t="shared" si="83"/>
        <v>0</v>
      </c>
      <c r="Q237" s="51">
        <f t="shared" si="83"/>
        <v>1142.8571428571429</v>
      </c>
      <c r="R237" s="51">
        <f t="shared" si="83"/>
        <v>800</v>
      </c>
      <c r="S237" s="51">
        <f t="shared" si="83"/>
        <v>0</v>
      </c>
      <c r="T237" s="51">
        <f t="shared" si="83"/>
        <v>657.14285714285711</v>
      </c>
      <c r="U237" s="51">
        <f t="shared" si="83"/>
        <v>285.71428571428572</v>
      </c>
      <c r="V237" s="51">
        <f t="shared" si="83"/>
        <v>120</v>
      </c>
      <c r="W237" s="51">
        <f t="shared" si="83"/>
        <v>257.14285714285717</v>
      </c>
      <c r="X237" s="55">
        <f t="shared" si="83"/>
        <v>240</v>
      </c>
      <c r="Y237" s="59">
        <f t="shared" si="74"/>
        <v>58.333333333333336</v>
      </c>
      <c r="Z237" s="51">
        <f t="shared" si="75"/>
        <v>3922.8571428571431</v>
      </c>
      <c r="AA237" s="51">
        <f t="shared" si="76"/>
        <v>11436.190476190477</v>
      </c>
    </row>
    <row r="238" spans="1:55" ht="15.75" thickBot="1" x14ac:dyDescent="0.3">
      <c r="A238" s="48" t="s">
        <v>60</v>
      </c>
      <c r="B238" s="49" t="s">
        <v>9</v>
      </c>
      <c r="C238" s="50"/>
      <c r="D238" s="50"/>
      <c r="E238" s="50"/>
      <c r="F238" s="53">
        <f>F255</f>
        <v>0</v>
      </c>
      <c r="G238" s="53">
        <f t="shared" ref="G238:X238" si="84">G255</f>
        <v>0</v>
      </c>
      <c r="H238" s="53">
        <f t="shared" si="84"/>
        <v>0</v>
      </c>
      <c r="I238" s="53">
        <f t="shared" si="84"/>
        <v>0</v>
      </c>
      <c r="J238" s="53">
        <f t="shared" si="84"/>
        <v>0</v>
      </c>
      <c r="K238" s="53">
        <f t="shared" si="84"/>
        <v>0</v>
      </c>
      <c r="L238" s="62">
        <f t="shared" si="84"/>
        <v>0</v>
      </c>
      <c r="M238" s="53">
        <f t="shared" si="84"/>
        <v>0</v>
      </c>
      <c r="N238" s="53">
        <f t="shared" si="84"/>
        <v>0</v>
      </c>
      <c r="O238" s="53">
        <f t="shared" si="84"/>
        <v>0</v>
      </c>
      <c r="P238" s="53">
        <f t="shared" si="84"/>
        <v>0</v>
      </c>
      <c r="Q238" s="53">
        <f t="shared" si="84"/>
        <v>0</v>
      </c>
      <c r="R238" s="53">
        <f t="shared" si="84"/>
        <v>0</v>
      </c>
      <c r="S238" s="53">
        <f t="shared" si="84"/>
        <v>0</v>
      </c>
      <c r="T238" s="53">
        <f t="shared" si="84"/>
        <v>0</v>
      </c>
      <c r="U238" s="53">
        <f t="shared" si="84"/>
        <v>0</v>
      </c>
      <c r="V238" s="53">
        <f t="shared" si="84"/>
        <v>0</v>
      </c>
      <c r="W238" s="53">
        <f t="shared" si="84"/>
        <v>0</v>
      </c>
      <c r="X238" s="56">
        <f t="shared" si="84"/>
        <v>47.61904761904762</v>
      </c>
      <c r="Y238" s="60">
        <f t="shared" si="74"/>
        <v>0</v>
      </c>
      <c r="Z238" s="53">
        <f t="shared" si="75"/>
        <v>47.61904761904762</v>
      </c>
      <c r="AA238" s="53">
        <f t="shared" si="76"/>
        <v>47.61904761904762</v>
      </c>
    </row>
    <row r="239" spans="1:55" ht="15.75" thickTop="1" x14ac:dyDescent="0.25">
      <c r="A239" s="15" t="s">
        <v>51</v>
      </c>
      <c r="B239" s="16" t="s">
        <v>52</v>
      </c>
      <c r="C239" s="16" t="s">
        <v>53</v>
      </c>
      <c r="D239" s="2"/>
      <c r="E239" s="2"/>
      <c r="F239" s="47">
        <f t="shared" ref="F239:AA250" si="85">IF(F284&gt;0,F14/F284,0)</f>
        <v>0</v>
      </c>
      <c r="G239" s="47">
        <f t="shared" si="85"/>
        <v>0</v>
      </c>
      <c r="H239" s="47">
        <f t="shared" si="85"/>
        <v>0</v>
      </c>
      <c r="I239" s="47">
        <f t="shared" si="85"/>
        <v>0</v>
      </c>
      <c r="J239" s="47">
        <f t="shared" si="85"/>
        <v>0</v>
      </c>
      <c r="K239" s="47">
        <f t="shared" si="85"/>
        <v>0</v>
      </c>
      <c r="L239" s="63">
        <f t="shared" si="85"/>
        <v>0</v>
      </c>
      <c r="M239" s="47">
        <f t="shared" si="85"/>
        <v>0</v>
      </c>
      <c r="N239" s="47">
        <f t="shared" si="85"/>
        <v>0</v>
      </c>
      <c r="O239" s="47">
        <f t="shared" si="85"/>
        <v>0</v>
      </c>
      <c r="P239" s="47">
        <f t="shared" si="85"/>
        <v>0</v>
      </c>
      <c r="Q239" s="47">
        <f t="shared" si="85"/>
        <v>0</v>
      </c>
      <c r="R239" s="47">
        <f t="shared" si="85"/>
        <v>0</v>
      </c>
      <c r="S239" s="47">
        <f t="shared" si="85"/>
        <v>0</v>
      </c>
      <c r="T239" s="47">
        <f t="shared" si="85"/>
        <v>0</v>
      </c>
      <c r="U239" s="47">
        <f t="shared" si="85"/>
        <v>0</v>
      </c>
      <c r="V239" s="47">
        <f t="shared" si="85"/>
        <v>0</v>
      </c>
      <c r="W239" s="47">
        <f t="shared" si="85"/>
        <v>0</v>
      </c>
      <c r="X239" s="57">
        <f t="shared" si="85"/>
        <v>0</v>
      </c>
      <c r="Y239" s="61">
        <f t="shared" si="85"/>
        <v>0</v>
      </c>
      <c r="Z239" s="47">
        <f t="shared" si="85"/>
        <v>0</v>
      </c>
      <c r="AA239" s="47">
        <f t="shared" si="85"/>
        <v>0</v>
      </c>
    </row>
    <row r="240" spans="1:55" x14ac:dyDescent="0.25">
      <c r="A240" s="15" t="s">
        <v>51</v>
      </c>
      <c r="B240" s="16" t="s">
        <v>52</v>
      </c>
      <c r="C240" s="16" t="s">
        <v>54</v>
      </c>
      <c r="D240" s="2"/>
      <c r="E240" s="2"/>
      <c r="F240" s="1">
        <f t="shared" si="85"/>
        <v>0</v>
      </c>
      <c r="G240" s="1">
        <f t="shared" si="85"/>
        <v>0</v>
      </c>
      <c r="H240" s="1">
        <f t="shared" si="85"/>
        <v>0</v>
      </c>
      <c r="I240" s="1">
        <f t="shared" si="85"/>
        <v>0</v>
      </c>
      <c r="J240" s="1">
        <f t="shared" si="85"/>
        <v>0</v>
      </c>
      <c r="K240" s="1">
        <f t="shared" si="85"/>
        <v>0</v>
      </c>
      <c r="L240" s="52">
        <f t="shared" si="85"/>
        <v>0</v>
      </c>
      <c r="M240" s="1">
        <f t="shared" si="85"/>
        <v>0</v>
      </c>
      <c r="N240" s="1">
        <f t="shared" si="85"/>
        <v>0</v>
      </c>
      <c r="O240" s="1">
        <f t="shared" si="85"/>
        <v>0</v>
      </c>
      <c r="P240" s="1">
        <f t="shared" si="85"/>
        <v>0</v>
      </c>
      <c r="Q240" s="1">
        <f t="shared" si="85"/>
        <v>0</v>
      </c>
      <c r="R240" s="1">
        <f t="shared" si="85"/>
        <v>0</v>
      </c>
      <c r="S240" s="1">
        <f t="shared" si="85"/>
        <v>0</v>
      </c>
      <c r="T240" s="1">
        <f t="shared" si="85"/>
        <v>0</v>
      </c>
      <c r="U240" s="1">
        <f t="shared" si="85"/>
        <v>0</v>
      </c>
      <c r="V240" s="1">
        <f t="shared" si="85"/>
        <v>0</v>
      </c>
      <c r="W240" s="1">
        <f t="shared" si="85"/>
        <v>0</v>
      </c>
      <c r="X240" s="54">
        <f t="shared" si="85"/>
        <v>0</v>
      </c>
      <c r="Y240" s="58">
        <f t="shared" si="85"/>
        <v>0</v>
      </c>
      <c r="Z240" s="1">
        <f t="shared" si="85"/>
        <v>0</v>
      </c>
      <c r="AA240" s="1">
        <f t="shared" si="85"/>
        <v>0</v>
      </c>
    </row>
    <row r="241" spans="1:29" x14ac:dyDescent="0.25">
      <c r="A241" s="15" t="s">
        <v>51</v>
      </c>
      <c r="B241" s="16" t="s">
        <v>52</v>
      </c>
      <c r="C241" s="16" t="s">
        <v>55</v>
      </c>
      <c r="D241" s="2"/>
      <c r="E241" s="2"/>
      <c r="F241" s="1">
        <f t="shared" si="85"/>
        <v>0</v>
      </c>
      <c r="G241" s="1">
        <f t="shared" si="85"/>
        <v>0</v>
      </c>
      <c r="H241" s="1">
        <f t="shared" si="85"/>
        <v>0</v>
      </c>
      <c r="I241" s="1">
        <f t="shared" si="85"/>
        <v>0</v>
      </c>
      <c r="J241" s="1">
        <f t="shared" si="85"/>
        <v>0</v>
      </c>
      <c r="K241" s="1">
        <f t="shared" si="85"/>
        <v>0</v>
      </c>
      <c r="L241" s="52">
        <f t="shared" si="85"/>
        <v>0</v>
      </c>
      <c r="M241" s="1">
        <f t="shared" si="85"/>
        <v>0</v>
      </c>
      <c r="N241" s="1">
        <f t="shared" si="85"/>
        <v>0</v>
      </c>
      <c r="O241" s="1">
        <f t="shared" si="85"/>
        <v>0</v>
      </c>
      <c r="P241" s="1">
        <f t="shared" si="85"/>
        <v>0</v>
      </c>
      <c r="Q241" s="1">
        <f t="shared" si="85"/>
        <v>0</v>
      </c>
      <c r="R241" s="1">
        <f t="shared" si="85"/>
        <v>0</v>
      </c>
      <c r="S241" s="1">
        <f t="shared" si="85"/>
        <v>0</v>
      </c>
      <c r="T241" s="1">
        <f t="shared" si="85"/>
        <v>0</v>
      </c>
      <c r="U241" s="1">
        <f t="shared" si="85"/>
        <v>0</v>
      </c>
      <c r="V241" s="1">
        <f t="shared" si="85"/>
        <v>0</v>
      </c>
      <c r="W241" s="1">
        <f t="shared" si="85"/>
        <v>0</v>
      </c>
      <c r="X241" s="54">
        <f t="shared" si="85"/>
        <v>0</v>
      </c>
      <c r="Y241" s="58">
        <f t="shared" si="85"/>
        <v>0</v>
      </c>
      <c r="Z241" s="1">
        <f t="shared" si="85"/>
        <v>0</v>
      </c>
      <c r="AA241" s="1">
        <f t="shared" si="85"/>
        <v>0</v>
      </c>
    </row>
    <row r="242" spans="1:29" x14ac:dyDescent="0.25">
      <c r="A242" s="25" t="s">
        <v>51</v>
      </c>
      <c r="B242" s="26" t="s">
        <v>56</v>
      </c>
      <c r="C242" s="26" t="s">
        <v>57</v>
      </c>
      <c r="D242" s="2"/>
      <c r="E242" s="2"/>
      <c r="F242" s="1">
        <f t="shared" si="85"/>
        <v>0</v>
      </c>
      <c r="G242" s="1">
        <f t="shared" si="85"/>
        <v>0</v>
      </c>
      <c r="H242" s="1">
        <f t="shared" si="85"/>
        <v>0</v>
      </c>
      <c r="I242" s="1">
        <f t="shared" si="85"/>
        <v>0</v>
      </c>
      <c r="J242" s="1">
        <f t="shared" si="85"/>
        <v>0</v>
      </c>
      <c r="K242" s="1">
        <f t="shared" si="85"/>
        <v>0</v>
      </c>
      <c r="L242" s="52">
        <f t="shared" si="85"/>
        <v>0</v>
      </c>
      <c r="M242" s="1">
        <f t="shared" si="85"/>
        <v>0</v>
      </c>
      <c r="N242" s="1">
        <f t="shared" si="85"/>
        <v>0</v>
      </c>
      <c r="O242" s="1">
        <f t="shared" si="85"/>
        <v>0</v>
      </c>
      <c r="P242" s="1">
        <f t="shared" si="85"/>
        <v>0</v>
      </c>
      <c r="Q242" s="1">
        <f t="shared" si="85"/>
        <v>0</v>
      </c>
      <c r="R242" s="1">
        <f t="shared" si="85"/>
        <v>0</v>
      </c>
      <c r="S242" s="1">
        <f t="shared" si="85"/>
        <v>0</v>
      </c>
      <c r="T242" s="1">
        <f t="shared" si="85"/>
        <v>0</v>
      </c>
      <c r="U242" s="1">
        <f t="shared" si="85"/>
        <v>0</v>
      </c>
      <c r="V242" s="1">
        <f t="shared" si="85"/>
        <v>0</v>
      </c>
      <c r="W242" s="1">
        <f t="shared" si="85"/>
        <v>0</v>
      </c>
      <c r="X242" s="54">
        <f t="shared" si="85"/>
        <v>0</v>
      </c>
      <c r="Y242" s="58">
        <f t="shared" si="85"/>
        <v>0</v>
      </c>
      <c r="Z242" s="1">
        <f t="shared" si="85"/>
        <v>0</v>
      </c>
      <c r="AA242" s="1">
        <f t="shared" si="85"/>
        <v>0</v>
      </c>
    </row>
    <row r="243" spans="1:29" x14ac:dyDescent="0.25">
      <c r="A243" s="15" t="s">
        <v>51</v>
      </c>
      <c r="B243" s="16" t="s">
        <v>56</v>
      </c>
      <c r="C243" s="27" t="s">
        <v>58</v>
      </c>
      <c r="D243" s="2"/>
      <c r="E243" s="2"/>
      <c r="F243" s="1">
        <f t="shared" si="85"/>
        <v>0</v>
      </c>
      <c r="G243" s="1">
        <f t="shared" si="85"/>
        <v>0</v>
      </c>
      <c r="H243" s="1">
        <f t="shared" si="85"/>
        <v>0</v>
      </c>
      <c r="I243" s="1">
        <f t="shared" si="85"/>
        <v>0</v>
      </c>
      <c r="J243" s="1">
        <f t="shared" si="85"/>
        <v>0</v>
      </c>
      <c r="K243" s="1">
        <f t="shared" si="85"/>
        <v>0</v>
      </c>
      <c r="L243" s="52">
        <f t="shared" si="85"/>
        <v>0</v>
      </c>
      <c r="M243" s="1">
        <f t="shared" si="85"/>
        <v>0</v>
      </c>
      <c r="N243" s="1">
        <f t="shared" si="85"/>
        <v>0</v>
      </c>
      <c r="O243" s="1">
        <f t="shared" si="85"/>
        <v>0</v>
      </c>
      <c r="P243" s="1">
        <f t="shared" si="85"/>
        <v>0</v>
      </c>
      <c r="Q243" s="1">
        <f t="shared" si="85"/>
        <v>0</v>
      </c>
      <c r="R243" s="1">
        <f t="shared" si="85"/>
        <v>0</v>
      </c>
      <c r="S243" s="1">
        <f t="shared" si="85"/>
        <v>0</v>
      </c>
      <c r="T243" s="1">
        <f t="shared" si="85"/>
        <v>0</v>
      </c>
      <c r="U243" s="1">
        <f t="shared" si="85"/>
        <v>0</v>
      </c>
      <c r="V243" s="1">
        <f t="shared" si="85"/>
        <v>0</v>
      </c>
      <c r="W243" s="1">
        <f t="shared" si="85"/>
        <v>0</v>
      </c>
      <c r="X243" s="54">
        <f t="shared" si="85"/>
        <v>0</v>
      </c>
      <c r="Y243" s="58">
        <f t="shared" si="85"/>
        <v>0</v>
      </c>
      <c r="Z243" s="1">
        <f t="shared" si="85"/>
        <v>0</v>
      </c>
      <c r="AA243" s="1">
        <f t="shared" si="85"/>
        <v>0</v>
      </c>
    </row>
    <row r="244" spans="1:29" x14ac:dyDescent="0.25">
      <c r="A244" s="15" t="s">
        <v>51</v>
      </c>
      <c r="B244" s="16" t="s">
        <v>9</v>
      </c>
      <c r="C244" s="27" t="s">
        <v>59</v>
      </c>
      <c r="D244" s="2"/>
      <c r="E244" s="2"/>
      <c r="F244" s="1">
        <f t="shared" si="85"/>
        <v>0</v>
      </c>
      <c r="G244" s="1">
        <f t="shared" si="85"/>
        <v>0</v>
      </c>
      <c r="H244" s="1">
        <f t="shared" si="85"/>
        <v>0</v>
      </c>
      <c r="I244" s="1">
        <f t="shared" si="85"/>
        <v>0</v>
      </c>
      <c r="J244" s="1">
        <f t="shared" si="85"/>
        <v>0</v>
      </c>
      <c r="K244" s="1">
        <f t="shared" si="85"/>
        <v>0</v>
      </c>
      <c r="L244" s="52">
        <f t="shared" si="85"/>
        <v>0</v>
      </c>
      <c r="M244" s="1">
        <f t="shared" si="85"/>
        <v>0</v>
      </c>
      <c r="N244" s="1">
        <f t="shared" si="85"/>
        <v>0</v>
      </c>
      <c r="O244" s="1">
        <f t="shared" si="85"/>
        <v>0</v>
      </c>
      <c r="P244" s="1">
        <f t="shared" si="85"/>
        <v>0</v>
      </c>
      <c r="Q244" s="1">
        <f t="shared" si="85"/>
        <v>0</v>
      </c>
      <c r="R244" s="1">
        <f t="shared" si="85"/>
        <v>0</v>
      </c>
      <c r="S244" s="1">
        <f t="shared" si="85"/>
        <v>0</v>
      </c>
      <c r="T244" s="1">
        <f t="shared" si="85"/>
        <v>0</v>
      </c>
      <c r="U244" s="1">
        <f t="shared" si="85"/>
        <v>0</v>
      </c>
      <c r="V244" s="1">
        <f t="shared" si="85"/>
        <v>0</v>
      </c>
      <c r="W244" s="1">
        <f t="shared" si="85"/>
        <v>0</v>
      </c>
      <c r="X244" s="54">
        <f t="shared" si="85"/>
        <v>0</v>
      </c>
      <c r="Y244" s="58">
        <f t="shared" si="85"/>
        <v>0</v>
      </c>
      <c r="Z244" s="1">
        <f t="shared" si="85"/>
        <v>0</v>
      </c>
      <c r="AA244" s="1">
        <f t="shared" si="85"/>
        <v>0</v>
      </c>
    </row>
    <row r="245" spans="1:29" x14ac:dyDescent="0.25">
      <c r="A245" s="15" t="s">
        <v>51</v>
      </c>
      <c r="B245" s="16" t="s">
        <v>9</v>
      </c>
      <c r="C245" s="27" t="s">
        <v>9</v>
      </c>
      <c r="D245" s="2"/>
      <c r="E245" s="2"/>
      <c r="F245" s="1">
        <f t="shared" si="85"/>
        <v>0</v>
      </c>
      <c r="G245" s="1">
        <f t="shared" si="85"/>
        <v>0</v>
      </c>
      <c r="H245" s="1">
        <f t="shared" si="85"/>
        <v>0</v>
      </c>
      <c r="I245" s="1">
        <f t="shared" si="85"/>
        <v>0</v>
      </c>
      <c r="J245" s="1">
        <f t="shared" si="85"/>
        <v>0</v>
      </c>
      <c r="K245" s="1">
        <f t="shared" si="85"/>
        <v>0</v>
      </c>
      <c r="L245" s="52">
        <f t="shared" si="85"/>
        <v>0</v>
      </c>
      <c r="M245" s="1">
        <f t="shared" si="85"/>
        <v>0</v>
      </c>
      <c r="N245" s="1">
        <f t="shared" si="85"/>
        <v>0</v>
      </c>
      <c r="O245" s="1">
        <f t="shared" si="85"/>
        <v>0</v>
      </c>
      <c r="P245" s="1">
        <f t="shared" si="85"/>
        <v>0</v>
      </c>
      <c r="Q245" s="1">
        <f t="shared" si="85"/>
        <v>0</v>
      </c>
      <c r="R245" s="1">
        <f t="shared" si="85"/>
        <v>0</v>
      </c>
      <c r="S245" s="1">
        <f t="shared" si="85"/>
        <v>0</v>
      </c>
      <c r="T245" s="1">
        <f t="shared" si="85"/>
        <v>0</v>
      </c>
      <c r="U245" s="1">
        <f t="shared" si="85"/>
        <v>0</v>
      </c>
      <c r="V245" s="1">
        <f t="shared" si="85"/>
        <v>0</v>
      </c>
      <c r="W245" s="1">
        <f t="shared" si="85"/>
        <v>0</v>
      </c>
      <c r="X245" s="54">
        <f t="shared" si="85"/>
        <v>0</v>
      </c>
      <c r="Y245" s="58">
        <f t="shared" si="85"/>
        <v>0</v>
      </c>
      <c r="Z245" s="1">
        <f t="shared" si="85"/>
        <v>0</v>
      </c>
      <c r="AA245" s="1">
        <f t="shared" si="85"/>
        <v>0</v>
      </c>
    </row>
    <row r="246" spans="1:29" x14ac:dyDescent="0.25">
      <c r="A246" s="28" t="s">
        <v>60</v>
      </c>
      <c r="B246" s="29" t="s">
        <v>13</v>
      </c>
      <c r="C246" s="29" t="s">
        <v>61</v>
      </c>
      <c r="D246" s="2"/>
      <c r="E246" s="2"/>
      <c r="F246" s="86">
        <f t="shared" si="85"/>
        <v>26</v>
      </c>
      <c r="G246" s="86">
        <f t="shared" si="85"/>
        <v>0</v>
      </c>
      <c r="H246" s="86">
        <f t="shared" si="85"/>
        <v>7.317333333333333</v>
      </c>
      <c r="I246" s="86">
        <f t="shared" si="85"/>
        <v>22.866666666666667</v>
      </c>
      <c r="J246" s="86">
        <f t="shared" si="85"/>
        <v>22.941176470588236</v>
      </c>
      <c r="K246" s="51">
        <f t="shared" si="85"/>
        <v>17.647058823529413</v>
      </c>
      <c r="L246" s="52">
        <f t="shared" si="85"/>
        <v>0</v>
      </c>
      <c r="M246" s="85">
        <f t="shared" si="85"/>
        <v>55.555555555555557</v>
      </c>
      <c r="N246" s="85">
        <f t="shared" si="85"/>
        <v>15.125</v>
      </c>
      <c r="O246" s="85">
        <f t="shared" si="85"/>
        <v>44.85</v>
      </c>
      <c r="P246" s="85">
        <f t="shared" si="85"/>
        <v>322.22222222222223</v>
      </c>
      <c r="Q246" s="85">
        <f t="shared" si="85"/>
        <v>39.682539682539677</v>
      </c>
      <c r="R246" s="85">
        <f t="shared" si="85"/>
        <v>29.629629629629633</v>
      </c>
      <c r="S246" s="85">
        <f t="shared" si="85"/>
        <v>0</v>
      </c>
      <c r="T246" s="85">
        <f t="shared" si="85"/>
        <v>7.4074074074074083</v>
      </c>
      <c r="U246" s="85">
        <f t="shared" si="85"/>
        <v>16.666666666666668</v>
      </c>
      <c r="V246" s="85">
        <f t="shared" si="85"/>
        <v>0.27777777777777779</v>
      </c>
      <c r="W246" s="85">
        <f t="shared" si="85"/>
        <v>0.76388888888888884</v>
      </c>
      <c r="X246" s="87">
        <f t="shared" si="85"/>
        <v>33.333333333333336</v>
      </c>
      <c r="Y246" s="59">
        <f t="shared" si="85"/>
        <v>0</v>
      </c>
      <c r="Z246" s="51">
        <f t="shared" si="85"/>
        <v>0</v>
      </c>
      <c r="AA246" s="51">
        <f t="shared" si="85"/>
        <v>0</v>
      </c>
    </row>
    <row r="247" spans="1:29" x14ac:dyDescent="0.25">
      <c r="A247" s="36" t="s">
        <v>60</v>
      </c>
      <c r="B247" s="37" t="s">
        <v>13</v>
      </c>
      <c r="C247" s="29" t="s">
        <v>62</v>
      </c>
      <c r="D247" s="2"/>
      <c r="E247" s="2"/>
      <c r="F247" s="86">
        <f t="shared" si="85"/>
        <v>14</v>
      </c>
      <c r="G247" s="86">
        <f t="shared" si="85"/>
        <v>18.315789473684209</v>
      </c>
      <c r="H247" s="86">
        <f t="shared" si="85"/>
        <v>53.660444444444437</v>
      </c>
      <c r="I247" s="51">
        <f t="shared" si="85"/>
        <v>0</v>
      </c>
      <c r="J247" s="51">
        <f t="shared" si="85"/>
        <v>0</v>
      </c>
      <c r="K247" s="51">
        <f t="shared" si="85"/>
        <v>0</v>
      </c>
      <c r="L247" s="52">
        <f t="shared" si="85"/>
        <v>0</v>
      </c>
      <c r="M247" s="51">
        <f t="shared" si="85"/>
        <v>0</v>
      </c>
      <c r="N247" s="51">
        <f t="shared" si="85"/>
        <v>0</v>
      </c>
      <c r="O247" s="51">
        <f t="shared" si="85"/>
        <v>0</v>
      </c>
      <c r="P247" s="85">
        <f>IF(P292&gt;0,P22/P292,0)</f>
        <v>483.33333333333331</v>
      </c>
      <c r="Q247" s="51">
        <f t="shared" si="85"/>
        <v>0</v>
      </c>
      <c r="R247" s="51">
        <f t="shared" si="85"/>
        <v>0</v>
      </c>
      <c r="S247" s="51">
        <f t="shared" si="85"/>
        <v>0</v>
      </c>
      <c r="T247" s="51">
        <f t="shared" si="85"/>
        <v>0</v>
      </c>
      <c r="U247" s="51">
        <f t="shared" si="85"/>
        <v>0</v>
      </c>
      <c r="V247" s="51">
        <f t="shared" si="85"/>
        <v>0</v>
      </c>
      <c r="W247" s="51">
        <f t="shared" si="85"/>
        <v>0</v>
      </c>
      <c r="X247" s="55">
        <f t="shared" si="85"/>
        <v>0</v>
      </c>
      <c r="Y247" s="59">
        <f t="shared" si="85"/>
        <v>0</v>
      </c>
      <c r="Z247" s="51">
        <f t="shared" si="85"/>
        <v>0</v>
      </c>
      <c r="AA247" s="51">
        <f t="shared" si="85"/>
        <v>0</v>
      </c>
    </row>
    <row r="248" spans="1:29" x14ac:dyDescent="0.25">
      <c r="A248" s="30" t="s">
        <v>60</v>
      </c>
      <c r="B248" s="31" t="s">
        <v>13</v>
      </c>
      <c r="C248" s="32" t="s">
        <v>63</v>
      </c>
      <c r="D248" s="2"/>
      <c r="E248" s="2"/>
      <c r="F248" s="51">
        <f t="shared" si="85"/>
        <v>0</v>
      </c>
      <c r="G248" s="51">
        <f t="shared" si="85"/>
        <v>0</v>
      </c>
      <c r="H248" s="51">
        <f t="shared" si="85"/>
        <v>0</v>
      </c>
      <c r="I248" s="51">
        <f t="shared" si="85"/>
        <v>0</v>
      </c>
      <c r="J248" s="51">
        <f t="shared" si="85"/>
        <v>0</v>
      </c>
      <c r="K248" s="51">
        <f t="shared" si="85"/>
        <v>0</v>
      </c>
      <c r="L248" s="52">
        <f t="shared" si="85"/>
        <v>0</v>
      </c>
      <c r="M248" s="51">
        <f t="shared" si="85"/>
        <v>0</v>
      </c>
      <c r="N248" s="51">
        <f t="shared" si="85"/>
        <v>0</v>
      </c>
      <c r="O248" s="51">
        <f t="shared" si="85"/>
        <v>0</v>
      </c>
      <c r="P248" s="51">
        <f t="shared" si="85"/>
        <v>0</v>
      </c>
      <c r="Q248" s="51">
        <f t="shared" si="85"/>
        <v>0</v>
      </c>
      <c r="R248" s="51">
        <f t="shared" si="85"/>
        <v>0</v>
      </c>
      <c r="S248" s="51">
        <f t="shared" si="85"/>
        <v>0</v>
      </c>
      <c r="T248" s="51">
        <f t="shared" si="85"/>
        <v>0</v>
      </c>
      <c r="U248" s="51">
        <f t="shared" si="85"/>
        <v>0</v>
      </c>
      <c r="V248" s="51">
        <f t="shared" si="85"/>
        <v>0</v>
      </c>
      <c r="W248" s="51">
        <f t="shared" si="85"/>
        <v>0</v>
      </c>
      <c r="X248" s="55">
        <f t="shared" si="85"/>
        <v>0</v>
      </c>
      <c r="Y248" s="59">
        <f t="shared" si="85"/>
        <v>0</v>
      </c>
      <c r="Z248" s="51">
        <f t="shared" si="85"/>
        <v>0</v>
      </c>
      <c r="AA248" s="51">
        <f t="shared" si="85"/>
        <v>0</v>
      </c>
    </row>
    <row r="249" spans="1:29" x14ac:dyDescent="0.25">
      <c r="A249" s="30" t="s">
        <v>60</v>
      </c>
      <c r="B249" s="32" t="s">
        <v>23</v>
      </c>
      <c r="C249" s="31" t="s">
        <v>50</v>
      </c>
      <c r="D249" s="2"/>
      <c r="E249" s="2"/>
      <c r="F249" s="51">
        <f t="shared" si="85"/>
        <v>0</v>
      </c>
      <c r="G249" s="51">
        <f t="shared" si="85"/>
        <v>0</v>
      </c>
      <c r="H249" s="51">
        <f t="shared" si="85"/>
        <v>0</v>
      </c>
      <c r="I249" s="51">
        <f t="shared" si="85"/>
        <v>0</v>
      </c>
      <c r="J249" s="86">
        <f t="shared" si="85"/>
        <v>0</v>
      </c>
      <c r="K249" s="51">
        <f t="shared" si="85"/>
        <v>4.628571428571429</v>
      </c>
      <c r="L249" s="52">
        <f t="shared" si="85"/>
        <v>0</v>
      </c>
      <c r="M249" s="51">
        <f t="shared" si="85"/>
        <v>0</v>
      </c>
      <c r="N249" s="86">
        <f t="shared" si="85"/>
        <v>36.553846153846152</v>
      </c>
      <c r="O249" s="51">
        <f t="shared" si="85"/>
        <v>0</v>
      </c>
      <c r="P249" s="51">
        <f t="shared" si="85"/>
        <v>0</v>
      </c>
      <c r="Q249" s="51">
        <f t="shared" si="85"/>
        <v>0</v>
      </c>
      <c r="R249" s="51">
        <f t="shared" si="85"/>
        <v>0</v>
      </c>
      <c r="S249" s="51">
        <f t="shared" si="85"/>
        <v>0</v>
      </c>
      <c r="T249" s="51">
        <f t="shared" si="85"/>
        <v>0</v>
      </c>
      <c r="U249" s="51">
        <f t="shared" si="85"/>
        <v>0</v>
      </c>
      <c r="V249" s="51">
        <f t="shared" si="85"/>
        <v>0</v>
      </c>
      <c r="W249" s="51">
        <f t="shared" si="85"/>
        <v>0</v>
      </c>
      <c r="X249" s="55">
        <f t="shared" si="85"/>
        <v>0</v>
      </c>
      <c r="Y249" s="59">
        <f t="shared" si="85"/>
        <v>0</v>
      </c>
      <c r="Z249" s="51">
        <f t="shared" si="85"/>
        <v>0</v>
      </c>
      <c r="AA249" s="51">
        <f t="shared" si="85"/>
        <v>0</v>
      </c>
    </row>
    <row r="250" spans="1:29" x14ac:dyDescent="0.25">
      <c r="A250" s="30" t="s">
        <v>60</v>
      </c>
      <c r="B250" s="32" t="s">
        <v>23</v>
      </c>
      <c r="C250" s="31" t="s">
        <v>49</v>
      </c>
      <c r="D250" s="2"/>
      <c r="E250" s="2"/>
      <c r="F250" s="51">
        <f t="shared" si="85"/>
        <v>0</v>
      </c>
      <c r="G250" s="51">
        <f t="shared" si="85"/>
        <v>0</v>
      </c>
      <c r="H250" s="51">
        <f t="shared" si="85"/>
        <v>0</v>
      </c>
      <c r="I250" s="51">
        <f t="shared" si="85"/>
        <v>0</v>
      </c>
      <c r="J250" s="86">
        <f t="shared" si="85"/>
        <v>17.777777777777779</v>
      </c>
      <c r="K250" s="51">
        <f t="shared" si="85"/>
        <v>0</v>
      </c>
      <c r="L250" s="52">
        <f t="shared" si="85"/>
        <v>0</v>
      </c>
      <c r="M250" s="51">
        <f t="shared" si="85"/>
        <v>0</v>
      </c>
      <c r="N250" s="51">
        <f t="shared" si="85"/>
        <v>0</v>
      </c>
      <c r="O250" s="51">
        <f t="shared" si="85"/>
        <v>0</v>
      </c>
      <c r="P250" s="51">
        <f t="shared" si="85"/>
        <v>0</v>
      </c>
      <c r="Q250" s="51">
        <f t="shared" si="85"/>
        <v>0</v>
      </c>
      <c r="R250" s="51">
        <f t="shared" si="85"/>
        <v>0</v>
      </c>
      <c r="S250" s="51">
        <f t="shared" si="85"/>
        <v>2.4888888888888894</v>
      </c>
      <c r="T250" s="51">
        <f t="shared" ref="G250:AA265" si="86">IF(T295&gt;0,T25/T295,0)</f>
        <v>17.142857142857142</v>
      </c>
      <c r="U250" s="51">
        <f t="shared" si="86"/>
        <v>0</v>
      </c>
      <c r="V250" s="51">
        <f t="shared" si="86"/>
        <v>0</v>
      </c>
      <c r="W250" s="51">
        <f t="shared" si="86"/>
        <v>0</v>
      </c>
      <c r="X250" s="95">
        <f t="shared" si="86"/>
        <v>2.2222222222222223</v>
      </c>
      <c r="Y250" s="59">
        <f t="shared" si="86"/>
        <v>0</v>
      </c>
      <c r="Z250" s="51">
        <f t="shared" si="86"/>
        <v>0</v>
      </c>
      <c r="AA250" s="51">
        <f t="shared" si="86"/>
        <v>0</v>
      </c>
      <c r="AC250" s="14">
        <f>28.5*0.26</f>
        <v>7.41</v>
      </c>
    </row>
    <row r="251" spans="1:29" x14ac:dyDescent="0.25">
      <c r="A251" s="30" t="s">
        <v>60</v>
      </c>
      <c r="B251" s="32" t="s">
        <v>23</v>
      </c>
      <c r="C251" s="31" t="s">
        <v>64</v>
      </c>
      <c r="D251" s="2"/>
      <c r="E251" s="2"/>
      <c r="F251" s="51">
        <f t="shared" ref="F251:F260" si="87">IF(F296&gt;0,F26/F296,0)</f>
        <v>0</v>
      </c>
      <c r="G251" s="51">
        <f t="shared" si="86"/>
        <v>0</v>
      </c>
      <c r="H251" s="51">
        <f t="shared" si="86"/>
        <v>0</v>
      </c>
      <c r="I251" s="51">
        <f t="shared" si="86"/>
        <v>0</v>
      </c>
      <c r="J251" s="86">
        <f t="shared" si="86"/>
        <v>0</v>
      </c>
      <c r="K251" s="51">
        <f t="shared" si="86"/>
        <v>0</v>
      </c>
      <c r="L251" s="52">
        <f t="shared" si="86"/>
        <v>0</v>
      </c>
      <c r="M251" s="51">
        <f t="shared" si="86"/>
        <v>0</v>
      </c>
      <c r="N251" s="51">
        <f t="shared" si="86"/>
        <v>0</v>
      </c>
      <c r="O251" s="51">
        <f t="shared" si="86"/>
        <v>0</v>
      </c>
      <c r="P251" s="51">
        <f t="shared" si="86"/>
        <v>0</v>
      </c>
      <c r="Q251" s="51">
        <f t="shared" si="86"/>
        <v>0</v>
      </c>
      <c r="R251" s="51">
        <f t="shared" si="86"/>
        <v>0</v>
      </c>
      <c r="S251" s="51">
        <f t="shared" si="86"/>
        <v>0</v>
      </c>
      <c r="T251" s="51">
        <f t="shared" si="86"/>
        <v>0</v>
      </c>
      <c r="U251" s="51">
        <f t="shared" si="86"/>
        <v>0</v>
      </c>
      <c r="V251" s="51">
        <f t="shared" si="86"/>
        <v>0</v>
      </c>
      <c r="W251" s="51">
        <f t="shared" si="86"/>
        <v>0</v>
      </c>
      <c r="X251" s="55">
        <f t="shared" si="86"/>
        <v>0</v>
      </c>
      <c r="Y251" s="59">
        <f t="shared" si="86"/>
        <v>0</v>
      </c>
      <c r="Z251" s="51">
        <f t="shared" si="86"/>
        <v>0</v>
      </c>
      <c r="AA251" s="51">
        <f t="shared" si="86"/>
        <v>0</v>
      </c>
    </row>
    <row r="252" spans="1:29" x14ac:dyDescent="0.25">
      <c r="A252" s="30" t="s">
        <v>60</v>
      </c>
      <c r="B252" s="32" t="s">
        <v>65</v>
      </c>
      <c r="C252" s="31" t="s">
        <v>66</v>
      </c>
      <c r="D252" s="2"/>
      <c r="E252" s="2"/>
      <c r="F252" s="51">
        <f t="shared" si="87"/>
        <v>0</v>
      </c>
      <c r="G252" s="51">
        <f t="shared" si="86"/>
        <v>0</v>
      </c>
      <c r="H252" s="51">
        <f t="shared" si="86"/>
        <v>0</v>
      </c>
      <c r="I252" s="51">
        <f t="shared" si="86"/>
        <v>0</v>
      </c>
      <c r="J252" s="86">
        <f t="shared" si="86"/>
        <v>58.333333333333336</v>
      </c>
      <c r="K252" s="51">
        <f t="shared" si="86"/>
        <v>0</v>
      </c>
      <c r="L252" s="52">
        <f t="shared" si="86"/>
        <v>0</v>
      </c>
      <c r="M252" s="73">
        <f t="shared" si="86"/>
        <v>420</v>
      </c>
      <c r="N252" s="51">
        <f t="shared" si="86"/>
        <v>0</v>
      </c>
      <c r="O252" s="51">
        <f t="shared" si="86"/>
        <v>0</v>
      </c>
      <c r="P252" s="51">
        <f t="shared" si="86"/>
        <v>0</v>
      </c>
      <c r="Q252" s="51">
        <f t="shared" si="86"/>
        <v>0</v>
      </c>
      <c r="R252" s="51">
        <f t="shared" si="86"/>
        <v>0</v>
      </c>
      <c r="S252" s="51">
        <f t="shared" si="86"/>
        <v>0</v>
      </c>
      <c r="T252" s="51">
        <f t="shared" si="86"/>
        <v>0</v>
      </c>
      <c r="U252" s="51">
        <f t="shared" si="86"/>
        <v>0</v>
      </c>
      <c r="V252" s="51">
        <f t="shared" si="86"/>
        <v>0</v>
      </c>
      <c r="W252" s="51">
        <f t="shared" si="86"/>
        <v>0</v>
      </c>
      <c r="X252" s="55">
        <f t="shared" si="86"/>
        <v>0</v>
      </c>
      <c r="Y252" s="59">
        <f t="shared" si="86"/>
        <v>0</v>
      </c>
      <c r="Z252" s="51">
        <f t="shared" si="86"/>
        <v>0</v>
      </c>
      <c r="AA252" s="51">
        <f t="shared" si="86"/>
        <v>0</v>
      </c>
    </row>
    <row r="253" spans="1:29" x14ac:dyDescent="0.25">
      <c r="A253" s="30" t="s">
        <v>60</v>
      </c>
      <c r="B253" s="32" t="s">
        <v>65</v>
      </c>
      <c r="C253" s="31" t="s">
        <v>67</v>
      </c>
      <c r="D253" s="2"/>
      <c r="E253" s="2"/>
      <c r="F253" s="51">
        <f t="shared" si="87"/>
        <v>0</v>
      </c>
      <c r="G253" s="51">
        <f t="shared" si="86"/>
        <v>0</v>
      </c>
      <c r="H253" s="51">
        <f t="shared" si="86"/>
        <v>0</v>
      </c>
      <c r="I253" s="51">
        <f t="shared" si="86"/>
        <v>0</v>
      </c>
      <c r="J253" s="51">
        <f t="shared" si="86"/>
        <v>0</v>
      </c>
      <c r="K253" s="51">
        <f t="shared" si="86"/>
        <v>0</v>
      </c>
      <c r="L253" s="52">
        <f t="shared" si="86"/>
        <v>0</v>
      </c>
      <c r="M253" s="51">
        <f t="shared" si="86"/>
        <v>0</v>
      </c>
      <c r="N253" s="51">
        <f t="shared" si="86"/>
        <v>0</v>
      </c>
      <c r="O253" s="51">
        <f t="shared" si="86"/>
        <v>0</v>
      </c>
      <c r="P253" s="51">
        <f t="shared" si="86"/>
        <v>0</v>
      </c>
      <c r="Q253" s="73">
        <f t="shared" si="86"/>
        <v>1142.8571428571429</v>
      </c>
      <c r="R253" s="73">
        <f t="shared" si="86"/>
        <v>800</v>
      </c>
      <c r="S253" s="73">
        <f t="shared" si="86"/>
        <v>0</v>
      </c>
      <c r="T253" s="73">
        <f t="shared" si="86"/>
        <v>657.14285714285711</v>
      </c>
      <c r="U253" s="73">
        <f t="shared" si="86"/>
        <v>285.71428571428572</v>
      </c>
      <c r="V253" s="73">
        <f t="shared" si="86"/>
        <v>120</v>
      </c>
      <c r="W253" s="73">
        <f t="shared" si="86"/>
        <v>257.14285714285717</v>
      </c>
      <c r="X253" s="89">
        <f t="shared" si="86"/>
        <v>240</v>
      </c>
      <c r="Y253" s="59">
        <f t="shared" si="86"/>
        <v>0</v>
      </c>
      <c r="Z253" s="51">
        <f t="shared" si="86"/>
        <v>0</v>
      </c>
      <c r="AA253" s="51">
        <f t="shared" si="86"/>
        <v>0</v>
      </c>
    </row>
    <row r="254" spans="1:29" x14ac:dyDescent="0.25">
      <c r="A254" s="30" t="s">
        <v>60</v>
      </c>
      <c r="B254" s="32" t="s">
        <v>65</v>
      </c>
      <c r="C254" s="31" t="s">
        <v>68</v>
      </c>
      <c r="D254" s="2"/>
      <c r="E254" s="2"/>
      <c r="F254" s="51">
        <f t="shared" si="87"/>
        <v>0</v>
      </c>
      <c r="G254" s="51">
        <f t="shared" si="86"/>
        <v>0</v>
      </c>
      <c r="H254" s="51">
        <f t="shared" si="86"/>
        <v>0</v>
      </c>
      <c r="I254" s="51">
        <f t="shared" si="86"/>
        <v>0</v>
      </c>
      <c r="J254" s="51">
        <f t="shared" si="86"/>
        <v>0</v>
      </c>
      <c r="K254" s="51">
        <f t="shared" si="86"/>
        <v>0</v>
      </c>
      <c r="L254" s="88">
        <f t="shared" si="86"/>
        <v>7455</v>
      </c>
      <c r="M254" s="51">
        <f t="shared" si="86"/>
        <v>0</v>
      </c>
      <c r="N254" s="51">
        <f t="shared" si="86"/>
        <v>0</v>
      </c>
      <c r="O254" s="51">
        <f t="shared" si="86"/>
        <v>0</v>
      </c>
      <c r="P254" s="51">
        <f t="shared" si="86"/>
        <v>0</v>
      </c>
      <c r="Q254" s="51">
        <f t="shared" si="86"/>
        <v>0</v>
      </c>
      <c r="R254" s="51">
        <f t="shared" si="86"/>
        <v>0</v>
      </c>
      <c r="S254" s="51">
        <f t="shared" si="86"/>
        <v>0</v>
      </c>
      <c r="T254" s="51">
        <f t="shared" si="86"/>
        <v>0</v>
      </c>
      <c r="U254" s="51">
        <f t="shared" si="86"/>
        <v>0</v>
      </c>
      <c r="V254" s="51">
        <f t="shared" si="86"/>
        <v>0</v>
      </c>
      <c r="W254" s="51">
        <f t="shared" si="86"/>
        <v>0</v>
      </c>
      <c r="X254" s="55">
        <f t="shared" si="86"/>
        <v>0</v>
      </c>
      <c r="Y254" s="59">
        <f t="shared" si="86"/>
        <v>0</v>
      </c>
      <c r="Z254" s="51">
        <f t="shared" si="86"/>
        <v>0</v>
      </c>
      <c r="AA254" s="51">
        <f t="shared" si="86"/>
        <v>0</v>
      </c>
    </row>
    <row r="255" spans="1:29" x14ac:dyDescent="0.25">
      <c r="A255" s="30" t="s">
        <v>60</v>
      </c>
      <c r="B255" s="32" t="s">
        <v>9</v>
      </c>
      <c r="C255" s="31" t="s">
        <v>69</v>
      </c>
      <c r="D255" s="2"/>
      <c r="E255" s="2"/>
      <c r="F255" s="51">
        <f t="shared" si="87"/>
        <v>0</v>
      </c>
      <c r="G255" s="51">
        <f t="shared" si="86"/>
        <v>0</v>
      </c>
      <c r="H255" s="51">
        <f t="shared" si="86"/>
        <v>0</v>
      </c>
      <c r="I255" s="51">
        <f t="shared" si="86"/>
        <v>0</v>
      </c>
      <c r="J255" s="51">
        <f t="shared" si="86"/>
        <v>0</v>
      </c>
      <c r="K255" s="51">
        <f t="shared" si="86"/>
        <v>0</v>
      </c>
      <c r="L255" s="52">
        <f t="shared" si="86"/>
        <v>0</v>
      </c>
      <c r="M255" s="51">
        <f t="shared" si="86"/>
        <v>0</v>
      </c>
      <c r="N255" s="51">
        <f t="shared" si="86"/>
        <v>0</v>
      </c>
      <c r="O255" s="51">
        <f t="shared" si="86"/>
        <v>0</v>
      </c>
      <c r="P255" s="51">
        <f t="shared" si="86"/>
        <v>0</v>
      </c>
      <c r="Q255" s="51">
        <f t="shared" si="86"/>
        <v>0</v>
      </c>
      <c r="R255" s="51">
        <f t="shared" si="86"/>
        <v>0</v>
      </c>
      <c r="S255" s="51">
        <f t="shared" si="86"/>
        <v>0</v>
      </c>
      <c r="T255" s="51">
        <f t="shared" si="86"/>
        <v>0</v>
      </c>
      <c r="U255" s="51">
        <f t="shared" si="86"/>
        <v>0</v>
      </c>
      <c r="V255" s="51">
        <f t="shared" si="86"/>
        <v>0</v>
      </c>
      <c r="W255" s="51">
        <f t="shared" si="86"/>
        <v>0</v>
      </c>
      <c r="X255" s="89">
        <f t="shared" si="86"/>
        <v>47.61904761904762</v>
      </c>
      <c r="Y255" s="59">
        <f t="shared" si="86"/>
        <v>0</v>
      </c>
      <c r="Z255" s="51">
        <f t="shared" si="86"/>
        <v>0</v>
      </c>
      <c r="AA255" s="51">
        <f t="shared" si="86"/>
        <v>0</v>
      </c>
    </row>
    <row r="256" spans="1:29" x14ac:dyDescent="0.25">
      <c r="A256" s="15" t="s">
        <v>51</v>
      </c>
      <c r="B256" s="16" t="s">
        <v>56</v>
      </c>
      <c r="C256" s="27" t="s">
        <v>57</v>
      </c>
      <c r="D256" s="16" t="s">
        <v>70</v>
      </c>
      <c r="E256" s="16"/>
      <c r="F256" s="1">
        <f t="shared" si="87"/>
        <v>0</v>
      </c>
      <c r="G256" s="1">
        <f t="shared" si="86"/>
        <v>0</v>
      </c>
      <c r="H256" s="1">
        <f t="shared" si="86"/>
        <v>0</v>
      </c>
      <c r="I256" s="1">
        <f t="shared" si="86"/>
        <v>0</v>
      </c>
      <c r="J256" s="1">
        <f t="shared" si="86"/>
        <v>0</v>
      </c>
      <c r="K256" s="1">
        <f t="shared" si="86"/>
        <v>0</v>
      </c>
      <c r="L256" s="52">
        <f t="shared" si="86"/>
        <v>0</v>
      </c>
      <c r="M256" s="1">
        <f t="shared" si="86"/>
        <v>0</v>
      </c>
      <c r="N256" s="1">
        <f t="shared" si="86"/>
        <v>0</v>
      </c>
      <c r="O256" s="1">
        <f t="shared" si="86"/>
        <v>0</v>
      </c>
      <c r="P256" s="1">
        <f t="shared" si="86"/>
        <v>0</v>
      </c>
      <c r="Q256" s="1">
        <f t="shared" si="86"/>
        <v>0</v>
      </c>
      <c r="R256" s="1">
        <f t="shared" si="86"/>
        <v>0</v>
      </c>
      <c r="S256" s="1">
        <f t="shared" si="86"/>
        <v>0</v>
      </c>
      <c r="T256" s="1">
        <f t="shared" si="86"/>
        <v>0</v>
      </c>
      <c r="U256" s="1">
        <f t="shared" si="86"/>
        <v>0</v>
      </c>
      <c r="V256" s="1">
        <f t="shared" si="86"/>
        <v>0</v>
      </c>
      <c r="W256" s="1">
        <f t="shared" si="86"/>
        <v>0</v>
      </c>
      <c r="X256" s="54">
        <f t="shared" si="86"/>
        <v>0</v>
      </c>
      <c r="Y256" s="58">
        <f t="shared" si="86"/>
        <v>0</v>
      </c>
      <c r="Z256" s="1">
        <f t="shared" si="86"/>
        <v>0</v>
      </c>
      <c r="AA256" s="1">
        <f t="shared" si="86"/>
        <v>0</v>
      </c>
    </row>
    <row r="257" spans="1:27" x14ac:dyDescent="0.25">
      <c r="A257" s="15" t="s">
        <v>51</v>
      </c>
      <c r="B257" s="16" t="s">
        <v>56</v>
      </c>
      <c r="C257" s="27" t="s">
        <v>57</v>
      </c>
      <c r="D257" s="16" t="s">
        <v>71</v>
      </c>
      <c r="E257" s="16"/>
      <c r="F257" s="1">
        <f t="shared" si="87"/>
        <v>0</v>
      </c>
      <c r="G257" s="1">
        <f t="shared" si="86"/>
        <v>0</v>
      </c>
      <c r="H257" s="1">
        <f t="shared" si="86"/>
        <v>0</v>
      </c>
      <c r="I257" s="1">
        <f t="shared" si="86"/>
        <v>0</v>
      </c>
      <c r="J257" s="1">
        <f t="shared" si="86"/>
        <v>0</v>
      </c>
      <c r="K257" s="1">
        <f t="shared" si="86"/>
        <v>0</v>
      </c>
      <c r="L257" s="52">
        <f t="shared" si="86"/>
        <v>0</v>
      </c>
      <c r="M257" s="1">
        <f t="shared" si="86"/>
        <v>0</v>
      </c>
      <c r="N257" s="1">
        <f t="shared" si="86"/>
        <v>0</v>
      </c>
      <c r="O257" s="1">
        <f t="shared" si="86"/>
        <v>0</v>
      </c>
      <c r="P257" s="1">
        <f t="shared" si="86"/>
        <v>0</v>
      </c>
      <c r="Q257" s="1">
        <f t="shared" si="86"/>
        <v>0</v>
      </c>
      <c r="R257" s="1">
        <f t="shared" si="86"/>
        <v>0</v>
      </c>
      <c r="S257" s="1">
        <f t="shared" si="86"/>
        <v>0</v>
      </c>
      <c r="T257" s="1">
        <f t="shared" si="86"/>
        <v>0</v>
      </c>
      <c r="U257" s="1">
        <f t="shared" si="86"/>
        <v>0</v>
      </c>
      <c r="V257" s="1">
        <f t="shared" si="86"/>
        <v>0</v>
      </c>
      <c r="W257" s="1">
        <f t="shared" si="86"/>
        <v>0</v>
      </c>
      <c r="X257" s="54">
        <f t="shared" si="86"/>
        <v>0</v>
      </c>
      <c r="Y257" s="58">
        <f t="shared" si="86"/>
        <v>0</v>
      </c>
      <c r="Z257" s="1">
        <f t="shared" si="86"/>
        <v>0</v>
      </c>
      <c r="AA257" s="1">
        <f t="shared" si="86"/>
        <v>0</v>
      </c>
    </row>
    <row r="258" spans="1:27" x14ac:dyDescent="0.25">
      <c r="A258" s="15" t="s">
        <v>51</v>
      </c>
      <c r="B258" s="16" t="s">
        <v>56</v>
      </c>
      <c r="C258" s="27" t="s">
        <v>27</v>
      </c>
      <c r="D258" s="16" t="s">
        <v>72</v>
      </c>
      <c r="E258" s="16"/>
      <c r="F258" s="1">
        <f t="shared" si="87"/>
        <v>0</v>
      </c>
      <c r="G258" s="1">
        <f t="shared" si="86"/>
        <v>0</v>
      </c>
      <c r="H258" s="1">
        <f t="shared" si="86"/>
        <v>0</v>
      </c>
      <c r="I258" s="1">
        <f t="shared" si="86"/>
        <v>0</v>
      </c>
      <c r="J258" s="1">
        <f t="shared" si="86"/>
        <v>0</v>
      </c>
      <c r="K258" s="1">
        <f t="shared" si="86"/>
        <v>0</v>
      </c>
      <c r="L258" s="52">
        <f t="shared" si="86"/>
        <v>0</v>
      </c>
      <c r="M258" s="1">
        <f t="shared" si="86"/>
        <v>0</v>
      </c>
      <c r="N258" s="1">
        <f t="shared" si="86"/>
        <v>0</v>
      </c>
      <c r="O258" s="1">
        <f t="shared" si="86"/>
        <v>0</v>
      </c>
      <c r="P258" s="1">
        <f t="shared" si="86"/>
        <v>0</v>
      </c>
      <c r="Q258" s="1">
        <f t="shared" si="86"/>
        <v>0</v>
      </c>
      <c r="R258" s="1">
        <f t="shared" si="86"/>
        <v>0</v>
      </c>
      <c r="S258" s="1">
        <f t="shared" si="86"/>
        <v>0</v>
      </c>
      <c r="T258" s="1">
        <f t="shared" si="86"/>
        <v>0</v>
      </c>
      <c r="U258" s="1">
        <f t="shared" si="86"/>
        <v>0</v>
      </c>
      <c r="V258" s="1">
        <f t="shared" si="86"/>
        <v>0</v>
      </c>
      <c r="W258" s="1">
        <f t="shared" si="86"/>
        <v>0</v>
      </c>
      <c r="X258" s="54">
        <f t="shared" si="86"/>
        <v>0</v>
      </c>
      <c r="Y258" s="58">
        <f t="shared" si="86"/>
        <v>0</v>
      </c>
      <c r="Z258" s="1">
        <f t="shared" si="86"/>
        <v>0</v>
      </c>
      <c r="AA258" s="1">
        <f t="shared" si="86"/>
        <v>0</v>
      </c>
    </row>
    <row r="259" spans="1:27" x14ac:dyDescent="0.25">
      <c r="A259" s="15" t="s">
        <v>51</v>
      </c>
      <c r="B259" s="16" t="s">
        <v>56</v>
      </c>
      <c r="C259" s="27" t="s">
        <v>57</v>
      </c>
      <c r="D259" s="16" t="s">
        <v>73</v>
      </c>
      <c r="E259" s="16"/>
      <c r="F259" s="1">
        <f t="shared" si="87"/>
        <v>0</v>
      </c>
      <c r="G259" s="1">
        <f t="shared" si="86"/>
        <v>0</v>
      </c>
      <c r="H259" s="1">
        <f t="shared" si="86"/>
        <v>0</v>
      </c>
      <c r="I259" s="1">
        <f t="shared" si="86"/>
        <v>0</v>
      </c>
      <c r="J259" s="1">
        <f t="shared" si="86"/>
        <v>0</v>
      </c>
      <c r="K259" s="1">
        <f t="shared" si="86"/>
        <v>0</v>
      </c>
      <c r="L259" s="52">
        <f t="shared" si="86"/>
        <v>0</v>
      </c>
      <c r="M259" s="1">
        <f t="shared" si="86"/>
        <v>0</v>
      </c>
      <c r="N259" s="1">
        <f t="shared" si="86"/>
        <v>0</v>
      </c>
      <c r="O259" s="1">
        <f t="shared" si="86"/>
        <v>0</v>
      </c>
      <c r="P259" s="1">
        <f t="shared" si="86"/>
        <v>0</v>
      </c>
      <c r="Q259" s="1">
        <f t="shared" si="86"/>
        <v>0</v>
      </c>
      <c r="R259" s="1">
        <f t="shared" si="86"/>
        <v>0</v>
      </c>
      <c r="S259" s="1">
        <f t="shared" si="86"/>
        <v>0</v>
      </c>
      <c r="T259" s="1">
        <f t="shared" si="86"/>
        <v>0</v>
      </c>
      <c r="U259" s="1">
        <f t="shared" si="86"/>
        <v>0</v>
      </c>
      <c r="V259" s="1">
        <f t="shared" si="86"/>
        <v>0</v>
      </c>
      <c r="W259" s="1">
        <f t="shared" si="86"/>
        <v>0</v>
      </c>
      <c r="X259" s="54">
        <f t="shared" si="86"/>
        <v>0</v>
      </c>
      <c r="Y259" s="58">
        <f t="shared" si="86"/>
        <v>0</v>
      </c>
      <c r="Z259" s="1">
        <f t="shared" si="86"/>
        <v>0</v>
      </c>
      <c r="AA259" s="1">
        <f t="shared" si="86"/>
        <v>0</v>
      </c>
    </row>
    <row r="260" spans="1:27" x14ac:dyDescent="0.25">
      <c r="A260" s="15" t="s">
        <v>51</v>
      </c>
      <c r="B260" s="16" t="s">
        <v>56</v>
      </c>
      <c r="C260" s="27" t="s">
        <v>57</v>
      </c>
      <c r="D260" s="16" t="s">
        <v>74</v>
      </c>
      <c r="E260" s="16"/>
      <c r="F260" s="1">
        <f t="shared" si="87"/>
        <v>0</v>
      </c>
      <c r="G260" s="1">
        <f t="shared" si="86"/>
        <v>0</v>
      </c>
      <c r="H260" s="1">
        <f t="shared" si="86"/>
        <v>0</v>
      </c>
      <c r="I260" s="1">
        <f t="shared" si="86"/>
        <v>0</v>
      </c>
      <c r="J260" s="1">
        <f t="shared" si="86"/>
        <v>0</v>
      </c>
      <c r="K260" s="1">
        <f t="shared" si="86"/>
        <v>0</v>
      </c>
      <c r="L260" s="52">
        <f t="shared" si="86"/>
        <v>0</v>
      </c>
      <c r="M260" s="1">
        <f t="shared" si="86"/>
        <v>0</v>
      </c>
      <c r="N260" s="1">
        <f t="shared" si="86"/>
        <v>0</v>
      </c>
      <c r="O260" s="1">
        <f t="shared" si="86"/>
        <v>0</v>
      </c>
      <c r="P260" s="1">
        <f t="shared" si="86"/>
        <v>0</v>
      </c>
      <c r="Q260" s="1">
        <f t="shared" si="86"/>
        <v>0</v>
      </c>
      <c r="R260" s="1">
        <f t="shared" si="86"/>
        <v>0</v>
      </c>
      <c r="S260" s="1">
        <f t="shared" si="86"/>
        <v>0</v>
      </c>
      <c r="T260" s="1">
        <f t="shared" si="86"/>
        <v>0</v>
      </c>
      <c r="U260" s="1">
        <f t="shared" si="86"/>
        <v>0</v>
      </c>
      <c r="V260" s="1">
        <f t="shared" si="86"/>
        <v>0</v>
      </c>
      <c r="W260" s="1">
        <f t="shared" si="86"/>
        <v>0</v>
      </c>
      <c r="X260" s="54">
        <f t="shared" si="86"/>
        <v>0</v>
      </c>
      <c r="Y260" s="58">
        <f t="shared" si="86"/>
        <v>0</v>
      </c>
      <c r="Z260" s="1">
        <f t="shared" si="86"/>
        <v>0</v>
      </c>
      <c r="AA260" s="1">
        <f t="shared" si="86"/>
        <v>0</v>
      </c>
    </row>
    <row r="261" spans="1:27" x14ac:dyDescent="0.25">
      <c r="A261" s="30" t="s">
        <v>60</v>
      </c>
      <c r="B261" s="31" t="s">
        <v>13</v>
      </c>
      <c r="C261" s="32" t="s">
        <v>61</v>
      </c>
      <c r="D261" s="31" t="s">
        <v>75</v>
      </c>
      <c r="E261" s="31"/>
      <c r="F261" s="51">
        <f>F246*0.9</f>
        <v>23.400000000000002</v>
      </c>
      <c r="G261" s="73"/>
      <c r="H261" s="51">
        <f>H246</f>
        <v>7.317333333333333</v>
      </c>
      <c r="I261" s="51">
        <f>I246*0.9</f>
        <v>20.580000000000002</v>
      </c>
      <c r="J261" s="51">
        <v>0</v>
      </c>
      <c r="K261" s="51">
        <f>K246*0.8</f>
        <v>14.117647058823531</v>
      </c>
      <c r="L261" s="52">
        <v>0</v>
      </c>
      <c r="M261" s="73">
        <f>M246*0.1</f>
        <v>5.5555555555555562</v>
      </c>
      <c r="N261" s="73">
        <v>0</v>
      </c>
      <c r="O261" s="73">
        <v>0</v>
      </c>
      <c r="P261" s="73">
        <v>0</v>
      </c>
      <c r="Q261" s="73"/>
      <c r="R261" s="73"/>
      <c r="S261" s="51"/>
      <c r="T261" s="51"/>
      <c r="U261" s="51"/>
      <c r="V261" s="51"/>
      <c r="W261" s="51">
        <f>W246</f>
        <v>0.76388888888888884</v>
      </c>
      <c r="X261" s="55">
        <f>X291*0.1</f>
        <v>18</v>
      </c>
      <c r="Y261" s="59">
        <f t="shared" si="86"/>
        <v>0</v>
      </c>
      <c r="Z261" s="51">
        <f t="shared" si="86"/>
        <v>0</v>
      </c>
      <c r="AA261" s="51">
        <f t="shared" si="86"/>
        <v>0</v>
      </c>
    </row>
    <row r="262" spans="1:27" x14ac:dyDescent="0.25">
      <c r="A262" s="30" t="s">
        <v>60</v>
      </c>
      <c r="B262" s="31" t="s">
        <v>13</v>
      </c>
      <c r="C262" s="32" t="s">
        <v>61</v>
      </c>
      <c r="D262" s="31" t="s">
        <v>76</v>
      </c>
      <c r="E262" s="31"/>
      <c r="F262" s="51">
        <f>F246*0.1</f>
        <v>2.6</v>
      </c>
      <c r="G262" s="51">
        <v>0</v>
      </c>
      <c r="H262" s="51">
        <v>0</v>
      </c>
      <c r="I262" s="51">
        <f>I246*0.05</f>
        <v>1.1433333333333333</v>
      </c>
      <c r="J262" s="51">
        <f>J246</f>
        <v>22.941176470588236</v>
      </c>
      <c r="K262" s="51">
        <f>K246*0.05</f>
        <v>0.88235294117647067</v>
      </c>
      <c r="L262" s="52">
        <v>0</v>
      </c>
      <c r="M262" s="73">
        <f>M246*0.5</f>
        <v>27.777777777777779</v>
      </c>
      <c r="N262" s="73">
        <f>N246</f>
        <v>15.125</v>
      </c>
      <c r="O262" s="73">
        <f>O246*0.5</f>
        <v>22.425000000000001</v>
      </c>
      <c r="P262" s="73">
        <f>P246*0.59</f>
        <v>190.11111111111111</v>
      </c>
      <c r="Q262" s="73"/>
      <c r="R262" s="73">
        <f>R246</f>
        <v>29.629629629629633</v>
      </c>
      <c r="S262" s="51"/>
      <c r="T262" s="51"/>
      <c r="U262" s="51"/>
      <c r="V262" s="51"/>
      <c r="W262" s="51"/>
      <c r="X262" s="55">
        <f>X291*0.1</f>
        <v>18</v>
      </c>
      <c r="Y262" s="59">
        <f t="shared" si="86"/>
        <v>0</v>
      </c>
      <c r="Z262" s="51">
        <f t="shared" si="86"/>
        <v>0</v>
      </c>
      <c r="AA262" s="51">
        <f t="shared" si="86"/>
        <v>0</v>
      </c>
    </row>
    <row r="263" spans="1:27" x14ac:dyDescent="0.25">
      <c r="A263" s="30" t="s">
        <v>60</v>
      </c>
      <c r="B263" s="31" t="s">
        <v>13</v>
      </c>
      <c r="C263" s="32" t="s">
        <v>61</v>
      </c>
      <c r="D263" s="31" t="s">
        <v>77</v>
      </c>
      <c r="E263" s="31"/>
      <c r="F263" s="51">
        <v>0</v>
      </c>
      <c r="G263" s="51">
        <v>0</v>
      </c>
      <c r="H263" s="51">
        <v>0</v>
      </c>
      <c r="I263" s="51">
        <v>0</v>
      </c>
      <c r="J263" s="51">
        <v>0</v>
      </c>
      <c r="K263" s="51">
        <f>K246*0.1</f>
        <v>1.7647058823529413</v>
      </c>
      <c r="L263" s="52">
        <v>0</v>
      </c>
      <c r="M263" s="73">
        <f>M246*0.4</f>
        <v>22.222222222222225</v>
      </c>
      <c r="N263" s="73">
        <v>0</v>
      </c>
      <c r="O263" s="73">
        <f>O246*0.5</f>
        <v>22.425000000000001</v>
      </c>
      <c r="P263" s="73">
        <f>P246*0.4</f>
        <v>128.88888888888889</v>
      </c>
      <c r="Q263" s="73"/>
      <c r="R263" s="73"/>
      <c r="S263" s="51"/>
      <c r="T263" s="51">
        <f>T246</f>
        <v>7.4074074074074083</v>
      </c>
      <c r="U263" s="51">
        <f>U246</f>
        <v>16.666666666666668</v>
      </c>
      <c r="V263" s="51"/>
      <c r="W263" s="51"/>
      <c r="X263" s="55">
        <f>X291*0.7</f>
        <v>125.99999999999999</v>
      </c>
      <c r="Y263" s="59">
        <f t="shared" si="86"/>
        <v>0</v>
      </c>
      <c r="Z263" s="51">
        <f t="shared" si="86"/>
        <v>0</v>
      </c>
      <c r="AA263" s="51">
        <f t="shared" si="86"/>
        <v>0</v>
      </c>
    </row>
    <row r="264" spans="1:27" x14ac:dyDescent="0.25">
      <c r="A264" s="30" t="s">
        <v>60</v>
      </c>
      <c r="B264" s="31" t="s">
        <v>13</v>
      </c>
      <c r="C264" s="32" t="s">
        <v>61</v>
      </c>
      <c r="D264" s="31" t="s">
        <v>78</v>
      </c>
      <c r="E264" s="31"/>
      <c r="F264" s="51">
        <v>0</v>
      </c>
      <c r="G264" s="51">
        <v>0</v>
      </c>
      <c r="H264" s="51">
        <v>0</v>
      </c>
      <c r="I264" s="51">
        <f>I246*0.05</f>
        <v>1.1433333333333333</v>
      </c>
      <c r="J264" s="51">
        <v>0</v>
      </c>
      <c r="K264" s="51">
        <f>K246*0.05</f>
        <v>0.88235294117647067</v>
      </c>
      <c r="L264" s="52">
        <v>0</v>
      </c>
      <c r="M264" s="73">
        <f>M246*0</f>
        <v>0</v>
      </c>
      <c r="N264" s="73">
        <v>0</v>
      </c>
      <c r="O264" s="73">
        <f>O246*0</f>
        <v>0</v>
      </c>
      <c r="P264" s="73">
        <f>(P246)*0.01</f>
        <v>3.2222222222222223</v>
      </c>
      <c r="Q264" s="73">
        <f>Q246</f>
        <v>39.682539682539677</v>
      </c>
      <c r="R264" s="73"/>
      <c r="S264" s="51"/>
      <c r="T264" s="51"/>
      <c r="U264" s="51"/>
      <c r="V264" s="51"/>
      <c r="W264" s="51"/>
      <c r="X264" s="55">
        <f>X246*0.1</f>
        <v>3.3333333333333339</v>
      </c>
      <c r="Y264" s="59">
        <f t="shared" si="86"/>
        <v>0</v>
      </c>
      <c r="Z264" s="51">
        <f t="shared" si="86"/>
        <v>0</v>
      </c>
      <c r="AA264" s="51">
        <f t="shared" si="86"/>
        <v>0</v>
      </c>
    </row>
    <row r="265" spans="1:27" ht="15.75" thickBot="1" x14ac:dyDescent="0.3">
      <c r="A265" s="33" t="s">
        <v>60</v>
      </c>
      <c r="B265" s="34" t="s">
        <v>13</v>
      </c>
      <c r="C265" s="35" t="s">
        <v>61</v>
      </c>
      <c r="D265" s="34" t="s">
        <v>79</v>
      </c>
      <c r="E265" s="31"/>
      <c r="F265" s="51">
        <v>0</v>
      </c>
      <c r="G265" s="51">
        <v>0</v>
      </c>
      <c r="H265" s="51">
        <v>0</v>
      </c>
      <c r="I265" s="51">
        <v>0</v>
      </c>
      <c r="J265" s="51">
        <v>0</v>
      </c>
      <c r="K265" s="51">
        <v>0</v>
      </c>
      <c r="L265" s="52">
        <v>0</v>
      </c>
      <c r="M265" s="51">
        <v>0</v>
      </c>
      <c r="N265" s="51">
        <v>0</v>
      </c>
      <c r="O265" s="51">
        <v>0</v>
      </c>
      <c r="P265" s="51">
        <v>0</v>
      </c>
      <c r="Q265" s="51">
        <v>0</v>
      </c>
      <c r="R265" s="51">
        <v>0</v>
      </c>
      <c r="S265" s="51">
        <v>0</v>
      </c>
      <c r="T265" s="51">
        <v>0</v>
      </c>
      <c r="U265" s="51">
        <v>0</v>
      </c>
      <c r="V265" s="51">
        <v>0</v>
      </c>
      <c r="W265" s="51">
        <v>0</v>
      </c>
      <c r="X265" s="55">
        <v>0</v>
      </c>
      <c r="Y265" s="59">
        <f t="shared" si="86"/>
        <v>0</v>
      </c>
      <c r="Z265" s="51">
        <f t="shared" si="86"/>
        <v>0</v>
      </c>
      <c r="AA265" s="51">
        <f t="shared" si="86"/>
        <v>0</v>
      </c>
    </row>
    <row r="266" spans="1:27" x14ac:dyDescent="0.25">
      <c r="A266" s="30" t="s">
        <v>60</v>
      </c>
      <c r="B266" s="31" t="s">
        <v>13</v>
      </c>
      <c r="C266" s="32" t="s">
        <v>62</v>
      </c>
      <c r="D266" s="31" t="s">
        <v>75</v>
      </c>
      <c r="E266" s="31"/>
      <c r="F266" s="51"/>
      <c r="G266" s="73">
        <f>G247</f>
        <v>18.315789473684209</v>
      </c>
      <c r="H266" s="51">
        <f>H247*0.3</f>
        <v>16.09813333333333</v>
      </c>
      <c r="I266" s="51">
        <v>0</v>
      </c>
      <c r="J266" s="51">
        <v>0</v>
      </c>
      <c r="K266" s="51">
        <v>0</v>
      </c>
      <c r="L266" s="52">
        <v>0</v>
      </c>
      <c r="M266" s="51">
        <v>0</v>
      </c>
      <c r="N266" s="51">
        <v>0</v>
      </c>
      <c r="O266" s="51">
        <v>0</v>
      </c>
      <c r="P266" s="51">
        <v>0</v>
      </c>
      <c r="Q266" s="51">
        <v>0</v>
      </c>
      <c r="R266" s="51">
        <v>0</v>
      </c>
      <c r="S266" s="51">
        <v>0</v>
      </c>
      <c r="T266" s="51">
        <v>0</v>
      </c>
      <c r="U266" s="51">
        <v>0</v>
      </c>
      <c r="V266" s="51">
        <v>0</v>
      </c>
      <c r="W266" s="51">
        <v>0</v>
      </c>
      <c r="X266" s="55">
        <v>0</v>
      </c>
      <c r="Y266" s="59">
        <f t="shared" ref="Y266:AA270" si="88">IF(Y311&gt;0,Y41/Y311,0)</f>
        <v>0</v>
      </c>
      <c r="Z266" s="51">
        <f t="shared" si="88"/>
        <v>0</v>
      </c>
      <c r="AA266" s="51">
        <f t="shared" si="88"/>
        <v>0</v>
      </c>
    </row>
    <row r="267" spans="1:27" x14ac:dyDescent="0.25">
      <c r="A267" s="30" t="s">
        <v>60</v>
      </c>
      <c r="B267" s="31" t="s">
        <v>13</v>
      </c>
      <c r="C267" s="32" t="s">
        <v>62</v>
      </c>
      <c r="D267" s="31" t="s">
        <v>76</v>
      </c>
      <c r="E267" s="31"/>
      <c r="F267" s="51">
        <f>F247</f>
        <v>14</v>
      </c>
      <c r="G267" s="51">
        <f>G247*0</f>
        <v>0</v>
      </c>
      <c r="H267" s="51">
        <f>H247*0.7</f>
        <v>37.5623111111111</v>
      </c>
      <c r="I267" s="51">
        <v>0</v>
      </c>
      <c r="J267" s="51">
        <v>0</v>
      </c>
      <c r="K267" s="51">
        <v>0</v>
      </c>
      <c r="L267" s="52">
        <v>0</v>
      </c>
      <c r="M267" s="51">
        <v>0</v>
      </c>
      <c r="N267" s="51">
        <v>0</v>
      </c>
      <c r="O267" s="51">
        <v>0</v>
      </c>
      <c r="P267" s="51">
        <f>P247</f>
        <v>483.33333333333331</v>
      </c>
      <c r="Q267" s="51">
        <v>0</v>
      </c>
      <c r="R267" s="51">
        <v>0</v>
      </c>
      <c r="S267" s="51">
        <v>0</v>
      </c>
      <c r="T267" s="51">
        <v>0</v>
      </c>
      <c r="U267" s="51">
        <v>0</v>
      </c>
      <c r="V267" s="51">
        <v>0</v>
      </c>
      <c r="W267" s="51">
        <v>0</v>
      </c>
      <c r="X267" s="55">
        <v>0</v>
      </c>
      <c r="Y267" s="59">
        <f t="shared" si="88"/>
        <v>0</v>
      </c>
      <c r="Z267" s="51">
        <f t="shared" si="88"/>
        <v>0</v>
      </c>
      <c r="AA267" s="51">
        <f t="shared" si="88"/>
        <v>0</v>
      </c>
    </row>
    <row r="268" spans="1:27" x14ac:dyDescent="0.25">
      <c r="A268" s="30" t="s">
        <v>60</v>
      </c>
      <c r="B268" s="31" t="s">
        <v>13</v>
      </c>
      <c r="C268" s="32" t="s">
        <v>62</v>
      </c>
      <c r="D268" s="31" t="s">
        <v>77</v>
      </c>
      <c r="E268" s="31"/>
      <c r="F268" s="51">
        <v>0</v>
      </c>
      <c r="G268" s="51">
        <v>0</v>
      </c>
      <c r="H268" s="51">
        <v>0</v>
      </c>
      <c r="I268" s="51">
        <v>0</v>
      </c>
      <c r="J268" s="51">
        <v>0</v>
      </c>
      <c r="K268" s="51">
        <v>0</v>
      </c>
      <c r="L268" s="52">
        <v>0</v>
      </c>
      <c r="M268" s="51">
        <v>0</v>
      </c>
      <c r="N268" s="51">
        <v>0</v>
      </c>
      <c r="O268" s="51">
        <v>0</v>
      </c>
      <c r="P268" s="51">
        <v>0</v>
      </c>
      <c r="Q268" s="51">
        <v>0</v>
      </c>
      <c r="R268" s="51">
        <v>0</v>
      </c>
      <c r="S268" s="51">
        <v>0</v>
      </c>
      <c r="T268" s="51">
        <v>0</v>
      </c>
      <c r="U268" s="51">
        <v>0</v>
      </c>
      <c r="V268" s="51">
        <v>0</v>
      </c>
      <c r="W268" s="51">
        <v>0</v>
      </c>
      <c r="X268" s="55">
        <v>0</v>
      </c>
      <c r="Y268" s="59">
        <f t="shared" si="88"/>
        <v>0</v>
      </c>
      <c r="Z268" s="51">
        <f t="shared" si="88"/>
        <v>0</v>
      </c>
      <c r="AA268" s="51">
        <f t="shared" si="88"/>
        <v>0</v>
      </c>
    </row>
    <row r="269" spans="1:27" x14ac:dyDescent="0.25">
      <c r="A269" s="30" t="s">
        <v>60</v>
      </c>
      <c r="B269" s="31" t="s">
        <v>13</v>
      </c>
      <c r="C269" s="32" t="s">
        <v>62</v>
      </c>
      <c r="D269" s="31" t="s">
        <v>78</v>
      </c>
      <c r="E269" s="31"/>
      <c r="F269" s="51">
        <v>0</v>
      </c>
      <c r="G269" s="51">
        <v>0</v>
      </c>
      <c r="H269" s="51">
        <v>0</v>
      </c>
      <c r="I269" s="51">
        <v>0</v>
      </c>
      <c r="J269" s="51">
        <v>0</v>
      </c>
      <c r="K269" s="51">
        <v>0</v>
      </c>
      <c r="L269" s="52">
        <v>0</v>
      </c>
      <c r="M269" s="51">
        <v>0</v>
      </c>
      <c r="N269" s="51">
        <v>0</v>
      </c>
      <c r="O269" s="51">
        <v>0</v>
      </c>
      <c r="P269" s="51">
        <v>0</v>
      </c>
      <c r="Q269" s="51">
        <v>0</v>
      </c>
      <c r="R269" s="51">
        <v>0</v>
      </c>
      <c r="S269" s="51">
        <v>0</v>
      </c>
      <c r="T269" s="51">
        <v>0</v>
      </c>
      <c r="U269" s="51">
        <v>0</v>
      </c>
      <c r="V269" s="51">
        <v>0</v>
      </c>
      <c r="W269" s="51">
        <v>0</v>
      </c>
      <c r="X269" s="55">
        <v>0</v>
      </c>
      <c r="Y269" s="59">
        <f t="shared" si="88"/>
        <v>0</v>
      </c>
      <c r="Z269" s="51">
        <f t="shared" si="88"/>
        <v>0</v>
      </c>
      <c r="AA269" s="51">
        <f t="shared" si="88"/>
        <v>0</v>
      </c>
    </row>
    <row r="270" spans="1:27" ht="15.75" thickBot="1" x14ac:dyDescent="0.3">
      <c r="A270" s="33" t="s">
        <v>60</v>
      </c>
      <c r="B270" s="34" t="s">
        <v>13</v>
      </c>
      <c r="C270" s="32" t="s">
        <v>62</v>
      </c>
      <c r="D270" s="34" t="s">
        <v>79</v>
      </c>
      <c r="E270" s="31"/>
      <c r="F270" s="51">
        <v>0</v>
      </c>
      <c r="G270" s="51">
        <v>0</v>
      </c>
      <c r="H270" s="51">
        <v>0</v>
      </c>
      <c r="I270" s="51">
        <v>0</v>
      </c>
      <c r="J270" s="51">
        <v>0</v>
      </c>
      <c r="K270" s="51">
        <v>0</v>
      </c>
      <c r="L270" s="52">
        <v>0</v>
      </c>
      <c r="M270" s="51">
        <v>0</v>
      </c>
      <c r="N270" s="51">
        <v>0</v>
      </c>
      <c r="O270" s="51">
        <v>0</v>
      </c>
      <c r="P270" s="51">
        <v>0</v>
      </c>
      <c r="Q270" s="51">
        <v>0</v>
      </c>
      <c r="R270" s="51">
        <v>0</v>
      </c>
      <c r="S270" s="51">
        <v>0</v>
      </c>
      <c r="T270" s="51">
        <v>0</v>
      </c>
      <c r="U270" s="51">
        <v>0</v>
      </c>
      <c r="V270" s="51">
        <v>0</v>
      </c>
      <c r="W270" s="51">
        <v>0</v>
      </c>
      <c r="X270" s="55">
        <v>0</v>
      </c>
      <c r="Y270" s="59">
        <f t="shared" si="88"/>
        <v>0</v>
      </c>
      <c r="Z270" s="51">
        <f t="shared" si="88"/>
        <v>0</v>
      </c>
      <c r="AA270" s="51">
        <f t="shared" si="88"/>
        <v>0</v>
      </c>
    </row>
    <row r="272" spans="1:27" x14ac:dyDescent="0.25">
      <c r="D272" s="41" t="s">
        <v>84</v>
      </c>
      <c r="E272" s="41"/>
      <c r="M272" s="24" t="s">
        <v>81</v>
      </c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</row>
    <row r="273" spans="1:27" x14ac:dyDescent="0.25">
      <c r="F273" s="23" t="s">
        <v>44</v>
      </c>
      <c r="G273" s="23"/>
      <c r="H273" s="23"/>
      <c r="I273" s="23"/>
      <c r="J273" s="23"/>
      <c r="K273" s="23"/>
      <c r="L273" s="7" t="s">
        <v>30</v>
      </c>
      <c r="M273" s="24" t="s">
        <v>46</v>
      </c>
      <c r="N273" s="24"/>
      <c r="O273" s="24"/>
      <c r="P273" s="24"/>
      <c r="Q273" s="24"/>
      <c r="R273" s="24" t="s">
        <v>47</v>
      </c>
      <c r="S273" s="24"/>
      <c r="T273" s="24"/>
      <c r="U273" s="24"/>
      <c r="V273" s="24"/>
      <c r="W273" s="24"/>
      <c r="X273" s="24"/>
      <c r="Y273" s="44" t="s">
        <v>85</v>
      </c>
      <c r="Z273" s="44" t="s">
        <v>48</v>
      </c>
      <c r="AA273" s="44" t="s">
        <v>3</v>
      </c>
    </row>
    <row r="274" spans="1:27" ht="63" x14ac:dyDescent="0.25">
      <c r="F274" s="38" t="s">
        <v>36</v>
      </c>
      <c r="G274" s="38" t="s">
        <v>37</v>
      </c>
      <c r="H274" s="38" t="s">
        <v>38</v>
      </c>
      <c r="I274" s="38" t="s">
        <v>80</v>
      </c>
      <c r="J274" s="38" t="s">
        <v>39</v>
      </c>
      <c r="K274" s="38" t="s">
        <v>45</v>
      </c>
      <c r="L274" s="39" t="s">
        <v>16</v>
      </c>
      <c r="M274" s="40" t="s">
        <v>34</v>
      </c>
      <c r="N274" s="40" t="s">
        <v>5</v>
      </c>
      <c r="O274" s="40" t="s">
        <v>7</v>
      </c>
      <c r="P274" s="40" t="s">
        <v>8</v>
      </c>
      <c r="Q274" s="40" t="s">
        <v>40</v>
      </c>
      <c r="R274" s="40" t="s">
        <v>41</v>
      </c>
      <c r="S274" s="40" t="s">
        <v>42</v>
      </c>
      <c r="T274" s="40" t="s">
        <v>31</v>
      </c>
      <c r="U274" s="40" t="s">
        <v>43</v>
      </c>
      <c r="V274" s="40" t="s">
        <v>82</v>
      </c>
      <c r="W274" s="40" t="s">
        <v>87</v>
      </c>
      <c r="X274" s="40" t="s">
        <v>83</v>
      </c>
      <c r="Y274" s="45" t="s">
        <v>3</v>
      </c>
      <c r="Z274" s="45" t="s">
        <v>86</v>
      </c>
      <c r="AA274" s="45" t="s">
        <v>3</v>
      </c>
    </row>
    <row r="275" spans="1:27" x14ac:dyDescent="0.25">
      <c r="A275" s="15" t="s">
        <v>51</v>
      </c>
      <c r="B275" s="2"/>
      <c r="C275" s="2"/>
      <c r="F275" s="1"/>
      <c r="G275" s="1"/>
      <c r="H275" s="1"/>
      <c r="I275" s="1"/>
      <c r="J275" s="1"/>
      <c r="K275" s="1"/>
      <c r="L275" s="5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54"/>
      <c r="Y275" s="58"/>
      <c r="Z275" s="1"/>
      <c r="AA275" s="1"/>
    </row>
    <row r="276" spans="1:27" x14ac:dyDescent="0.25">
      <c r="A276" s="30" t="s">
        <v>60</v>
      </c>
      <c r="B276" s="2"/>
      <c r="C276" s="2"/>
      <c r="F276" s="1"/>
      <c r="G276" s="1"/>
      <c r="H276" s="1"/>
      <c r="I276" s="1"/>
      <c r="J276" s="1"/>
      <c r="K276" s="1"/>
      <c r="L276" s="5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54"/>
      <c r="Y276" s="58"/>
      <c r="Z276" s="1"/>
      <c r="AA276" s="1"/>
    </row>
    <row r="277" spans="1:27" x14ac:dyDescent="0.25">
      <c r="A277" s="15" t="s">
        <v>51</v>
      </c>
      <c r="B277" s="16" t="s">
        <v>52</v>
      </c>
      <c r="C277" s="2"/>
      <c r="F277" s="1"/>
      <c r="G277" s="1"/>
      <c r="H277" s="1"/>
      <c r="I277" s="1"/>
      <c r="J277" s="1"/>
      <c r="K277" s="1"/>
      <c r="L277" s="5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54"/>
      <c r="Y277" s="58"/>
      <c r="Z277" s="1"/>
      <c r="AA277" s="1"/>
    </row>
    <row r="278" spans="1:27" x14ac:dyDescent="0.25">
      <c r="A278" s="15" t="s">
        <v>51</v>
      </c>
      <c r="B278" s="16" t="s">
        <v>56</v>
      </c>
      <c r="C278" s="2"/>
      <c r="F278" s="1"/>
      <c r="G278" s="1"/>
      <c r="H278" s="1"/>
      <c r="I278" s="1"/>
      <c r="J278" s="1"/>
      <c r="K278" s="1"/>
      <c r="L278" s="5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54"/>
      <c r="Y278" s="58"/>
      <c r="Z278" s="1"/>
      <c r="AA278" s="1"/>
    </row>
    <row r="279" spans="1:27" x14ac:dyDescent="0.25">
      <c r="A279" s="15" t="s">
        <v>51</v>
      </c>
      <c r="B279" s="16" t="s">
        <v>9</v>
      </c>
      <c r="C279" s="2"/>
      <c r="F279" s="1"/>
      <c r="G279" s="1"/>
      <c r="H279" s="1"/>
      <c r="I279" s="1"/>
      <c r="J279" s="1"/>
      <c r="K279" s="1"/>
      <c r="L279" s="5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54"/>
      <c r="Y279" s="58"/>
      <c r="Z279" s="1"/>
      <c r="AA279" s="1"/>
    </row>
    <row r="280" spans="1:27" x14ac:dyDescent="0.25">
      <c r="A280" s="30" t="s">
        <v>60</v>
      </c>
      <c r="B280" s="32" t="s">
        <v>13</v>
      </c>
      <c r="C280" s="2"/>
      <c r="F280" s="51"/>
      <c r="G280" s="51"/>
      <c r="H280" s="51"/>
      <c r="I280" s="51"/>
      <c r="J280" s="51"/>
      <c r="K280" s="51"/>
      <c r="L280" s="52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5"/>
      <c r="Y280" s="59"/>
      <c r="Z280" s="51"/>
      <c r="AA280" s="51"/>
    </row>
    <row r="281" spans="1:27" x14ac:dyDescent="0.25">
      <c r="A281" s="30" t="s">
        <v>60</v>
      </c>
      <c r="B281" s="31" t="s">
        <v>23</v>
      </c>
      <c r="C281" s="2"/>
      <c r="F281" s="51"/>
      <c r="G281" s="51"/>
      <c r="H281" s="51"/>
      <c r="I281" s="51"/>
      <c r="J281" s="51"/>
      <c r="K281" s="51"/>
      <c r="L281" s="52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5"/>
      <c r="Y281" s="59"/>
      <c r="Z281" s="51"/>
      <c r="AA281" s="51"/>
    </row>
    <row r="282" spans="1:27" x14ac:dyDescent="0.25">
      <c r="A282" s="30" t="s">
        <v>60</v>
      </c>
      <c r="B282" s="31" t="s">
        <v>65</v>
      </c>
      <c r="C282" s="46"/>
      <c r="F282" s="51"/>
      <c r="G282" s="51"/>
      <c r="H282" s="51"/>
      <c r="I282" s="51"/>
      <c r="J282" s="51"/>
      <c r="K282" s="51"/>
      <c r="L282" s="52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5"/>
      <c r="Y282" s="59"/>
      <c r="Z282" s="51"/>
      <c r="AA282" s="51"/>
    </row>
    <row r="283" spans="1:27" ht="15.75" thickBot="1" x14ac:dyDescent="0.3">
      <c r="A283" s="48" t="s">
        <v>60</v>
      </c>
      <c r="B283" s="49" t="s">
        <v>9</v>
      </c>
      <c r="C283" s="50"/>
      <c r="D283" s="50"/>
      <c r="E283" s="50"/>
      <c r="F283" s="53"/>
      <c r="G283" s="53"/>
      <c r="H283" s="53"/>
      <c r="I283" s="53"/>
      <c r="J283" s="53"/>
      <c r="K283" s="53"/>
      <c r="L283" s="62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6"/>
      <c r="Y283" s="60"/>
      <c r="Z283" s="53"/>
      <c r="AA283" s="53"/>
    </row>
    <row r="284" spans="1:27" ht="15.75" thickTop="1" x14ac:dyDescent="0.25">
      <c r="A284" s="15" t="s">
        <v>51</v>
      </c>
      <c r="B284" s="16" t="s">
        <v>52</v>
      </c>
      <c r="C284" s="16" t="s">
        <v>53</v>
      </c>
      <c r="D284" s="2"/>
      <c r="E284" s="2"/>
      <c r="F284" s="47"/>
      <c r="G284" s="47"/>
      <c r="H284" s="47"/>
      <c r="I284" s="47"/>
      <c r="J284" s="47"/>
      <c r="K284" s="47"/>
      <c r="L284" s="6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57"/>
      <c r="Y284" s="61"/>
      <c r="Z284" s="47"/>
      <c r="AA284" s="47"/>
    </row>
    <row r="285" spans="1:27" x14ac:dyDescent="0.25">
      <c r="A285" s="15" t="s">
        <v>51</v>
      </c>
      <c r="B285" s="16" t="s">
        <v>52</v>
      </c>
      <c r="C285" s="16" t="s">
        <v>54</v>
      </c>
      <c r="D285" s="2"/>
      <c r="E285" s="2"/>
      <c r="F285" s="1"/>
      <c r="G285" s="1"/>
      <c r="H285" s="1"/>
      <c r="I285" s="1"/>
      <c r="J285" s="1"/>
      <c r="K285" s="1"/>
      <c r="L285" s="5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54"/>
      <c r="Y285" s="58"/>
      <c r="Z285" s="1"/>
      <c r="AA285" s="1"/>
    </row>
    <row r="286" spans="1:27" x14ac:dyDescent="0.25">
      <c r="A286" s="15" t="s">
        <v>51</v>
      </c>
      <c r="B286" s="16" t="s">
        <v>52</v>
      </c>
      <c r="C286" s="16" t="s">
        <v>55</v>
      </c>
      <c r="D286" s="2"/>
      <c r="E286" s="2"/>
      <c r="F286" s="1"/>
      <c r="G286" s="1"/>
      <c r="H286" s="1"/>
      <c r="I286" s="1"/>
      <c r="J286" s="1"/>
      <c r="K286" s="1"/>
      <c r="L286" s="5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54"/>
      <c r="Y286" s="58"/>
      <c r="Z286" s="1"/>
      <c r="AA286" s="1"/>
    </row>
    <row r="287" spans="1:27" x14ac:dyDescent="0.25">
      <c r="A287" s="25" t="s">
        <v>51</v>
      </c>
      <c r="B287" s="26" t="s">
        <v>56</v>
      </c>
      <c r="C287" s="26" t="s">
        <v>57</v>
      </c>
      <c r="D287" s="2"/>
      <c r="E287" s="2"/>
      <c r="F287" s="1"/>
      <c r="G287" s="1"/>
      <c r="H287" s="1"/>
      <c r="I287" s="1"/>
      <c r="J287" s="1"/>
      <c r="K287" s="1"/>
      <c r="L287" s="5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54"/>
      <c r="Y287" s="58"/>
      <c r="Z287" s="1"/>
      <c r="AA287" s="1"/>
    </row>
    <row r="288" spans="1:27" x14ac:dyDescent="0.25">
      <c r="A288" s="15" t="s">
        <v>51</v>
      </c>
      <c r="B288" s="16" t="s">
        <v>56</v>
      </c>
      <c r="C288" s="27" t="s">
        <v>58</v>
      </c>
      <c r="D288" s="2"/>
      <c r="E288" s="2"/>
      <c r="F288" s="1"/>
      <c r="G288" s="1"/>
      <c r="H288" s="1"/>
      <c r="I288" s="1"/>
      <c r="J288" s="1"/>
      <c r="K288" s="1"/>
      <c r="L288" s="5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54"/>
      <c r="Y288" s="58"/>
      <c r="Z288" s="1"/>
      <c r="AA288" s="1"/>
    </row>
    <row r="289" spans="1:31" x14ac:dyDescent="0.25">
      <c r="A289" s="15" t="s">
        <v>51</v>
      </c>
      <c r="B289" s="16" t="s">
        <v>9</v>
      </c>
      <c r="C289" s="27" t="s">
        <v>59</v>
      </c>
      <c r="D289" s="2"/>
      <c r="E289" s="2"/>
      <c r="F289" s="1"/>
      <c r="G289" s="1"/>
      <c r="H289" s="1"/>
      <c r="I289" s="1"/>
      <c r="J289" s="1"/>
      <c r="K289" s="1"/>
      <c r="L289" s="5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54"/>
      <c r="Y289" s="58"/>
      <c r="Z289" s="1"/>
      <c r="AA289" s="1"/>
    </row>
    <row r="290" spans="1:31" x14ac:dyDescent="0.25">
      <c r="A290" s="15" t="s">
        <v>51</v>
      </c>
      <c r="B290" s="16" t="s">
        <v>9</v>
      </c>
      <c r="C290" s="27" t="s">
        <v>9</v>
      </c>
      <c r="D290" s="2"/>
      <c r="E290" s="2"/>
      <c r="F290" s="1"/>
      <c r="G290" s="1"/>
      <c r="H290" s="1"/>
      <c r="I290" s="1"/>
      <c r="J290" s="1"/>
      <c r="K290" s="1"/>
      <c r="L290" s="5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54"/>
      <c r="Y290" s="58"/>
      <c r="Z290" s="1"/>
      <c r="AA290" s="1"/>
    </row>
    <row r="291" spans="1:31" x14ac:dyDescent="0.25">
      <c r="A291" s="28" t="s">
        <v>60</v>
      </c>
      <c r="B291" s="29" t="s">
        <v>13</v>
      </c>
      <c r="C291" s="29" t="s">
        <v>61</v>
      </c>
      <c r="D291" s="2"/>
      <c r="E291" s="2"/>
      <c r="F291" s="51">
        <v>190</v>
      </c>
      <c r="G291" s="51"/>
      <c r="H291" s="51">
        <v>180</v>
      </c>
      <c r="I291" s="51">
        <v>180</v>
      </c>
      <c r="J291" s="51">
        <v>170</v>
      </c>
      <c r="K291" s="51">
        <v>170</v>
      </c>
      <c r="L291" s="52"/>
      <c r="M291" s="51">
        <v>180</v>
      </c>
      <c r="N291" s="51">
        <v>160</v>
      </c>
      <c r="O291" s="51">
        <v>180</v>
      </c>
      <c r="P291" s="51">
        <v>180</v>
      </c>
      <c r="Q291" s="51">
        <v>180</v>
      </c>
      <c r="R291" s="51">
        <v>180</v>
      </c>
      <c r="S291" s="51"/>
      <c r="T291" s="51">
        <v>180</v>
      </c>
      <c r="U291" s="51">
        <v>180</v>
      </c>
      <c r="V291" s="51">
        <v>180</v>
      </c>
      <c r="W291" s="51">
        <v>180</v>
      </c>
      <c r="X291" s="55">
        <v>180</v>
      </c>
      <c r="Y291" s="59"/>
      <c r="Z291" s="51"/>
      <c r="AA291" s="51"/>
    </row>
    <row r="292" spans="1:31" x14ac:dyDescent="0.25">
      <c r="A292" s="36" t="s">
        <v>60</v>
      </c>
      <c r="B292" s="37" t="s">
        <v>13</v>
      </c>
      <c r="C292" s="29" t="s">
        <v>62</v>
      </c>
      <c r="D292" s="2"/>
      <c r="E292" s="2"/>
      <c r="F292" s="51">
        <v>190</v>
      </c>
      <c r="G292" s="51">
        <v>190</v>
      </c>
      <c r="H292" s="51">
        <v>180</v>
      </c>
      <c r="I292" s="51"/>
      <c r="J292" s="51"/>
      <c r="K292" s="51"/>
      <c r="L292" s="52"/>
      <c r="M292" s="51"/>
      <c r="N292" s="51"/>
      <c r="O292" s="51"/>
      <c r="P292" s="51">
        <v>180</v>
      </c>
      <c r="Q292" s="51"/>
      <c r="R292" s="51"/>
      <c r="S292" s="51"/>
      <c r="T292" s="51"/>
      <c r="U292" s="51"/>
      <c r="V292" s="51"/>
      <c r="W292" s="51"/>
      <c r="X292" s="55"/>
      <c r="Y292" s="59"/>
      <c r="Z292" s="51"/>
      <c r="AA292" s="51"/>
    </row>
    <row r="293" spans="1:31" x14ac:dyDescent="0.25">
      <c r="A293" s="30" t="s">
        <v>60</v>
      </c>
      <c r="B293" s="31" t="s">
        <v>13</v>
      </c>
      <c r="C293" s="32" t="s">
        <v>63</v>
      </c>
      <c r="D293" s="2"/>
      <c r="E293" s="2"/>
      <c r="F293" s="51"/>
      <c r="G293" s="51"/>
      <c r="H293" s="51"/>
      <c r="I293" s="51"/>
      <c r="J293" s="51"/>
      <c r="K293" s="51"/>
      <c r="L293" s="52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5"/>
      <c r="Y293" s="59"/>
      <c r="Z293" s="51"/>
      <c r="AA293" s="51"/>
    </row>
    <row r="294" spans="1:31" x14ac:dyDescent="0.25">
      <c r="A294" s="30" t="s">
        <v>60</v>
      </c>
      <c r="B294" s="32" t="s">
        <v>23</v>
      </c>
      <c r="C294" s="31" t="s">
        <v>50</v>
      </c>
      <c r="D294" s="2"/>
      <c r="E294" s="2"/>
      <c r="F294" s="51">
        <v>65</v>
      </c>
      <c r="G294" s="51"/>
      <c r="H294" s="51"/>
      <c r="I294" s="51"/>
      <c r="J294" s="51">
        <v>65</v>
      </c>
      <c r="K294" s="51">
        <v>70</v>
      </c>
      <c r="L294" s="52"/>
      <c r="M294" s="51">
        <v>65</v>
      </c>
      <c r="N294" s="51">
        <v>65</v>
      </c>
      <c r="O294" s="51"/>
      <c r="P294" s="51"/>
      <c r="Q294" s="51"/>
      <c r="R294" s="51"/>
      <c r="S294" s="51"/>
      <c r="T294" s="51"/>
      <c r="U294" s="51"/>
      <c r="V294" s="51"/>
      <c r="W294" s="51"/>
      <c r="X294" s="55"/>
      <c r="Y294" s="59"/>
      <c r="Z294" s="51"/>
      <c r="AA294" s="51"/>
      <c r="AB294" t="s">
        <v>13</v>
      </c>
      <c r="AC294" t="s">
        <v>111</v>
      </c>
      <c r="AD294" t="s">
        <v>106</v>
      </c>
    </row>
    <row r="295" spans="1:31" x14ac:dyDescent="0.25">
      <c r="A295" s="30" t="s">
        <v>60</v>
      </c>
      <c r="B295" s="32" t="s">
        <v>23</v>
      </c>
      <c r="C295" s="31" t="s">
        <v>49</v>
      </c>
      <c r="D295" s="2"/>
      <c r="E295" s="2"/>
      <c r="F295" s="51"/>
      <c r="G295" s="51"/>
      <c r="H295" s="51"/>
      <c r="I295" s="51"/>
      <c r="J295" s="51">
        <v>45</v>
      </c>
      <c r="K295" s="51">
        <v>45</v>
      </c>
      <c r="L295" s="52"/>
      <c r="M295" s="51"/>
      <c r="N295" s="51"/>
      <c r="O295" s="51"/>
      <c r="P295" s="51"/>
      <c r="Q295" s="51"/>
      <c r="R295" s="51"/>
      <c r="S295" s="51">
        <v>45</v>
      </c>
      <c r="T295" s="51">
        <v>35</v>
      </c>
      <c r="U295" s="51"/>
      <c r="V295" s="51">
        <v>45</v>
      </c>
      <c r="W295" s="51"/>
      <c r="X295" s="55">
        <v>45</v>
      </c>
      <c r="Y295" s="59"/>
      <c r="Z295" s="51"/>
      <c r="AA295" s="51"/>
      <c r="AB295">
        <v>2.9</v>
      </c>
      <c r="AC295">
        <v>3.2</v>
      </c>
      <c r="AD295">
        <v>1.8</v>
      </c>
      <c r="AE295" t="s">
        <v>107</v>
      </c>
    </row>
    <row r="296" spans="1:31" x14ac:dyDescent="0.25">
      <c r="A296" s="30" t="s">
        <v>60</v>
      </c>
      <c r="B296" s="32" t="s">
        <v>23</v>
      </c>
      <c r="C296" s="31" t="s">
        <v>64</v>
      </c>
      <c r="D296" s="2"/>
      <c r="E296" s="2"/>
      <c r="F296" s="51"/>
      <c r="G296" s="51"/>
      <c r="H296" s="51"/>
      <c r="I296" s="51"/>
      <c r="J296" s="51"/>
      <c r="K296" s="51"/>
      <c r="L296" s="52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5"/>
      <c r="Y296" s="59"/>
      <c r="Z296" s="51"/>
      <c r="AA296" s="51"/>
      <c r="AB296">
        <v>3.6</v>
      </c>
      <c r="AC296">
        <v>1.2</v>
      </c>
      <c r="AD296">
        <v>1.2</v>
      </c>
      <c r="AE296" t="s">
        <v>108</v>
      </c>
    </row>
    <row r="297" spans="1:31" x14ac:dyDescent="0.25">
      <c r="A297" s="30" t="s">
        <v>60</v>
      </c>
      <c r="B297" s="32" t="s">
        <v>65</v>
      </c>
      <c r="C297" s="31" t="s">
        <v>66</v>
      </c>
      <c r="D297" s="2"/>
      <c r="E297" s="2"/>
      <c r="F297" s="51"/>
      <c r="G297" s="51"/>
      <c r="H297" s="51"/>
      <c r="I297" s="51"/>
      <c r="J297" s="51">
        <v>40</v>
      </c>
      <c r="K297" s="51"/>
      <c r="L297" s="52"/>
      <c r="M297" s="51">
        <v>40</v>
      </c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5"/>
      <c r="Y297" s="59"/>
      <c r="Z297" s="51"/>
      <c r="AA297" s="51"/>
      <c r="AB297">
        <v>65.099999999999994</v>
      </c>
      <c r="AC297">
        <v>42.7</v>
      </c>
      <c r="AD297">
        <v>42.2</v>
      </c>
      <c r="AE297" t="s">
        <v>109</v>
      </c>
    </row>
    <row r="298" spans="1:31" x14ac:dyDescent="0.25">
      <c r="A298" s="30" t="s">
        <v>60</v>
      </c>
      <c r="B298" s="32" t="s">
        <v>65</v>
      </c>
      <c r="C298" s="31" t="s">
        <v>67</v>
      </c>
      <c r="D298" s="2"/>
      <c r="E298" s="2"/>
      <c r="F298" s="51"/>
      <c r="G298" s="51"/>
      <c r="H298" s="51"/>
      <c r="I298" s="51"/>
      <c r="J298" s="51"/>
      <c r="K298" s="51"/>
      <c r="L298" s="52"/>
      <c r="M298" s="51"/>
      <c r="N298" s="51"/>
      <c r="O298" s="51"/>
      <c r="P298" s="51"/>
      <c r="Q298" s="51">
        <v>35</v>
      </c>
      <c r="R298" s="51">
        <v>35</v>
      </c>
      <c r="S298" s="51"/>
      <c r="T298" s="51">
        <v>35</v>
      </c>
      <c r="U298" s="51">
        <v>35</v>
      </c>
      <c r="V298" s="51">
        <v>35</v>
      </c>
      <c r="W298" s="51">
        <v>35</v>
      </c>
      <c r="X298" s="55">
        <v>35</v>
      </c>
      <c r="Y298" s="59"/>
      <c r="Z298" s="51"/>
      <c r="AA298" s="51"/>
      <c r="AB298">
        <v>18.2</v>
      </c>
      <c r="AC298">
        <v>22</v>
      </c>
      <c r="AD298">
        <v>22.2</v>
      </c>
      <c r="AE298" t="s">
        <v>110</v>
      </c>
    </row>
    <row r="299" spans="1:31" x14ac:dyDescent="0.25">
      <c r="A299" s="30" t="s">
        <v>60</v>
      </c>
      <c r="B299" s="32" t="s">
        <v>65</v>
      </c>
      <c r="C299" s="31" t="s">
        <v>68</v>
      </c>
      <c r="D299" s="2"/>
      <c r="E299" s="2"/>
      <c r="F299" s="51"/>
      <c r="G299" s="51"/>
      <c r="H299" s="51"/>
      <c r="I299" s="51"/>
      <c r="J299" s="51"/>
      <c r="K299" s="51"/>
      <c r="L299" s="52">
        <v>40</v>
      </c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5"/>
      <c r="Y299" s="59"/>
      <c r="Z299" s="51"/>
      <c r="AA299" s="51"/>
      <c r="AB299">
        <v>47</v>
      </c>
      <c r="AC299">
        <v>58</v>
      </c>
      <c r="AD299">
        <v>49</v>
      </c>
      <c r="AE299" t="s">
        <v>102</v>
      </c>
    </row>
    <row r="300" spans="1:31" x14ac:dyDescent="0.25">
      <c r="A300" s="30" t="s">
        <v>60</v>
      </c>
      <c r="B300" s="32" t="s">
        <v>9</v>
      </c>
      <c r="C300" s="31" t="s">
        <v>69</v>
      </c>
      <c r="D300" s="2"/>
      <c r="E300" s="2"/>
      <c r="F300" s="51"/>
      <c r="G300" s="51"/>
      <c r="H300" s="51"/>
      <c r="I300" s="51"/>
      <c r="J300" s="51"/>
      <c r="K300" s="51"/>
      <c r="L300" s="52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5">
        <v>60</v>
      </c>
      <c r="Y300" s="59"/>
      <c r="Z300" s="51"/>
      <c r="AA300" s="51"/>
      <c r="AB300">
        <f>AB295*AB296</f>
        <v>10.44</v>
      </c>
      <c r="AC300">
        <f>AC295*AC296</f>
        <v>3.84</v>
      </c>
      <c r="AD300">
        <f>AD295*AD296</f>
        <v>2.16</v>
      </c>
      <c r="AE300" t="s">
        <v>91</v>
      </c>
    </row>
    <row r="301" spans="1:31" x14ac:dyDescent="0.25">
      <c r="A301" s="15" t="s">
        <v>51</v>
      </c>
      <c r="B301" s="16" t="s">
        <v>56</v>
      </c>
      <c r="C301" s="27" t="s">
        <v>57</v>
      </c>
      <c r="D301" s="16" t="s">
        <v>70</v>
      </c>
      <c r="E301" s="16"/>
      <c r="F301" s="1"/>
      <c r="G301" s="1"/>
      <c r="H301" s="1"/>
      <c r="I301" s="1"/>
      <c r="J301" s="1"/>
      <c r="K301" s="1"/>
      <c r="L301" s="5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54"/>
      <c r="Y301" s="58"/>
      <c r="Z301" s="1"/>
      <c r="AA301" s="1"/>
      <c r="AB301">
        <f>(AB298/100)^2*AB297/100</f>
        <v>2.1563723999999999E-2</v>
      </c>
      <c r="AC301">
        <f>(AC298/100)^2*AC297/100</f>
        <v>2.0666800000000003E-2</v>
      </c>
      <c r="AD301">
        <f>(AD298/100)^2*AD297/100</f>
        <v>2.0797848000000001E-2</v>
      </c>
      <c r="AE301" t="s">
        <v>112</v>
      </c>
    </row>
    <row r="302" spans="1:31" x14ac:dyDescent="0.25">
      <c r="A302" s="15" t="s">
        <v>51</v>
      </c>
      <c r="B302" s="16" t="s">
        <v>56</v>
      </c>
      <c r="C302" s="27" t="s">
        <v>57</v>
      </c>
      <c r="D302" s="16" t="s">
        <v>71</v>
      </c>
      <c r="E302" s="16"/>
      <c r="F302" s="1"/>
      <c r="G302" s="1"/>
      <c r="H302" s="1"/>
      <c r="I302" s="1"/>
      <c r="J302" s="1"/>
      <c r="K302" s="1"/>
      <c r="L302" s="5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54"/>
      <c r="Y302" s="58"/>
      <c r="Z302" s="1"/>
      <c r="AA302" s="1"/>
      <c r="AB302">
        <f>AB300/AB299</f>
        <v>0.22212765957446806</v>
      </c>
      <c r="AC302">
        <f>AC300/AC299</f>
        <v>6.620689655172414E-2</v>
      </c>
      <c r="AD302">
        <f>AD300/AD299</f>
        <v>4.4081632653061226E-2</v>
      </c>
      <c r="AE302" t="s">
        <v>104</v>
      </c>
    </row>
    <row r="303" spans="1:31" x14ac:dyDescent="0.25">
      <c r="A303" s="15" t="s">
        <v>51</v>
      </c>
      <c r="B303" s="16" t="s">
        <v>56</v>
      </c>
      <c r="C303" s="27" t="s">
        <v>27</v>
      </c>
      <c r="D303" s="16" t="s">
        <v>72</v>
      </c>
      <c r="E303" s="16"/>
      <c r="F303" s="1"/>
      <c r="G303" s="1"/>
      <c r="H303" s="1"/>
      <c r="I303" s="1"/>
      <c r="J303" s="1"/>
      <c r="K303" s="1"/>
      <c r="L303" s="5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54"/>
      <c r="Y303" s="58"/>
      <c r="Z303" s="1"/>
      <c r="AA303" s="1"/>
      <c r="AB303">
        <f>AB300/AB301</f>
        <v>484.14643036610931</v>
      </c>
      <c r="AC303">
        <f>AC300/AC301</f>
        <v>185.8052528693363</v>
      </c>
      <c r="AD303">
        <f>AD300/AD301</f>
        <v>103.85689904070844</v>
      </c>
      <c r="AE303" t="s">
        <v>113</v>
      </c>
    </row>
    <row r="304" spans="1:31" x14ac:dyDescent="0.25">
      <c r="A304" s="15" t="s">
        <v>51</v>
      </c>
      <c r="B304" s="16" t="s">
        <v>56</v>
      </c>
      <c r="C304" s="27" t="s">
        <v>57</v>
      </c>
      <c r="D304" s="16" t="s">
        <v>73</v>
      </c>
      <c r="E304" s="16"/>
      <c r="F304" s="1"/>
      <c r="G304" s="1"/>
      <c r="H304" s="1"/>
      <c r="I304" s="1"/>
      <c r="J304" s="1"/>
      <c r="K304" s="1"/>
      <c r="L304" s="5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54"/>
      <c r="Y304" s="58"/>
      <c r="Z304" s="1"/>
      <c r="AA304" s="1"/>
    </row>
    <row r="305" spans="1:27" x14ac:dyDescent="0.25">
      <c r="A305" s="15" t="s">
        <v>51</v>
      </c>
      <c r="B305" s="16" t="s">
        <v>56</v>
      </c>
      <c r="C305" s="27" t="s">
        <v>57</v>
      </c>
      <c r="D305" s="16" t="s">
        <v>74</v>
      </c>
      <c r="E305" s="16"/>
      <c r="F305" s="1"/>
      <c r="G305" s="1"/>
      <c r="H305" s="1"/>
      <c r="I305" s="1"/>
      <c r="J305" s="1"/>
      <c r="K305" s="1"/>
      <c r="L305" s="5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54"/>
      <c r="Y305" s="58"/>
      <c r="Z305" s="1"/>
      <c r="AA305" s="1"/>
    </row>
    <row r="306" spans="1:27" x14ac:dyDescent="0.25">
      <c r="A306" s="30" t="s">
        <v>60</v>
      </c>
      <c r="B306" s="31" t="s">
        <v>13</v>
      </c>
      <c r="C306" s="32" t="s">
        <v>61</v>
      </c>
      <c r="D306" s="31" t="s">
        <v>75</v>
      </c>
      <c r="E306" s="31"/>
      <c r="F306" s="51"/>
      <c r="G306" s="51"/>
      <c r="H306" s="51"/>
      <c r="I306" s="51"/>
      <c r="J306" s="51"/>
      <c r="K306" s="51"/>
      <c r="L306" s="52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5"/>
      <c r="Y306" s="59"/>
      <c r="Z306" s="51"/>
      <c r="AA306" s="51"/>
    </row>
    <row r="307" spans="1:27" x14ac:dyDescent="0.25">
      <c r="A307" s="30" t="s">
        <v>60</v>
      </c>
      <c r="B307" s="31" t="s">
        <v>13</v>
      </c>
      <c r="C307" s="32" t="s">
        <v>61</v>
      </c>
      <c r="D307" s="31" t="s">
        <v>76</v>
      </c>
      <c r="E307" s="31"/>
      <c r="F307" s="51"/>
      <c r="G307" s="51"/>
      <c r="H307" s="51"/>
      <c r="I307" s="51"/>
      <c r="J307" s="51"/>
      <c r="K307" s="51"/>
      <c r="L307" s="52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5"/>
      <c r="Y307" s="59"/>
      <c r="Z307" s="51"/>
      <c r="AA307" s="51"/>
    </row>
    <row r="308" spans="1:27" x14ac:dyDescent="0.25">
      <c r="A308" s="30" t="s">
        <v>60</v>
      </c>
      <c r="B308" s="31" t="s">
        <v>13</v>
      </c>
      <c r="C308" s="32" t="s">
        <v>61</v>
      </c>
      <c r="D308" s="31" t="s">
        <v>77</v>
      </c>
      <c r="E308" s="31"/>
      <c r="F308" s="51"/>
      <c r="G308" s="51"/>
      <c r="H308" s="51"/>
      <c r="I308" s="51"/>
      <c r="J308" s="51"/>
      <c r="K308" s="51"/>
      <c r="L308" s="52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5"/>
      <c r="Y308" s="59"/>
      <c r="Z308" s="51"/>
      <c r="AA308" s="51"/>
    </row>
    <row r="309" spans="1:27" x14ac:dyDescent="0.25">
      <c r="A309" s="30" t="s">
        <v>60</v>
      </c>
      <c r="B309" s="31" t="s">
        <v>13</v>
      </c>
      <c r="C309" s="32" t="s">
        <v>61</v>
      </c>
      <c r="D309" s="31" t="s">
        <v>78</v>
      </c>
      <c r="E309" s="31"/>
      <c r="F309" s="51"/>
      <c r="G309" s="51"/>
      <c r="H309" s="51"/>
      <c r="I309" s="51"/>
      <c r="J309" s="51"/>
      <c r="K309" s="51"/>
      <c r="L309" s="52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5"/>
      <c r="Y309" s="59"/>
      <c r="Z309" s="51"/>
      <c r="AA309" s="51"/>
    </row>
    <row r="310" spans="1:27" ht="15.75" thickBot="1" x14ac:dyDescent="0.3">
      <c r="A310" s="33" t="s">
        <v>60</v>
      </c>
      <c r="B310" s="34" t="s">
        <v>13</v>
      </c>
      <c r="C310" s="35" t="s">
        <v>61</v>
      </c>
      <c r="D310" s="34" t="s">
        <v>79</v>
      </c>
      <c r="E310" s="31"/>
      <c r="F310" s="51"/>
      <c r="G310" s="51"/>
      <c r="H310" s="51"/>
      <c r="I310" s="51"/>
      <c r="J310" s="51"/>
      <c r="K310" s="51"/>
      <c r="L310" s="52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5"/>
      <c r="Y310" s="59"/>
      <c r="Z310" s="51"/>
      <c r="AA310" s="51"/>
    </row>
    <row r="311" spans="1:27" x14ac:dyDescent="0.25">
      <c r="A311" s="30" t="s">
        <v>60</v>
      </c>
      <c r="B311" s="31" t="s">
        <v>13</v>
      </c>
      <c r="C311" s="32" t="s">
        <v>62</v>
      </c>
      <c r="D311" s="31" t="s">
        <v>75</v>
      </c>
      <c r="E311" s="31"/>
      <c r="F311" s="51"/>
      <c r="G311" s="51"/>
      <c r="H311" s="51"/>
      <c r="I311" s="51"/>
      <c r="J311" s="51"/>
      <c r="K311" s="51"/>
      <c r="L311" s="52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5"/>
      <c r="Y311" s="59"/>
      <c r="Z311" s="51"/>
      <c r="AA311" s="51"/>
    </row>
    <row r="312" spans="1:27" x14ac:dyDescent="0.25">
      <c r="A312" s="30" t="s">
        <v>60</v>
      </c>
      <c r="B312" s="31" t="s">
        <v>13</v>
      </c>
      <c r="C312" s="32" t="s">
        <v>62</v>
      </c>
      <c r="D312" s="31" t="s">
        <v>76</v>
      </c>
      <c r="E312" s="31"/>
      <c r="F312" s="51"/>
      <c r="G312" s="51"/>
      <c r="H312" s="51"/>
      <c r="I312" s="51"/>
      <c r="J312" s="51"/>
      <c r="K312" s="51"/>
      <c r="L312" s="52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5"/>
      <c r="Y312" s="59"/>
      <c r="Z312" s="51"/>
      <c r="AA312" s="51"/>
    </row>
    <row r="313" spans="1:27" x14ac:dyDescent="0.25">
      <c r="A313" s="30" t="s">
        <v>60</v>
      </c>
      <c r="B313" s="31" t="s">
        <v>13</v>
      </c>
      <c r="C313" s="32" t="s">
        <v>62</v>
      </c>
      <c r="D313" s="31" t="s">
        <v>77</v>
      </c>
      <c r="E313" s="31"/>
      <c r="F313" s="51"/>
      <c r="G313" s="51"/>
      <c r="H313" s="51"/>
      <c r="I313" s="51"/>
      <c r="J313" s="51"/>
      <c r="K313" s="51"/>
      <c r="L313" s="52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5"/>
      <c r="Y313" s="59"/>
      <c r="Z313" s="51"/>
      <c r="AA313" s="51"/>
    </row>
    <row r="314" spans="1:27" x14ac:dyDescent="0.25">
      <c r="A314" s="30" t="s">
        <v>60</v>
      </c>
      <c r="B314" s="31" t="s">
        <v>13</v>
      </c>
      <c r="C314" s="32" t="s">
        <v>62</v>
      </c>
      <c r="D314" s="31" t="s">
        <v>78</v>
      </c>
      <c r="E314" s="31"/>
      <c r="F314" s="51"/>
      <c r="G314" s="51"/>
      <c r="H314" s="51"/>
      <c r="I314" s="51"/>
      <c r="J314" s="51"/>
      <c r="K314" s="51"/>
      <c r="L314" s="52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5"/>
      <c r="Y314" s="59"/>
      <c r="Z314" s="51"/>
      <c r="AA314" s="51"/>
    </row>
    <row r="315" spans="1:27" ht="15.75" thickBot="1" x14ac:dyDescent="0.3">
      <c r="A315" s="33" t="s">
        <v>60</v>
      </c>
      <c r="B315" s="34" t="s">
        <v>13</v>
      </c>
      <c r="C315" s="32" t="s">
        <v>62</v>
      </c>
      <c r="D315" s="34" t="s">
        <v>79</v>
      </c>
      <c r="E315" s="31"/>
      <c r="F315" s="51"/>
      <c r="G315" s="51"/>
      <c r="H315" s="51"/>
      <c r="I315" s="51"/>
      <c r="J315" s="51"/>
      <c r="K315" s="51"/>
      <c r="L315" s="52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5"/>
      <c r="Y315" s="59"/>
      <c r="Z315" s="51"/>
      <c r="AA315" s="5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6"/>
  <sheetViews>
    <sheetView workbookViewId="0"/>
  </sheetViews>
  <sheetFormatPr baseColWidth="10" defaultColWidth="9.140625" defaultRowHeight="15" x14ac:dyDescent="0.25"/>
  <cols>
    <col min="3" max="3" width="13.85546875" customWidth="1"/>
    <col min="8" max="8" width="11.7109375" customWidth="1"/>
  </cols>
  <sheetData>
    <row r="1" spans="2:43" x14ac:dyDescent="0.25">
      <c r="AB1" s="221" t="s">
        <v>14</v>
      </c>
      <c r="AC1" s="222" t="s">
        <v>380</v>
      </c>
      <c r="AD1" s="92"/>
      <c r="AE1" s="4" t="s">
        <v>14</v>
      </c>
      <c r="AF1" s="92"/>
    </row>
    <row r="2" spans="2:43" x14ac:dyDescent="0.25">
      <c r="AB2" s="223"/>
      <c r="AC2" s="224" t="s">
        <v>20</v>
      </c>
      <c r="AD2" s="93"/>
      <c r="AE2" s="3" t="s">
        <v>386</v>
      </c>
      <c r="AF2" s="93"/>
    </row>
    <row r="3" spans="2:43" x14ac:dyDescent="0.25">
      <c r="B3" t="s">
        <v>157</v>
      </c>
      <c r="H3" s="20" t="s">
        <v>277</v>
      </c>
      <c r="I3" s="20"/>
      <c r="N3" s="20" t="s">
        <v>275</v>
      </c>
      <c r="X3" s="6" t="s">
        <v>376</v>
      </c>
      <c r="Y3" s="6"/>
      <c r="Z3" s="6" t="s">
        <v>7</v>
      </c>
      <c r="AA3" s="6" t="s">
        <v>8</v>
      </c>
      <c r="AB3" s="223" t="s">
        <v>92</v>
      </c>
      <c r="AC3" s="224">
        <v>30</v>
      </c>
      <c r="AD3" s="227">
        <f t="shared" ref="AD3:AD10" si="0">AC3/AC$10</f>
        <v>0.18181818181818182</v>
      </c>
      <c r="AE3" s="3">
        <v>7.2</v>
      </c>
      <c r="AF3" s="227">
        <f t="shared" ref="AF3:AF9" si="1">AE3/AE$10</f>
        <v>9.290322580645162E-2</v>
      </c>
    </row>
    <row r="4" spans="2:43" x14ac:dyDescent="0.25">
      <c r="D4" t="s">
        <v>159</v>
      </c>
      <c r="E4" t="s">
        <v>166</v>
      </c>
      <c r="I4" t="s">
        <v>276</v>
      </c>
      <c r="N4" t="s">
        <v>10</v>
      </c>
      <c r="O4" t="s">
        <v>278</v>
      </c>
      <c r="Q4" t="s">
        <v>279</v>
      </c>
      <c r="X4" s="6" t="s">
        <v>173</v>
      </c>
      <c r="Y4" s="6"/>
      <c r="Z4" s="6">
        <v>158000</v>
      </c>
      <c r="AA4" s="6">
        <f>AA$8*0.23</f>
        <v>395600</v>
      </c>
      <c r="AB4" s="223" t="s">
        <v>93</v>
      </c>
      <c r="AC4" s="224">
        <v>10</v>
      </c>
      <c r="AD4" s="227">
        <f t="shared" si="0"/>
        <v>6.0606060606060608E-2</v>
      </c>
      <c r="AE4" s="3">
        <v>1.8</v>
      </c>
      <c r="AF4" s="227">
        <f t="shared" si="1"/>
        <v>2.3225806451612905E-2</v>
      </c>
    </row>
    <row r="5" spans="2:43" x14ac:dyDescent="0.25">
      <c r="C5" t="s">
        <v>160</v>
      </c>
      <c r="D5">
        <v>32</v>
      </c>
      <c r="I5">
        <v>2015</v>
      </c>
      <c r="J5">
        <v>2018</v>
      </c>
      <c r="K5" s="218">
        <v>2019</v>
      </c>
      <c r="L5">
        <v>2020</v>
      </c>
      <c r="M5">
        <v>2030</v>
      </c>
      <c r="N5">
        <v>2020</v>
      </c>
      <c r="O5">
        <v>2020</v>
      </c>
      <c r="P5">
        <v>2030</v>
      </c>
      <c r="Q5">
        <v>2019</v>
      </c>
      <c r="X5" s="6" t="s">
        <v>135</v>
      </c>
      <c r="Y5" s="6"/>
      <c r="Z5" s="6">
        <v>182000</v>
      </c>
      <c r="AA5" s="6">
        <f>AA$8*0.56</f>
        <v>963200.00000000012</v>
      </c>
      <c r="AB5" s="223" t="s">
        <v>377</v>
      </c>
      <c r="AC5" s="224">
        <v>8</v>
      </c>
      <c r="AD5" s="227">
        <f t="shared" si="0"/>
        <v>4.8484848484848485E-2</v>
      </c>
      <c r="AE5" s="3">
        <v>2</v>
      </c>
      <c r="AF5" s="227">
        <f t="shared" si="1"/>
        <v>2.5806451612903226E-2</v>
      </c>
    </row>
    <row r="6" spans="2:43" x14ac:dyDescent="0.25">
      <c r="C6" t="s">
        <v>158</v>
      </c>
      <c r="D6">
        <v>45</v>
      </c>
      <c r="E6">
        <v>42</v>
      </c>
      <c r="H6" t="s">
        <v>173</v>
      </c>
      <c r="I6">
        <v>0.18</v>
      </c>
      <c r="J6">
        <v>0.35</v>
      </c>
      <c r="K6" s="218">
        <v>0.55000000000000004</v>
      </c>
      <c r="L6">
        <v>0.9</v>
      </c>
      <c r="M6">
        <v>5</v>
      </c>
      <c r="N6">
        <v>30</v>
      </c>
      <c r="X6" s="6" t="s">
        <v>233</v>
      </c>
      <c r="Y6" s="6"/>
      <c r="Z6" s="6">
        <v>77000</v>
      </c>
      <c r="AA6" s="6">
        <f>AA$8*0.16</f>
        <v>275200</v>
      </c>
      <c r="AB6" s="223" t="s">
        <v>94</v>
      </c>
      <c r="AC6" s="224">
        <v>12</v>
      </c>
      <c r="AD6" s="227">
        <f t="shared" si="0"/>
        <v>7.2727272727272724E-2</v>
      </c>
      <c r="AE6" s="3">
        <v>1.9</v>
      </c>
      <c r="AF6" s="227">
        <f t="shared" si="1"/>
        <v>2.4516129032258062E-2</v>
      </c>
    </row>
    <row r="7" spans="2:43" x14ac:dyDescent="0.25">
      <c r="C7" t="s">
        <v>161</v>
      </c>
      <c r="D7">
        <v>70</v>
      </c>
      <c r="H7" t="s">
        <v>135</v>
      </c>
      <c r="I7">
        <v>0.12</v>
      </c>
      <c r="J7">
        <v>1.04</v>
      </c>
      <c r="K7" s="218">
        <v>1.1000000000000001</v>
      </c>
      <c r="L7">
        <v>0.9</v>
      </c>
      <c r="M7">
        <v>12</v>
      </c>
      <c r="N7">
        <v>390</v>
      </c>
      <c r="X7" s="6" t="s">
        <v>9</v>
      </c>
      <c r="Y7" s="6"/>
      <c r="Z7" s="6">
        <v>62000</v>
      </c>
      <c r="AA7" s="6">
        <f>AA$8*0.05</f>
        <v>86000</v>
      </c>
      <c r="AB7" s="223" t="s">
        <v>21</v>
      </c>
      <c r="AC7" s="224">
        <v>20</v>
      </c>
      <c r="AD7" s="227">
        <f t="shared" si="0"/>
        <v>0.12121212121212122</v>
      </c>
      <c r="AE7" s="3">
        <v>2.6</v>
      </c>
      <c r="AF7" s="227">
        <f t="shared" si="1"/>
        <v>3.3548387096774192E-2</v>
      </c>
    </row>
    <row r="8" spans="2:43" x14ac:dyDescent="0.25">
      <c r="C8" t="s">
        <v>162</v>
      </c>
      <c r="D8">
        <v>15</v>
      </c>
      <c r="H8" t="s">
        <v>233</v>
      </c>
      <c r="I8">
        <v>0.12</v>
      </c>
      <c r="J8">
        <v>0.4</v>
      </c>
      <c r="K8" s="218">
        <v>0.35</v>
      </c>
      <c r="L8">
        <v>0.3</v>
      </c>
      <c r="M8">
        <v>4</v>
      </c>
      <c r="N8">
        <v>40</v>
      </c>
      <c r="X8" s="6"/>
      <c r="Y8" s="6"/>
      <c r="Z8" s="6">
        <f>SUM(Z4:Z7)</f>
        <v>479000</v>
      </c>
      <c r="AA8" s="6">
        <v>1720000</v>
      </c>
      <c r="AB8" s="223" t="s">
        <v>378</v>
      </c>
      <c r="AC8" s="224">
        <v>50</v>
      </c>
      <c r="AD8" s="227">
        <f t="shared" si="0"/>
        <v>0.30303030303030304</v>
      </c>
      <c r="AE8" s="3">
        <v>27</v>
      </c>
      <c r="AF8" s="227">
        <f t="shared" si="1"/>
        <v>0.34838709677419355</v>
      </c>
    </row>
    <row r="9" spans="2:43" x14ac:dyDescent="0.25">
      <c r="C9" t="s">
        <v>163</v>
      </c>
      <c r="D9">
        <v>300</v>
      </c>
      <c r="H9" s="20" t="s">
        <v>3</v>
      </c>
      <c r="I9" s="20">
        <v>0.45</v>
      </c>
      <c r="J9" s="20">
        <v>1.9</v>
      </c>
      <c r="K9" s="219">
        <v>2.1</v>
      </c>
      <c r="L9" s="20">
        <v>2.2000000000000002</v>
      </c>
      <c r="M9" s="20">
        <v>25</v>
      </c>
      <c r="N9" s="20">
        <v>502</v>
      </c>
      <c r="O9" s="20">
        <v>28</v>
      </c>
      <c r="P9" s="20">
        <v>116</v>
      </c>
      <c r="Q9" s="20">
        <v>156</v>
      </c>
      <c r="X9" s="6" t="s">
        <v>384</v>
      </c>
      <c r="Y9" s="6"/>
      <c r="Z9">
        <f>Z4/Z8</f>
        <v>0.3298538622129436</v>
      </c>
      <c r="AA9">
        <f>AA4/AA8</f>
        <v>0.23</v>
      </c>
      <c r="AB9" s="223" t="s">
        <v>379</v>
      </c>
      <c r="AC9" s="224">
        <v>35</v>
      </c>
      <c r="AD9" s="227">
        <f t="shared" si="0"/>
        <v>0.21212121212121213</v>
      </c>
      <c r="AE9" s="3">
        <v>35</v>
      </c>
      <c r="AF9" s="227">
        <f t="shared" si="1"/>
        <v>0.45161290322580644</v>
      </c>
      <c r="AN9" t="s">
        <v>12</v>
      </c>
    </row>
    <row r="10" spans="2:43" x14ac:dyDescent="0.25">
      <c r="H10" s="20"/>
      <c r="I10" s="20"/>
      <c r="J10" s="20"/>
      <c r="K10" s="219"/>
      <c r="L10" s="20"/>
      <c r="M10" s="20"/>
      <c r="N10" s="20"/>
      <c r="O10" s="20"/>
      <c r="P10" s="20"/>
      <c r="Q10" s="20"/>
      <c r="X10" s="6"/>
      <c r="Y10" s="6"/>
      <c r="AB10" s="225"/>
      <c r="AC10" s="226">
        <f>SUM(AC3:AC9)</f>
        <v>165</v>
      </c>
      <c r="AD10" s="228">
        <f t="shared" si="0"/>
        <v>1</v>
      </c>
      <c r="AE10" s="57">
        <f>SUM(AE3:AE9)</f>
        <v>77.5</v>
      </c>
      <c r="AF10" s="228"/>
      <c r="AN10">
        <v>170</v>
      </c>
      <c r="AO10">
        <v>170</v>
      </c>
      <c r="AP10">
        <v>140</v>
      </c>
      <c r="AQ10">
        <v>120</v>
      </c>
    </row>
    <row r="11" spans="2:43" x14ac:dyDescent="0.25">
      <c r="C11" t="s">
        <v>164</v>
      </c>
      <c r="D11">
        <v>10</v>
      </c>
      <c r="E11">
        <v>10</v>
      </c>
      <c r="H11" s="4" t="s">
        <v>280</v>
      </c>
      <c r="I11" s="176"/>
      <c r="J11" s="176"/>
      <c r="K11" s="176"/>
      <c r="L11" s="92"/>
      <c r="M11" s="4" t="s">
        <v>292</v>
      </c>
      <c r="N11" s="176"/>
      <c r="O11" s="176"/>
      <c r="P11" s="176"/>
      <c r="Q11" s="92"/>
      <c r="R11" s="229" t="s">
        <v>293</v>
      </c>
      <c r="S11" s="230"/>
      <c r="T11" s="230"/>
      <c r="U11" s="230"/>
      <c r="V11" s="230"/>
      <c r="W11" s="231"/>
      <c r="X11" s="229" t="s">
        <v>427</v>
      </c>
      <c r="Y11" s="230"/>
      <c r="Z11" s="230"/>
      <c r="AA11" s="230"/>
      <c r="AB11" s="230"/>
      <c r="AC11" s="230"/>
      <c r="AD11" s="231"/>
      <c r="AF11" t="s">
        <v>428</v>
      </c>
      <c r="AG11" t="s">
        <v>401</v>
      </c>
      <c r="AH11" t="s">
        <v>402</v>
      </c>
      <c r="AI11" t="s">
        <v>404</v>
      </c>
      <c r="AJ11" t="s">
        <v>406</v>
      </c>
      <c r="AK11" t="s">
        <v>407</v>
      </c>
      <c r="AL11" t="s">
        <v>408</v>
      </c>
      <c r="AN11" t="s">
        <v>404</v>
      </c>
      <c r="AO11" t="s">
        <v>406</v>
      </c>
      <c r="AP11" t="s">
        <v>407</v>
      </c>
      <c r="AQ11" t="s">
        <v>408</v>
      </c>
    </row>
    <row r="12" spans="2:43" x14ac:dyDescent="0.25">
      <c r="C12" t="s">
        <v>165</v>
      </c>
      <c r="D12">
        <v>200</v>
      </c>
      <c r="H12" s="3" t="s">
        <v>281</v>
      </c>
      <c r="I12" s="2">
        <v>10</v>
      </c>
      <c r="J12" s="2">
        <v>55</v>
      </c>
      <c r="K12" s="2">
        <v>75</v>
      </c>
      <c r="L12" s="93">
        <v>80</v>
      </c>
      <c r="M12" s="3"/>
      <c r="N12" s="2">
        <v>2014</v>
      </c>
      <c r="O12" s="2">
        <v>2016</v>
      </c>
      <c r="P12" s="2">
        <v>2018</v>
      </c>
      <c r="Q12" s="93">
        <v>2020</v>
      </c>
      <c r="R12" s="232"/>
      <c r="S12" s="101" t="s">
        <v>32</v>
      </c>
      <c r="T12" s="101" t="s">
        <v>287</v>
      </c>
      <c r="U12" s="101" t="s">
        <v>289</v>
      </c>
      <c r="V12" s="101" t="s">
        <v>290</v>
      </c>
      <c r="W12" s="233" t="s">
        <v>291</v>
      </c>
      <c r="X12" s="232"/>
      <c r="Y12" s="101" t="s">
        <v>403</v>
      </c>
      <c r="Z12" s="101" t="s">
        <v>32</v>
      </c>
      <c r="AA12" s="101" t="s">
        <v>287</v>
      </c>
      <c r="AB12" s="101" t="s">
        <v>289</v>
      </c>
      <c r="AC12" s="101" t="s">
        <v>290</v>
      </c>
      <c r="AD12" s="233" t="s">
        <v>291</v>
      </c>
      <c r="AH12" t="s">
        <v>403</v>
      </c>
      <c r="AI12" t="s">
        <v>405</v>
      </c>
      <c r="AJ12" t="s">
        <v>405</v>
      </c>
      <c r="AK12" t="s">
        <v>405</v>
      </c>
      <c r="AN12" t="s">
        <v>429</v>
      </c>
      <c r="AO12" t="s">
        <v>429</v>
      </c>
      <c r="AP12" t="s">
        <v>429</v>
      </c>
      <c r="AQ12" t="s">
        <v>429</v>
      </c>
    </row>
    <row r="13" spans="2:43" x14ac:dyDescent="0.25">
      <c r="H13" s="3" t="s">
        <v>282</v>
      </c>
      <c r="I13" s="2">
        <v>50</v>
      </c>
      <c r="J13" s="2">
        <v>65</v>
      </c>
      <c r="K13" s="2">
        <v>80</v>
      </c>
      <c r="L13" s="93">
        <v>80</v>
      </c>
      <c r="M13" s="54" t="s">
        <v>96</v>
      </c>
      <c r="N13" s="184">
        <v>25</v>
      </c>
      <c r="O13" s="184">
        <v>5</v>
      </c>
      <c r="P13" s="184">
        <v>4</v>
      </c>
      <c r="Q13" s="185">
        <v>1</v>
      </c>
      <c r="R13" s="232" t="s">
        <v>103</v>
      </c>
      <c r="S13" s="101">
        <v>0.08</v>
      </c>
      <c r="T13" s="101">
        <v>0.13</v>
      </c>
      <c r="U13" s="101">
        <v>0.11</v>
      </c>
      <c r="V13" s="101">
        <v>0.1</v>
      </c>
      <c r="W13" s="233">
        <v>0.1</v>
      </c>
      <c r="X13" s="232" t="s">
        <v>103</v>
      </c>
      <c r="Y13" s="101">
        <v>9</v>
      </c>
      <c r="Z13" s="101">
        <f>S13*$Y13</f>
        <v>0.72</v>
      </c>
      <c r="AA13" s="101">
        <f t="shared" ref="AA13:AD13" si="2">T13*$Y13</f>
        <v>1.17</v>
      </c>
      <c r="AB13" s="101">
        <f t="shared" si="2"/>
        <v>0.99</v>
      </c>
      <c r="AC13" s="101">
        <f t="shared" si="2"/>
        <v>0.9</v>
      </c>
      <c r="AD13" s="101">
        <f t="shared" si="2"/>
        <v>0.9</v>
      </c>
      <c r="AG13" t="s">
        <v>409</v>
      </c>
      <c r="AH13" t="s">
        <v>410</v>
      </c>
      <c r="AI13">
        <v>0.13</v>
      </c>
      <c r="AJ13">
        <v>0.17</v>
      </c>
      <c r="AK13">
        <v>0.19</v>
      </c>
      <c r="AL13">
        <v>0.09</v>
      </c>
      <c r="AN13">
        <f>AI13/AN$10*1000</f>
        <v>0.76470588235294124</v>
      </c>
      <c r="AO13">
        <f t="shared" ref="AO13:AQ13" si="3">AJ13/AO$10*1000</f>
        <v>1</v>
      </c>
      <c r="AP13">
        <f t="shared" si="3"/>
        <v>1.3571428571428572</v>
      </c>
      <c r="AQ13">
        <f t="shared" si="3"/>
        <v>0.75</v>
      </c>
    </row>
    <row r="14" spans="2:43" x14ac:dyDescent="0.25">
      <c r="H14" s="3" t="s">
        <v>283</v>
      </c>
      <c r="I14" s="2">
        <v>0</v>
      </c>
      <c r="J14" s="2">
        <v>5</v>
      </c>
      <c r="K14" s="2">
        <v>10</v>
      </c>
      <c r="L14" s="93">
        <v>10</v>
      </c>
      <c r="M14" s="54" t="s">
        <v>32</v>
      </c>
      <c r="N14" s="184">
        <v>30</v>
      </c>
      <c r="O14" s="184">
        <v>18</v>
      </c>
      <c r="P14" s="184">
        <v>7</v>
      </c>
      <c r="Q14" s="185">
        <v>8</v>
      </c>
      <c r="R14" s="232" t="s">
        <v>294</v>
      </c>
      <c r="S14" s="101"/>
      <c r="T14" s="101">
        <v>0.33</v>
      </c>
      <c r="U14" s="101">
        <v>0.17</v>
      </c>
      <c r="V14" s="101">
        <v>0.08</v>
      </c>
      <c r="W14" s="233"/>
      <c r="X14" s="232" t="s">
        <v>294</v>
      </c>
      <c r="Y14" s="101">
        <v>1.7</v>
      </c>
      <c r="Z14" s="101">
        <f t="shared" ref="Z14:Z19" si="4">S14*$Y14</f>
        <v>0</v>
      </c>
      <c r="AA14" s="101">
        <f t="shared" ref="AA14:AA19" si="5">T14*$Y14</f>
        <v>0.56100000000000005</v>
      </c>
      <c r="AB14" s="101">
        <f t="shared" ref="AB14:AB19" si="6">U14*$Y14</f>
        <v>0.28900000000000003</v>
      </c>
      <c r="AC14" s="101">
        <f t="shared" ref="AC14:AC19" si="7">V14*$Y14</f>
        <v>0.13600000000000001</v>
      </c>
      <c r="AD14" s="101">
        <f t="shared" ref="AD14:AD19" si="8">W14*$Y14</f>
        <v>0</v>
      </c>
      <c r="AG14" t="s">
        <v>411</v>
      </c>
      <c r="AH14" t="s">
        <v>412</v>
      </c>
      <c r="AI14">
        <v>2E-3</v>
      </c>
      <c r="AJ14">
        <v>1.2E-2</v>
      </c>
      <c r="AK14">
        <v>1.6E-2</v>
      </c>
      <c r="AL14">
        <v>4.0000000000000001E-3</v>
      </c>
      <c r="AN14">
        <f t="shared" ref="AN14:AN22" si="9">AI14/AN$10*1000</f>
        <v>1.1764705882352941E-2</v>
      </c>
      <c r="AO14">
        <f t="shared" ref="AO14:AO22" si="10">AJ14/AO$10*1000</f>
        <v>7.058823529411766E-2</v>
      </c>
      <c r="AP14">
        <f t="shared" ref="AP14:AP22" si="11">AK14/AP$10*1000</f>
        <v>0.11428571428571428</v>
      </c>
      <c r="AQ14">
        <f t="shared" ref="AQ14:AQ22" si="12">AL14/AQ$10*1000</f>
        <v>3.3333333333333333E-2</v>
      </c>
    </row>
    <row r="15" spans="2:43" x14ac:dyDescent="0.25">
      <c r="H15" s="3" t="s">
        <v>284</v>
      </c>
      <c r="I15" s="2">
        <v>2</v>
      </c>
      <c r="J15" s="2">
        <v>25</v>
      </c>
      <c r="K15" s="2">
        <v>20</v>
      </c>
      <c r="L15" s="93">
        <v>15</v>
      </c>
      <c r="M15" s="3" t="s">
        <v>287</v>
      </c>
      <c r="N15" s="22">
        <v>25</v>
      </c>
      <c r="O15" s="22">
        <v>28</v>
      </c>
      <c r="P15" s="22">
        <v>7</v>
      </c>
      <c r="Q15" s="93">
        <v>1</v>
      </c>
      <c r="R15" s="232" t="s">
        <v>145</v>
      </c>
      <c r="S15" s="101"/>
      <c r="T15" s="101">
        <v>0.35</v>
      </c>
      <c r="U15" s="101">
        <v>0.56000000000000005</v>
      </c>
      <c r="V15" s="101">
        <v>0.66</v>
      </c>
      <c r="W15" s="233">
        <v>0.74</v>
      </c>
      <c r="X15" s="232" t="s">
        <v>145</v>
      </c>
      <c r="Y15" s="101">
        <v>12</v>
      </c>
      <c r="Z15" s="101">
        <f t="shared" si="4"/>
        <v>0</v>
      </c>
      <c r="AA15" s="101">
        <f t="shared" si="5"/>
        <v>4.1999999999999993</v>
      </c>
      <c r="AB15" s="101">
        <f t="shared" si="6"/>
        <v>6.7200000000000006</v>
      </c>
      <c r="AC15" s="101">
        <f t="shared" si="7"/>
        <v>7.92</v>
      </c>
      <c r="AD15" s="101">
        <f t="shared" si="8"/>
        <v>8.879999999999999</v>
      </c>
      <c r="AG15" t="s">
        <v>413</v>
      </c>
      <c r="AH15" t="s">
        <v>414</v>
      </c>
      <c r="AI15">
        <v>0.06</v>
      </c>
      <c r="AJ15">
        <v>0.15</v>
      </c>
      <c r="AK15">
        <v>0.19</v>
      </c>
      <c r="AL15">
        <v>7.0000000000000007E-2</v>
      </c>
      <c r="AN15">
        <f t="shared" si="9"/>
        <v>0.3529411764705882</v>
      </c>
      <c r="AO15">
        <f t="shared" si="10"/>
        <v>0.88235294117647056</v>
      </c>
      <c r="AP15">
        <f t="shared" si="11"/>
        <v>1.3571428571428572</v>
      </c>
      <c r="AQ15">
        <f t="shared" si="12"/>
        <v>0.58333333333333337</v>
      </c>
    </row>
    <row r="16" spans="2:43" x14ac:dyDescent="0.25">
      <c r="H16" s="3" t="s">
        <v>285</v>
      </c>
      <c r="I16" s="2">
        <v>10</v>
      </c>
      <c r="J16" s="2">
        <v>20</v>
      </c>
      <c r="K16" s="2">
        <v>20</v>
      </c>
      <c r="L16" s="93">
        <v>20</v>
      </c>
      <c r="M16" s="3" t="s">
        <v>288</v>
      </c>
      <c r="N16" s="22">
        <v>1</v>
      </c>
      <c r="O16" s="22">
        <v>9</v>
      </c>
      <c r="P16" s="22">
        <v>37</v>
      </c>
      <c r="Q16" s="93">
        <v>7</v>
      </c>
      <c r="R16" s="232" t="s">
        <v>144</v>
      </c>
      <c r="S16" s="101"/>
      <c r="T16" s="101">
        <v>0.35</v>
      </c>
      <c r="U16" s="101">
        <v>0.19</v>
      </c>
      <c r="V16" s="101">
        <v>0.08</v>
      </c>
      <c r="W16" s="233">
        <v>0.04</v>
      </c>
      <c r="X16" s="232" t="s">
        <v>144</v>
      </c>
      <c r="Y16" s="101">
        <v>23</v>
      </c>
      <c r="Z16" s="101">
        <f t="shared" si="4"/>
        <v>0</v>
      </c>
      <c r="AA16" s="101">
        <f t="shared" si="5"/>
        <v>8.0499999999999989</v>
      </c>
      <c r="AB16" s="101">
        <f t="shared" si="6"/>
        <v>4.37</v>
      </c>
      <c r="AC16" s="101">
        <f t="shared" si="7"/>
        <v>1.84</v>
      </c>
      <c r="AD16" s="101">
        <f t="shared" si="8"/>
        <v>0.92</v>
      </c>
      <c r="AG16" t="s">
        <v>415</v>
      </c>
      <c r="AH16" t="s">
        <v>416</v>
      </c>
      <c r="AI16">
        <v>0.47</v>
      </c>
      <c r="AJ16">
        <v>1.03</v>
      </c>
      <c r="AK16" t="s">
        <v>417</v>
      </c>
      <c r="AL16" t="s">
        <v>417</v>
      </c>
      <c r="AN16">
        <f t="shared" si="9"/>
        <v>2.7647058823529407</v>
      </c>
      <c r="AO16">
        <f t="shared" si="10"/>
        <v>6.0588235294117645</v>
      </c>
    </row>
    <row r="17" spans="1:43" x14ac:dyDescent="0.25">
      <c r="H17" s="57" t="s">
        <v>286</v>
      </c>
      <c r="I17" s="177">
        <v>1</v>
      </c>
      <c r="J17" s="177">
        <v>12</v>
      </c>
      <c r="K17" s="177">
        <v>8</v>
      </c>
      <c r="L17" s="94">
        <v>15</v>
      </c>
      <c r="M17" s="3" t="s">
        <v>289</v>
      </c>
      <c r="N17" s="22">
        <v>0</v>
      </c>
      <c r="O17" s="22">
        <v>4</v>
      </c>
      <c r="P17" s="22">
        <v>27</v>
      </c>
      <c r="Q17" s="93">
        <v>60</v>
      </c>
      <c r="R17" s="232" t="s">
        <v>295</v>
      </c>
      <c r="S17" s="101"/>
      <c r="T17" s="101"/>
      <c r="U17" s="101"/>
      <c r="V17" s="101"/>
      <c r="W17" s="233">
        <v>0.01</v>
      </c>
      <c r="X17" s="232" t="s">
        <v>295</v>
      </c>
      <c r="Y17" s="101">
        <v>1.3</v>
      </c>
      <c r="Z17" s="101">
        <f t="shared" si="4"/>
        <v>0</v>
      </c>
      <c r="AA17" s="101">
        <f t="shared" si="5"/>
        <v>0</v>
      </c>
      <c r="AB17" s="101">
        <f t="shared" si="6"/>
        <v>0</v>
      </c>
      <c r="AC17" s="101">
        <f t="shared" si="7"/>
        <v>0</v>
      </c>
      <c r="AD17" s="101">
        <f t="shared" si="8"/>
        <v>1.3000000000000001E-2</v>
      </c>
      <c r="AG17" t="s">
        <v>418</v>
      </c>
      <c r="AH17" t="s">
        <v>419</v>
      </c>
      <c r="AI17">
        <v>0.06</v>
      </c>
      <c r="AJ17" t="s">
        <v>417</v>
      </c>
      <c r="AK17" t="s">
        <v>417</v>
      </c>
      <c r="AL17" t="s">
        <v>417</v>
      </c>
      <c r="AN17">
        <f t="shared" si="9"/>
        <v>0.3529411764705882</v>
      </c>
    </row>
    <row r="18" spans="1:43" x14ac:dyDescent="0.25">
      <c r="M18" s="57" t="s">
        <v>290</v>
      </c>
      <c r="N18" s="177">
        <v>0</v>
      </c>
      <c r="O18" s="177">
        <v>0</v>
      </c>
      <c r="P18" s="177">
        <v>0</v>
      </c>
      <c r="Q18" s="94">
        <v>10</v>
      </c>
      <c r="R18" s="232" t="s">
        <v>296</v>
      </c>
      <c r="S18" s="101">
        <v>0.67</v>
      </c>
      <c r="T18" s="101"/>
      <c r="U18" s="101"/>
      <c r="V18" s="101"/>
      <c r="W18" s="233"/>
      <c r="X18" s="232" t="s">
        <v>296</v>
      </c>
      <c r="Y18" s="101">
        <v>0.6</v>
      </c>
      <c r="Z18" s="101">
        <f t="shared" si="4"/>
        <v>0.40200000000000002</v>
      </c>
      <c r="AA18" s="101">
        <f t="shared" si="5"/>
        <v>0</v>
      </c>
      <c r="AB18" s="101">
        <f t="shared" si="6"/>
        <v>0</v>
      </c>
      <c r="AC18" s="101">
        <f t="shared" si="7"/>
        <v>0</v>
      </c>
      <c r="AD18" s="101">
        <f t="shared" si="8"/>
        <v>0</v>
      </c>
      <c r="AG18" t="s">
        <v>420</v>
      </c>
      <c r="AH18" t="s">
        <v>421</v>
      </c>
      <c r="AI18">
        <v>0.92</v>
      </c>
      <c r="AJ18">
        <v>0.38</v>
      </c>
      <c r="AK18" t="s">
        <v>417</v>
      </c>
      <c r="AL18" t="s">
        <v>417</v>
      </c>
      <c r="AN18">
        <f t="shared" si="9"/>
        <v>5.4117647058823533</v>
      </c>
      <c r="AO18">
        <f t="shared" si="10"/>
        <v>2.2352941176470589</v>
      </c>
    </row>
    <row r="19" spans="1:43" x14ac:dyDescent="0.25">
      <c r="A19" s="20" t="s">
        <v>274</v>
      </c>
      <c r="M19" s="178" t="s">
        <v>142</v>
      </c>
      <c r="N19" s="179">
        <v>19</v>
      </c>
      <c r="O19" s="179">
        <v>37</v>
      </c>
      <c r="P19" s="179">
        <v>6</v>
      </c>
      <c r="Q19" s="180">
        <v>1</v>
      </c>
      <c r="R19" s="234" t="s">
        <v>131</v>
      </c>
      <c r="S19" s="235">
        <v>0.37</v>
      </c>
      <c r="T19" s="235"/>
      <c r="U19" s="235"/>
      <c r="V19" s="235"/>
      <c r="W19" s="236"/>
      <c r="X19" s="234" t="s">
        <v>131</v>
      </c>
      <c r="Y19" s="235">
        <v>5</v>
      </c>
      <c r="Z19" s="101">
        <f t="shared" si="4"/>
        <v>1.85</v>
      </c>
      <c r="AA19" s="101">
        <f t="shared" si="5"/>
        <v>0</v>
      </c>
      <c r="AB19" s="101">
        <f t="shared" si="6"/>
        <v>0</v>
      </c>
      <c r="AC19" s="101">
        <f t="shared" si="7"/>
        <v>0</v>
      </c>
      <c r="AD19" s="101">
        <f t="shared" si="8"/>
        <v>0</v>
      </c>
      <c r="AG19" t="s">
        <v>422</v>
      </c>
      <c r="AH19" t="s">
        <v>423</v>
      </c>
      <c r="AI19">
        <v>0.3</v>
      </c>
      <c r="AJ19">
        <v>0.3</v>
      </c>
      <c r="AK19">
        <v>0.17</v>
      </c>
      <c r="AL19">
        <v>0.8</v>
      </c>
      <c r="AN19">
        <f t="shared" si="9"/>
        <v>1.7647058823529411</v>
      </c>
      <c r="AO19">
        <f t="shared" si="10"/>
        <v>1.7647058823529411</v>
      </c>
      <c r="AP19">
        <f t="shared" si="11"/>
        <v>1.2142857142857144</v>
      </c>
      <c r="AQ19">
        <f t="shared" si="12"/>
        <v>6.666666666666667</v>
      </c>
    </row>
    <row r="20" spans="1:43" x14ac:dyDescent="0.25">
      <c r="A20" t="s">
        <v>258</v>
      </c>
      <c r="M20" s="181" t="s">
        <v>291</v>
      </c>
      <c r="N20" s="182">
        <v>0</v>
      </c>
      <c r="O20" s="182">
        <v>0</v>
      </c>
      <c r="P20" s="182">
        <v>13</v>
      </c>
      <c r="Q20" s="183">
        <v>13</v>
      </c>
      <c r="X20" s="237" t="s">
        <v>3</v>
      </c>
      <c r="Y20" s="238"/>
      <c r="Z20" s="238">
        <f>SUM(Z13:Z19)</f>
        <v>2.972</v>
      </c>
      <c r="AA20" s="238">
        <f t="shared" ref="AA20:AD20" si="13">SUM(AA13:AA19)</f>
        <v>13.980999999999998</v>
      </c>
      <c r="AB20" s="238">
        <f t="shared" si="13"/>
        <v>12.369</v>
      </c>
      <c r="AC20" s="238">
        <f t="shared" si="13"/>
        <v>10.795999999999999</v>
      </c>
      <c r="AD20" s="239">
        <f t="shared" si="13"/>
        <v>10.712999999999999</v>
      </c>
      <c r="AG20" t="s">
        <v>424</v>
      </c>
      <c r="AH20" t="s">
        <v>412</v>
      </c>
      <c r="AI20">
        <v>0.04</v>
      </c>
      <c r="AJ20">
        <v>0.04</v>
      </c>
      <c r="AK20">
        <v>0.04</v>
      </c>
      <c r="AL20">
        <v>7.0000000000000007E-2</v>
      </c>
      <c r="AN20">
        <f t="shared" si="9"/>
        <v>0.23529411764705882</v>
      </c>
      <c r="AO20">
        <f t="shared" si="10"/>
        <v>0.23529411764705882</v>
      </c>
      <c r="AP20">
        <f t="shared" si="11"/>
        <v>0.28571428571428575</v>
      </c>
      <c r="AQ20">
        <f t="shared" si="12"/>
        <v>0.58333333333333337</v>
      </c>
    </row>
    <row r="21" spans="1:43" x14ac:dyDescent="0.25">
      <c r="A21" t="s">
        <v>259</v>
      </c>
      <c r="N21" t="s">
        <v>387</v>
      </c>
      <c r="AD21" t="s">
        <v>399</v>
      </c>
      <c r="AG21" t="s">
        <v>425</v>
      </c>
      <c r="AH21" t="s">
        <v>414</v>
      </c>
      <c r="AI21">
        <v>0.27</v>
      </c>
      <c r="AJ21">
        <v>0.28999999999999998</v>
      </c>
      <c r="AK21">
        <v>0.25</v>
      </c>
      <c r="AL21">
        <v>0.28999999999999998</v>
      </c>
      <c r="AN21">
        <f t="shared" si="9"/>
        <v>1.5882352941176472</v>
      </c>
      <c r="AO21">
        <f t="shared" si="10"/>
        <v>1.7058823529411764</v>
      </c>
      <c r="AP21">
        <f t="shared" si="11"/>
        <v>1.7857142857142856</v>
      </c>
      <c r="AQ21">
        <f t="shared" si="12"/>
        <v>2.4166666666666665</v>
      </c>
    </row>
    <row r="22" spans="1:43" x14ac:dyDescent="0.25">
      <c r="A22" t="s">
        <v>262</v>
      </c>
      <c r="D22" t="s">
        <v>261</v>
      </c>
      <c r="F22" t="s">
        <v>273</v>
      </c>
      <c r="G22" t="s">
        <v>260</v>
      </c>
      <c r="AD22" t="s">
        <v>400</v>
      </c>
      <c r="AG22" s="240" t="s">
        <v>155</v>
      </c>
      <c r="AH22" s="241"/>
      <c r="AI22" s="241">
        <f>SUM(AI13:AI21)</f>
        <v>2.2519999999999998</v>
      </c>
      <c r="AJ22" s="241">
        <f t="shared" ref="AJ22:AL22" si="14">SUM(AJ13:AJ21)</f>
        <v>2.3719999999999999</v>
      </c>
      <c r="AK22" s="241">
        <f t="shared" si="14"/>
        <v>0.85600000000000009</v>
      </c>
      <c r="AL22" s="242">
        <f t="shared" si="14"/>
        <v>1.3240000000000001</v>
      </c>
      <c r="AN22" s="7">
        <f t="shared" si="9"/>
        <v>13.247058823529411</v>
      </c>
      <c r="AO22" s="7">
        <f t="shared" si="10"/>
        <v>13.952941176470588</v>
      </c>
      <c r="AP22" s="7">
        <f t="shared" si="11"/>
        <v>6.1142857142857157</v>
      </c>
      <c r="AQ22" s="7">
        <f t="shared" si="12"/>
        <v>11.033333333333335</v>
      </c>
    </row>
    <row r="23" spans="1:43" x14ac:dyDescent="0.25">
      <c r="A23">
        <v>2013</v>
      </c>
      <c r="B23" t="s">
        <v>263</v>
      </c>
      <c r="G23">
        <v>35</v>
      </c>
      <c r="AD23" s="101">
        <f>Z20*0.08+AA20*0.01+AB20*0.6+AC20*0.1+AD20*0.14</f>
        <v>10.378389999999998</v>
      </c>
      <c r="AG23" t="s">
        <v>426</v>
      </c>
    </row>
    <row r="24" spans="1:43" x14ac:dyDescent="0.25">
      <c r="A24">
        <v>2014</v>
      </c>
      <c r="B24" t="s">
        <v>264</v>
      </c>
      <c r="G24">
        <v>70</v>
      </c>
    </row>
    <row r="25" spans="1:43" x14ac:dyDescent="0.25">
      <c r="A25">
        <v>2015</v>
      </c>
      <c r="B25" t="s">
        <v>265</v>
      </c>
      <c r="G25">
        <v>230</v>
      </c>
    </row>
    <row r="26" spans="1:43" x14ac:dyDescent="0.25">
      <c r="A26">
        <v>2016</v>
      </c>
      <c r="B26" t="s">
        <v>266</v>
      </c>
      <c r="G26">
        <v>230</v>
      </c>
    </row>
    <row r="27" spans="1:43" x14ac:dyDescent="0.25">
      <c r="A27">
        <v>2017</v>
      </c>
      <c r="B27" t="s">
        <v>267</v>
      </c>
      <c r="G27">
        <v>210</v>
      </c>
    </row>
    <row r="28" spans="1:43" x14ac:dyDescent="0.25">
      <c r="A28">
        <v>2018</v>
      </c>
      <c r="B28" t="s">
        <v>268</v>
      </c>
      <c r="G28">
        <v>220</v>
      </c>
    </row>
    <row r="29" spans="1:43" x14ac:dyDescent="0.25">
      <c r="A29">
        <v>2019</v>
      </c>
      <c r="B29" t="s">
        <v>269</v>
      </c>
      <c r="G29">
        <v>520</v>
      </c>
    </row>
    <row r="30" spans="1:43" x14ac:dyDescent="0.25">
      <c r="A30">
        <v>2020</v>
      </c>
      <c r="B30" t="s">
        <v>270</v>
      </c>
      <c r="G30">
        <v>600</v>
      </c>
    </row>
    <row r="31" spans="1:43" x14ac:dyDescent="0.25">
      <c r="A31">
        <v>2021</v>
      </c>
      <c r="B31" t="s">
        <v>271</v>
      </c>
      <c r="G31">
        <v>1000</v>
      </c>
    </row>
    <row r="32" spans="1:43" x14ac:dyDescent="0.25">
      <c r="A32">
        <v>2022</v>
      </c>
      <c r="B32" t="s">
        <v>272</v>
      </c>
      <c r="G32">
        <v>1500</v>
      </c>
    </row>
    <row r="35" spans="1:8" x14ac:dyDescent="0.25">
      <c r="A35" s="186"/>
      <c r="E35" s="187"/>
      <c r="F35" s="187"/>
      <c r="G35" s="187"/>
    </row>
    <row r="36" spans="1:8" x14ac:dyDescent="0.25">
      <c r="A36" s="186"/>
      <c r="E36" s="307"/>
      <c r="F36" s="307"/>
      <c r="G36" s="187"/>
    </row>
    <row r="37" spans="1:8" ht="60" x14ac:dyDescent="0.25">
      <c r="A37" s="188" t="s">
        <v>297</v>
      </c>
      <c r="B37" s="189"/>
      <c r="C37" s="190"/>
      <c r="D37" s="190"/>
      <c r="E37" s="308" t="s">
        <v>298</v>
      </c>
      <c r="F37" s="309"/>
      <c r="G37" s="191"/>
      <c r="H37" t="s">
        <v>299</v>
      </c>
    </row>
    <row r="38" spans="1:8" ht="26.25" x14ac:dyDescent="0.25">
      <c r="A38" s="192" t="s">
        <v>102</v>
      </c>
      <c r="B38" s="310" t="s">
        <v>300</v>
      </c>
      <c r="C38" s="312" t="s">
        <v>301</v>
      </c>
      <c r="D38" s="193" t="s">
        <v>302</v>
      </c>
      <c r="E38" s="194" t="s">
        <v>303</v>
      </c>
      <c r="F38" s="195" t="s">
        <v>304</v>
      </c>
      <c r="G38" s="187"/>
    </row>
    <row r="39" spans="1:8" ht="15.75" thickBot="1" x14ac:dyDescent="0.3">
      <c r="A39" s="192"/>
      <c r="B39" s="311"/>
      <c r="C39" s="313"/>
      <c r="D39" s="196" t="s">
        <v>305</v>
      </c>
      <c r="E39" s="194" t="s">
        <v>132</v>
      </c>
      <c r="F39" s="197" t="s">
        <v>132</v>
      </c>
      <c r="G39" s="187"/>
    </row>
    <row r="40" spans="1:8" ht="26.25" thickBot="1" x14ac:dyDescent="0.3">
      <c r="A40" s="192">
        <v>700</v>
      </c>
      <c r="B40" s="198" t="s">
        <v>306</v>
      </c>
      <c r="C40" s="199" t="s">
        <v>307</v>
      </c>
      <c r="D40" s="200" t="s">
        <v>308</v>
      </c>
      <c r="E40" s="194">
        <v>350</v>
      </c>
      <c r="F40" s="197">
        <v>1000</v>
      </c>
      <c r="G40" s="187"/>
    </row>
    <row r="41" spans="1:8" ht="24.75" thickBot="1" x14ac:dyDescent="0.3">
      <c r="A41" s="192">
        <v>270</v>
      </c>
      <c r="B41" s="201" t="s">
        <v>306</v>
      </c>
      <c r="C41" s="202" t="s">
        <v>245</v>
      </c>
      <c r="D41" s="203">
        <v>350</v>
      </c>
      <c r="E41" s="194">
        <v>250</v>
      </c>
      <c r="F41" s="197">
        <v>550</v>
      </c>
      <c r="G41" s="187"/>
    </row>
    <row r="42" spans="1:8" ht="24.75" thickBot="1" x14ac:dyDescent="0.3">
      <c r="A42" s="192">
        <v>293</v>
      </c>
      <c r="B42" s="198" t="s">
        <v>309</v>
      </c>
      <c r="C42" s="199" t="s">
        <v>310</v>
      </c>
      <c r="D42" s="200">
        <v>270</v>
      </c>
      <c r="E42" s="194"/>
      <c r="F42" s="197"/>
      <c r="G42" s="187"/>
    </row>
    <row r="43" spans="1:8" ht="15.75" thickBot="1" x14ac:dyDescent="0.3">
      <c r="A43" s="192">
        <v>46</v>
      </c>
      <c r="B43" s="201" t="s">
        <v>311</v>
      </c>
      <c r="C43" s="202" t="s">
        <v>245</v>
      </c>
      <c r="D43" s="203">
        <v>150</v>
      </c>
      <c r="E43" s="194">
        <v>50</v>
      </c>
      <c r="F43" s="197">
        <v>150</v>
      </c>
      <c r="G43" s="187"/>
    </row>
    <row r="44" spans="1:8" ht="24.75" thickBot="1" x14ac:dyDescent="0.3">
      <c r="A44" s="192"/>
      <c r="B44" s="198" t="s">
        <v>312</v>
      </c>
      <c r="C44" s="199" t="s">
        <v>310</v>
      </c>
      <c r="D44" s="200">
        <v>15</v>
      </c>
      <c r="E44" s="194"/>
      <c r="F44" s="197"/>
      <c r="G44" s="187"/>
    </row>
    <row r="45" spans="1:8" ht="60.75" thickBot="1" x14ac:dyDescent="0.3">
      <c r="A45" s="192"/>
      <c r="B45" s="198" t="s">
        <v>313</v>
      </c>
      <c r="C45" s="199" t="s">
        <v>314</v>
      </c>
      <c r="D45" s="204">
        <v>3</v>
      </c>
      <c r="E45" s="194" t="s">
        <v>315</v>
      </c>
      <c r="F45" s="197" t="s">
        <v>316</v>
      </c>
      <c r="G45" s="187"/>
    </row>
    <row r="46" spans="1:8" ht="36.75" thickBot="1" x14ac:dyDescent="0.3">
      <c r="A46" s="192">
        <v>27</v>
      </c>
      <c r="B46" s="198" t="s">
        <v>317</v>
      </c>
      <c r="C46" s="199" t="s">
        <v>318</v>
      </c>
      <c r="D46" s="200">
        <v>25</v>
      </c>
      <c r="E46" s="194">
        <v>40</v>
      </c>
      <c r="F46" s="197"/>
      <c r="G46" s="187"/>
    </row>
    <row r="47" spans="1:8" ht="36.75" thickBot="1" x14ac:dyDescent="0.3">
      <c r="A47" s="192"/>
      <c r="B47" s="198" t="s">
        <v>319</v>
      </c>
      <c r="C47" s="199" t="s">
        <v>320</v>
      </c>
      <c r="D47" s="200">
        <v>10</v>
      </c>
      <c r="E47" s="194">
        <v>50</v>
      </c>
      <c r="F47" s="197"/>
      <c r="G47" s="187"/>
    </row>
    <row r="48" spans="1:8" ht="24.75" thickBot="1" x14ac:dyDescent="0.3">
      <c r="A48" s="192"/>
      <c r="B48" s="198" t="s">
        <v>321</v>
      </c>
      <c r="C48" s="199" t="s">
        <v>322</v>
      </c>
      <c r="D48" s="200">
        <v>36</v>
      </c>
      <c r="E48" s="194" t="s">
        <v>132</v>
      </c>
      <c r="F48" s="197"/>
      <c r="G48" s="187"/>
    </row>
    <row r="49" spans="1:12" ht="15.75" thickBot="1" x14ac:dyDescent="0.3">
      <c r="A49" s="192"/>
      <c r="B49" s="198" t="s">
        <v>323</v>
      </c>
      <c r="C49" s="199" t="s">
        <v>324</v>
      </c>
      <c r="D49" s="200">
        <v>24</v>
      </c>
      <c r="E49" s="194" t="s">
        <v>132</v>
      </c>
      <c r="F49" s="197"/>
      <c r="G49" s="187"/>
    </row>
    <row r="50" spans="1:12" ht="24.75" thickBot="1" x14ac:dyDescent="0.3">
      <c r="A50" s="192"/>
      <c r="B50" s="198" t="s">
        <v>325</v>
      </c>
      <c r="C50" s="199" t="s">
        <v>326</v>
      </c>
      <c r="D50" s="200">
        <v>24</v>
      </c>
      <c r="E50" s="194">
        <v>12</v>
      </c>
      <c r="F50" s="197">
        <v>24</v>
      </c>
      <c r="G50" s="187"/>
    </row>
    <row r="51" spans="1:12" ht="24.75" thickBot="1" x14ac:dyDescent="0.3">
      <c r="A51" s="192"/>
      <c r="B51" s="198" t="s">
        <v>327</v>
      </c>
      <c r="C51" s="199" t="s">
        <v>310</v>
      </c>
      <c r="D51" s="200">
        <v>35</v>
      </c>
      <c r="E51" s="194">
        <v>25</v>
      </c>
      <c r="F51" s="197">
        <v>50</v>
      </c>
      <c r="G51" s="187"/>
    </row>
    <row r="52" spans="1:12" ht="24.75" thickBot="1" x14ac:dyDescent="0.3">
      <c r="A52" s="192"/>
      <c r="B52" s="198" t="s">
        <v>328</v>
      </c>
      <c r="C52" s="199" t="s">
        <v>310</v>
      </c>
      <c r="D52" s="204">
        <v>1</v>
      </c>
      <c r="E52" s="194" t="s">
        <v>132</v>
      </c>
      <c r="F52" s="197"/>
      <c r="G52" s="187"/>
    </row>
    <row r="53" spans="1:12" ht="24.75" thickBot="1" x14ac:dyDescent="0.3">
      <c r="A53" s="205"/>
      <c r="B53" s="198" t="s">
        <v>329</v>
      </c>
      <c r="C53" s="199" t="s">
        <v>310</v>
      </c>
      <c r="D53" s="200">
        <v>115</v>
      </c>
      <c r="E53" s="206">
        <v>100</v>
      </c>
      <c r="F53" s="207"/>
      <c r="G53" s="187"/>
    </row>
    <row r="54" spans="1:12" x14ac:dyDescent="0.25">
      <c r="A54" s="186"/>
      <c r="B54" s="208"/>
      <c r="C54" s="212"/>
      <c r="E54" s="187"/>
      <c r="F54" s="187"/>
      <c r="G54" s="187"/>
    </row>
    <row r="55" spans="1:12" ht="45" x14ac:dyDescent="0.25">
      <c r="B55" s="213" t="s">
        <v>359</v>
      </c>
      <c r="C55" s="209" t="s">
        <v>330</v>
      </c>
      <c r="D55" t="s">
        <v>331</v>
      </c>
      <c r="E55" s="187" t="s">
        <v>332</v>
      </c>
      <c r="F55" s="187" t="s">
        <v>333</v>
      </c>
      <c r="G55" s="187" t="s">
        <v>334</v>
      </c>
      <c r="H55" s="187" t="s">
        <v>335</v>
      </c>
      <c r="I55" t="s">
        <v>336</v>
      </c>
      <c r="K55" s="187" t="s">
        <v>337</v>
      </c>
      <c r="L55" s="187" t="s">
        <v>388</v>
      </c>
    </row>
    <row r="56" spans="1:12" x14ac:dyDescent="0.25">
      <c r="A56" s="186"/>
      <c r="C56" s="209"/>
      <c r="E56" s="187" t="s">
        <v>102</v>
      </c>
      <c r="F56" s="187"/>
      <c r="G56" s="187"/>
      <c r="H56" s="187" t="s">
        <v>6</v>
      </c>
      <c r="I56" t="s">
        <v>102</v>
      </c>
    </row>
    <row r="57" spans="1:12" x14ac:dyDescent="0.25">
      <c r="A57" s="186"/>
      <c r="C57" t="s">
        <v>338</v>
      </c>
      <c r="D57" s="20" t="s">
        <v>339</v>
      </c>
      <c r="E57" s="187">
        <v>20</v>
      </c>
      <c r="F57" s="187">
        <v>15</v>
      </c>
      <c r="G57" s="187">
        <v>25</v>
      </c>
      <c r="H57" s="210">
        <v>0.1</v>
      </c>
      <c r="I57" s="100">
        <f>E57/H57</f>
        <v>200</v>
      </c>
    </row>
    <row r="58" spans="1:12" x14ac:dyDescent="0.25">
      <c r="A58" s="186"/>
      <c r="D58" t="s">
        <v>340</v>
      </c>
      <c r="E58" s="187">
        <v>1.5</v>
      </c>
      <c r="F58" s="187">
        <v>1</v>
      </c>
      <c r="G58" s="187">
        <v>2</v>
      </c>
      <c r="H58" s="210">
        <v>7.4999999999999997E-3</v>
      </c>
      <c r="I58" s="100">
        <f>E58/H58</f>
        <v>200</v>
      </c>
    </row>
    <row r="59" spans="1:12" x14ac:dyDescent="0.25">
      <c r="A59" s="186"/>
      <c r="C59" t="s">
        <v>341</v>
      </c>
      <c r="D59" t="s">
        <v>49</v>
      </c>
      <c r="E59" s="187">
        <v>180</v>
      </c>
      <c r="F59" s="187">
        <v>150</v>
      </c>
      <c r="G59" s="187">
        <v>250</v>
      </c>
      <c r="H59" s="71">
        <v>0.2</v>
      </c>
      <c r="I59" s="100">
        <f t="shared" ref="I59:I91" si="15">E59/H59</f>
        <v>900</v>
      </c>
    </row>
    <row r="60" spans="1:12" x14ac:dyDescent="0.25">
      <c r="A60" s="186"/>
      <c r="D60" s="20" t="s">
        <v>50</v>
      </c>
      <c r="E60" s="187">
        <v>180</v>
      </c>
      <c r="F60" s="187">
        <v>150</v>
      </c>
      <c r="G60" s="187">
        <v>250</v>
      </c>
      <c r="H60" s="71">
        <v>0.2</v>
      </c>
      <c r="I60" s="100">
        <f t="shared" si="15"/>
        <v>900</v>
      </c>
    </row>
    <row r="61" spans="1:12" x14ac:dyDescent="0.25">
      <c r="A61" s="186"/>
      <c r="D61" t="s">
        <v>65</v>
      </c>
      <c r="E61" s="187">
        <v>350</v>
      </c>
      <c r="F61" s="187">
        <v>250</v>
      </c>
      <c r="G61" s="187">
        <v>500</v>
      </c>
      <c r="H61" s="71">
        <v>0.5</v>
      </c>
      <c r="I61" s="100">
        <f t="shared" si="15"/>
        <v>700</v>
      </c>
    </row>
    <row r="62" spans="1:12" x14ac:dyDescent="0.25">
      <c r="A62" s="186"/>
      <c r="D62" t="s">
        <v>342</v>
      </c>
      <c r="E62" s="187">
        <v>150</v>
      </c>
      <c r="F62" s="187">
        <v>100</v>
      </c>
      <c r="G62" s="187">
        <v>200</v>
      </c>
      <c r="H62" s="71">
        <v>0.15</v>
      </c>
      <c r="I62" s="100">
        <f t="shared" si="15"/>
        <v>1000</v>
      </c>
    </row>
    <row r="63" spans="1:12" x14ac:dyDescent="0.25">
      <c r="A63" s="186"/>
      <c r="C63" t="s">
        <v>343</v>
      </c>
      <c r="D63" t="s">
        <v>49</v>
      </c>
      <c r="E63" s="187">
        <v>25</v>
      </c>
      <c r="F63" s="187">
        <v>20</v>
      </c>
      <c r="G63" s="187">
        <v>30</v>
      </c>
      <c r="H63" s="71">
        <v>0.18</v>
      </c>
      <c r="I63" s="100">
        <f t="shared" si="15"/>
        <v>138.88888888888889</v>
      </c>
    </row>
    <row r="64" spans="1:12" x14ac:dyDescent="0.25">
      <c r="A64" s="186"/>
      <c r="D64" s="20" t="s">
        <v>50</v>
      </c>
      <c r="E64" s="187">
        <v>25</v>
      </c>
      <c r="F64" s="187">
        <v>20</v>
      </c>
      <c r="G64" s="187">
        <v>30</v>
      </c>
      <c r="H64" s="71">
        <v>0.18</v>
      </c>
      <c r="I64" s="100">
        <f t="shared" si="15"/>
        <v>138.88888888888889</v>
      </c>
      <c r="K64">
        <v>24</v>
      </c>
    </row>
    <row r="65" spans="1:13" x14ac:dyDescent="0.25">
      <c r="A65" s="186"/>
      <c r="D65" t="s">
        <v>342</v>
      </c>
      <c r="E65" s="187">
        <v>25</v>
      </c>
      <c r="F65" s="187">
        <v>20</v>
      </c>
      <c r="G65" s="187">
        <v>30</v>
      </c>
      <c r="H65" s="71">
        <v>0.18</v>
      </c>
      <c r="I65" s="100">
        <f t="shared" si="15"/>
        <v>138.88888888888889</v>
      </c>
    </row>
    <row r="66" spans="1:13" x14ac:dyDescent="0.25">
      <c r="A66" s="186"/>
      <c r="C66" t="s">
        <v>344</v>
      </c>
      <c r="D66" s="20" t="s">
        <v>339</v>
      </c>
      <c r="E66" s="187">
        <v>25</v>
      </c>
      <c r="F66" s="187">
        <v>20</v>
      </c>
      <c r="G66" s="187">
        <v>50</v>
      </c>
      <c r="H66" s="71">
        <v>0.1</v>
      </c>
      <c r="I66" s="100">
        <f t="shared" si="15"/>
        <v>250</v>
      </c>
    </row>
    <row r="67" spans="1:13" x14ac:dyDescent="0.25">
      <c r="A67" s="186"/>
      <c r="D67" t="s">
        <v>340</v>
      </c>
      <c r="E67" s="187">
        <v>1.5</v>
      </c>
      <c r="F67" s="187">
        <v>1</v>
      </c>
      <c r="G67" s="187">
        <v>2</v>
      </c>
      <c r="H67" s="71">
        <v>0.03</v>
      </c>
      <c r="I67" s="100">
        <f t="shared" si="15"/>
        <v>50</v>
      </c>
    </row>
    <row r="68" spans="1:13" x14ac:dyDescent="0.25">
      <c r="A68" s="186"/>
      <c r="C68" t="s">
        <v>345</v>
      </c>
      <c r="D68" s="20" t="s">
        <v>340</v>
      </c>
      <c r="E68" s="187">
        <v>3</v>
      </c>
      <c r="F68" s="187">
        <v>1</v>
      </c>
      <c r="G68" s="187">
        <v>4</v>
      </c>
      <c r="H68" s="71">
        <v>1E-3</v>
      </c>
      <c r="I68" s="100">
        <f t="shared" si="15"/>
        <v>3000</v>
      </c>
      <c r="K68">
        <v>3</v>
      </c>
    </row>
    <row r="69" spans="1:13" x14ac:dyDescent="0.25">
      <c r="A69" s="186"/>
      <c r="C69" t="s">
        <v>346</v>
      </c>
      <c r="D69" s="20" t="s">
        <v>340</v>
      </c>
      <c r="E69" s="187">
        <v>3</v>
      </c>
      <c r="F69" s="187">
        <v>1</v>
      </c>
      <c r="G69" s="187">
        <v>4</v>
      </c>
      <c r="H69" s="211">
        <v>2.2000000000000001E-3</v>
      </c>
      <c r="I69" s="100">
        <f t="shared" si="15"/>
        <v>1363.6363636363635</v>
      </c>
    </row>
    <row r="70" spans="1:13" x14ac:dyDescent="0.25">
      <c r="A70" s="186"/>
      <c r="D70" s="20" t="s">
        <v>342</v>
      </c>
      <c r="E70" s="187">
        <v>180</v>
      </c>
      <c r="F70" s="187">
        <v>150</v>
      </c>
      <c r="G70" s="187">
        <v>250</v>
      </c>
      <c r="H70" s="71">
        <v>0.13</v>
      </c>
      <c r="I70" s="100">
        <f t="shared" si="15"/>
        <v>1384.6153846153845</v>
      </c>
      <c r="K70">
        <v>270</v>
      </c>
      <c r="L70">
        <v>250</v>
      </c>
      <c r="M70" t="s">
        <v>347</v>
      </c>
    </row>
    <row r="71" spans="1:13" x14ac:dyDescent="0.25">
      <c r="A71" s="186"/>
      <c r="C71" t="s">
        <v>348</v>
      </c>
      <c r="D71" s="20" t="s">
        <v>50</v>
      </c>
      <c r="E71" s="187">
        <v>20</v>
      </c>
      <c r="F71" s="187">
        <v>10</v>
      </c>
      <c r="G71" s="187">
        <v>40</v>
      </c>
      <c r="H71" s="71">
        <v>0.1</v>
      </c>
      <c r="I71" s="100">
        <f t="shared" si="15"/>
        <v>200</v>
      </c>
      <c r="K71">
        <v>36</v>
      </c>
    </row>
    <row r="72" spans="1:13" x14ac:dyDescent="0.25">
      <c r="A72" s="186"/>
      <c r="D72" t="s">
        <v>339</v>
      </c>
      <c r="E72" s="187">
        <v>20</v>
      </c>
      <c r="F72" s="187">
        <v>10</v>
      </c>
      <c r="G72" s="187">
        <v>40</v>
      </c>
      <c r="H72" s="71">
        <v>0.1</v>
      </c>
      <c r="I72" s="100">
        <f t="shared" si="15"/>
        <v>200</v>
      </c>
    </row>
    <row r="73" spans="1:13" x14ac:dyDescent="0.25">
      <c r="A73" s="186"/>
      <c r="C73" t="s">
        <v>349</v>
      </c>
      <c r="D73" s="20" t="s">
        <v>342</v>
      </c>
      <c r="E73" s="187">
        <v>20</v>
      </c>
      <c r="F73" s="187">
        <v>5</v>
      </c>
      <c r="G73" s="187">
        <v>30</v>
      </c>
      <c r="H73" s="71">
        <v>0.22</v>
      </c>
      <c r="I73" s="100">
        <f t="shared" si="15"/>
        <v>90.909090909090907</v>
      </c>
      <c r="K73">
        <v>25</v>
      </c>
      <c r="L73">
        <v>20</v>
      </c>
    </row>
    <row r="74" spans="1:13" x14ac:dyDescent="0.25">
      <c r="A74" s="186"/>
      <c r="D74" s="20" t="s">
        <v>50</v>
      </c>
      <c r="E74" s="187">
        <v>40</v>
      </c>
      <c r="F74" s="187">
        <v>20</v>
      </c>
      <c r="G74" s="187">
        <v>60</v>
      </c>
      <c r="H74" s="71">
        <v>0.4</v>
      </c>
      <c r="I74" s="100">
        <f t="shared" si="15"/>
        <v>100</v>
      </c>
    </row>
    <row r="75" spans="1:13" x14ac:dyDescent="0.25">
      <c r="A75" s="186"/>
      <c r="C75" t="s">
        <v>350</v>
      </c>
      <c r="D75" s="20" t="s">
        <v>339</v>
      </c>
      <c r="E75" s="187">
        <v>24</v>
      </c>
      <c r="F75" s="187">
        <v>6</v>
      </c>
      <c r="G75" s="187">
        <v>40</v>
      </c>
      <c r="H75" s="71">
        <v>0.18</v>
      </c>
      <c r="I75" s="100">
        <f t="shared" si="15"/>
        <v>133.33333333333334</v>
      </c>
    </row>
    <row r="76" spans="1:13" x14ac:dyDescent="0.25">
      <c r="A76" s="186"/>
      <c r="D76" t="s">
        <v>340</v>
      </c>
      <c r="E76" s="187">
        <v>1.5</v>
      </c>
      <c r="F76" s="187">
        <v>1</v>
      </c>
      <c r="G76" s="187">
        <v>3</v>
      </c>
      <c r="H76" s="71">
        <v>1.0999999999999999E-2</v>
      </c>
      <c r="I76" s="100">
        <f t="shared" si="15"/>
        <v>136.36363636363637</v>
      </c>
    </row>
    <row r="77" spans="1:13" x14ac:dyDescent="0.25">
      <c r="A77" s="186"/>
      <c r="C77" t="s">
        <v>351</v>
      </c>
      <c r="D77" t="s">
        <v>339</v>
      </c>
      <c r="E77" s="187">
        <v>25</v>
      </c>
      <c r="F77" s="187">
        <v>10</v>
      </c>
      <c r="G77" s="187">
        <v>50</v>
      </c>
      <c r="H77" s="71">
        <v>0.16</v>
      </c>
      <c r="I77" s="100">
        <f t="shared" si="15"/>
        <v>156.25</v>
      </c>
    </row>
    <row r="78" spans="1:13" x14ac:dyDescent="0.25">
      <c r="A78" s="186"/>
      <c r="D78" s="20" t="s">
        <v>342</v>
      </c>
      <c r="E78" s="187">
        <v>25</v>
      </c>
      <c r="F78" s="187">
        <v>10</v>
      </c>
      <c r="G78" s="187">
        <v>50</v>
      </c>
      <c r="H78" s="71">
        <v>0.16</v>
      </c>
      <c r="I78" s="100">
        <f t="shared" si="15"/>
        <v>156.25</v>
      </c>
      <c r="K78">
        <v>15</v>
      </c>
    </row>
    <row r="79" spans="1:13" x14ac:dyDescent="0.25">
      <c r="A79" s="186"/>
      <c r="C79" t="s">
        <v>352</v>
      </c>
      <c r="D79" t="s">
        <v>339</v>
      </c>
      <c r="E79" s="187">
        <v>18</v>
      </c>
      <c r="F79" s="187">
        <v>10</v>
      </c>
      <c r="G79" s="187">
        <v>30</v>
      </c>
      <c r="H79" s="71">
        <v>7.0000000000000007E-2</v>
      </c>
      <c r="I79" s="100">
        <f t="shared" si="15"/>
        <v>257.14285714285711</v>
      </c>
    </row>
    <row r="80" spans="1:13" x14ac:dyDescent="0.25">
      <c r="A80" s="186"/>
      <c r="D80" s="20" t="s">
        <v>342</v>
      </c>
      <c r="E80" s="187">
        <v>18</v>
      </c>
      <c r="F80" s="187">
        <v>10</v>
      </c>
      <c r="G80" s="187">
        <v>30</v>
      </c>
      <c r="H80" s="71">
        <v>7.0000000000000007E-2</v>
      </c>
      <c r="I80" s="100">
        <f t="shared" si="15"/>
        <v>257.14285714285711</v>
      </c>
      <c r="K80">
        <v>35</v>
      </c>
    </row>
    <row r="81" spans="1:12" x14ac:dyDescent="0.25">
      <c r="A81" s="186"/>
      <c r="D81" t="s">
        <v>353</v>
      </c>
      <c r="E81" s="187">
        <v>18</v>
      </c>
      <c r="F81" s="187">
        <v>10</v>
      </c>
      <c r="G81" s="187">
        <v>30</v>
      </c>
      <c r="H81" s="71">
        <v>7.0000000000000007E-2</v>
      </c>
      <c r="I81" s="100">
        <f t="shared" si="15"/>
        <v>257.14285714285711</v>
      </c>
    </row>
    <row r="82" spans="1:12" x14ac:dyDescent="0.25">
      <c r="A82" s="186"/>
      <c r="C82" t="s">
        <v>354</v>
      </c>
      <c r="D82" s="20" t="s">
        <v>339</v>
      </c>
      <c r="E82" s="187">
        <v>32</v>
      </c>
      <c r="F82" s="187">
        <v>20</v>
      </c>
      <c r="G82" s="187">
        <v>50</v>
      </c>
      <c r="H82" s="71">
        <v>0.38</v>
      </c>
      <c r="I82" s="100">
        <f t="shared" si="15"/>
        <v>84.21052631578948</v>
      </c>
    </row>
    <row r="83" spans="1:12" x14ac:dyDescent="0.25">
      <c r="A83" s="186"/>
      <c r="D83" t="s">
        <v>50</v>
      </c>
      <c r="E83" s="187">
        <v>32</v>
      </c>
      <c r="F83" s="187">
        <v>20</v>
      </c>
      <c r="G83" s="187">
        <v>50</v>
      </c>
      <c r="H83" s="71">
        <v>0.38</v>
      </c>
      <c r="I83" s="100">
        <f t="shared" si="15"/>
        <v>84.21052631578948</v>
      </c>
    </row>
    <row r="84" spans="1:12" x14ac:dyDescent="0.25">
      <c r="A84" s="186"/>
      <c r="C84" t="s">
        <v>355</v>
      </c>
      <c r="D84" t="s">
        <v>339</v>
      </c>
      <c r="E84" s="187">
        <v>32</v>
      </c>
      <c r="F84" s="187">
        <v>20</v>
      </c>
      <c r="G84" s="187">
        <v>50</v>
      </c>
      <c r="H84" s="71">
        <v>0.22</v>
      </c>
      <c r="I84" s="100">
        <f t="shared" si="15"/>
        <v>145.45454545454547</v>
      </c>
    </row>
    <row r="85" spans="1:12" x14ac:dyDescent="0.25">
      <c r="A85" s="186"/>
      <c r="D85" t="s">
        <v>50</v>
      </c>
      <c r="E85" s="187">
        <v>32</v>
      </c>
      <c r="F85" s="187">
        <v>20</v>
      </c>
      <c r="G85" s="187">
        <v>50</v>
      </c>
      <c r="H85" s="71">
        <v>0.22</v>
      </c>
      <c r="I85" s="100">
        <f t="shared" si="15"/>
        <v>145.45454545454547</v>
      </c>
    </row>
    <row r="86" spans="1:12" x14ac:dyDescent="0.25">
      <c r="A86" s="186"/>
      <c r="C86" t="s">
        <v>356</v>
      </c>
      <c r="D86" s="20" t="s">
        <v>49</v>
      </c>
      <c r="E86" s="187">
        <v>250</v>
      </c>
      <c r="F86" s="187">
        <v>100</v>
      </c>
      <c r="G86" s="187">
        <v>1100</v>
      </c>
      <c r="H86" s="71">
        <v>0.3</v>
      </c>
      <c r="I86" s="100">
        <f t="shared" si="15"/>
        <v>833.33333333333337</v>
      </c>
      <c r="K86">
        <v>600</v>
      </c>
      <c r="L86">
        <v>700</v>
      </c>
    </row>
    <row r="87" spans="1:12" x14ac:dyDescent="0.25">
      <c r="A87" s="186"/>
      <c r="D87" t="s">
        <v>50</v>
      </c>
      <c r="E87" s="187">
        <v>150</v>
      </c>
      <c r="F87" s="187">
        <v>20</v>
      </c>
      <c r="G87" s="187">
        <v>500</v>
      </c>
      <c r="H87" s="71">
        <v>0.18</v>
      </c>
      <c r="I87" s="100">
        <f t="shared" si="15"/>
        <v>833.33333333333337</v>
      </c>
    </row>
    <row r="88" spans="1:12" x14ac:dyDescent="0.25">
      <c r="A88" s="186"/>
      <c r="D88" t="s">
        <v>342</v>
      </c>
      <c r="E88" s="187">
        <v>140</v>
      </c>
      <c r="F88" s="187">
        <v>50</v>
      </c>
      <c r="G88" s="187">
        <v>500</v>
      </c>
      <c r="H88" s="71">
        <v>0.15</v>
      </c>
      <c r="I88" s="100">
        <f t="shared" si="15"/>
        <v>933.33333333333337</v>
      </c>
      <c r="L88">
        <v>390</v>
      </c>
    </row>
    <row r="89" spans="1:12" x14ac:dyDescent="0.25">
      <c r="A89" s="186"/>
      <c r="C89" t="s">
        <v>357</v>
      </c>
      <c r="D89" s="20" t="s">
        <v>339</v>
      </c>
      <c r="E89" s="187">
        <v>35</v>
      </c>
      <c r="F89" s="187">
        <v>20</v>
      </c>
      <c r="G89" s="187">
        <v>100</v>
      </c>
      <c r="H89" s="71">
        <v>0.12</v>
      </c>
      <c r="I89" s="100">
        <f t="shared" si="15"/>
        <v>291.66666666666669</v>
      </c>
    </row>
    <row r="90" spans="1:12" x14ac:dyDescent="0.25">
      <c r="A90" s="186"/>
      <c r="C90" t="s">
        <v>358</v>
      </c>
      <c r="D90" s="20" t="s">
        <v>340</v>
      </c>
      <c r="E90" s="187">
        <v>8</v>
      </c>
      <c r="F90" s="187">
        <v>8</v>
      </c>
      <c r="G90" s="187">
        <v>8</v>
      </c>
      <c r="H90" s="71">
        <v>0.24</v>
      </c>
      <c r="I90" s="100">
        <f t="shared" si="15"/>
        <v>33.333333333333336</v>
      </c>
    </row>
    <row r="91" spans="1:12" x14ac:dyDescent="0.25">
      <c r="A91" s="186"/>
      <c r="D91" t="s">
        <v>339</v>
      </c>
      <c r="E91" s="187">
        <v>8</v>
      </c>
      <c r="F91" s="187">
        <v>2</v>
      </c>
      <c r="G91" s="187">
        <v>20</v>
      </c>
      <c r="H91" s="71">
        <v>0.24</v>
      </c>
      <c r="I91" s="100">
        <f t="shared" si="15"/>
        <v>33.333333333333336</v>
      </c>
    </row>
    <row r="92" spans="1:12" x14ac:dyDescent="0.25">
      <c r="A92" s="186"/>
      <c r="E92" s="187"/>
      <c r="F92" s="187"/>
      <c r="G92" s="187"/>
    </row>
    <row r="93" spans="1:12" ht="105" x14ac:dyDescent="0.25">
      <c r="A93" s="186" t="s">
        <v>360</v>
      </c>
      <c r="E93" s="187"/>
      <c r="F93" s="187"/>
      <c r="G93" s="187"/>
    </row>
    <row r="94" spans="1:12" x14ac:dyDescent="0.25">
      <c r="A94" t="s">
        <v>361</v>
      </c>
    </row>
    <row r="95" spans="1:12" x14ac:dyDescent="0.25">
      <c r="A95" t="s">
        <v>362</v>
      </c>
    </row>
    <row r="96" spans="1:12" x14ac:dyDescent="0.25">
      <c r="A96" t="s">
        <v>363</v>
      </c>
    </row>
    <row r="97" spans="1:6" x14ac:dyDescent="0.25">
      <c r="A97" t="s">
        <v>364</v>
      </c>
    </row>
    <row r="99" spans="1:6" x14ac:dyDescent="0.25">
      <c r="B99" t="s">
        <v>370</v>
      </c>
    </row>
    <row r="100" spans="1:6" x14ac:dyDescent="0.25">
      <c r="C100" t="s">
        <v>365</v>
      </c>
      <c r="E100">
        <v>2020</v>
      </c>
    </row>
    <row r="101" spans="1:6" x14ac:dyDescent="0.25">
      <c r="C101" t="s">
        <v>366</v>
      </c>
      <c r="D101" t="s">
        <v>103</v>
      </c>
      <c r="E101" t="s">
        <v>366</v>
      </c>
      <c r="F101" t="s">
        <v>103</v>
      </c>
    </row>
    <row r="102" spans="1:6" x14ac:dyDescent="0.25">
      <c r="B102" t="s">
        <v>367</v>
      </c>
      <c r="C102">
        <v>36</v>
      </c>
      <c r="D102">
        <v>36</v>
      </c>
    </row>
    <row r="103" spans="1:6" x14ac:dyDescent="0.25">
      <c r="B103" t="s">
        <v>30</v>
      </c>
      <c r="C103">
        <v>24</v>
      </c>
      <c r="D103">
        <v>0.2</v>
      </c>
      <c r="E103">
        <v>27</v>
      </c>
      <c r="F103">
        <v>0.4</v>
      </c>
    </row>
    <row r="104" spans="1:6" x14ac:dyDescent="0.25">
      <c r="B104" t="s">
        <v>368</v>
      </c>
      <c r="C104">
        <v>3.2</v>
      </c>
      <c r="D104">
        <v>0.8</v>
      </c>
      <c r="E104">
        <v>3.8</v>
      </c>
      <c r="F104">
        <v>1.6</v>
      </c>
    </row>
    <row r="105" spans="1:6" x14ac:dyDescent="0.25">
      <c r="B105" t="s">
        <v>31</v>
      </c>
      <c r="C105">
        <v>2.7</v>
      </c>
      <c r="D105">
        <v>0.5</v>
      </c>
      <c r="E105">
        <v>2.6</v>
      </c>
      <c r="F105">
        <v>0.8</v>
      </c>
    </row>
    <row r="106" spans="1:6" x14ac:dyDescent="0.25">
      <c r="B106" t="s">
        <v>369</v>
      </c>
      <c r="C106">
        <v>2.4</v>
      </c>
      <c r="D106">
        <v>0.3</v>
      </c>
      <c r="E106">
        <v>2.5</v>
      </c>
      <c r="F106">
        <v>0.6</v>
      </c>
    </row>
  </sheetData>
  <mergeCells count="4">
    <mergeCell ref="E36:F36"/>
    <mergeCell ref="E37:F37"/>
    <mergeCell ref="B38:B39"/>
    <mergeCell ref="C38:C39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301"/>
  <sheetViews>
    <sheetView topLeftCell="A49" zoomScale="70" zoomScaleNormal="70" workbookViewId="0">
      <selection activeCell="AA105" sqref="AA105"/>
    </sheetView>
  </sheetViews>
  <sheetFormatPr baseColWidth="10" defaultColWidth="10.85546875" defaultRowHeight="15" outlineLevelRow="1" x14ac:dyDescent="0.25"/>
  <cols>
    <col min="2" max="2" width="14.85546875" customWidth="1"/>
    <col min="16" max="16" width="22.5703125" customWidth="1"/>
  </cols>
  <sheetData>
    <row r="2" spans="2:32" ht="18.75" x14ac:dyDescent="0.3">
      <c r="D2" s="42" t="s">
        <v>13</v>
      </c>
      <c r="E2" s="42"/>
      <c r="F2" s="42"/>
      <c r="G2" s="42"/>
      <c r="H2" s="42"/>
      <c r="I2" s="42"/>
      <c r="J2" s="42" t="s">
        <v>139</v>
      </c>
      <c r="K2" s="42"/>
      <c r="L2" s="42"/>
      <c r="M2" s="42" t="s">
        <v>148</v>
      </c>
      <c r="N2" s="42"/>
      <c r="O2" s="42" t="s">
        <v>50</v>
      </c>
      <c r="P2" s="42" t="s">
        <v>140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 t="s">
        <v>13</v>
      </c>
    </row>
    <row r="3" spans="2:32" x14ac:dyDescent="0.25">
      <c r="B3" s="41" t="s">
        <v>35</v>
      </c>
      <c r="C3" s="41"/>
      <c r="P3" s="24" t="s">
        <v>81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 spans="2:32" x14ac:dyDescent="0.25">
      <c r="D4" s="23" t="s">
        <v>44</v>
      </c>
      <c r="E4" s="23"/>
      <c r="F4" s="23"/>
      <c r="G4" s="23"/>
      <c r="H4" s="23"/>
      <c r="I4" s="23"/>
      <c r="J4" s="7" t="s">
        <v>30</v>
      </c>
      <c r="K4" s="7" t="s">
        <v>26</v>
      </c>
      <c r="L4" s="7" t="s">
        <v>85</v>
      </c>
      <c r="M4" s="114" t="s">
        <v>26</v>
      </c>
      <c r="N4" s="114" t="s">
        <v>85</v>
      </c>
      <c r="O4" s="114" t="s">
        <v>85</v>
      </c>
      <c r="P4" s="24" t="s">
        <v>46</v>
      </c>
      <c r="Q4" s="24"/>
      <c r="R4" s="24"/>
      <c r="S4" s="24"/>
      <c r="T4" s="24"/>
      <c r="U4" s="24" t="s">
        <v>47</v>
      </c>
      <c r="V4" s="24"/>
      <c r="W4" s="24"/>
      <c r="X4" s="24"/>
      <c r="Y4" s="24"/>
      <c r="Z4" s="24"/>
      <c r="AA4" s="24"/>
      <c r="AB4" s="44" t="s">
        <v>85</v>
      </c>
      <c r="AC4" s="44" t="s">
        <v>48</v>
      </c>
      <c r="AD4" s="44"/>
      <c r="AE4" s="44" t="s">
        <v>3</v>
      </c>
    </row>
    <row r="5" spans="2:32" ht="78.75" x14ac:dyDescent="0.25">
      <c r="D5" s="38" t="s">
        <v>36</v>
      </c>
      <c r="E5" s="38" t="s">
        <v>37</v>
      </c>
      <c r="F5" s="38" t="s">
        <v>38</v>
      </c>
      <c r="G5" s="38" t="s">
        <v>80</v>
      </c>
      <c r="H5" s="38" t="s">
        <v>39</v>
      </c>
      <c r="I5" s="38" t="s">
        <v>45</v>
      </c>
      <c r="J5" s="39" t="s">
        <v>16</v>
      </c>
      <c r="K5" s="39" t="s">
        <v>48</v>
      </c>
      <c r="L5" s="39" t="s">
        <v>115</v>
      </c>
      <c r="M5" s="115" t="s">
        <v>26</v>
      </c>
      <c r="N5" s="115" t="s">
        <v>85</v>
      </c>
      <c r="O5" s="115" t="s">
        <v>85</v>
      </c>
      <c r="P5" s="40" t="s">
        <v>34</v>
      </c>
      <c r="Q5" s="40" t="s">
        <v>5</v>
      </c>
      <c r="R5" s="40" t="s">
        <v>7</v>
      </c>
      <c r="S5" s="40" t="s">
        <v>385</v>
      </c>
      <c r="T5" s="40" t="s">
        <v>40</v>
      </c>
      <c r="U5" s="40" t="s">
        <v>41</v>
      </c>
      <c r="V5" s="40" t="s">
        <v>42</v>
      </c>
      <c r="W5" s="40" t="s">
        <v>31</v>
      </c>
      <c r="X5" s="40" t="s">
        <v>43</v>
      </c>
      <c r="Y5" s="40" t="s">
        <v>82</v>
      </c>
      <c r="Z5" s="40" t="s">
        <v>87</v>
      </c>
      <c r="AA5" s="40" t="s">
        <v>83</v>
      </c>
      <c r="AB5" s="45" t="s">
        <v>3</v>
      </c>
      <c r="AC5" s="45" t="s">
        <v>3</v>
      </c>
      <c r="AD5" s="45"/>
      <c r="AE5" s="45" t="s">
        <v>458</v>
      </c>
    </row>
    <row r="6" spans="2:32" x14ac:dyDescent="0.25">
      <c r="C6">
        <v>2012</v>
      </c>
      <c r="D6" s="111">
        <f>'Av 2012'!F190</f>
        <v>202</v>
      </c>
      <c r="E6" s="111">
        <f>'Av 2012'!G190</f>
        <v>120</v>
      </c>
      <c r="F6" s="111">
        <f>'Av 2012'!H190</f>
        <v>1600</v>
      </c>
      <c r="G6" s="111">
        <f>'Av 2012'!I190</f>
        <v>101.37931034482759</v>
      </c>
      <c r="H6" s="111">
        <f>'Av 2012'!J190</f>
        <v>24.8</v>
      </c>
      <c r="I6" s="111">
        <f>'Av 2012'!K190</f>
        <v>20.689655172413794</v>
      </c>
      <c r="J6" s="111">
        <f>'Av 2012'!L192</f>
        <v>277.77777777777777</v>
      </c>
      <c r="K6" s="111"/>
      <c r="L6" s="111"/>
      <c r="M6" s="111"/>
      <c r="N6" s="111"/>
      <c r="O6" s="111"/>
      <c r="P6" s="111">
        <f>'Av 2012'!M190</f>
        <v>3.1850000000000001</v>
      </c>
      <c r="Q6" s="110">
        <f>'Av 2012'!N190</f>
        <v>0.12758620689655173</v>
      </c>
      <c r="R6" s="110">
        <f>'Av 2012'!O190</f>
        <v>8.3699999999999997E-2</v>
      </c>
      <c r="S6" s="110">
        <f>'Av 2012'!P190</f>
        <v>7.7499999999999999E-2</v>
      </c>
      <c r="T6" s="111">
        <f>'Av 2012'!Q190</f>
        <v>1.9342359767891681E-2</v>
      </c>
      <c r="U6" s="111">
        <f>'Av 2012'!R190</f>
        <v>0.15023474178403756</v>
      </c>
      <c r="V6" s="111">
        <f>'Av 2012'!S190</f>
        <v>0</v>
      </c>
      <c r="W6" s="111">
        <f>'Av 2012'!T190</f>
        <v>0.15023474178403756</v>
      </c>
      <c r="X6" s="111">
        <f>'Av 2012'!U190</f>
        <v>0.75117370892018775</v>
      </c>
      <c r="Y6" s="111">
        <f>'Av 2012'!V190</f>
        <v>0.11737089201877934</v>
      </c>
      <c r="Z6" s="111">
        <f>'Av 2012'!W190</f>
        <v>2.5039123630672928</v>
      </c>
      <c r="AA6" s="111">
        <f>'Av 2012'!X190</f>
        <v>1.8779342723004695</v>
      </c>
      <c r="AB6" s="111">
        <f>'Av 2012'!Y190</f>
        <v>2068.8689655172416</v>
      </c>
      <c r="AC6" s="111">
        <f>'Av 2012'!Z190</f>
        <v>9.0439892865392491</v>
      </c>
      <c r="AD6" s="111"/>
      <c r="AE6" s="111">
        <f>'Av 2012'!AA190</f>
        <v>2077.9129548037808</v>
      </c>
      <c r="AF6" s="111"/>
    </row>
    <row r="7" spans="2:32" x14ac:dyDescent="0.25">
      <c r="C7">
        <v>2013</v>
      </c>
      <c r="D7" s="111">
        <f>'Av 2013'!F190</f>
        <v>173.24</v>
      </c>
      <c r="E7" s="111">
        <f>'Av 2013'!G190</f>
        <v>210</v>
      </c>
      <c r="F7" s="111">
        <f>'Av 2013'!H190</f>
        <v>1800</v>
      </c>
      <c r="G7" s="111">
        <f>'Av 2013'!I190</f>
        <v>101.37931034482759</v>
      </c>
      <c r="H7" s="111">
        <f>'Av 2013'!J190</f>
        <v>28.8</v>
      </c>
      <c r="I7" s="111">
        <f>'Av 2013'!K190</f>
        <v>24.137931034482758</v>
      </c>
      <c r="J7" s="111">
        <f>'Av 2013'!L192</f>
        <v>305.18518518518522</v>
      </c>
      <c r="K7" s="111"/>
      <c r="L7" s="111"/>
      <c r="M7" s="111"/>
      <c r="N7" s="111"/>
      <c r="O7" s="111"/>
      <c r="P7" s="111">
        <f>'Av 2013'!M190</f>
        <v>4.5</v>
      </c>
      <c r="Q7" s="110">
        <f>'Av 2013'!N190</f>
        <v>0.25287356321839083</v>
      </c>
      <c r="R7" s="110">
        <f>'Av 2013'!O190</f>
        <v>7.9680000000000001E-2</v>
      </c>
      <c r="S7" s="110">
        <f>'Av 2013'!P190</f>
        <v>0.15117857142857144</v>
      </c>
      <c r="T7" s="111">
        <f>'Av 2013'!Q190</f>
        <v>8.5106382978723402E-2</v>
      </c>
      <c r="U7" s="111">
        <f>'Av 2013'!R190</f>
        <v>0.57487783845932738</v>
      </c>
      <c r="V7" s="111">
        <f>'Av 2013'!S190</f>
        <v>0</v>
      </c>
      <c r="W7" s="111">
        <f>'Av 2013'!T190</f>
        <v>0.37558685446009388</v>
      </c>
      <c r="X7" s="111">
        <f>'Av 2013'!U190</f>
        <v>1.1267605633802817</v>
      </c>
      <c r="Y7" s="111">
        <f>'Av 2013'!V190</f>
        <v>0.11737089201877934</v>
      </c>
      <c r="Z7" s="111">
        <f>'Av 2013'!W190</f>
        <v>2.6212832550860723</v>
      </c>
      <c r="AA7" s="111">
        <f>'Av 2013'!X190</f>
        <v>0.93896713615023475</v>
      </c>
      <c r="AB7" s="111">
        <f>'Av 2013'!Y190</f>
        <v>2337.5572413793102</v>
      </c>
      <c r="AC7" s="111">
        <f>'Av 2013'!Z190</f>
        <v>10.823685057180475</v>
      </c>
      <c r="AD7" s="111"/>
      <c r="AE7" s="111">
        <f>'Av 2013'!AA190</f>
        <v>2348.3809264364909</v>
      </c>
      <c r="AF7" s="111"/>
    </row>
    <row r="8" spans="2:32" x14ac:dyDescent="0.25">
      <c r="C8">
        <v>2014</v>
      </c>
      <c r="D8" s="111">
        <f>'Av 2014'!F190</f>
        <v>170</v>
      </c>
      <c r="E8" s="111">
        <f>'Av 2014'!G190</f>
        <v>224.70000000000002</v>
      </c>
      <c r="F8" s="111">
        <f>'Av 2014'!H190</f>
        <v>1900</v>
      </c>
      <c r="G8" s="111">
        <f>'Av 2014'!I190</f>
        <v>101.37931034482759</v>
      </c>
      <c r="H8" s="111">
        <f>'Av 2014'!J190</f>
        <v>29.24</v>
      </c>
      <c r="I8" s="111">
        <f>'Av 2014'!K190</f>
        <v>27.586206896551722</v>
      </c>
      <c r="J8" s="111">
        <f>'Av 2014'!L192</f>
        <v>296.2962962962963</v>
      </c>
      <c r="K8" s="111"/>
      <c r="L8" s="111"/>
      <c r="M8" s="111"/>
      <c r="N8" s="111"/>
      <c r="O8" s="111"/>
      <c r="P8" s="111">
        <f>'Av 2014'!M190</f>
        <v>5</v>
      </c>
      <c r="Q8" s="110">
        <f>'Av 2014'!N190</f>
        <v>0.43678160919540232</v>
      </c>
      <c r="R8" s="110">
        <f>'Av 2014'!O190</f>
        <v>0.11952</v>
      </c>
      <c r="S8" s="110">
        <f>'Av 2014'!P190</f>
        <v>0.23619428571428569</v>
      </c>
      <c r="T8" s="111">
        <f>'Av 2014'!Q190</f>
        <v>0.21276595744680851</v>
      </c>
      <c r="U8" s="111">
        <f>'Av 2014'!R190</f>
        <v>1.9561815336463224</v>
      </c>
      <c r="V8" s="111">
        <f>'Av 2014'!S190</f>
        <v>0</v>
      </c>
      <c r="W8" s="111">
        <f>'Av 2014'!T190</f>
        <v>0.46948356807511737</v>
      </c>
      <c r="X8" s="111">
        <f>'Av 2014'!U190</f>
        <v>1.596244131455399</v>
      </c>
      <c r="Y8" s="111">
        <f>'Av 2014'!V190</f>
        <v>0.11737089201877934</v>
      </c>
      <c r="Z8" s="111">
        <f>'Av 2014'!W190</f>
        <v>3.1298904538341161</v>
      </c>
      <c r="AA8" s="111">
        <f>'Av 2014'!X190</f>
        <v>0.93896713615023475</v>
      </c>
      <c r="AB8" s="111">
        <f>'Av 2014'!Y190</f>
        <v>2452.9055172413787</v>
      </c>
      <c r="AC8" s="111">
        <f>'Av 2014'!Z190</f>
        <v>14.213399567536467</v>
      </c>
      <c r="AD8" s="111"/>
      <c r="AE8" s="111">
        <f>'Av 2014'!AA190</f>
        <v>2467.1189168089149</v>
      </c>
      <c r="AF8" s="111"/>
    </row>
    <row r="9" spans="2:32" x14ac:dyDescent="0.25">
      <c r="C9">
        <v>2015</v>
      </c>
      <c r="D9" s="111">
        <f>'Av 2015'!F190</f>
        <v>165</v>
      </c>
      <c r="E9" s="111">
        <f>'Av 2015'!G190</f>
        <v>207</v>
      </c>
      <c r="F9" s="111">
        <f>'Av 2015'!H190</f>
        <v>2050</v>
      </c>
      <c r="G9" s="111">
        <f>'Av 2015'!I190</f>
        <v>101.37931034482759</v>
      </c>
      <c r="H9" s="111">
        <f>'Av 2015'!J190</f>
        <v>80</v>
      </c>
      <c r="I9" s="111">
        <f>'Av 2015'!K190</f>
        <v>27.586206896551722</v>
      </c>
      <c r="J9" s="111">
        <f>'Av 2015'!L192</f>
        <v>313.7254901960784</v>
      </c>
      <c r="K9" s="111"/>
      <c r="L9" s="111"/>
      <c r="M9" s="111"/>
      <c r="N9" s="111"/>
      <c r="O9" s="111"/>
      <c r="P9" s="111">
        <f>'Av 2015'!M190</f>
        <v>9.8765432098765427</v>
      </c>
      <c r="Q9" s="110">
        <f>'Av 2015'!N190</f>
        <v>1.6</v>
      </c>
      <c r="R9" s="110">
        <f>'Av 2015'!O190</f>
        <v>0.2</v>
      </c>
      <c r="S9" s="110">
        <f>'Av 2015'!P190</f>
        <v>0.26</v>
      </c>
      <c r="T9" s="111">
        <f>'Av 2015'!Q190</f>
        <v>0.31914893617021278</v>
      </c>
      <c r="U9" s="111">
        <f>'Av 2015'!R190</f>
        <v>2.2963870177587262</v>
      </c>
      <c r="V9" s="111">
        <f>'Av 2015'!S190</f>
        <v>0</v>
      </c>
      <c r="W9" s="111">
        <f>'Av 2015'!T190</f>
        <v>0.88028169014084512</v>
      </c>
      <c r="X9" s="111">
        <f>'Av 2015'!U190</f>
        <v>1.9561815336463224</v>
      </c>
      <c r="Y9" s="111">
        <f>'Av 2015'!V190</f>
        <v>0.11737089201877934</v>
      </c>
      <c r="Z9" s="111">
        <f>'Av 2015'!W190</f>
        <v>2.7386541471048513</v>
      </c>
      <c r="AA9" s="111">
        <f>'Av 2015'!X190</f>
        <v>23.474178403755868</v>
      </c>
      <c r="AB9" s="111">
        <f>'Av 2015'!Y190</f>
        <v>2630.9655172413791</v>
      </c>
      <c r="AC9" s="111">
        <f>'Av 2015'!Z190</f>
        <v>43.718745830472145</v>
      </c>
      <c r="AD9" s="111"/>
      <c r="AE9" s="111">
        <f>'Av 2015'!AA190</f>
        <v>2674.6842630718511</v>
      </c>
      <c r="AF9" s="111"/>
    </row>
    <row r="10" spans="2:32" x14ac:dyDescent="0.25">
      <c r="C10">
        <v>2016</v>
      </c>
      <c r="D10" s="111">
        <f>'Av 2016'!F190</f>
        <v>165</v>
      </c>
      <c r="E10" s="111">
        <f>'Av 2016'!G190</f>
        <v>195</v>
      </c>
      <c r="F10" s="111">
        <f>'Av 2016'!H190</f>
        <v>1925</v>
      </c>
      <c r="G10" s="111">
        <f>'Av 2016'!I190</f>
        <v>101.37931034482759</v>
      </c>
      <c r="H10" s="111">
        <f>'Av 2016'!J190</f>
        <v>37.400000000000006</v>
      </c>
      <c r="I10" s="111">
        <f>'Av 2016'!K190</f>
        <v>27.586206896551722</v>
      </c>
      <c r="J10" s="111">
        <f>'Av 2016'!L192</f>
        <v>350</v>
      </c>
      <c r="K10" s="111"/>
      <c r="L10" s="111"/>
      <c r="M10" s="111"/>
      <c r="N10" s="111"/>
      <c r="O10" s="111"/>
      <c r="P10" s="111">
        <f>'Av 2016'!M190</f>
        <v>10.37037037037037</v>
      </c>
      <c r="Q10" s="110">
        <f>'Av 2016'!N190</f>
        <v>1.8</v>
      </c>
      <c r="R10" s="110">
        <f>'Av 2016'!O190</f>
        <v>0.3</v>
      </c>
      <c r="S10" s="110">
        <f>'Av 2016'!P190</f>
        <v>0.5</v>
      </c>
      <c r="T10" s="111">
        <f>'Av 2016'!Q190</f>
        <v>1.1702127659574468</v>
      </c>
      <c r="U10" s="111">
        <f>'Av 2016'!R190</f>
        <v>2.6897496087636936</v>
      </c>
      <c r="V10" s="111">
        <f>'Av 2016'!S190</f>
        <v>0</v>
      </c>
      <c r="W10" s="111">
        <f>'Av 2016'!T190</f>
        <v>1.5649452269170581</v>
      </c>
      <c r="X10" s="111">
        <f>'Av 2016'!U190</f>
        <v>2.4452269170579033</v>
      </c>
      <c r="Y10" s="111">
        <f>'Av 2016'!V190</f>
        <v>0.11737089201877934</v>
      </c>
      <c r="Z10" s="111">
        <f>'Av 2016'!W190</f>
        <v>2.7386541471048513</v>
      </c>
      <c r="AA10" s="111">
        <f>'Av 2016'!X190</f>
        <v>11.737089201877934</v>
      </c>
      <c r="AB10" s="111">
        <f>'Av 2016'!Y190</f>
        <v>2451.3655172413792</v>
      </c>
      <c r="AC10" s="111">
        <f>'Av 2016'!Z190</f>
        <v>35.433619130068038</v>
      </c>
      <c r="AD10" s="111"/>
      <c r="AE10" s="111">
        <f>'Av 2016'!AA190</f>
        <v>2486.7991363714473</v>
      </c>
      <c r="AF10" s="111"/>
    </row>
    <row r="11" spans="2:32" x14ac:dyDescent="0.25">
      <c r="C11">
        <v>2017</v>
      </c>
      <c r="D11" s="111">
        <f>'Av 2017'!F190</f>
        <v>165</v>
      </c>
      <c r="E11" s="111">
        <f>'Av 2017'!G190</f>
        <v>165</v>
      </c>
      <c r="F11" s="111">
        <f>'Av 2017'!H190</f>
        <v>1800</v>
      </c>
      <c r="G11" s="111">
        <f>'Av 2017'!I190</f>
        <v>101.37931034482759</v>
      </c>
      <c r="H11" s="111">
        <f>'Av 2017'!J190</f>
        <v>42</v>
      </c>
      <c r="I11" s="111">
        <f>'Av 2017'!K190</f>
        <v>27.586206896551722</v>
      </c>
      <c r="J11" s="111">
        <f>'Av 2017'!L192</f>
        <v>400</v>
      </c>
      <c r="K11" s="111"/>
      <c r="L11" s="111"/>
      <c r="M11" s="111"/>
      <c r="N11" s="111"/>
      <c r="O11" s="111"/>
      <c r="P11" s="111">
        <f>'Av 2017'!M190</f>
        <v>11.25</v>
      </c>
      <c r="Q11" s="110">
        <f>'Av 2017'!N190</f>
        <v>2.2000000000000002</v>
      </c>
      <c r="R11" s="110">
        <f>'Av 2017'!O190</f>
        <v>0.45</v>
      </c>
      <c r="S11" s="110">
        <f>'Av 2017'!P190</f>
        <v>0.79999999999999993</v>
      </c>
      <c r="T11" s="111">
        <f>'Av 2017'!Q190</f>
        <v>2.836879432624114</v>
      </c>
      <c r="U11" s="111">
        <f>'Av 2017'!R190</f>
        <v>4.0241448692152924</v>
      </c>
      <c r="V11" s="111">
        <f>'Av 2017'!S190</f>
        <v>0</v>
      </c>
      <c r="W11" s="111">
        <f>'Av 2017'!T190</f>
        <v>2.464788732394366</v>
      </c>
      <c r="X11" s="111">
        <f>'Av 2017'!U190</f>
        <v>5.28169014084507</v>
      </c>
      <c r="Y11" s="111">
        <f>'Av 2017'!V190</f>
        <v>0.11737089201877934</v>
      </c>
      <c r="Z11" s="111">
        <f>'Av 2017'!W190</f>
        <v>2.0539906103286385</v>
      </c>
      <c r="AA11" s="111">
        <f>'Av 2017'!X190</f>
        <v>11.737089201877934</v>
      </c>
      <c r="AB11" s="111">
        <f>'Av 2017'!Y190</f>
        <v>2300.9655172413791</v>
      </c>
      <c r="AC11" s="111">
        <f>'Av 2017'!Z190</f>
        <v>43.215953879304195</v>
      </c>
      <c r="AD11" s="111"/>
      <c r="AE11" s="111">
        <f>'Av 2017'!AA190</f>
        <v>2344.1814711206835</v>
      </c>
      <c r="AF11" s="111"/>
    </row>
    <row r="12" spans="2:32" x14ac:dyDescent="0.25">
      <c r="C12">
        <v>2018</v>
      </c>
      <c r="D12" s="111">
        <f>'Av 2018'!F190</f>
        <v>165</v>
      </c>
      <c r="E12" s="111">
        <f>'Av 2018'!G190</f>
        <v>165</v>
      </c>
      <c r="F12" s="111">
        <f>'Av 2018'!H190</f>
        <v>1600</v>
      </c>
      <c r="G12" s="111">
        <f>'Av 2018'!I190</f>
        <v>121.65517241379311</v>
      </c>
      <c r="H12" s="111">
        <f>'Av 2018'!J190</f>
        <v>54</v>
      </c>
      <c r="I12" s="111">
        <f>'Av 2018'!K190</f>
        <v>55.172413793103445</v>
      </c>
      <c r="J12" s="111">
        <f>'Av 2018'!L192</f>
        <v>362.96296296296299</v>
      </c>
      <c r="K12" s="111"/>
      <c r="L12" s="111"/>
      <c r="M12" s="111"/>
      <c r="N12" s="111"/>
      <c r="O12" s="111"/>
      <c r="P12" s="111">
        <f>'Av 2018'!M190</f>
        <v>12.5</v>
      </c>
      <c r="Q12" s="110">
        <f>'Av 2018'!N190</f>
        <v>2.2000000000000002</v>
      </c>
      <c r="R12" s="110">
        <f>'Av 2018'!O190</f>
        <v>0.53</v>
      </c>
      <c r="S12" s="110">
        <f>'Av 2018'!P190</f>
        <v>1.4</v>
      </c>
      <c r="T12" s="111">
        <f>'Av 2018'!Q190</f>
        <v>3.5460992907801421</v>
      </c>
      <c r="U12" s="111">
        <f>'Av 2018'!R190</f>
        <v>6.0362173038229381</v>
      </c>
      <c r="V12" s="111">
        <f>'Av 2018'!S190</f>
        <v>0</v>
      </c>
      <c r="W12" s="111">
        <f>'Av 2018'!T190</f>
        <v>1.056338028169014</v>
      </c>
      <c r="X12" s="111">
        <f>'Av 2018'!U190</f>
        <v>4.401408450704225</v>
      </c>
      <c r="Y12" s="111">
        <f>'Av 2018'!V190</f>
        <v>0.11737089201877934</v>
      </c>
      <c r="Z12" s="111">
        <f>'Av 2018'!W190</f>
        <v>0.32276995305164319</v>
      </c>
      <c r="AA12" s="111">
        <f>'Av 2018'!X190</f>
        <v>16.76727028839705</v>
      </c>
      <c r="AB12" s="111">
        <f>'Av 2018'!Y190</f>
        <v>2160.8275862068963</v>
      </c>
      <c r="AC12" s="111">
        <f>'Av 2018'!Z190</f>
        <v>48.877474206943788</v>
      </c>
      <c r="AD12" s="111"/>
      <c r="AE12" s="111">
        <f>'Av 2018'!AA190</f>
        <v>2209.7050604138399</v>
      </c>
      <c r="AF12" s="111"/>
    </row>
    <row r="13" spans="2:32" x14ac:dyDescent="0.25">
      <c r="C13">
        <v>2019</v>
      </c>
      <c r="D13" s="111">
        <f>'Av 2019'!F190</f>
        <v>155</v>
      </c>
      <c r="E13" s="111">
        <f>'Av 2019'!G190</f>
        <v>160</v>
      </c>
      <c r="F13" s="111">
        <f>'Av 2019'!H190</f>
        <v>1500</v>
      </c>
      <c r="G13" s="111">
        <f>'Av 2019'!I190</f>
        <v>141.93103448275863</v>
      </c>
      <c r="H13" s="111">
        <f>'Av 2019'!J190</f>
        <v>58.5</v>
      </c>
      <c r="I13" s="111">
        <f>'Av 2019'!K190</f>
        <v>103.44827586206897</v>
      </c>
      <c r="J13" s="111">
        <f>'Av 2019'!L192</f>
        <v>398.4</v>
      </c>
      <c r="K13" s="111"/>
      <c r="L13" s="111"/>
      <c r="M13" s="111"/>
      <c r="N13" s="111"/>
      <c r="O13" s="111"/>
      <c r="P13" s="111">
        <f>'Av 2019'!M190</f>
        <v>13.75</v>
      </c>
      <c r="Q13" s="110">
        <f>'Av 2019'!N190</f>
        <v>2.9</v>
      </c>
      <c r="R13" s="110">
        <f>'Av 2019'!O190</f>
        <v>0.48</v>
      </c>
      <c r="S13" s="110">
        <f>'Av 2019'!P190</f>
        <v>1.7027999999999999</v>
      </c>
      <c r="T13" s="111">
        <f>'Av 2019'!Q190</f>
        <v>4.2553191489361701</v>
      </c>
      <c r="U13" s="111">
        <f>'Av 2019'!R190</f>
        <v>8.6071987480438192</v>
      </c>
      <c r="V13" s="111">
        <f>'Av 2019'!S190</f>
        <v>0</v>
      </c>
      <c r="W13" s="111">
        <f>'Av 2019'!T190</f>
        <v>2.6827632461435278</v>
      </c>
      <c r="X13" s="111">
        <f>'Av 2019'!U190</f>
        <v>4.8015364916773366</v>
      </c>
      <c r="Y13" s="111">
        <f>'Av 2019'!V190</f>
        <v>0.11737089201877934</v>
      </c>
      <c r="Z13" s="111">
        <f>'Av 2019'!W190</f>
        <v>0.32276995305164319</v>
      </c>
      <c r="AA13" s="111">
        <f>'Av 2019'!X190</f>
        <v>20.120724346076461</v>
      </c>
      <c r="AB13" s="111">
        <f>'Av 2019'!Y190</f>
        <v>2118.8793103448274</v>
      </c>
      <c r="AC13" s="111">
        <f>'Av 2019'!Z190</f>
        <v>59.740482825947737</v>
      </c>
      <c r="AD13" s="111"/>
      <c r="AE13" s="111">
        <f>'Av 2019'!AA190</f>
        <v>2178.6197931707752</v>
      </c>
      <c r="AF13" s="111"/>
    </row>
    <row r="14" spans="2:32" x14ac:dyDescent="0.25">
      <c r="C14">
        <v>2020</v>
      </c>
      <c r="D14" s="111">
        <f>'Av 2020'!F190</f>
        <v>145</v>
      </c>
      <c r="E14" s="111">
        <f>'Av 2020'!G190</f>
        <v>150</v>
      </c>
      <c r="F14" s="111">
        <f>'Av 2020'!H190</f>
        <v>1500</v>
      </c>
      <c r="G14" s="111">
        <f>'Av 2020'!I190</f>
        <v>141.93103448275863</v>
      </c>
      <c r="H14" s="111">
        <f>'Av 2020'!J190</f>
        <v>80</v>
      </c>
      <c r="I14" s="111">
        <f>'Av 2020'!K190</f>
        <v>103.44827586206897</v>
      </c>
      <c r="J14" s="111">
        <f>'Av 2020'!L192</f>
        <v>388.13333333333333</v>
      </c>
      <c r="K14" s="111"/>
      <c r="L14" s="111"/>
      <c r="M14" s="111"/>
      <c r="N14" s="111"/>
      <c r="O14" s="111"/>
      <c r="P14" s="111">
        <f>'Av 2020'!M190</f>
        <v>15</v>
      </c>
      <c r="Q14" s="110">
        <f>'Av 2020'!N190</f>
        <v>3.1</v>
      </c>
      <c r="R14" s="110">
        <f>'Av 2020'!O190</f>
        <v>0.9</v>
      </c>
      <c r="S14" s="110">
        <f>'Av 2020'!P190</f>
        <v>2.2000000000000002</v>
      </c>
      <c r="T14" s="111">
        <f>'Av 2020'!Q190</f>
        <v>6.0790273556230998</v>
      </c>
      <c r="U14" s="111">
        <f>'Av 2020'!R190</f>
        <v>10.954616588419405</v>
      </c>
      <c r="V14" s="111">
        <f>'Av 2020'!S190</f>
        <v>0</v>
      </c>
      <c r="W14" s="111">
        <f>'Av 2020'!T190</f>
        <v>3.1298904538341161</v>
      </c>
      <c r="X14" s="111">
        <f>'Av 2020'!U190</f>
        <v>7.042253521126761</v>
      </c>
      <c r="Y14" s="111">
        <f>'Av 2020'!V190</f>
        <v>0.11737089201877934</v>
      </c>
      <c r="Z14" s="111">
        <f>'Av 2020'!W190</f>
        <v>0.32276995305164319</v>
      </c>
      <c r="AA14" s="111">
        <f>'Av 2020'!X190</f>
        <v>20.120724346076461</v>
      </c>
      <c r="AB14" s="111">
        <f>'Av 2020'!Y190</f>
        <v>2120.3793103448274</v>
      </c>
      <c r="AC14" s="111">
        <f>'Av 2020'!Z190</f>
        <v>68.966653110150261</v>
      </c>
      <c r="AD14" s="111"/>
      <c r="AE14" s="111">
        <f>'Av 2020'!AA190</f>
        <v>2189.3459634549777</v>
      </c>
      <c r="AF14" s="111"/>
    </row>
    <row r="15" spans="2:32" x14ac:dyDescent="0.25">
      <c r="C15">
        <v>2021</v>
      </c>
      <c r="D15" s="111">
        <f>'Av 2021'!F190</f>
        <v>150</v>
      </c>
      <c r="E15" s="111">
        <f>'Av 2021'!G190</f>
        <v>150</v>
      </c>
      <c r="F15" s="111">
        <f>'Av 2021'!H190</f>
        <v>1600</v>
      </c>
      <c r="G15" s="111">
        <f>'Av 2021'!I190</f>
        <v>141.93103448275863</v>
      </c>
      <c r="H15" s="111">
        <f>'Av 2021'!J190</f>
        <v>80</v>
      </c>
      <c r="I15" s="111">
        <f>'Av 2021'!K190</f>
        <v>103.44827586206897</v>
      </c>
      <c r="J15" s="111">
        <f>'Av 2021'!L192</f>
        <v>397.6</v>
      </c>
      <c r="K15" s="111"/>
      <c r="L15" s="111"/>
      <c r="M15" s="111"/>
      <c r="N15" s="111"/>
      <c r="O15" s="111"/>
      <c r="P15" s="111">
        <f>'Av 2021'!M190</f>
        <v>25</v>
      </c>
      <c r="Q15" s="110">
        <f>'Av 2021'!N190</f>
        <v>3.1</v>
      </c>
      <c r="R15" s="110">
        <f>'Av 2021'!O190</f>
        <v>1</v>
      </c>
      <c r="S15" s="110">
        <f>'Av 2021'!P190</f>
        <v>2.4</v>
      </c>
      <c r="T15" s="111">
        <f>'Av 2021'!Q190</f>
        <v>7.598784194528875</v>
      </c>
      <c r="U15" s="111">
        <f>'Av 2021'!R190</f>
        <v>12.519561815336465</v>
      </c>
      <c r="V15" s="111">
        <f>'Av 2021'!S190</f>
        <v>0</v>
      </c>
      <c r="W15" s="111">
        <f>'Av 2021'!T190</f>
        <v>3.1298904538341161</v>
      </c>
      <c r="X15" s="111">
        <f>'Av 2021'!U190</f>
        <v>7.042253521126761</v>
      </c>
      <c r="Y15" s="111">
        <f>'Av 2021'!V190</f>
        <v>0.11737089201877934</v>
      </c>
      <c r="Z15" s="111">
        <f>'Av 2021'!W190</f>
        <v>0.32276995305164319</v>
      </c>
      <c r="AA15" s="111">
        <f>'Av 2021'!X190</f>
        <v>14.084507042253522</v>
      </c>
      <c r="AB15" s="111">
        <f>'Av 2021'!Y190</f>
        <v>2225.3793103448274</v>
      </c>
      <c r="AC15" s="111">
        <f>'Av 2021'!Z190</f>
        <v>76.31513787215016</v>
      </c>
      <c r="AD15" s="111"/>
      <c r="AE15" s="111">
        <f>'Av 2021'!AA190</f>
        <v>2301.6944482169774</v>
      </c>
      <c r="AF15" s="111"/>
    </row>
    <row r="16" spans="2:32" x14ac:dyDescent="0.25"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0"/>
      <c r="R16" s="110"/>
      <c r="S16" s="110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</row>
    <row r="17" spans="2:32" x14ac:dyDescent="0.25"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0"/>
      <c r="R17" s="110"/>
      <c r="S17" s="110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</row>
    <row r="18" spans="2:32" x14ac:dyDescent="0.25"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0"/>
      <c r="R18" s="110"/>
      <c r="S18" s="110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</row>
    <row r="19" spans="2:32" x14ac:dyDescent="0.25"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0"/>
      <c r="R19" s="110"/>
      <c r="S19" s="110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</row>
    <row r="20" spans="2:32" x14ac:dyDescent="0.25">
      <c r="B20" s="41" t="s">
        <v>17</v>
      </c>
      <c r="C20" s="41"/>
      <c r="P20" s="24" t="s">
        <v>81</v>
      </c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 spans="2:32" x14ac:dyDescent="0.25">
      <c r="D21" s="23" t="s">
        <v>44</v>
      </c>
      <c r="E21" s="23"/>
      <c r="F21" s="23"/>
      <c r="G21" s="23"/>
      <c r="H21" s="23"/>
      <c r="I21" s="23"/>
      <c r="J21" s="7" t="s">
        <v>30</v>
      </c>
      <c r="K21" s="7" t="s">
        <v>26</v>
      </c>
      <c r="L21" s="7" t="s">
        <v>85</v>
      </c>
      <c r="M21" s="114" t="s">
        <v>26</v>
      </c>
      <c r="N21" s="114" t="s">
        <v>85</v>
      </c>
      <c r="O21" s="114" t="s">
        <v>85</v>
      </c>
      <c r="P21" s="24" t="s">
        <v>46</v>
      </c>
      <c r="Q21" s="24"/>
      <c r="R21" s="24"/>
      <c r="S21" s="24"/>
      <c r="T21" s="24"/>
      <c r="U21" s="24" t="s">
        <v>47</v>
      </c>
      <c r="V21" s="24"/>
      <c r="W21" s="24"/>
      <c r="X21" s="24"/>
      <c r="Y21" s="24"/>
      <c r="Z21" s="24"/>
      <c r="AA21" s="24"/>
      <c r="AB21" s="44" t="s">
        <v>85</v>
      </c>
      <c r="AC21" s="44" t="s">
        <v>48</v>
      </c>
      <c r="AD21" s="44"/>
      <c r="AE21" s="44" t="s">
        <v>3</v>
      </c>
    </row>
    <row r="22" spans="2:32" ht="63" x14ac:dyDescent="0.25">
      <c r="D22" s="38" t="s">
        <v>36</v>
      </c>
      <c r="E22" s="38" t="s">
        <v>37</v>
      </c>
      <c r="F22" s="38" t="s">
        <v>38</v>
      </c>
      <c r="G22" s="38" t="s">
        <v>80</v>
      </c>
      <c r="H22" s="38" t="s">
        <v>39</v>
      </c>
      <c r="I22" s="38" t="s">
        <v>45</v>
      </c>
      <c r="J22" s="39" t="s">
        <v>16</v>
      </c>
      <c r="K22" s="39" t="s">
        <v>48</v>
      </c>
      <c r="L22" s="39" t="s">
        <v>115</v>
      </c>
      <c r="M22" s="115" t="s">
        <v>26</v>
      </c>
      <c r="N22" s="115" t="s">
        <v>85</v>
      </c>
      <c r="O22" s="115" t="s">
        <v>85</v>
      </c>
      <c r="P22" s="40" t="s">
        <v>34</v>
      </c>
      <c r="Q22" s="40" t="s">
        <v>5</v>
      </c>
      <c r="R22" s="40" t="s">
        <v>7</v>
      </c>
      <c r="S22" s="40" t="s">
        <v>385</v>
      </c>
      <c r="T22" s="40" t="s">
        <v>40</v>
      </c>
      <c r="U22" s="40" t="s">
        <v>41</v>
      </c>
      <c r="V22" s="40" t="s">
        <v>42</v>
      </c>
      <c r="W22" s="40" t="s">
        <v>31</v>
      </c>
      <c r="X22" s="40" t="s">
        <v>43</v>
      </c>
      <c r="Y22" s="40" t="s">
        <v>82</v>
      </c>
      <c r="Z22" s="40" t="s">
        <v>87</v>
      </c>
      <c r="AA22" s="40" t="s">
        <v>83</v>
      </c>
      <c r="AB22" s="45" t="s">
        <v>3</v>
      </c>
      <c r="AC22" s="45" t="s">
        <v>3</v>
      </c>
      <c r="AD22" s="45"/>
      <c r="AE22" s="45" t="s">
        <v>3</v>
      </c>
    </row>
    <row r="23" spans="2:32" x14ac:dyDescent="0.25">
      <c r="C23">
        <v>2012</v>
      </c>
      <c r="D23" s="111">
        <f>'Av 2012'!F145</f>
        <v>54.306930693069305</v>
      </c>
      <c r="E23" s="111">
        <f>'Av 2012'!G145</f>
        <v>24.5</v>
      </c>
      <c r="F23" s="111">
        <f>'Av 2012'!H145</f>
        <v>4.5750000000000002</v>
      </c>
      <c r="G23" s="111">
        <f>'Av 2012'!I145</f>
        <v>29</v>
      </c>
      <c r="H23" s="111">
        <f>'Av 2012'!J145</f>
        <v>55.241935483870968</v>
      </c>
      <c r="I23" s="111">
        <f>'Av 2012'!K145</f>
        <v>29</v>
      </c>
      <c r="J23" s="111">
        <f>'Av 2012'!L147</f>
        <v>750</v>
      </c>
      <c r="K23" s="111"/>
      <c r="L23" s="111"/>
      <c r="M23" s="111"/>
      <c r="N23" s="111"/>
      <c r="O23" s="111"/>
      <c r="P23" s="111">
        <f>'Av 2012'!M145</f>
        <v>400</v>
      </c>
      <c r="Q23" s="110">
        <f>'Av 2012'!N145</f>
        <v>870</v>
      </c>
      <c r="R23" s="110">
        <f>'Av 2012'!O145</f>
        <v>10000</v>
      </c>
      <c r="S23" s="110">
        <f>'Av 2012'!P145</f>
        <v>28000</v>
      </c>
      <c r="T23" s="111">
        <f>'Av 2012'!Q145</f>
        <v>940</v>
      </c>
      <c r="U23" s="111">
        <f>'Av 2012'!R145</f>
        <v>426</v>
      </c>
      <c r="V23" s="111">
        <f>'Av 2012'!S145</f>
        <v>0</v>
      </c>
      <c r="W23" s="111">
        <f>'Av 2012'!T145</f>
        <v>426</v>
      </c>
      <c r="X23" s="111">
        <f>'Av 2012'!U145</f>
        <v>426</v>
      </c>
      <c r="Y23" s="111">
        <f>'Av 2012'!V145</f>
        <v>426</v>
      </c>
      <c r="Z23" s="111">
        <f>'Av 2012'!W145</f>
        <v>426</v>
      </c>
      <c r="AA23" s="111">
        <f>'Av 2012'!X145</f>
        <v>426</v>
      </c>
      <c r="AB23" s="111">
        <f>'Av 2012'!Y145</f>
        <v>12.63492296307161</v>
      </c>
      <c r="AC23" s="111">
        <f>'Av 2012'!Z145</f>
        <v>749.09956991345928</v>
      </c>
      <c r="AD23" s="111"/>
      <c r="AE23" s="111">
        <f>'Av 2012'!AA145</f>
        <v>15.833194515651295</v>
      </c>
      <c r="AF23" s="111"/>
    </row>
    <row r="24" spans="2:32" x14ac:dyDescent="0.25">
      <c r="C24">
        <v>2013</v>
      </c>
      <c r="D24" s="111">
        <f>'Av 2013'!F145</f>
        <v>59.455091202955437</v>
      </c>
      <c r="E24" s="111">
        <f>'Av 2013'!G145</f>
        <v>21.714285714285715</v>
      </c>
      <c r="F24" s="111">
        <f>'Av 2013'!H145</f>
        <v>4.7</v>
      </c>
      <c r="G24" s="111">
        <f>'Av 2013'!I145</f>
        <v>29</v>
      </c>
      <c r="H24" s="111">
        <f>'Av 2013'!J145</f>
        <v>61.111111111111107</v>
      </c>
      <c r="I24" s="111">
        <f>'Av 2013'!K145</f>
        <v>29</v>
      </c>
      <c r="J24" s="111">
        <f>'Av 2013'!L147</f>
        <v>750</v>
      </c>
      <c r="K24" s="111"/>
      <c r="L24" s="111"/>
      <c r="M24" s="111"/>
      <c r="N24" s="111"/>
      <c r="O24" s="111"/>
      <c r="P24" s="111">
        <f>'Av 2013'!M145</f>
        <v>400</v>
      </c>
      <c r="Q24" s="110">
        <f>'Av 2013'!N145</f>
        <v>869.99999999999989</v>
      </c>
      <c r="R24" s="110">
        <f>'Av 2013'!O145</f>
        <v>10000</v>
      </c>
      <c r="S24" s="110">
        <f>'Av 2013'!P145</f>
        <v>27999.999999999996</v>
      </c>
      <c r="T24" s="111">
        <f>'Av 2013'!Q145</f>
        <v>940</v>
      </c>
      <c r="U24" s="111">
        <f>'Av 2013'!R145</f>
        <v>426</v>
      </c>
      <c r="V24" s="111">
        <f>'Av 2013'!S145</f>
        <v>0</v>
      </c>
      <c r="W24" s="111">
        <f>'Av 2013'!T145</f>
        <v>426</v>
      </c>
      <c r="X24" s="111">
        <f>'Av 2013'!U145</f>
        <v>426</v>
      </c>
      <c r="Y24" s="111">
        <f>'Av 2013'!V145</f>
        <v>426</v>
      </c>
      <c r="Z24" s="111">
        <f>'Av 2013'!W145</f>
        <v>426</v>
      </c>
      <c r="AA24" s="111">
        <f>'Av 2013'!X145</f>
        <v>426</v>
      </c>
      <c r="AB24" s="111">
        <f>'Av 2013'!Y145</f>
        <v>12.286330144819615</v>
      </c>
      <c r="AC24" s="111">
        <f>'Av 2013'!Z145</f>
        <v>885.22204547092076</v>
      </c>
      <c r="AD24" s="111"/>
      <c r="AE24" s="111">
        <f>'Av 2013'!AA145</f>
        <v>16.522021433241825</v>
      </c>
    </row>
    <row r="25" spans="2:32" x14ac:dyDescent="0.25">
      <c r="C25">
        <v>2014</v>
      </c>
      <c r="D25" s="111">
        <f>'Av 2014'!F145</f>
        <v>52.941176470588232</v>
      </c>
      <c r="E25" s="111">
        <f>'Av 2014'!G145</f>
        <v>24.274790629930813</v>
      </c>
      <c r="F25" s="111">
        <f>'Av 2014'!H145</f>
        <v>4.9789473684210526</v>
      </c>
      <c r="G25" s="111">
        <f>'Av 2014'!I145</f>
        <v>29</v>
      </c>
      <c r="H25" s="111">
        <f>'Av 2014'!J145</f>
        <v>63.269493844049251</v>
      </c>
      <c r="I25" s="111">
        <f>'Av 2014'!K145</f>
        <v>29.000000000000004</v>
      </c>
      <c r="J25" s="111">
        <f>'Av 2014'!L147</f>
        <v>750</v>
      </c>
      <c r="K25" s="111"/>
      <c r="L25" s="111"/>
      <c r="M25" s="111"/>
      <c r="N25" s="111"/>
      <c r="O25" s="111"/>
      <c r="P25" s="111">
        <f>'Av 2014'!M145</f>
        <v>400</v>
      </c>
      <c r="Q25" s="110">
        <f>'Av 2014'!N145</f>
        <v>870</v>
      </c>
      <c r="R25" s="110">
        <f>'Av 2014'!O145</f>
        <v>10000</v>
      </c>
      <c r="S25" s="110">
        <f>'Av 2014'!P145</f>
        <v>28000</v>
      </c>
      <c r="T25" s="111">
        <f>'Av 2014'!Q145</f>
        <v>940</v>
      </c>
      <c r="U25" s="111">
        <f>'Av 2014'!R145</f>
        <v>426</v>
      </c>
      <c r="V25" s="111">
        <f>'Av 2014'!S145</f>
        <v>0</v>
      </c>
      <c r="W25" s="111">
        <f>'Av 2014'!T145</f>
        <v>426</v>
      </c>
      <c r="X25" s="111">
        <f>'Av 2014'!U145</f>
        <v>426</v>
      </c>
      <c r="Y25" s="111">
        <f>'Av 2014'!V145</f>
        <v>426</v>
      </c>
      <c r="Z25" s="111">
        <f>'Av 2014'!W145</f>
        <v>426</v>
      </c>
      <c r="AA25" s="111">
        <f>'Av 2014'!X145</f>
        <v>426</v>
      </c>
      <c r="AB25" s="111">
        <f>'Av 2014'!Y145</f>
        <v>12.028406820873915</v>
      </c>
      <c r="AC25" s="111">
        <f>'Av 2014'!Z145</f>
        <v>976.91664831409048</v>
      </c>
      <c r="AD25" s="111"/>
      <c r="AE25" s="111">
        <f>'Av 2014'!AA145</f>
        <v>18.677020819145991</v>
      </c>
    </row>
    <row r="26" spans="2:32" x14ac:dyDescent="0.25">
      <c r="C26">
        <v>2015</v>
      </c>
      <c r="D26" s="111">
        <f>'Av 2015'!F145</f>
        <v>52.121212121212125</v>
      </c>
      <c r="E26" s="111">
        <f>'Av 2015'!G145</f>
        <v>27.05314009661836</v>
      </c>
      <c r="F26" s="111">
        <f>'Av 2015'!H145</f>
        <v>4.975609756097561</v>
      </c>
      <c r="G26" s="111">
        <f>'Av 2015'!I145</f>
        <v>29</v>
      </c>
      <c r="H26" s="111">
        <f>'Av 2015'!J145</f>
        <v>23.25</v>
      </c>
      <c r="I26" s="111">
        <f>'Av 2015'!K145</f>
        <v>29.000000000000004</v>
      </c>
      <c r="J26" s="111">
        <f>'Av 2015'!L147</f>
        <v>750</v>
      </c>
      <c r="K26" s="111"/>
      <c r="L26" s="111"/>
      <c r="M26" s="111"/>
      <c r="N26" s="111"/>
      <c r="O26" s="111"/>
      <c r="P26" s="111">
        <f>'Av 2015'!M145</f>
        <v>400</v>
      </c>
      <c r="Q26" s="110">
        <f>'Av 2015'!N145</f>
        <v>900</v>
      </c>
      <c r="R26" s="110">
        <f>'Av 2015'!O145</f>
        <v>10000</v>
      </c>
      <c r="S26" s="110">
        <f>'Av 2015'!P145</f>
        <v>76923.076923076922</v>
      </c>
      <c r="T26" s="111">
        <f>'Av 2015'!Q145</f>
        <v>940</v>
      </c>
      <c r="U26" s="111">
        <f>'Av 2015'!R145</f>
        <v>426</v>
      </c>
      <c r="V26" s="111">
        <f>'Av 2015'!S145</f>
        <v>0</v>
      </c>
      <c r="W26" s="111">
        <f>'Av 2015'!T145</f>
        <v>426</v>
      </c>
      <c r="X26" s="111">
        <f>'Av 2015'!U145</f>
        <v>426</v>
      </c>
      <c r="Y26" s="111">
        <f>'Av 2015'!V145</f>
        <v>426</v>
      </c>
      <c r="Z26" s="111">
        <f>'Av 2015'!W145</f>
        <v>426</v>
      </c>
      <c r="AA26" s="111">
        <f>'Av 2015'!X145</f>
        <v>426</v>
      </c>
      <c r="AB26" s="111">
        <f>'Av 2015'!Y145</f>
        <v>11.402657998899056</v>
      </c>
      <c r="AC26" s="111">
        <f>'Av 2015'!Z145</f>
        <v>939.9601331855506</v>
      </c>
      <c r="AD26" s="111"/>
      <c r="AE26" s="111">
        <f>'Av 2015'!AA145</f>
        <v>26.580288049350973</v>
      </c>
    </row>
    <row r="27" spans="2:32" x14ac:dyDescent="0.25">
      <c r="C27">
        <v>2016</v>
      </c>
      <c r="D27" s="111">
        <f>'Av 2016'!F145</f>
        <v>52.121212121212125</v>
      </c>
      <c r="E27" s="111">
        <f>'Av 2016'!G145</f>
        <v>25.641025641025642</v>
      </c>
      <c r="F27" s="111">
        <f>'Av 2016'!H145</f>
        <v>5.5584415584415581</v>
      </c>
      <c r="G27" s="111">
        <f>'Av 2016'!I145</f>
        <v>29</v>
      </c>
      <c r="H27" s="111">
        <f>'Av 2016'!J145</f>
        <v>53.475935828876999</v>
      </c>
      <c r="I27" s="111">
        <f>'Av 2016'!K145</f>
        <v>29.000000000000004</v>
      </c>
      <c r="J27" s="111">
        <f>'Av 2016'!L147</f>
        <v>750</v>
      </c>
      <c r="K27" s="111"/>
      <c r="L27" s="111"/>
      <c r="M27" s="111"/>
      <c r="N27" s="111"/>
      <c r="O27" s="111"/>
      <c r="P27" s="111">
        <f>'Av 2016'!M145</f>
        <v>400</v>
      </c>
      <c r="Q27" s="110">
        <f>'Av 2016'!N145</f>
        <v>833.33333333333326</v>
      </c>
      <c r="R27" s="110">
        <f>'Av 2016'!O145</f>
        <v>10000</v>
      </c>
      <c r="S27" s="110">
        <f>'Av 2016'!P145</f>
        <v>68000</v>
      </c>
      <c r="T27" s="111">
        <f>'Av 2016'!Q145</f>
        <v>940</v>
      </c>
      <c r="U27" s="111">
        <f>'Av 2016'!R145</f>
        <v>426</v>
      </c>
      <c r="V27" s="111">
        <f>'Av 2016'!S145</f>
        <v>0</v>
      </c>
      <c r="W27" s="111">
        <f>'Av 2016'!T145</f>
        <v>426</v>
      </c>
      <c r="X27" s="111">
        <f>'Av 2016'!U145</f>
        <v>426</v>
      </c>
      <c r="Y27" s="111">
        <f>'Av 2016'!V145</f>
        <v>426</v>
      </c>
      <c r="Z27" s="111">
        <f>'Av 2016'!W145</f>
        <v>426</v>
      </c>
      <c r="AA27" s="111">
        <f>'Av 2016'!X145</f>
        <v>426</v>
      </c>
      <c r="AB27" s="111">
        <f>'Av 2016'!Y145</f>
        <v>12.254394454322433</v>
      </c>
      <c r="AC27" s="111">
        <f>'Av 2016'!Z145</f>
        <v>1490.645967819321</v>
      </c>
      <c r="AD27" s="111"/>
      <c r="AE27" s="111">
        <f>'Av 2016'!AA145</f>
        <v>33.319531227754545</v>
      </c>
    </row>
    <row r="28" spans="2:32" x14ac:dyDescent="0.25">
      <c r="C28">
        <v>2017</v>
      </c>
      <c r="D28" s="111">
        <f>'Av 2017'!F145</f>
        <v>52.121212121212125</v>
      </c>
      <c r="E28" s="111">
        <f>'Av 2017'!G145</f>
        <v>27.272727272727273</v>
      </c>
      <c r="F28" s="111">
        <f>'Av 2017'!H145</f>
        <v>6.2222222222222223</v>
      </c>
      <c r="G28" s="111">
        <f>'Av 2017'!I145</f>
        <v>29</v>
      </c>
      <c r="H28" s="111">
        <f>'Av 2017'!J145</f>
        <v>66.666666666666671</v>
      </c>
      <c r="I28" s="111">
        <f>'Av 2017'!K145</f>
        <v>29.000000000000004</v>
      </c>
      <c r="J28" s="111">
        <f>'Av 2017'!L147</f>
        <v>750</v>
      </c>
      <c r="K28" s="111"/>
      <c r="L28" s="111"/>
      <c r="M28" s="111"/>
      <c r="N28" s="11"/>
      <c r="O28" s="111"/>
      <c r="P28" s="111">
        <f>'Av 2017'!M145</f>
        <v>400</v>
      </c>
      <c r="Q28" s="110">
        <f>'Av 2017'!N145</f>
        <v>999.99999999999989</v>
      </c>
      <c r="R28" s="110">
        <f>'Av 2017'!O145</f>
        <v>12000</v>
      </c>
      <c r="S28" s="110">
        <f>'Av 2017'!P145</f>
        <v>56250.000000000007</v>
      </c>
      <c r="T28" s="111">
        <f>'Av 2017'!Q145</f>
        <v>939.99999999999989</v>
      </c>
      <c r="U28" s="111">
        <f>'Av 2017'!R145</f>
        <v>426</v>
      </c>
      <c r="V28" s="111">
        <f>'Av 2017'!S145</f>
        <v>0</v>
      </c>
      <c r="W28" s="111">
        <f>'Av 2017'!T145</f>
        <v>426.00000000000006</v>
      </c>
      <c r="X28" s="111">
        <f>'Av 2017'!U145</f>
        <v>426.00000000000006</v>
      </c>
      <c r="Y28" s="111">
        <f>'Av 2017'!V145</f>
        <v>426</v>
      </c>
      <c r="Z28" s="111">
        <f>'Av 2017'!W145</f>
        <v>426</v>
      </c>
      <c r="AA28" s="111">
        <f>'Av 2017'!X145</f>
        <v>426</v>
      </c>
      <c r="AB28" s="111">
        <f>'Av 2017'!Y145</f>
        <v>13.403069176357752</v>
      </c>
      <c r="AC28" s="111">
        <f>'Av 2017'!Z145</f>
        <v>1636.10764159976</v>
      </c>
      <c r="AD28" s="111"/>
      <c r="AE28" s="111">
        <f>'Av 2017'!AA145</f>
        <v>43.318298362117112</v>
      </c>
    </row>
    <row r="29" spans="2:32" x14ac:dyDescent="0.25">
      <c r="C29">
        <v>2018</v>
      </c>
      <c r="D29" s="111">
        <f>'Av 2018'!F145</f>
        <v>48.484848484848484</v>
      </c>
      <c r="E29" s="111">
        <f>'Av 2018'!G145</f>
        <v>21.09090909090909</v>
      </c>
      <c r="F29" s="111">
        <f>'Av 2018'!H145</f>
        <v>6.86</v>
      </c>
      <c r="G29" s="111">
        <f>'Av 2018'!I145</f>
        <v>29</v>
      </c>
      <c r="H29" s="111">
        <f>'Av 2018'!J145</f>
        <v>50.555555555555557</v>
      </c>
      <c r="I29" s="111">
        <f>'Av 2018'!K145</f>
        <v>29.000000000000004</v>
      </c>
      <c r="J29" s="111">
        <f>'Av 2018'!L147</f>
        <v>750</v>
      </c>
      <c r="K29" s="111"/>
      <c r="L29" s="111"/>
      <c r="M29" s="111"/>
      <c r="N29" s="111"/>
      <c r="O29" s="111"/>
      <c r="P29" s="111">
        <f>'Av 2018'!M145</f>
        <v>400</v>
      </c>
      <c r="Q29" s="110">
        <f>'Av 2018'!N145</f>
        <v>999.99999999999989</v>
      </c>
      <c r="R29" s="110">
        <f>'Av 2018'!O145</f>
        <v>12226.415094339622</v>
      </c>
      <c r="S29" s="110">
        <f>'Av 2018'!P145</f>
        <v>64285.71428571429</v>
      </c>
      <c r="T29" s="111">
        <f>'Av 2018'!Q145</f>
        <v>940</v>
      </c>
      <c r="U29" s="111">
        <f>'Av 2018'!R145</f>
        <v>426</v>
      </c>
      <c r="V29" s="111">
        <f>'Av 2018'!S145</f>
        <v>0</v>
      </c>
      <c r="W29" s="111">
        <f>'Av 2018'!T145</f>
        <v>426.00000000000006</v>
      </c>
      <c r="X29" s="111">
        <f>'Av 2018'!U145</f>
        <v>426.00000000000006</v>
      </c>
      <c r="Y29" s="111">
        <f>'Av 2018'!V145</f>
        <v>426</v>
      </c>
      <c r="Z29" s="111">
        <f>'Av 2018'!W145</f>
        <v>426</v>
      </c>
      <c r="AA29" s="111">
        <f>'Av 2018'!X145</f>
        <v>426</v>
      </c>
      <c r="AB29" s="111">
        <f>'Av 2018'!Y145</f>
        <v>14.028884207838633</v>
      </c>
      <c r="AC29" s="111">
        <f>'Av 2018'!Z145</f>
        <v>2439.5720315408435</v>
      </c>
      <c r="AD29" s="111"/>
      <c r="AE29" s="111">
        <f>'Av 2018'!AA145</f>
        <v>67.680579515716062</v>
      </c>
    </row>
    <row r="30" spans="2:32" x14ac:dyDescent="0.25">
      <c r="C30">
        <v>2019</v>
      </c>
      <c r="D30" s="111">
        <f>'Av 2019'!F145</f>
        <v>48.387096774193552</v>
      </c>
      <c r="E30" s="111">
        <f>'Av 2019'!G145</f>
        <v>21.75</v>
      </c>
      <c r="F30" s="111">
        <f>'Av 2019'!H145</f>
        <v>7.317333333333333</v>
      </c>
      <c r="G30" s="111">
        <f>'Av 2019'!I145</f>
        <v>28.999999999999996</v>
      </c>
      <c r="H30" s="111">
        <f>'Av 2019'!J145</f>
        <v>66.666666666666671</v>
      </c>
      <c r="I30" s="111">
        <f>'Av 2019'!K145</f>
        <v>29</v>
      </c>
      <c r="J30" s="111">
        <f>'Av 2019'!L147</f>
        <v>750</v>
      </c>
      <c r="K30" s="111"/>
      <c r="L30" s="111"/>
      <c r="M30" s="111"/>
      <c r="N30" s="111"/>
      <c r="O30" s="111"/>
      <c r="P30" s="111">
        <f>'Av 2019'!M145</f>
        <v>400</v>
      </c>
      <c r="Q30" s="110">
        <f>'Av 2019'!N145</f>
        <v>758.62068965517244</v>
      </c>
      <c r="R30" s="110">
        <f>'Av 2019'!O145</f>
        <v>12937.5</v>
      </c>
      <c r="S30" s="110">
        <f>'Av 2019'!P145</f>
        <v>73760.864458538883</v>
      </c>
      <c r="T30" s="111">
        <f>'Av 2019'!Q145</f>
        <v>940</v>
      </c>
      <c r="U30" s="111">
        <f>'Av 2019'!R145</f>
        <v>426</v>
      </c>
      <c r="V30" s="111">
        <f>'Av 2019'!S145</f>
        <v>0</v>
      </c>
      <c r="W30" s="111">
        <f>'Av 2019'!T145</f>
        <v>426</v>
      </c>
      <c r="X30" s="111">
        <f>'Av 2019'!U145</f>
        <v>426</v>
      </c>
      <c r="Y30" s="111">
        <f>'Av 2019'!V145</f>
        <v>426</v>
      </c>
      <c r="Z30" s="111">
        <f>'Av 2019'!W145</f>
        <v>426</v>
      </c>
      <c r="AA30" s="111">
        <f>'Av 2019'!X145</f>
        <v>426</v>
      </c>
      <c r="AB30" s="111">
        <f>'Av 2019'!Y145</f>
        <v>15.561056186175191</v>
      </c>
      <c r="AC30" s="111">
        <f>'Av 2019'!Z145</f>
        <v>2663.5858868099558</v>
      </c>
      <c r="AD30" s="111"/>
      <c r="AE30" s="111">
        <f>'Av 2019'!AA145</f>
        <v>88.173212934428307</v>
      </c>
    </row>
    <row r="31" spans="2:32" x14ac:dyDescent="0.25">
      <c r="C31">
        <v>2020</v>
      </c>
      <c r="D31" s="111">
        <f>'Av 2020'!F145</f>
        <v>52.413793103448278</v>
      </c>
      <c r="E31" s="111">
        <f>'Av 2020'!G145</f>
        <v>23.2</v>
      </c>
      <c r="F31" s="111">
        <f>'Av 2020'!H145</f>
        <v>7.317333333333333</v>
      </c>
      <c r="G31" s="111">
        <f>'Av 2020'!I145</f>
        <v>28.999999999999996</v>
      </c>
      <c r="H31" s="111">
        <f>'Av 2020'!J145</f>
        <v>48.75</v>
      </c>
      <c r="I31" s="111">
        <f>'Av 2020'!K145</f>
        <v>29</v>
      </c>
      <c r="J31" s="111">
        <f>'Av 2020'!L147</f>
        <v>750</v>
      </c>
      <c r="K31" s="111"/>
      <c r="L31" s="111"/>
      <c r="M31" s="111"/>
      <c r="N31" s="111"/>
      <c r="O31" s="111"/>
      <c r="P31" s="111">
        <f>'Av 2020'!M145</f>
        <v>400</v>
      </c>
      <c r="Q31" s="110">
        <f>'Av 2020'!N145</f>
        <v>780.64516129032256</v>
      </c>
      <c r="R31" s="110">
        <f>'Av 2020'!O145</f>
        <v>8970</v>
      </c>
      <c r="S31" s="110">
        <f>'Av 2020'!P145</f>
        <v>72727.272727272721</v>
      </c>
      <c r="T31" s="111">
        <f>'Av 2020'!Q145</f>
        <v>940</v>
      </c>
      <c r="U31" s="111">
        <f>'Av 2020'!R145</f>
        <v>426</v>
      </c>
      <c r="V31" s="111">
        <f>'Av 2020'!S145</f>
        <v>0</v>
      </c>
      <c r="W31" s="111">
        <f>'Av 2020'!T145</f>
        <v>426</v>
      </c>
      <c r="X31" s="111">
        <f>'Av 2020'!U145</f>
        <v>426</v>
      </c>
      <c r="Y31" s="111">
        <f>'Av 2020'!V145</f>
        <v>426</v>
      </c>
      <c r="Z31" s="111">
        <f>'Av 2020'!W145</f>
        <v>426</v>
      </c>
      <c r="AA31" s="111">
        <f>'Av 2020'!X145</f>
        <v>426</v>
      </c>
      <c r="AB31" s="111">
        <f>'Av 2020'!Y145</f>
        <v>15.597209347709422</v>
      </c>
      <c r="AC31" s="111">
        <f>'Av 2020'!Z145</f>
        <v>2899.4623527161416</v>
      </c>
      <c r="AD31" s="111"/>
      <c r="AE31" s="111">
        <f>'Av 2020'!AA145</f>
        <v>106.44193205442953</v>
      </c>
    </row>
    <row r="32" spans="2:32" x14ac:dyDescent="0.25">
      <c r="C32">
        <v>2021</v>
      </c>
      <c r="D32" s="111">
        <f>'Av 2021'!F145</f>
        <v>50.666666666666664</v>
      </c>
      <c r="E32" s="111">
        <f>'Av 2021'!G145</f>
        <v>23.2</v>
      </c>
      <c r="F32" s="111">
        <f>'Av 2021'!H145</f>
        <v>6.86</v>
      </c>
      <c r="G32" s="111">
        <f>'Av 2021'!I145</f>
        <v>28.999999999999996</v>
      </c>
      <c r="H32" s="111">
        <f>'Av 2021'!J145</f>
        <v>48.75</v>
      </c>
      <c r="I32" s="111">
        <f>'Av 2021'!K145</f>
        <v>29</v>
      </c>
      <c r="J32" s="111">
        <f>'Av 2021'!L147</f>
        <v>750</v>
      </c>
      <c r="K32" s="111"/>
      <c r="L32" s="111"/>
      <c r="M32" s="111"/>
      <c r="N32" s="111"/>
      <c r="O32" s="111"/>
      <c r="P32" s="111">
        <f>'Av 2021'!M145</f>
        <v>400</v>
      </c>
      <c r="Q32" s="110">
        <f>'Av 2021'!N145</f>
        <v>780.64516129032256</v>
      </c>
      <c r="R32" s="110">
        <f>'Av 2021'!O145</f>
        <v>8073</v>
      </c>
      <c r="S32" s="110">
        <f>'Av 2021'!P145</f>
        <v>60416.666666666672</v>
      </c>
      <c r="T32" s="111">
        <f>'Av 2021'!Q145</f>
        <v>940</v>
      </c>
      <c r="U32" s="111">
        <f>'Av 2021'!R145</f>
        <v>426</v>
      </c>
      <c r="V32" s="111">
        <f>'Av 2021'!S145</f>
        <v>0</v>
      </c>
      <c r="W32" s="111">
        <f>'Av 2021'!T145</f>
        <v>426</v>
      </c>
      <c r="X32" s="111">
        <f>'Av 2021'!U145</f>
        <v>426</v>
      </c>
      <c r="Y32" s="111">
        <f>'Av 2021'!V145</f>
        <v>426</v>
      </c>
      <c r="Z32" s="111">
        <f>'Av 2021'!W145</f>
        <v>426</v>
      </c>
      <c r="AA32" s="111">
        <f>'Av 2021'!X145</f>
        <v>426</v>
      </c>
      <c r="AB32" s="111">
        <f>'Av 2021'!Y145</f>
        <v>14.861286723689105</v>
      </c>
      <c r="AC32" s="111">
        <f>'Av 2021'!Z145</f>
        <v>2469.8903659887101</v>
      </c>
      <c r="AD32" s="111"/>
      <c r="AE32" s="111">
        <f>'Av 2021'!AA145</f>
        <v>96.26039806506823</v>
      </c>
    </row>
    <row r="33" spans="2:31" x14ac:dyDescent="0.25"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0"/>
      <c r="R33" s="110"/>
      <c r="S33" s="110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</row>
    <row r="34" spans="2:31" x14ac:dyDescent="0.25"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0"/>
      <c r="R34" s="110"/>
      <c r="S34" s="110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</row>
    <row r="35" spans="2:31" x14ac:dyDescent="0.25">
      <c r="B35" s="41" t="s">
        <v>101</v>
      </c>
      <c r="C35" s="41"/>
      <c r="P35" s="24" t="s">
        <v>81</v>
      </c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spans="2:31" x14ac:dyDescent="0.25">
      <c r="D36" s="23" t="s">
        <v>44</v>
      </c>
      <c r="E36" s="23"/>
      <c r="F36" s="23"/>
      <c r="G36" s="23"/>
      <c r="H36" s="23"/>
      <c r="I36" s="23"/>
      <c r="J36" s="7" t="s">
        <v>30</v>
      </c>
      <c r="K36" s="7" t="s">
        <v>26</v>
      </c>
      <c r="L36" s="7" t="s">
        <v>85</v>
      </c>
      <c r="M36" s="114" t="s">
        <v>26</v>
      </c>
      <c r="N36" s="114" t="s">
        <v>85</v>
      </c>
      <c r="O36" s="114" t="s">
        <v>85</v>
      </c>
      <c r="P36" s="24" t="s">
        <v>46</v>
      </c>
      <c r="Q36" s="24"/>
      <c r="R36" s="24"/>
      <c r="S36" s="24"/>
      <c r="T36" s="24"/>
      <c r="U36" s="24" t="s">
        <v>47</v>
      </c>
      <c r="V36" s="24"/>
      <c r="W36" s="24"/>
      <c r="X36" s="24"/>
      <c r="Y36" s="24"/>
      <c r="Z36" s="24"/>
      <c r="AA36" s="24"/>
      <c r="AB36" s="44" t="s">
        <v>85</v>
      </c>
      <c r="AC36" s="44" t="s">
        <v>48</v>
      </c>
      <c r="AD36" s="44"/>
      <c r="AE36" s="44" t="s">
        <v>3</v>
      </c>
    </row>
    <row r="37" spans="2:31" ht="63" x14ac:dyDescent="0.25">
      <c r="D37" s="38" t="s">
        <v>36</v>
      </c>
      <c r="E37" s="38" t="s">
        <v>37</v>
      </c>
      <c r="F37" s="38" t="s">
        <v>38</v>
      </c>
      <c r="G37" s="38" t="s">
        <v>80</v>
      </c>
      <c r="H37" s="38" t="s">
        <v>39</v>
      </c>
      <c r="I37" s="38" t="s">
        <v>45</v>
      </c>
      <c r="J37" s="39" t="s">
        <v>16</v>
      </c>
      <c r="K37" s="39" t="s">
        <v>48</v>
      </c>
      <c r="L37" s="39" t="s">
        <v>115</v>
      </c>
      <c r="M37" s="115" t="s">
        <v>26</v>
      </c>
      <c r="N37" s="115" t="s">
        <v>85</v>
      </c>
      <c r="O37" s="115" t="s">
        <v>85</v>
      </c>
      <c r="P37" s="40" t="s">
        <v>34</v>
      </c>
      <c r="Q37" s="40" t="s">
        <v>5</v>
      </c>
      <c r="R37" s="40" t="s">
        <v>7</v>
      </c>
      <c r="S37" s="40" t="s">
        <v>385</v>
      </c>
      <c r="T37" s="40" t="s">
        <v>40</v>
      </c>
      <c r="U37" s="40" t="s">
        <v>41</v>
      </c>
      <c r="V37" s="40" t="s">
        <v>42</v>
      </c>
      <c r="W37" s="40" t="s">
        <v>31</v>
      </c>
      <c r="X37" s="40" t="s">
        <v>43</v>
      </c>
      <c r="Y37" s="40" t="s">
        <v>82</v>
      </c>
      <c r="Z37" s="40" t="s">
        <v>87</v>
      </c>
      <c r="AA37" s="40" t="s">
        <v>83</v>
      </c>
      <c r="AB37" s="45" t="s">
        <v>3</v>
      </c>
      <c r="AC37" s="45" t="s">
        <v>86</v>
      </c>
      <c r="AD37" s="45"/>
      <c r="AE37" s="45" t="s">
        <v>3</v>
      </c>
    </row>
    <row r="38" spans="2:31" x14ac:dyDescent="0.25">
      <c r="C38">
        <v>2012</v>
      </c>
      <c r="D38" s="111">
        <f>'Av 2012'!AH190</f>
        <v>301.70517051705173</v>
      </c>
      <c r="E38" s="111">
        <f>'Av 2012'!AI190</f>
        <v>136.11111111111109</v>
      </c>
      <c r="F38" s="111">
        <f>'Av 2012'!AJ190</f>
        <v>26.911764705882355</v>
      </c>
      <c r="G38" s="111">
        <f>'Av 2012'!AK190</f>
        <v>170.58823529411762</v>
      </c>
      <c r="H38" s="111">
        <f>'Av 2012'!AL190</f>
        <v>324.95256166982921</v>
      </c>
      <c r="I38" s="111">
        <f>'Av 2012'!AM190</f>
        <v>170.58823529411765</v>
      </c>
      <c r="J38" s="111">
        <f>'Av 2012'!AN192</f>
        <v>18750.000000000004</v>
      </c>
      <c r="K38" s="111"/>
      <c r="L38" s="111"/>
      <c r="M38" s="111"/>
      <c r="N38" s="111"/>
      <c r="O38" s="111"/>
      <c r="P38" s="111">
        <f>'Av 2012'!AO190</f>
        <v>2222.2222222222217</v>
      </c>
      <c r="Q38" s="110">
        <f>'Av 2012'!AP190</f>
        <v>5437.5</v>
      </c>
      <c r="R38" s="110">
        <f>'Av 2012'!AQ190</f>
        <v>55555.555555555562</v>
      </c>
      <c r="S38" s="110">
        <f>'Av 2012'!AR190</f>
        <v>155555.55555555553</v>
      </c>
      <c r="T38" s="111">
        <f>'Av 2012'!AS190</f>
        <v>5222.2222222222226</v>
      </c>
      <c r="U38" s="111">
        <f>'Av 2012'!AT190</f>
        <v>2366.6666666666665</v>
      </c>
      <c r="V38" s="111" t="str">
        <f>'Av 2012'!AU190</f>
        <v/>
      </c>
      <c r="W38" s="111">
        <f>'Av 2012'!AV190</f>
        <v>2366.6666666666665</v>
      </c>
      <c r="X38" s="111">
        <f>'Av 2012'!AW190</f>
        <v>2366.6666666666665</v>
      </c>
      <c r="Y38" s="111">
        <f>'Av 2012'!AX190</f>
        <v>2366.6666666666665</v>
      </c>
      <c r="Z38" s="111">
        <f>'Av 2012'!AY190</f>
        <v>2366.6666666666665</v>
      </c>
      <c r="AA38" s="111">
        <f>'Av 2012'!AZ190</f>
        <v>2366.6666666666665</v>
      </c>
      <c r="AB38" s="111">
        <f>'Av 2012'!BA190</f>
        <v>72.125860426863468</v>
      </c>
      <c r="AC38" s="111">
        <f>'Av 2012'!BB190</f>
        <v>4170.1874334940139</v>
      </c>
      <c r="AD38" s="111"/>
      <c r="AE38" s="111">
        <f>'Av 2012'!BC190</f>
        <v>89.962423251458489</v>
      </c>
    </row>
    <row r="39" spans="2:31" x14ac:dyDescent="0.25">
      <c r="C39">
        <v>2013</v>
      </c>
      <c r="D39" s="111">
        <f>'Av 2013'!AH190</f>
        <v>330.30606223864129</v>
      </c>
      <c r="E39" s="111">
        <f>'Av 2013'!AI190</f>
        <v>120.63492063492062</v>
      </c>
      <c r="F39" s="111">
        <f>'Av 2013'!AJ190</f>
        <v>27.777777777777775</v>
      </c>
      <c r="G39" s="111">
        <f>'Av 2013'!AK190</f>
        <v>170.58823529411762</v>
      </c>
      <c r="H39" s="111">
        <f>'Av 2013'!AL190</f>
        <v>359.47712418300654</v>
      </c>
      <c r="I39" s="111">
        <f>'Av 2013'!AM190</f>
        <v>170.58823529411762</v>
      </c>
      <c r="J39" s="111">
        <f>'Av 2013'!AN192</f>
        <v>18750</v>
      </c>
      <c r="K39" s="111"/>
      <c r="L39" s="111"/>
      <c r="M39" s="111"/>
      <c r="N39" s="111"/>
      <c r="O39" s="111"/>
      <c r="P39" s="111">
        <f>'Av 2013'!AO190</f>
        <v>2222.2222222222222</v>
      </c>
      <c r="Q39" s="110">
        <f>'Av 2013'!AP190</f>
        <v>5437.4999999999991</v>
      </c>
      <c r="R39" s="110">
        <f>'Av 2013'!AQ190</f>
        <v>55555.555555555555</v>
      </c>
      <c r="S39" s="110">
        <f>'Av 2013'!AR190</f>
        <v>155555.55555555553</v>
      </c>
      <c r="T39" s="111">
        <f>'Av 2013'!AS190</f>
        <v>5222.2222222222226</v>
      </c>
      <c r="U39" s="111">
        <f>'Av 2013'!AT190</f>
        <v>2366.6666666666665</v>
      </c>
      <c r="V39" s="111" t="str">
        <f>'Av 2013'!AU190</f>
        <v/>
      </c>
      <c r="W39" s="111">
        <f>'Av 2013'!AV190</f>
        <v>2366.6666666666665</v>
      </c>
      <c r="X39" s="111">
        <f>'Av 2013'!AW190</f>
        <v>2366.6666666666661</v>
      </c>
      <c r="Y39" s="111">
        <f>'Av 2013'!AX190</f>
        <v>2366.6666666666665</v>
      </c>
      <c r="Z39" s="111">
        <f>'Av 2013'!AY190</f>
        <v>2366.6666666666665</v>
      </c>
      <c r="AA39" s="111">
        <f>'Av 2013'!AZ190</f>
        <v>2366.6666666666665</v>
      </c>
      <c r="AB39" s="111">
        <f>'Av 2013'!BA190</f>
        <v>70.295716626365433</v>
      </c>
      <c r="AC39" s="111">
        <f>'Av 2013'!BB190</f>
        <v>4932.0153878008387</v>
      </c>
      <c r="AD39" s="111"/>
      <c r="AE39" s="111">
        <f>'Av 2013'!BC190</f>
        <v>92.703377140344045</v>
      </c>
    </row>
    <row r="40" spans="2:31" x14ac:dyDescent="0.25">
      <c r="C40">
        <v>2014</v>
      </c>
      <c r="D40" s="111">
        <f>'Av 2014'!AH190</f>
        <v>294.11764705882354</v>
      </c>
      <c r="E40" s="111">
        <f>'Av 2014'!AI190</f>
        <v>134.85994794406008</v>
      </c>
      <c r="F40" s="111">
        <f>'Av 2014'!AJ190</f>
        <v>29.287925696594424</v>
      </c>
      <c r="G40" s="111">
        <f>'Av 2014'!AK190</f>
        <v>170.58823529411762</v>
      </c>
      <c r="H40" s="111">
        <f>'Av 2014'!AL190</f>
        <v>372.17349320028973</v>
      </c>
      <c r="I40" s="111">
        <f>'Av 2014'!AM190</f>
        <v>170.58823529411765</v>
      </c>
      <c r="J40" s="111">
        <f>'Av 2014'!AN192</f>
        <v>18750</v>
      </c>
      <c r="K40" s="111"/>
      <c r="L40" s="111"/>
      <c r="M40" s="111"/>
      <c r="N40" s="111"/>
      <c r="O40" s="111"/>
      <c r="P40" s="111">
        <f>'Av 2014'!AO190</f>
        <v>2222.2222222222222</v>
      </c>
      <c r="Q40" s="110">
        <f>'Av 2014'!AP190</f>
        <v>5437.5</v>
      </c>
      <c r="R40" s="110">
        <f>'Av 2014'!AQ190</f>
        <v>55555.555555555555</v>
      </c>
      <c r="S40" s="110">
        <f>'Av 2014'!AR190</f>
        <v>155555.55555555553</v>
      </c>
      <c r="T40" s="111">
        <f>'Av 2014'!AS190</f>
        <v>5222.2222222222226</v>
      </c>
      <c r="U40" s="111">
        <f>'Av 2014'!AT190</f>
        <v>2366.6666666666665</v>
      </c>
      <c r="V40" s="111" t="str">
        <f>'Av 2014'!AU190</f>
        <v/>
      </c>
      <c r="W40" s="111">
        <f>'Av 2014'!AV190</f>
        <v>2366.6666666666665</v>
      </c>
      <c r="X40" s="111">
        <f>'Av 2014'!AW190</f>
        <v>2366.6666666666665</v>
      </c>
      <c r="Y40" s="111">
        <f>'Av 2014'!AX190</f>
        <v>2366.6666666666665</v>
      </c>
      <c r="Z40" s="111">
        <f>'Av 2014'!AY190</f>
        <v>2366.6666666666665</v>
      </c>
      <c r="AA40" s="111">
        <f>'Av 2014'!AZ190</f>
        <v>2366.6666666666665</v>
      </c>
      <c r="AB40" s="111">
        <f>'Av 2014'!BA190</f>
        <v>68.829574103453808</v>
      </c>
      <c r="AC40" s="111">
        <f>'Av 2014'!BB190</f>
        <v>5445.8809177695966</v>
      </c>
      <c r="AD40" s="111"/>
      <c r="AE40" s="111">
        <f>'Av 2014'!BC190</f>
        <v>99.807480649417499</v>
      </c>
    </row>
    <row r="41" spans="2:31" x14ac:dyDescent="0.25">
      <c r="C41">
        <v>2015</v>
      </c>
      <c r="D41" s="111">
        <f>'Av 2015'!AH190</f>
        <v>289.56228956228955</v>
      </c>
      <c r="E41" s="111">
        <f>'Av 2015'!AI190</f>
        <v>150.29522275899092</v>
      </c>
      <c r="F41" s="111">
        <f>'Av 2015'!AJ190</f>
        <v>29.26829268292683</v>
      </c>
      <c r="G41" s="111">
        <f>'Av 2015'!AK190</f>
        <v>170.58823529411762</v>
      </c>
      <c r="H41" s="111">
        <f>'Av 2015'!AL190</f>
        <v>136.76470588235296</v>
      </c>
      <c r="I41" s="111">
        <f>'Av 2015'!AM190</f>
        <v>170.58823529411765</v>
      </c>
      <c r="J41" s="111">
        <f>'Av 2015'!AN192</f>
        <v>18750</v>
      </c>
      <c r="K41" s="111"/>
      <c r="L41" s="111"/>
      <c r="M41" s="111"/>
      <c r="N41" s="111"/>
      <c r="O41" s="111"/>
      <c r="P41" s="111">
        <f>'Av 2015'!AO190</f>
        <v>2222.2222222222217</v>
      </c>
      <c r="Q41" s="110">
        <f>'Av 2015'!AP190</f>
        <v>5625</v>
      </c>
      <c r="R41" s="110">
        <f>'Av 2015'!AQ190</f>
        <v>55555.555555555547</v>
      </c>
      <c r="S41" s="110">
        <f>'Av 2015'!AR190</f>
        <v>427350.42735042737</v>
      </c>
      <c r="T41" s="111">
        <f>'Av 2015'!AS190</f>
        <v>5222.2222222222226</v>
      </c>
      <c r="U41" s="111">
        <f>'Av 2015'!AT190</f>
        <v>2366.6666666666665</v>
      </c>
      <c r="V41" s="111" t="str">
        <f>'Av 2015'!AU190</f>
        <v/>
      </c>
      <c r="W41" s="111">
        <f>'Av 2015'!AV190</f>
        <v>2366.6666666666665</v>
      </c>
      <c r="X41" s="111">
        <f>'Av 2015'!AW190</f>
        <v>2366.6666666666665</v>
      </c>
      <c r="Y41" s="111">
        <f>'Av 2015'!AX190</f>
        <v>2366.6666666666665</v>
      </c>
      <c r="Z41" s="111">
        <f>'Av 2015'!AY190</f>
        <v>2366.6666666666665</v>
      </c>
      <c r="AA41" s="111">
        <f>'Av 2015'!AZ190</f>
        <v>2366.6666666666665</v>
      </c>
      <c r="AB41" s="111">
        <f>'Av 2015'!BA190</f>
        <v>65.310648974086305</v>
      </c>
      <c r="AC41" s="111">
        <f>'Av 2015'!BB190</f>
        <v>5244.874223159105</v>
      </c>
      <c r="AD41" s="111"/>
      <c r="AE41" s="111">
        <f>'Av 2015'!BC190</f>
        <v>149.9726132062674</v>
      </c>
    </row>
    <row r="42" spans="2:31" x14ac:dyDescent="0.25">
      <c r="C42">
        <v>2016</v>
      </c>
      <c r="D42" s="111">
        <f>'Av 2016'!AH190</f>
        <v>289.56228956228955</v>
      </c>
      <c r="E42" s="111">
        <f>'Av 2016'!AI190</f>
        <v>142.45014245014247</v>
      </c>
      <c r="F42" s="111">
        <f>'Av 2016'!AJ190</f>
        <v>32.696715049656234</v>
      </c>
      <c r="G42" s="111">
        <f>'Av 2016'!AK190</f>
        <v>170.58823529411762</v>
      </c>
      <c r="H42" s="111">
        <f>'Av 2016'!AL190</f>
        <v>314.56432840515885</v>
      </c>
      <c r="I42" s="111">
        <f>'Av 2016'!AM190</f>
        <v>170.58823529411765</v>
      </c>
      <c r="J42" s="111">
        <f>'Av 2016'!AN192</f>
        <v>18750</v>
      </c>
      <c r="K42" s="111"/>
      <c r="L42" s="111"/>
      <c r="M42" s="111"/>
      <c r="N42" s="111"/>
      <c r="O42" s="111"/>
      <c r="P42" s="111">
        <f>'Av 2016'!AO190</f>
        <v>2222.2222222222217</v>
      </c>
      <c r="Q42" s="110">
        <f>'Av 2016'!AP190</f>
        <v>5208.333333333333</v>
      </c>
      <c r="R42" s="110">
        <f>'Av 2016'!AQ190</f>
        <v>55555.555555555562</v>
      </c>
      <c r="S42" s="110">
        <f>'Av 2016'!AR190</f>
        <v>377777.77777777775</v>
      </c>
      <c r="T42" s="111">
        <f>'Av 2016'!AS190</f>
        <v>5222.2222222222217</v>
      </c>
      <c r="U42" s="111">
        <f>'Av 2016'!AT190</f>
        <v>2366.6666666666665</v>
      </c>
      <c r="V42" s="111" t="str">
        <f>'Av 2016'!AU190</f>
        <v/>
      </c>
      <c r="W42" s="111">
        <f>'Av 2016'!AV190</f>
        <v>2366.6666666666665</v>
      </c>
      <c r="X42" s="111">
        <f>'Av 2016'!AW190</f>
        <v>2366.6666666666661</v>
      </c>
      <c r="Y42" s="111">
        <f>'Av 2016'!AX190</f>
        <v>2366.6666666666665</v>
      </c>
      <c r="Z42" s="111">
        <f>'Av 2016'!AY190</f>
        <v>2366.6666666666665</v>
      </c>
      <c r="AA42" s="111">
        <f>'Av 2016'!AZ190</f>
        <v>2366.6666666666665</v>
      </c>
      <c r="AB42" s="111">
        <f>'Av 2016'!BA190</f>
        <v>70.271624813564927</v>
      </c>
      <c r="AC42" s="111">
        <f>'Av 2016'!BB190</f>
        <v>8310.7641811561007</v>
      </c>
      <c r="AD42" s="111"/>
      <c r="AE42" s="111">
        <f>'Av 2016'!BC190</f>
        <v>187.68781272154891</v>
      </c>
    </row>
    <row r="43" spans="2:31" x14ac:dyDescent="0.25">
      <c r="C43">
        <v>2017</v>
      </c>
      <c r="D43" s="111">
        <f>'Av 2017'!AH190</f>
        <v>287.99708799708799</v>
      </c>
      <c r="E43" s="111">
        <f>'Av 2017'!AI190</f>
        <v>147.42014742014743</v>
      </c>
      <c r="F43" s="111">
        <f>'Av 2017'!AJ190</f>
        <v>35.921568627450981</v>
      </c>
      <c r="G43" s="111">
        <f>'Av 2017'!AK190</f>
        <v>170.58823529411762</v>
      </c>
      <c r="H43" s="111">
        <f>'Av 2017'!AL190</f>
        <v>392.15686274509795</v>
      </c>
      <c r="I43" s="111">
        <f>'Av 2017'!AM190</f>
        <v>170.58823529411765</v>
      </c>
      <c r="J43" s="111">
        <f>'Av 2017'!AN192</f>
        <v>18750</v>
      </c>
      <c r="K43" s="111"/>
      <c r="L43" s="111"/>
      <c r="M43" s="111"/>
      <c r="N43" s="111"/>
      <c r="O43" s="111"/>
      <c r="P43" s="111">
        <f>'Av 2017'!AO190</f>
        <v>2222.2222222222222</v>
      </c>
      <c r="Q43" s="110">
        <f>'Av 2017'!AP190</f>
        <v>6249.9999999999991</v>
      </c>
      <c r="R43" s="110">
        <f>'Av 2017'!AQ190</f>
        <v>66666.666666666672</v>
      </c>
      <c r="S43" s="110">
        <f>'Av 2017'!AR190</f>
        <v>312500</v>
      </c>
      <c r="T43" s="111">
        <f>'Av 2017'!AS190</f>
        <v>5222.2222222222217</v>
      </c>
      <c r="U43" s="111">
        <f>'Av 2017'!AT190</f>
        <v>2366.6666666666665</v>
      </c>
      <c r="V43" s="111" t="str">
        <f>'Av 2017'!AU190</f>
        <v/>
      </c>
      <c r="W43" s="111">
        <f>'Av 2017'!AV190</f>
        <v>2366.6666666666665</v>
      </c>
      <c r="X43" s="111">
        <f>'Av 2017'!AW190</f>
        <v>2366.6666666666665</v>
      </c>
      <c r="Y43" s="111">
        <f>'Av 2017'!AX190</f>
        <v>2366.6666666666665</v>
      </c>
      <c r="Z43" s="111">
        <f>'Av 2017'!AY190</f>
        <v>2366.6666666666661</v>
      </c>
      <c r="AA43" s="111">
        <f>'Av 2017'!AZ190</f>
        <v>2366.6666666666665</v>
      </c>
      <c r="AB43" s="111">
        <f>'Av 2017'!BA190</f>
        <v>76.043406255963646</v>
      </c>
      <c r="AC43" s="111">
        <f>'Av 2017'!BB190</f>
        <v>9124.839068459627</v>
      </c>
      <c r="AD43" s="111"/>
      <c r="AE43" s="111">
        <f>'Av 2017'!BC190</f>
        <v>242.86169264660339</v>
      </c>
    </row>
    <row r="44" spans="2:31" x14ac:dyDescent="0.25">
      <c r="C44">
        <v>2018</v>
      </c>
      <c r="D44" s="111">
        <f>'Av 2018'!AH190</f>
        <v>269.36026936026934</v>
      </c>
      <c r="E44" s="111">
        <f>'Av 2018'!AI190</f>
        <v>117.17171717171716</v>
      </c>
      <c r="F44" s="111">
        <f>'Av 2018'!AJ190</f>
        <v>40.352941176470587</v>
      </c>
      <c r="G44" s="111">
        <f>'Av 2018'!AK190</f>
        <v>170.58823529411765</v>
      </c>
      <c r="H44" s="111">
        <f>'Av 2018'!AL190</f>
        <v>297.38562091503269</v>
      </c>
      <c r="I44" s="111">
        <f>'Av 2018'!AM190</f>
        <v>170.58823529411765</v>
      </c>
      <c r="J44" s="111">
        <f>'Av 2018'!AN192</f>
        <v>18750</v>
      </c>
      <c r="K44" s="111"/>
      <c r="L44" s="111"/>
      <c r="M44" s="111"/>
      <c r="N44" s="111"/>
      <c r="O44" s="111"/>
      <c r="P44" s="111">
        <f>'Av 2018'!AO190</f>
        <v>2222.2222222222222</v>
      </c>
      <c r="Q44" s="110">
        <f>'Av 2018'!AP190</f>
        <v>6249.9999999999991</v>
      </c>
      <c r="R44" s="110">
        <f>'Av 2018'!AQ190</f>
        <v>67924.528301886792</v>
      </c>
      <c r="S44" s="110">
        <f>'Av 2018'!AR190</f>
        <v>357142.85714285716</v>
      </c>
      <c r="T44" s="111">
        <f>'Av 2018'!AS190</f>
        <v>5222.2222222222226</v>
      </c>
      <c r="U44" s="111">
        <f>'Av 2018'!AT190</f>
        <v>2366.6666666666665</v>
      </c>
      <c r="V44" s="111" t="str">
        <f>'Av 2018'!AU190</f>
        <v/>
      </c>
      <c r="W44" s="111">
        <f>'Av 2018'!AV190</f>
        <v>2366.6666666666665</v>
      </c>
      <c r="X44" s="111">
        <f>'Av 2018'!AW190</f>
        <v>2366.6666666666665</v>
      </c>
      <c r="Y44" s="111">
        <f>'Av 2018'!AX190</f>
        <v>2366.6666666666665</v>
      </c>
      <c r="Z44" s="111">
        <f>'Av 2018'!AY190</f>
        <v>2366.6666666666665</v>
      </c>
      <c r="AA44" s="111">
        <f>'Av 2018'!AZ190</f>
        <v>2366.6666666666665</v>
      </c>
      <c r="AB44" s="111">
        <f>'Av 2018'!BA190</f>
        <v>80.786645906500823</v>
      </c>
      <c r="AC44" s="111">
        <f>'Av 2018'!BB190</f>
        <v>13584.43525102523</v>
      </c>
      <c r="AD44" s="111"/>
      <c r="AE44" s="111">
        <f>'Av 2018'!BC190</f>
        <v>379.48000920662923</v>
      </c>
    </row>
    <row r="45" spans="2:31" x14ac:dyDescent="0.25">
      <c r="C45">
        <v>2019</v>
      </c>
      <c r="D45" s="111">
        <f>'Av 2019'!AH190</f>
        <v>254.66893039049236</v>
      </c>
      <c r="E45" s="111">
        <f>'Av 2019'!AI190</f>
        <v>114.47368421052632</v>
      </c>
      <c r="F45" s="111">
        <f>'Av 2019'!AJ190</f>
        <v>36.586666666666666</v>
      </c>
      <c r="G45" s="111">
        <f>'Av 2019'!AK190</f>
        <v>161.11111111111109</v>
      </c>
      <c r="H45" s="111">
        <f>'Av 2019'!AL190</f>
        <v>392.15686274509801</v>
      </c>
      <c r="I45" s="111">
        <f>'Av 2019'!AM190</f>
        <v>170.58823529411765</v>
      </c>
      <c r="J45" s="111">
        <f>'Av 2019'!AN192</f>
        <v>18750</v>
      </c>
      <c r="K45" s="111"/>
      <c r="L45" s="111"/>
      <c r="M45" s="111"/>
      <c r="N45" s="111"/>
      <c r="O45" s="111"/>
      <c r="P45" s="111">
        <f>'Av 2019'!AO190</f>
        <v>2222.2222222222222</v>
      </c>
      <c r="Q45" s="110">
        <f>'Av 2019'!AP190</f>
        <v>4741.379310344827</v>
      </c>
      <c r="R45" s="110">
        <f>'Av 2019'!AQ190</f>
        <v>71875</v>
      </c>
      <c r="S45" s="110">
        <f>'Av 2019'!AR190</f>
        <v>409782.58032521605</v>
      </c>
      <c r="T45" s="111">
        <f>'Av 2019'!AS190</f>
        <v>5222.2222222222226</v>
      </c>
      <c r="U45" s="111">
        <f>'Av 2019'!AT190</f>
        <v>2366.6666666666665</v>
      </c>
      <c r="V45" s="111" t="str">
        <f>'Av 2019'!AU190</f>
        <v/>
      </c>
      <c r="W45" s="111">
        <f>'Av 2019'!AV190</f>
        <v>2366.6666666666665</v>
      </c>
      <c r="X45" s="111">
        <f>'Av 2019'!AW190</f>
        <v>2366.6666666666665</v>
      </c>
      <c r="Y45" s="111">
        <f>'Av 2019'!AX190</f>
        <v>2366.6666666666665</v>
      </c>
      <c r="Z45" s="111">
        <f>'Av 2019'!AY190</f>
        <v>2366.6666666666665</v>
      </c>
      <c r="AA45" s="111">
        <f>'Av 2019'!AZ190</f>
        <v>2366.6666666666665</v>
      </c>
      <c r="AB45" s="111">
        <f>'Av 2019'!BA190</f>
        <v>83.121475954348853</v>
      </c>
      <c r="AC45" s="111">
        <f>'Av 2019'!BB190</f>
        <v>14823.272947165613</v>
      </c>
      <c r="AD45" s="111"/>
      <c r="AE45" s="111">
        <f>'Av 2019'!BC190</f>
        <v>487.31488711222607</v>
      </c>
    </row>
    <row r="46" spans="2:31" x14ac:dyDescent="0.25">
      <c r="C46">
        <v>2020</v>
      </c>
      <c r="D46" s="111">
        <f>'Av 2020'!AH190</f>
        <v>262.06896551724139</v>
      </c>
      <c r="E46" s="111">
        <f>'Av 2020'!AI190</f>
        <v>115.99999999999999</v>
      </c>
      <c r="F46" s="111">
        <f>'Av 2020'!AJ190</f>
        <v>36.586666666666666</v>
      </c>
      <c r="G46" s="111">
        <f>'Av 2020'!AK190</f>
        <v>161.11111111111109</v>
      </c>
      <c r="H46" s="111">
        <f>'Av 2020'!AL190</f>
        <v>286.76470588235293</v>
      </c>
      <c r="I46" s="111">
        <f>'Av 2020'!AM190</f>
        <v>170.58823529411765</v>
      </c>
      <c r="J46" s="111">
        <f>'Av 2020'!AN192</f>
        <v>18750</v>
      </c>
      <c r="K46" s="111"/>
      <c r="L46" s="111"/>
      <c r="M46" s="111"/>
      <c r="N46" s="111"/>
      <c r="O46" s="111"/>
      <c r="P46" s="111">
        <f>'Av 2020'!AO190</f>
        <v>2222.2222222222222</v>
      </c>
      <c r="Q46" s="110">
        <f>'Av 2020'!AP190</f>
        <v>4879.0322580645161</v>
      </c>
      <c r="R46" s="110">
        <f>'Av 2020'!AQ190</f>
        <v>49833.333333333336</v>
      </c>
      <c r="S46" s="110">
        <f>'Av 2020'!AR190</f>
        <v>363636.36363636365</v>
      </c>
      <c r="T46" s="111">
        <f>'Av 2020'!AS190</f>
        <v>5222.2222222222226</v>
      </c>
      <c r="U46" s="111">
        <f>'Av 2020'!AT190</f>
        <v>2366.6666666666665</v>
      </c>
      <c r="V46" s="111" t="str">
        <f>'Av 2020'!AU190</f>
        <v/>
      </c>
      <c r="W46" s="111">
        <f>'Av 2020'!AV190</f>
        <v>2366.6666666666665</v>
      </c>
      <c r="X46" s="111">
        <f>'Av 2020'!AW190</f>
        <v>2366.6666666666665</v>
      </c>
      <c r="Y46" s="111">
        <f>'Av 2020'!AX190</f>
        <v>2366.6666666666665</v>
      </c>
      <c r="Z46" s="111">
        <f>'Av 2020'!AY190</f>
        <v>2366.6666666666665</v>
      </c>
      <c r="AA46" s="111">
        <f>'Av 2020'!AZ190</f>
        <v>2366.6666666666665</v>
      </c>
      <c r="AB46" s="111">
        <f>'Av 2020'!BA190</f>
        <v>81.93576550816779</v>
      </c>
      <c r="AC46" s="111">
        <f>'Av 2020'!BB190</f>
        <v>14843.624174861006</v>
      </c>
      <c r="AD46" s="111"/>
      <c r="AE46" s="111">
        <f>'Av 2020'!BC190</f>
        <v>546.94415652617272</v>
      </c>
    </row>
    <row r="47" spans="2:31" x14ac:dyDescent="0.25">
      <c r="C47">
        <v>2021</v>
      </c>
      <c r="D47" s="111">
        <f>'Av 2021'!AH190</f>
        <v>266.66666666666669</v>
      </c>
      <c r="E47" s="111">
        <f>'Av 2021'!AI190</f>
        <v>122.10526315789473</v>
      </c>
      <c r="F47" s="111">
        <f>'Av 2021'!AJ190</f>
        <v>38.1111111111111</v>
      </c>
      <c r="G47" s="111">
        <f>'Av 2021'!AK190</f>
        <v>161.11111111111109</v>
      </c>
      <c r="H47" s="111">
        <f>'Av 2021'!AL190</f>
        <v>286.76470588235293</v>
      </c>
      <c r="I47" s="111">
        <f>'Av 2021'!AM190</f>
        <v>170.58823529411765</v>
      </c>
      <c r="J47" s="111">
        <f>'Av 2021'!AN192</f>
        <v>18750</v>
      </c>
      <c r="K47" s="111"/>
      <c r="L47" s="111"/>
      <c r="M47" s="111"/>
      <c r="N47" s="111"/>
      <c r="O47" s="111"/>
      <c r="P47" s="111">
        <f>'Av 2021'!AO190</f>
        <v>2222.2222222222222</v>
      </c>
      <c r="Q47" s="110">
        <f>'Av 2021'!AP190</f>
        <v>4879.0322580645161</v>
      </c>
      <c r="R47" s="110">
        <f>'Av 2021'!AQ190</f>
        <v>44850</v>
      </c>
      <c r="S47" s="110">
        <f>'Av 2021'!AR190</f>
        <v>335648.14814814815</v>
      </c>
      <c r="T47" s="111">
        <f>'Av 2021'!AS190</f>
        <v>5222.2222222222217</v>
      </c>
      <c r="U47" s="111">
        <f>'Av 2021'!AT190</f>
        <v>2366.6666666666665</v>
      </c>
      <c r="V47" s="111" t="str">
        <f>'Av 2021'!AU190</f>
        <v/>
      </c>
      <c r="W47" s="111">
        <f>'Av 2021'!AV190</f>
        <v>2366.6666666666665</v>
      </c>
      <c r="X47" s="111">
        <f>'Av 2021'!AW190</f>
        <v>2366.6666666666665</v>
      </c>
      <c r="Y47" s="111">
        <f>'Av 2021'!AX190</f>
        <v>2366.6666666666665</v>
      </c>
      <c r="Z47" s="111">
        <f>'Av 2021'!AY190</f>
        <v>2366.6666666666665</v>
      </c>
      <c r="AA47" s="111">
        <f>'Av 2021'!AZ190</f>
        <v>2366.6666666666665</v>
      </c>
      <c r="AB47" s="111">
        <f>'Av 2021'!BA190</f>
        <v>82.120143906581504</v>
      </c>
      <c r="AC47" s="111">
        <f>'Av 2021'!BB190</f>
        <v>13743.634405201179</v>
      </c>
      <c r="AD47" s="111"/>
      <c r="AE47" s="111">
        <f>'Av 2021'!BC190</f>
        <v>535.08224111313496</v>
      </c>
    </row>
    <row r="48" spans="2:31" x14ac:dyDescent="0.25"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0"/>
      <c r="R48" s="110"/>
      <c r="S48" s="110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</row>
    <row r="49" spans="1:32" x14ac:dyDescent="0.25"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0"/>
      <c r="R49" s="110"/>
      <c r="S49" s="110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</row>
    <row r="50" spans="1:32" x14ac:dyDescent="0.25">
      <c r="B50" s="41" t="s">
        <v>431</v>
      </c>
      <c r="C50" s="41"/>
      <c r="P50" s="24" t="s">
        <v>81</v>
      </c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spans="1:32" x14ac:dyDescent="0.25">
      <c r="D51" s="23" t="s">
        <v>44</v>
      </c>
      <c r="E51" s="23"/>
      <c r="F51" s="23"/>
      <c r="G51" s="23"/>
      <c r="H51" s="23"/>
      <c r="I51" s="23"/>
      <c r="J51" s="7" t="s">
        <v>30</v>
      </c>
      <c r="K51" s="7" t="s">
        <v>26</v>
      </c>
      <c r="L51" s="7" t="s">
        <v>85</v>
      </c>
      <c r="M51" s="114" t="s">
        <v>26</v>
      </c>
      <c r="N51" s="114" t="s">
        <v>85</v>
      </c>
      <c r="O51" s="114" t="s">
        <v>151</v>
      </c>
      <c r="P51" s="24" t="s">
        <v>46</v>
      </c>
      <c r="Q51" s="24"/>
      <c r="R51" s="24"/>
      <c r="S51" s="24"/>
      <c r="T51" s="24"/>
      <c r="U51" s="24" t="s">
        <v>47</v>
      </c>
      <c r="V51" s="24"/>
      <c r="W51" s="24"/>
      <c r="X51" s="24"/>
      <c r="Y51" s="24"/>
      <c r="Z51" s="24"/>
      <c r="AA51" s="24"/>
      <c r="AB51" s="44" t="s">
        <v>85</v>
      </c>
      <c r="AC51" s="44" t="s">
        <v>48</v>
      </c>
      <c r="AD51" s="44"/>
      <c r="AE51" s="44" t="s">
        <v>3</v>
      </c>
    </row>
    <row r="52" spans="1:32" ht="63" x14ac:dyDescent="0.25">
      <c r="D52" s="38" t="s">
        <v>36</v>
      </c>
      <c r="E52" s="38" t="s">
        <v>37</v>
      </c>
      <c r="F52" s="38" t="s">
        <v>38</v>
      </c>
      <c r="G52" s="38" t="s">
        <v>80</v>
      </c>
      <c r="H52" s="38" t="s">
        <v>39</v>
      </c>
      <c r="I52" s="38" t="s">
        <v>45</v>
      </c>
      <c r="J52" s="39" t="s">
        <v>16</v>
      </c>
      <c r="K52" s="39" t="s">
        <v>48</v>
      </c>
      <c r="L52" s="39" t="s">
        <v>115</v>
      </c>
      <c r="M52" s="115" t="s">
        <v>26</v>
      </c>
      <c r="N52" s="115" t="s">
        <v>85</v>
      </c>
      <c r="O52" s="115" t="s">
        <v>85</v>
      </c>
      <c r="P52" s="40" t="s">
        <v>34</v>
      </c>
      <c r="Q52" s="40" t="s">
        <v>5</v>
      </c>
      <c r="R52" s="40" t="s">
        <v>7</v>
      </c>
      <c r="S52" s="40" t="s">
        <v>385</v>
      </c>
      <c r="T52" s="40" t="s">
        <v>40</v>
      </c>
      <c r="U52" s="40" t="s">
        <v>41</v>
      </c>
      <c r="V52" s="40" t="s">
        <v>42</v>
      </c>
      <c r="W52" s="40" t="s">
        <v>31</v>
      </c>
      <c r="X52" s="40" t="s">
        <v>43</v>
      </c>
      <c r="Y52" s="40" t="s">
        <v>82</v>
      </c>
      <c r="Z52" s="40" t="s">
        <v>87</v>
      </c>
      <c r="AA52" s="40" t="s">
        <v>83</v>
      </c>
      <c r="AB52" s="45" t="s">
        <v>3</v>
      </c>
      <c r="AC52" s="45" t="s">
        <v>86</v>
      </c>
      <c r="AD52" s="45"/>
      <c r="AE52" s="45" t="s">
        <v>3</v>
      </c>
    </row>
    <row r="53" spans="1:32" x14ac:dyDescent="0.25">
      <c r="C53">
        <v>2012</v>
      </c>
      <c r="D53" s="111">
        <f>D38*D6</f>
        <v>60944.444444444445</v>
      </c>
      <c r="E53" s="111">
        <f t="shared" ref="D53:J60" si="0">E38*E6</f>
        <v>16333.33333333333</v>
      </c>
      <c r="F53" s="111">
        <f t="shared" si="0"/>
        <v>43058.823529411769</v>
      </c>
      <c r="G53" s="111">
        <f t="shared" si="0"/>
        <v>17294.117647058822</v>
      </c>
      <c r="H53" s="111">
        <f t="shared" si="0"/>
        <v>8058.8235294117649</v>
      </c>
      <c r="I53" s="111">
        <f t="shared" si="0"/>
        <v>3529.4117647058824</v>
      </c>
      <c r="J53" s="111">
        <f t="shared" si="0"/>
        <v>5208333.333333334</v>
      </c>
      <c r="K53" s="111">
        <f>'Av 2012'!Z237</f>
        <v>2575.980158730159</v>
      </c>
      <c r="L53" s="111">
        <f>'Av 2012'!Y237</f>
        <v>83.333333333333343</v>
      </c>
      <c r="M53" s="111">
        <f>'Av 2012'!T250*1.5</f>
        <v>25.714285714285715</v>
      </c>
      <c r="N53" s="111">
        <f>'Av 2012'!J250</f>
        <v>37.158469945355193</v>
      </c>
      <c r="O53" s="111">
        <f>'Av 2012'!K249</f>
        <v>34.285714285714285</v>
      </c>
      <c r="P53" s="111">
        <f t="shared" ref="P53:U60" si="1">P38*P6</f>
        <v>7077.7777777777765</v>
      </c>
      <c r="Q53" s="111">
        <f t="shared" si="1"/>
        <v>693.75</v>
      </c>
      <c r="R53" s="111">
        <f t="shared" si="1"/>
        <v>4650</v>
      </c>
      <c r="S53" s="111">
        <f t="shared" si="1"/>
        <v>12055.555555555553</v>
      </c>
      <c r="T53" s="111">
        <f t="shared" si="1"/>
        <v>101.01010101010101</v>
      </c>
      <c r="U53" s="111">
        <f t="shared" si="1"/>
        <v>355.55555555555554</v>
      </c>
      <c r="V53" s="111">
        <f>'Av 2012'!S250</f>
        <v>5.4444444444444446</v>
      </c>
      <c r="W53" s="111">
        <f t="shared" ref="W53:AC60" si="2">W38*W6</f>
        <v>355.55555555555554</v>
      </c>
      <c r="X53" s="111">
        <f t="shared" si="2"/>
        <v>1777.7777777777776</v>
      </c>
      <c r="Y53" s="111">
        <f t="shared" si="2"/>
        <v>277.77777777777777</v>
      </c>
      <c r="Z53" s="111">
        <f t="shared" si="2"/>
        <v>5925.9259259259261</v>
      </c>
      <c r="AA53" s="111">
        <f t="shared" si="2"/>
        <v>4444.4444444444443</v>
      </c>
      <c r="AB53" s="111">
        <f t="shared" si="2"/>
        <v>149218.95424836598</v>
      </c>
      <c r="AC53" s="111">
        <f t="shared" si="2"/>
        <v>37715.130471380471</v>
      </c>
      <c r="AD53" s="111"/>
      <c r="AE53" s="111">
        <f t="shared" ref="AE53:AE60" si="3">AE38*AE6</f>
        <v>186934.08471974646</v>
      </c>
      <c r="AF53" s="111"/>
    </row>
    <row r="54" spans="1:32" x14ac:dyDescent="0.25">
      <c r="C54">
        <v>2013</v>
      </c>
      <c r="D54" s="111">
        <f t="shared" si="0"/>
        <v>57222.222222222219</v>
      </c>
      <c r="E54" s="111">
        <f t="shared" si="0"/>
        <v>25333.333333333328</v>
      </c>
      <c r="F54" s="111">
        <f t="shared" si="0"/>
        <v>49999.999999999993</v>
      </c>
      <c r="G54" s="111">
        <f t="shared" si="0"/>
        <v>17294.117647058822</v>
      </c>
      <c r="H54" s="111">
        <f t="shared" si="0"/>
        <v>10352.941176470589</v>
      </c>
      <c r="I54" s="111">
        <f t="shared" si="0"/>
        <v>4117.6470588235288</v>
      </c>
      <c r="J54" s="111">
        <f t="shared" si="0"/>
        <v>5722222.2222222229</v>
      </c>
      <c r="K54" s="111">
        <f>'Av 2013'!Z237</f>
        <v>2464.3849206349209</v>
      </c>
      <c r="L54" s="111">
        <f>'Av 2013'!Y237</f>
        <v>83.333333333333343</v>
      </c>
      <c r="M54" s="111">
        <f>'Av 2013'!T250*1.5</f>
        <v>26.571428571428573</v>
      </c>
      <c r="N54" s="111">
        <f>'Av 2013'!J250</f>
        <v>36.429872495446268</v>
      </c>
      <c r="O54" s="111">
        <f>'Av 2013'!K249</f>
        <v>31.428571428571427</v>
      </c>
      <c r="P54" s="111">
        <f t="shared" si="1"/>
        <v>10000</v>
      </c>
      <c r="Q54" s="111">
        <f t="shared" si="1"/>
        <v>1375</v>
      </c>
      <c r="R54" s="111">
        <f t="shared" si="1"/>
        <v>4426.666666666667</v>
      </c>
      <c r="S54" s="111">
        <f t="shared" si="1"/>
        <v>23516.666666666664</v>
      </c>
      <c r="T54" s="111">
        <f t="shared" si="1"/>
        <v>444.44444444444446</v>
      </c>
      <c r="U54" s="111">
        <f t="shared" si="1"/>
        <v>1360.5442176870747</v>
      </c>
      <c r="V54" s="111">
        <f>'Av 2013'!S250</f>
        <v>5.4444444444444446</v>
      </c>
      <c r="W54" s="111">
        <f t="shared" si="2"/>
        <v>888.8888888888888</v>
      </c>
      <c r="X54" s="111">
        <f t="shared" si="2"/>
        <v>2666.6666666666661</v>
      </c>
      <c r="Y54" s="111">
        <f t="shared" si="2"/>
        <v>277.77777777777777</v>
      </c>
      <c r="Z54" s="111">
        <f t="shared" si="2"/>
        <v>6203.7037037037044</v>
      </c>
      <c r="AA54" s="111">
        <f t="shared" si="2"/>
        <v>2222.2222222222222</v>
      </c>
      <c r="AB54" s="111">
        <f t="shared" si="2"/>
        <v>164320.26143790848</v>
      </c>
      <c r="AC54" s="111">
        <f t="shared" si="2"/>
        <v>53382.5812547241</v>
      </c>
      <c r="AD54" s="111"/>
      <c r="AE54" s="111">
        <f t="shared" si="3"/>
        <v>217702.84269263255</v>
      </c>
      <c r="AF54" s="111"/>
    </row>
    <row r="55" spans="1:32" x14ac:dyDescent="0.25">
      <c r="C55">
        <v>2014</v>
      </c>
      <c r="D55" s="111">
        <f t="shared" si="0"/>
        <v>50000</v>
      </c>
      <c r="E55" s="111">
        <f t="shared" si="0"/>
        <v>30303.030303030304</v>
      </c>
      <c r="F55" s="111">
        <f t="shared" si="0"/>
        <v>55647.058823529405</v>
      </c>
      <c r="G55" s="111">
        <f t="shared" si="0"/>
        <v>17294.117647058822</v>
      </c>
      <c r="H55" s="111">
        <f t="shared" si="0"/>
        <v>10882.35294117647</v>
      </c>
      <c r="I55" s="111">
        <f t="shared" si="0"/>
        <v>4705.8823529411766</v>
      </c>
      <c r="J55" s="111">
        <f t="shared" si="0"/>
        <v>5555555.555555556</v>
      </c>
      <c r="K55" s="111">
        <f>'Av 2014'!Z237</f>
        <v>2349.810606060606</v>
      </c>
      <c r="L55" s="111">
        <f>'Av 2014'!Y237</f>
        <v>104.16666666666667</v>
      </c>
      <c r="M55" s="111">
        <f>'Av 2014'!T250*1.5</f>
        <v>27.857142857142861</v>
      </c>
      <c r="N55" s="111">
        <f>'Av 2014'!J250</f>
        <v>36.666666666666664</v>
      </c>
      <c r="O55" s="111">
        <f>'Av 2014'!K249</f>
        <v>27.142857142857142</v>
      </c>
      <c r="P55" s="111">
        <f t="shared" si="1"/>
        <v>11111.111111111111</v>
      </c>
      <c r="Q55" s="111">
        <f t="shared" si="1"/>
        <v>2375</v>
      </c>
      <c r="R55" s="111">
        <f t="shared" si="1"/>
        <v>6640</v>
      </c>
      <c r="S55" s="111">
        <f t="shared" si="1"/>
        <v>36741.333333333321</v>
      </c>
      <c r="T55" s="111">
        <f t="shared" si="1"/>
        <v>1111.1111111111113</v>
      </c>
      <c r="U55" s="111">
        <f t="shared" si="1"/>
        <v>4629.6296296296296</v>
      </c>
      <c r="V55" s="111">
        <f>'Av 2014'!S250</f>
        <v>5.4444444444444446</v>
      </c>
      <c r="W55" s="111">
        <f t="shared" si="2"/>
        <v>1111.1111111111111</v>
      </c>
      <c r="X55" s="111">
        <f t="shared" si="2"/>
        <v>3777.7777777777774</v>
      </c>
      <c r="Y55" s="111">
        <f t="shared" si="2"/>
        <v>277.77777777777777</v>
      </c>
      <c r="Z55" s="111">
        <f t="shared" si="2"/>
        <v>7407.4074074074078</v>
      </c>
      <c r="AA55" s="111">
        <f t="shared" si="2"/>
        <v>2222.2222222222222</v>
      </c>
      <c r="AB55" s="111">
        <f t="shared" si="2"/>
        <v>168832.44206773618</v>
      </c>
      <c r="AC55" s="111">
        <f t="shared" si="2"/>
        <v>77404.481481481474</v>
      </c>
      <c r="AD55" s="111"/>
      <c r="AE55" s="111">
        <f t="shared" si="3"/>
        <v>246236.92354921764</v>
      </c>
      <c r="AF55" s="111"/>
    </row>
    <row r="56" spans="1:32" x14ac:dyDescent="0.25">
      <c r="C56">
        <v>2015</v>
      </c>
      <c r="D56" s="111">
        <f t="shared" si="0"/>
        <v>47777.777777777774</v>
      </c>
      <c r="E56" s="111">
        <f t="shared" si="0"/>
        <v>31111.11111111112</v>
      </c>
      <c r="F56" s="111">
        <f t="shared" si="0"/>
        <v>60000</v>
      </c>
      <c r="G56" s="111">
        <f t="shared" si="0"/>
        <v>17294.117647058822</v>
      </c>
      <c r="H56" s="111">
        <f t="shared" si="0"/>
        <v>10941.176470588236</v>
      </c>
      <c r="I56" s="111">
        <f t="shared" si="0"/>
        <v>4705.8823529411766</v>
      </c>
      <c r="J56" s="111">
        <f t="shared" si="0"/>
        <v>5882352.9411764704</v>
      </c>
      <c r="K56" s="111">
        <f>'Av 2015'!Z237</f>
        <v>2461.1201298701299</v>
      </c>
      <c r="L56" s="111">
        <f>'Av 2015'!Y237</f>
        <v>114.58333333333334</v>
      </c>
      <c r="M56" s="111">
        <f>'Av 2015'!T250*1.5</f>
        <v>27.857142857142861</v>
      </c>
      <c r="N56" s="111">
        <f>'Av 2015'!J250</f>
        <v>22.222222222222221</v>
      </c>
      <c r="O56" s="111">
        <f>'Av 2015'!K249</f>
        <v>27.142857142857142</v>
      </c>
      <c r="P56" s="111">
        <f t="shared" si="1"/>
        <v>21947.873799725647</v>
      </c>
      <c r="Q56" s="111">
        <f t="shared" si="1"/>
        <v>9000</v>
      </c>
      <c r="R56" s="111">
        <f t="shared" si="1"/>
        <v>11111.111111111109</v>
      </c>
      <c r="S56" s="111">
        <f t="shared" si="1"/>
        <v>111111.11111111112</v>
      </c>
      <c r="T56" s="111">
        <f t="shared" si="1"/>
        <v>1666.666666666667</v>
      </c>
      <c r="U56" s="111">
        <f t="shared" si="1"/>
        <v>5434.782608695652</v>
      </c>
      <c r="V56" s="111">
        <f>'Av 2015'!S250</f>
        <v>5.4444444444444446</v>
      </c>
      <c r="W56" s="111">
        <f t="shared" si="2"/>
        <v>2083.3333333333335</v>
      </c>
      <c r="X56" s="111">
        <f t="shared" si="2"/>
        <v>4629.6296296296296</v>
      </c>
      <c r="Y56" s="111">
        <f t="shared" si="2"/>
        <v>277.77777777777777</v>
      </c>
      <c r="Z56" s="111">
        <f t="shared" si="2"/>
        <v>6481.4814814814808</v>
      </c>
      <c r="AA56" s="111">
        <f t="shared" si="2"/>
        <v>55555.555555555547</v>
      </c>
      <c r="AB56" s="111">
        <f t="shared" si="2"/>
        <v>171830.06535947713</v>
      </c>
      <c r="AC56" s="111">
        <f t="shared" si="2"/>
        <v>229299.32307508794</v>
      </c>
      <c r="AD56" s="111"/>
      <c r="AE56" s="111">
        <f t="shared" si="3"/>
        <v>401129.3884345651</v>
      </c>
      <c r="AF56" s="111"/>
    </row>
    <row r="57" spans="1:32" x14ac:dyDescent="0.25">
      <c r="C57">
        <v>2016</v>
      </c>
      <c r="D57" s="111">
        <f t="shared" si="0"/>
        <v>47777.777777777774</v>
      </c>
      <c r="E57" s="111">
        <f t="shared" si="0"/>
        <v>27777.777777777781</v>
      </c>
      <c r="F57" s="111">
        <f t="shared" si="0"/>
        <v>62941.176470588252</v>
      </c>
      <c r="G57" s="111">
        <f t="shared" si="0"/>
        <v>17294.117647058822</v>
      </c>
      <c r="H57" s="111">
        <f t="shared" si="0"/>
        <v>11764.705882352942</v>
      </c>
      <c r="I57" s="111">
        <f t="shared" si="0"/>
        <v>4705.8823529411766</v>
      </c>
      <c r="J57" s="111">
        <f t="shared" si="0"/>
        <v>6562500</v>
      </c>
      <c r="K57" s="111">
        <f>'Av 2016'!Z237</f>
        <v>2873.2285258601046</v>
      </c>
      <c r="L57" s="111">
        <f>'Av 2016'!Y237</f>
        <v>114.58333333333334</v>
      </c>
      <c r="M57" s="111">
        <f>'Av 2016'!T250*1.5</f>
        <v>27.857142857142861</v>
      </c>
      <c r="N57" s="111">
        <f>'Av 2016'!J250</f>
        <v>36.666666666666664</v>
      </c>
      <c r="O57" s="111">
        <f>'Av 2016'!K249</f>
        <v>25.714285714285715</v>
      </c>
      <c r="P57" s="111">
        <f t="shared" si="1"/>
        <v>23045.267489711929</v>
      </c>
      <c r="Q57" s="111">
        <f t="shared" si="1"/>
        <v>9375</v>
      </c>
      <c r="R57" s="111">
        <f t="shared" si="1"/>
        <v>16666.666666666668</v>
      </c>
      <c r="S57" s="111">
        <f t="shared" si="1"/>
        <v>188888.88888888888</v>
      </c>
      <c r="T57" s="111">
        <f t="shared" si="1"/>
        <v>6111.1111111111104</v>
      </c>
      <c r="U57" s="111">
        <f t="shared" si="1"/>
        <v>6365.7407407407409</v>
      </c>
      <c r="V57" s="111">
        <f>'Av 2016'!S250</f>
        <v>5.4444444444444446</v>
      </c>
      <c r="W57" s="111">
        <f t="shared" si="2"/>
        <v>3703.7037037037039</v>
      </c>
      <c r="X57" s="111">
        <f t="shared" si="2"/>
        <v>5787.0370370370365</v>
      </c>
      <c r="Y57" s="111">
        <f t="shared" si="2"/>
        <v>277.77777777777777</v>
      </c>
      <c r="Z57" s="111">
        <f t="shared" si="2"/>
        <v>6481.4814814814808</v>
      </c>
      <c r="AA57" s="111">
        <f t="shared" si="2"/>
        <v>27777.777777777774</v>
      </c>
      <c r="AB57" s="111">
        <f t="shared" si="2"/>
        <v>172261.43790849671</v>
      </c>
      <c r="AC57" s="111">
        <f t="shared" si="2"/>
        <v>294480.45267489704</v>
      </c>
      <c r="AD57" s="111"/>
      <c r="AE57" s="111">
        <f t="shared" si="3"/>
        <v>466741.89058339375</v>
      </c>
      <c r="AF57" s="111"/>
    </row>
    <row r="58" spans="1:32" x14ac:dyDescent="0.25">
      <c r="C58">
        <v>2017</v>
      </c>
      <c r="D58" s="111">
        <f t="shared" si="0"/>
        <v>47519.519519519519</v>
      </c>
      <c r="E58" s="111">
        <f t="shared" si="0"/>
        <v>24324.324324324327</v>
      </c>
      <c r="F58" s="111">
        <f t="shared" si="0"/>
        <v>64658.823529411762</v>
      </c>
      <c r="G58" s="111">
        <f t="shared" si="0"/>
        <v>17294.117647058822</v>
      </c>
      <c r="H58" s="111">
        <f t="shared" si="0"/>
        <v>16470.588235294115</v>
      </c>
      <c r="I58" s="111">
        <f t="shared" si="0"/>
        <v>4705.8823529411766</v>
      </c>
      <c r="J58" s="111">
        <f t="shared" si="0"/>
        <v>7500000</v>
      </c>
      <c r="K58" s="111">
        <f>'Av 2017'!Z237</f>
        <v>2786.1201298701303</v>
      </c>
      <c r="L58" s="111">
        <f>'Av 2017'!Y237</f>
        <v>118.02083333333334</v>
      </c>
      <c r="M58" s="111">
        <f>'Av 2017'!T250*1.5</f>
        <v>27.857142857142861</v>
      </c>
      <c r="N58" s="111">
        <f>'Av 2017'!J250</f>
        <v>36.666666666666664</v>
      </c>
      <c r="O58" s="111">
        <f>'Av 2017'!K249</f>
        <v>24.285714285714285</v>
      </c>
      <c r="P58" s="111">
        <f t="shared" si="1"/>
        <v>25000</v>
      </c>
      <c r="Q58" s="111">
        <f t="shared" si="1"/>
        <v>13750</v>
      </c>
      <c r="R58" s="111">
        <f t="shared" si="1"/>
        <v>30000.000000000004</v>
      </c>
      <c r="S58" s="111">
        <f t="shared" si="1"/>
        <v>249999.99999999997</v>
      </c>
      <c r="T58" s="111">
        <f t="shared" si="1"/>
        <v>14814.814814814816</v>
      </c>
      <c r="U58" s="111">
        <f t="shared" si="1"/>
        <v>9523.8095238095248</v>
      </c>
      <c r="V58" s="111">
        <f>'Av 2017'!S250</f>
        <v>5.4444444444444446</v>
      </c>
      <c r="W58" s="111">
        <f t="shared" si="2"/>
        <v>5833.3333333333321</v>
      </c>
      <c r="X58" s="111">
        <f t="shared" si="2"/>
        <v>12499.999999999998</v>
      </c>
      <c r="Y58" s="111">
        <f t="shared" si="2"/>
        <v>277.77777777777777</v>
      </c>
      <c r="Z58" s="111">
        <f t="shared" si="2"/>
        <v>4861.1111111111095</v>
      </c>
      <c r="AA58" s="111">
        <f t="shared" si="2"/>
        <v>27777.777777777774</v>
      </c>
      <c r="AB58" s="111">
        <f t="shared" si="2"/>
        <v>174973.25560854972</v>
      </c>
      <c r="AC58" s="111">
        <f t="shared" si="2"/>
        <v>394338.6243386243</v>
      </c>
      <c r="AD58" s="111"/>
      <c r="AE58" s="111">
        <f t="shared" si="3"/>
        <v>569311.87994717399</v>
      </c>
      <c r="AF58" s="111"/>
    </row>
    <row r="59" spans="1:32" x14ac:dyDescent="0.25">
      <c r="C59">
        <v>2018</v>
      </c>
      <c r="D59" s="111">
        <f t="shared" si="0"/>
        <v>44444.444444444438</v>
      </c>
      <c r="E59" s="111">
        <f t="shared" si="0"/>
        <v>19333.333333333332</v>
      </c>
      <c r="F59" s="111">
        <f t="shared" si="0"/>
        <v>64564.705882352937</v>
      </c>
      <c r="G59" s="111">
        <f t="shared" si="0"/>
        <v>20752.941176470591</v>
      </c>
      <c r="H59" s="111">
        <f t="shared" si="0"/>
        <v>16058.823529411766</v>
      </c>
      <c r="I59" s="111">
        <f t="shared" si="0"/>
        <v>9411.7647058823532</v>
      </c>
      <c r="J59" s="111">
        <f t="shared" si="0"/>
        <v>6805555.555555556</v>
      </c>
      <c r="K59" s="111">
        <f>'Av 2018'!Z237</f>
        <v>3159.8214285714289</v>
      </c>
      <c r="L59" s="111">
        <f>'Av 2018'!Y237</f>
        <v>114.58333333333334</v>
      </c>
      <c r="M59" s="111">
        <f>'Av 2018'!T250*1.5</f>
        <v>27.857142857142861</v>
      </c>
      <c r="N59" s="111">
        <f>'Av 2018'!J250</f>
        <v>29.333333333333332</v>
      </c>
      <c r="O59" s="111">
        <f>'Av 2018'!K249</f>
        <v>21.428571428571427</v>
      </c>
      <c r="P59" s="111">
        <f t="shared" si="1"/>
        <v>27777.777777777777</v>
      </c>
      <c r="Q59" s="111">
        <f t="shared" si="1"/>
        <v>13750</v>
      </c>
      <c r="R59" s="111">
        <f t="shared" si="1"/>
        <v>36000</v>
      </c>
      <c r="S59" s="111">
        <f t="shared" si="1"/>
        <v>500000</v>
      </c>
      <c r="T59" s="111">
        <f t="shared" si="1"/>
        <v>18518.518518518522</v>
      </c>
      <c r="U59" s="111">
        <f t="shared" si="1"/>
        <v>14285.714285714286</v>
      </c>
      <c r="V59" s="111">
        <f>'Av 2017'!S251</f>
        <v>0</v>
      </c>
      <c r="W59" s="111">
        <f t="shared" si="2"/>
        <v>2499.9999999999995</v>
      </c>
      <c r="X59" s="111">
        <f t="shared" si="2"/>
        <v>10416.666666666666</v>
      </c>
      <c r="Y59" s="111">
        <f t="shared" si="2"/>
        <v>277.77777777777777</v>
      </c>
      <c r="Z59" s="111">
        <f t="shared" si="2"/>
        <v>763.8888888888888</v>
      </c>
      <c r="AA59" s="111">
        <f t="shared" si="2"/>
        <v>39682.539682539682</v>
      </c>
      <c r="AB59" s="111">
        <f t="shared" si="2"/>
        <v>174566.0130718954</v>
      </c>
      <c r="AC59" s="111">
        <f t="shared" si="2"/>
        <v>663972.88359788363</v>
      </c>
      <c r="AD59" s="111"/>
      <c r="AE59" s="111">
        <f t="shared" si="3"/>
        <v>838538.89666977921</v>
      </c>
      <c r="AF59" s="111"/>
    </row>
    <row r="60" spans="1:32" x14ac:dyDescent="0.25">
      <c r="C60">
        <v>2019</v>
      </c>
      <c r="D60" s="111">
        <f t="shared" si="0"/>
        <v>39473.684210526313</v>
      </c>
      <c r="E60" s="111">
        <f t="shared" si="0"/>
        <v>18315.78947368421</v>
      </c>
      <c r="F60" s="111">
        <f t="shared" si="0"/>
        <v>54880</v>
      </c>
      <c r="G60" s="111">
        <f t="shared" si="0"/>
        <v>22866.666666666664</v>
      </c>
      <c r="H60" s="111">
        <f t="shared" si="0"/>
        <v>22941.176470588234</v>
      </c>
      <c r="I60" s="111">
        <f t="shared" si="0"/>
        <v>17647.058823529413</v>
      </c>
      <c r="J60" s="111">
        <f t="shared" si="0"/>
        <v>7470000</v>
      </c>
      <c r="K60" s="111">
        <f>'Av 2019'!Z237</f>
        <v>3398.75</v>
      </c>
      <c r="L60" s="111">
        <f>'Av 2019'!Y237</f>
        <v>114.58333333333334</v>
      </c>
      <c r="M60" s="111">
        <f>'Av 2019'!T250*1.5</f>
        <v>25.714285714285715</v>
      </c>
      <c r="N60" s="111">
        <f>'Av 2019'!J250</f>
        <v>21</v>
      </c>
      <c r="O60" s="111">
        <f>'Av 2019'!K249</f>
        <v>8</v>
      </c>
      <c r="P60" s="111">
        <f t="shared" si="1"/>
        <v>30555.555555555555</v>
      </c>
      <c r="Q60" s="111">
        <f t="shared" si="1"/>
        <v>13749.999999999998</v>
      </c>
      <c r="R60" s="111">
        <f t="shared" si="1"/>
        <v>34500</v>
      </c>
      <c r="S60" s="111">
        <f t="shared" si="1"/>
        <v>697777.77777777787</v>
      </c>
      <c r="T60" s="111">
        <f t="shared" si="1"/>
        <v>22222.222222222223</v>
      </c>
      <c r="U60" s="111">
        <f t="shared" si="1"/>
        <v>20370.370370370372</v>
      </c>
      <c r="V60" s="111">
        <f>'Av 2017'!S252</f>
        <v>0</v>
      </c>
      <c r="W60" s="111">
        <f t="shared" si="2"/>
        <v>6349.2063492063489</v>
      </c>
      <c r="X60" s="111">
        <f t="shared" si="2"/>
        <v>11363.636363636362</v>
      </c>
      <c r="Y60" s="111">
        <f t="shared" si="2"/>
        <v>277.77777777777777</v>
      </c>
      <c r="Z60" s="111">
        <f t="shared" si="2"/>
        <v>763.8888888888888</v>
      </c>
      <c r="AA60" s="111">
        <f t="shared" si="2"/>
        <v>47619.047619047618</v>
      </c>
      <c r="AB60" s="111">
        <f t="shared" si="2"/>
        <v>176124.37564499484</v>
      </c>
      <c r="AC60" s="111">
        <f t="shared" si="2"/>
        <v>885549.48292448302</v>
      </c>
      <c r="AD60" s="111"/>
      <c r="AE60" s="111">
        <f t="shared" si="3"/>
        <v>1061673.8585694777</v>
      </c>
      <c r="AF60" s="111"/>
    </row>
    <row r="61" spans="1:32" x14ac:dyDescent="0.25">
      <c r="C61">
        <v>2020</v>
      </c>
      <c r="D61" s="111">
        <f t="shared" ref="D61:J62" si="4">D46*D14</f>
        <v>38000</v>
      </c>
      <c r="E61" s="111">
        <f t="shared" si="4"/>
        <v>17399.999999999996</v>
      </c>
      <c r="F61" s="111">
        <f t="shared" si="4"/>
        <v>54880</v>
      </c>
      <c r="G61" s="111">
        <f t="shared" si="4"/>
        <v>22866.666666666664</v>
      </c>
      <c r="H61" s="111">
        <f t="shared" si="4"/>
        <v>22941.176470588234</v>
      </c>
      <c r="I61" s="111">
        <f t="shared" si="4"/>
        <v>17647.058823529413</v>
      </c>
      <c r="J61" s="111">
        <f t="shared" si="4"/>
        <v>7277500</v>
      </c>
      <c r="K61" s="111">
        <f>'Av 2020'!Z237</f>
        <v>2741.1428571428573</v>
      </c>
      <c r="L61" s="111">
        <f>'Av 2020'!Y237</f>
        <v>437.5</v>
      </c>
      <c r="M61" s="111">
        <f>'Av 2019'!T251*1.5</f>
        <v>0</v>
      </c>
      <c r="N61" s="111">
        <f>'Av 2019'!J251</f>
        <v>0</v>
      </c>
      <c r="O61" s="111">
        <f>'Av 2019'!K250</f>
        <v>4.2222222222222223</v>
      </c>
      <c r="P61" s="111">
        <f t="shared" ref="P61:U62" si="5">P46*P14</f>
        <v>33333.333333333336</v>
      </c>
      <c r="Q61" s="111">
        <f t="shared" si="5"/>
        <v>15125</v>
      </c>
      <c r="R61" s="111">
        <f t="shared" si="5"/>
        <v>44850</v>
      </c>
      <c r="S61" s="111">
        <f t="shared" si="5"/>
        <v>800000.00000000012</v>
      </c>
      <c r="T61" s="111">
        <f t="shared" si="5"/>
        <v>31746.031746031746</v>
      </c>
      <c r="U61" s="111">
        <f t="shared" si="5"/>
        <v>25925.925925925923</v>
      </c>
      <c r="V61" s="111">
        <f>'Av 2017'!S253</f>
        <v>0</v>
      </c>
      <c r="W61" s="111">
        <f>W46*W14</f>
        <v>7407.4074074074078</v>
      </c>
      <c r="X61" s="111">
        <f t="shared" ref="W61:AC62" si="6">X46*X14</f>
        <v>16666.666666666668</v>
      </c>
      <c r="Y61" s="111">
        <f t="shared" si="6"/>
        <v>277.77777777777777</v>
      </c>
      <c r="Z61" s="111">
        <f t="shared" si="6"/>
        <v>763.8888888888888</v>
      </c>
      <c r="AA61" s="111">
        <f t="shared" si="6"/>
        <v>47619.047619047618</v>
      </c>
      <c r="AB61" s="111">
        <f t="shared" si="6"/>
        <v>173734.90196078431</v>
      </c>
      <c r="AC61" s="111">
        <f t="shared" si="6"/>
        <v>1023715.0793650794</v>
      </c>
      <c r="AD61" s="111"/>
      <c r="AE61" s="111">
        <f t="shared" ref="AE61:AE62" si="7">AE46*AE14</f>
        <v>1197449.9813258636</v>
      </c>
      <c r="AF61" s="111"/>
    </row>
    <row r="62" spans="1:32" x14ac:dyDescent="0.25">
      <c r="A62" s="283"/>
      <c r="B62" s="283"/>
      <c r="C62">
        <v>2021</v>
      </c>
      <c r="D62" s="111">
        <f>D47*D15</f>
        <v>40000</v>
      </c>
      <c r="E62" s="111">
        <f t="shared" si="4"/>
        <v>18315.78947368421</v>
      </c>
      <c r="F62" s="111">
        <f t="shared" si="4"/>
        <v>60977.777777777759</v>
      </c>
      <c r="G62" s="111">
        <f t="shared" si="4"/>
        <v>22866.666666666664</v>
      </c>
      <c r="H62" s="111">
        <f t="shared" si="4"/>
        <v>22941.176470588234</v>
      </c>
      <c r="I62" s="111">
        <f t="shared" si="4"/>
        <v>17647.058823529413</v>
      </c>
      <c r="J62" s="111">
        <f t="shared" si="4"/>
        <v>7455000</v>
      </c>
      <c r="K62" s="111">
        <f>'Av 2020'!Z238</f>
        <v>24.801587301587301</v>
      </c>
      <c r="L62" s="111">
        <f>'Av 2020'!Y238</f>
        <v>0</v>
      </c>
      <c r="M62" s="111">
        <f>'Av 2019'!T252*1.5</f>
        <v>0</v>
      </c>
      <c r="N62" s="111">
        <f>'Av 2019'!J252</f>
        <v>114.58333333333334</v>
      </c>
      <c r="O62" s="111">
        <f>'Av 2019'!K251</f>
        <v>0</v>
      </c>
      <c r="P62" s="111">
        <f t="shared" si="5"/>
        <v>55555.555555555555</v>
      </c>
      <c r="Q62" s="111">
        <f t="shared" si="5"/>
        <v>15125</v>
      </c>
      <c r="R62" s="111">
        <f t="shared" si="5"/>
        <v>44850</v>
      </c>
      <c r="S62" s="111">
        <f t="shared" si="5"/>
        <v>805555.5555555555</v>
      </c>
      <c r="T62" s="111">
        <f t="shared" si="5"/>
        <v>39682.539682539675</v>
      </c>
      <c r="U62" s="111">
        <f t="shared" si="5"/>
        <v>29629.629629629631</v>
      </c>
      <c r="V62" s="111">
        <f>'Av 2017'!S254</f>
        <v>0</v>
      </c>
      <c r="W62" s="111">
        <f t="shared" si="6"/>
        <v>7407.4074074074078</v>
      </c>
      <c r="X62" s="111">
        <f t="shared" si="6"/>
        <v>16666.666666666668</v>
      </c>
      <c r="Y62" s="111">
        <f t="shared" si="6"/>
        <v>277.77777777777777</v>
      </c>
      <c r="Z62" s="111">
        <f t="shared" si="6"/>
        <v>763.8888888888888</v>
      </c>
      <c r="AA62" s="111">
        <f t="shared" si="6"/>
        <v>33333.333333333336</v>
      </c>
      <c r="AB62" s="111">
        <f t="shared" si="6"/>
        <v>182748.46921224633</v>
      </c>
      <c r="AC62" s="111">
        <f t="shared" si="6"/>
        <v>1048847.3544973545</v>
      </c>
      <c r="AD62" s="111"/>
      <c r="AE62" s="111">
        <f t="shared" si="7"/>
        <v>1231595.8237096008</v>
      </c>
      <c r="AF62" s="284" t="s">
        <v>459</v>
      </c>
    </row>
    <row r="63" spans="1:32" x14ac:dyDescent="0.25"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</row>
    <row r="64" spans="1:32" x14ac:dyDescent="0.25"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</row>
    <row r="66" spans="2:32" x14ac:dyDescent="0.25">
      <c r="B66" t="s">
        <v>149</v>
      </c>
      <c r="C66">
        <v>2012</v>
      </c>
      <c r="D66" s="111">
        <f>'Av 2012'!F235</f>
        <v>60.944444444444443</v>
      </c>
      <c r="E66" s="111">
        <f>'Av 2012'!G235</f>
        <v>16.333333333333332</v>
      </c>
      <c r="F66" s="111">
        <f>'Av 2012'!H235</f>
        <v>43.058823529411768</v>
      </c>
      <c r="G66" s="111">
        <f>'Av 2012'!I235</f>
        <v>17.294117647058822</v>
      </c>
      <c r="H66" s="111">
        <f>'Av 2012'!J235</f>
        <v>8.0588235294117645</v>
      </c>
      <c r="I66" s="111">
        <f>'Av 2012'!K235</f>
        <v>3.5294117647058822</v>
      </c>
      <c r="J66" s="111">
        <f>'Av 2012'!L237</f>
        <v>5208.3333333333339</v>
      </c>
      <c r="P66" s="111">
        <f>'Av 2012'!M235</f>
        <v>7.0777777777777775</v>
      </c>
      <c r="Q66" s="110">
        <f>'Av 2012'!N235</f>
        <v>0.69374999999999998</v>
      </c>
      <c r="R66" s="110">
        <f>'Av 2012'!O235</f>
        <v>4.6500000000000004</v>
      </c>
      <c r="S66" s="110">
        <f>'Av 2012'!P235</f>
        <v>12.055555555555555</v>
      </c>
      <c r="T66" s="111">
        <f>'Av 2012'!Q235</f>
        <v>0.10101010101010099</v>
      </c>
      <c r="U66" s="111">
        <f>'Av 2012'!R235</f>
        <v>0.35555555555555557</v>
      </c>
      <c r="W66" s="111">
        <f>'Av 2012'!T235</f>
        <v>0.35555555555555557</v>
      </c>
      <c r="X66" s="111">
        <f>'Av 2012'!U235</f>
        <v>1.7777777777777777</v>
      </c>
      <c r="Y66" s="111">
        <f>'Av 2012'!V235</f>
        <v>0.27777777777777779</v>
      </c>
      <c r="Z66" s="111">
        <f>'Av 2012'!W235</f>
        <v>5.9259259259259265</v>
      </c>
      <c r="AA66" s="111">
        <f>'Av 2012'!X235</f>
        <v>4.4444444444444446</v>
      </c>
      <c r="AB66" s="111">
        <f>'Av 2012'!Y235</f>
        <v>149.218954248366</v>
      </c>
      <c r="AC66" s="111">
        <f>'Av 2012'!Z235</f>
        <v>37.715130471380469</v>
      </c>
      <c r="AD66" s="111"/>
      <c r="AE66" s="111">
        <f>'Av 2012'!AA235</f>
        <v>186.93408471974647</v>
      </c>
    </row>
    <row r="67" spans="2:32" x14ac:dyDescent="0.25">
      <c r="C67">
        <v>2013</v>
      </c>
      <c r="D67" s="111">
        <f>'Av 2013'!F235</f>
        <v>57.222222222222221</v>
      </c>
      <c r="E67" s="111">
        <f>'Av 2013'!G235</f>
        <v>25.333333333333332</v>
      </c>
      <c r="F67" s="111">
        <f>'Av 2013'!H235</f>
        <v>50</v>
      </c>
      <c r="G67" s="111">
        <f>'Av 2013'!I235</f>
        <v>17.294117647058822</v>
      </c>
      <c r="H67" s="111">
        <f>'Av 2013'!J235</f>
        <v>10.352941176470589</v>
      </c>
      <c r="I67" s="111">
        <f>'Av 2013'!K235</f>
        <v>4.117647058823529</v>
      </c>
      <c r="J67" s="111">
        <f>'Av 2013'!L237</f>
        <v>5722.2222222222226</v>
      </c>
      <c r="P67" s="111">
        <f>'Av 2013'!M235</f>
        <v>10</v>
      </c>
      <c r="Q67" s="110">
        <f>'Av 2013'!N235</f>
        <v>1.375</v>
      </c>
      <c r="R67" s="110">
        <f>'Av 2013'!O235</f>
        <v>4.4266666666666667</v>
      </c>
      <c r="S67" s="110">
        <f>'Av 2013'!P235</f>
        <v>23.516666666666666</v>
      </c>
      <c r="T67" s="111">
        <f>'Av 2013'!Q235</f>
        <v>0.44444444444444442</v>
      </c>
      <c r="U67" s="111">
        <f>'Av 2013'!R235</f>
        <v>1.3605442176870748</v>
      </c>
      <c r="W67" s="111">
        <f>'Av 2013'!T235</f>
        <v>0.88888888888888884</v>
      </c>
      <c r="X67" s="111">
        <f>'Av 2013'!U235</f>
        <v>2.6666666666666665</v>
      </c>
      <c r="Y67" s="111">
        <f>'Av 2013'!V235</f>
        <v>0.27777777777777779</v>
      </c>
      <c r="Z67" s="111">
        <f>'Av 2013'!W235</f>
        <v>6.2037037037037042</v>
      </c>
      <c r="AA67" s="111">
        <f>'Av 2013'!X235</f>
        <v>2.2222222222222223</v>
      </c>
      <c r="AB67" s="111">
        <f>'Av 2013'!Y235</f>
        <v>164.32026143790847</v>
      </c>
      <c r="AC67" s="111">
        <f>'Av 2013'!Z235</f>
        <v>53.382581254724101</v>
      </c>
      <c r="AD67" s="111"/>
      <c r="AE67" s="111">
        <f>'Av 2013'!AA235</f>
        <v>217.70284269263257</v>
      </c>
    </row>
    <row r="68" spans="2:32" x14ac:dyDescent="0.25">
      <c r="C68">
        <v>2014</v>
      </c>
      <c r="D68" s="111">
        <f>'Av 2014'!F235</f>
        <v>50</v>
      </c>
      <c r="E68" s="111">
        <f>'Av 2014'!G235</f>
        <v>30.303030303030301</v>
      </c>
      <c r="F68" s="111">
        <f>'Av 2014'!H235</f>
        <v>55.647058823529406</v>
      </c>
      <c r="G68" s="111">
        <f>'Av 2014'!I235</f>
        <v>17.294117647058822</v>
      </c>
      <c r="H68" s="111">
        <f>'Av 2014'!J235</f>
        <v>10.882352941176471</v>
      </c>
      <c r="I68" s="111">
        <f>'Av 2014'!K235</f>
        <v>4.7058823529411766</v>
      </c>
      <c r="J68" s="111">
        <f>'Av 2014'!L237</f>
        <v>5555.5555555555557</v>
      </c>
      <c r="P68" s="111">
        <f>'Av 2014'!M235</f>
        <v>11.111111111111111</v>
      </c>
      <c r="Q68" s="110">
        <f>'Av 2014'!N235</f>
        <v>2.375</v>
      </c>
      <c r="R68" s="110">
        <f>'Av 2014'!O235</f>
        <v>6.6400000000000006</v>
      </c>
      <c r="S68" s="110">
        <f>'Av 2014'!P235</f>
        <v>36.74133333333333</v>
      </c>
      <c r="T68" s="111">
        <f>'Av 2014'!Q235</f>
        <v>1.1111111111111112</v>
      </c>
      <c r="U68" s="111">
        <f>'Av 2014'!R235</f>
        <v>4.6296296296296298</v>
      </c>
      <c r="W68" s="111">
        <f>'Av 2014'!T235</f>
        <v>1.1111111111111112</v>
      </c>
      <c r="X68" s="111">
        <f>'Av 2014'!U235</f>
        <v>3.7777777777777777</v>
      </c>
      <c r="Y68" s="111">
        <f>'Av 2014'!V235</f>
        <v>0.27777777777777779</v>
      </c>
      <c r="Z68" s="111">
        <f>'Av 2014'!W235</f>
        <v>7.4074074074074083</v>
      </c>
      <c r="AA68" s="111">
        <f>'Av 2014'!X235</f>
        <v>2.2222222222222223</v>
      </c>
      <c r="AB68" s="111">
        <f>'Av 2014'!Y235</f>
        <v>168.83244206773617</v>
      </c>
      <c r="AC68" s="111">
        <f>'Av 2014'!Z235</f>
        <v>77.404481481481483</v>
      </c>
      <c r="AD68" s="111"/>
      <c r="AE68" s="111">
        <f>'Av 2014'!AA235</f>
        <v>246.23692354921764</v>
      </c>
    </row>
    <row r="69" spans="2:32" x14ac:dyDescent="0.25">
      <c r="C69">
        <v>2015</v>
      </c>
      <c r="D69" s="111">
        <f>'Av 2015'!F235</f>
        <v>47.777777777777779</v>
      </c>
      <c r="E69" s="111">
        <f>'Av 2015'!G235</f>
        <v>31.111111111111118</v>
      </c>
      <c r="F69" s="111">
        <f>'Av 2015'!H235</f>
        <v>60</v>
      </c>
      <c r="G69" s="111">
        <f>'Av 2015'!I235</f>
        <v>17.294117647058822</v>
      </c>
      <c r="H69" s="111">
        <f>'Av 2015'!J235</f>
        <v>10.941176470588236</v>
      </c>
      <c r="I69" s="111">
        <f>'Av 2015'!K235</f>
        <v>4.7058823529411766</v>
      </c>
      <c r="J69" s="111">
        <f>'Av 2015'!L237</f>
        <v>5882.3529411764703</v>
      </c>
      <c r="P69" s="111">
        <f>'Av 2015'!M235</f>
        <v>21.947873799725649</v>
      </c>
      <c r="Q69" s="110">
        <f>'Av 2015'!N235</f>
        <v>9</v>
      </c>
      <c r="R69" s="110">
        <f>'Av 2015'!O235</f>
        <v>11.111111111111111</v>
      </c>
      <c r="S69" s="110">
        <f>'Av 2015'!P235</f>
        <v>111.11111111111111</v>
      </c>
      <c r="T69" s="111">
        <f>'Av 2015'!Q235</f>
        <v>1.6666666666666667</v>
      </c>
      <c r="U69" s="111">
        <f>'Av 2015'!R235</f>
        <v>5.4347826086956523</v>
      </c>
      <c r="W69" s="111">
        <f>'Av 2015'!T235</f>
        <v>2.0833333333333335</v>
      </c>
      <c r="X69" s="111">
        <f>'Av 2015'!U235</f>
        <v>4.6296296296296298</v>
      </c>
      <c r="Y69" s="111">
        <f>'Av 2015'!V235</f>
        <v>0.27777777777777779</v>
      </c>
      <c r="Z69" s="111">
        <f>'Av 2015'!W235</f>
        <v>6.4814814814814818</v>
      </c>
      <c r="AA69" s="111">
        <f>'Av 2015'!X235</f>
        <v>55.555555555555557</v>
      </c>
      <c r="AB69" s="111">
        <f>'Av 2015'!Y235</f>
        <v>171.83006535947715</v>
      </c>
      <c r="AC69" s="111">
        <f>'Av 2015'!Z235</f>
        <v>229.29932307508795</v>
      </c>
      <c r="AD69" s="111"/>
      <c r="AE69" s="111">
        <f>'Av 2015'!AA235</f>
        <v>401.1293884345651</v>
      </c>
    </row>
    <row r="70" spans="2:32" x14ac:dyDescent="0.25">
      <c r="C70">
        <v>2016</v>
      </c>
      <c r="D70" s="111">
        <f>'Av 2016'!F235</f>
        <v>47.777777777777779</v>
      </c>
      <c r="E70" s="111">
        <f>'Av 2016'!G235</f>
        <v>27.777777777777779</v>
      </c>
      <c r="F70" s="111">
        <f>'Av 2016'!H235</f>
        <v>62.941176470588246</v>
      </c>
      <c r="G70" s="111">
        <f>'Av 2016'!I235</f>
        <v>17.294117647058822</v>
      </c>
      <c r="H70" s="111">
        <f>'Av 2016'!J235</f>
        <v>11.764705882352942</v>
      </c>
      <c r="I70" s="111">
        <f>'Av 2016'!K235</f>
        <v>4.7058823529411766</v>
      </c>
      <c r="J70" s="111">
        <f>'Av 2016'!L237</f>
        <v>6562.5</v>
      </c>
      <c r="P70" s="111">
        <f>'Av 2016'!M235</f>
        <v>23.045267489711932</v>
      </c>
      <c r="Q70" s="110">
        <f>'Av 2016'!N235</f>
        <v>9.375</v>
      </c>
      <c r="R70" s="110">
        <f>'Av 2016'!O235</f>
        <v>16.666666666666668</v>
      </c>
      <c r="S70" s="110">
        <f>'Av 2016'!P235</f>
        <v>188.88888888888889</v>
      </c>
      <c r="T70" s="111">
        <f>'Av 2016'!Q235</f>
        <v>6.1111111111111107</v>
      </c>
      <c r="U70" s="111">
        <f>'Av 2016'!R235</f>
        <v>6.3657407407407414</v>
      </c>
      <c r="W70" s="111">
        <f>'Av 2016'!T235</f>
        <v>3.7037037037037042</v>
      </c>
      <c r="X70" s="111">
        <f>'Av 2016'!U235</f>
        <v>5.7870370370370372</v>
      </c>
      <c r="Y70" s="111">
        <f>'Av 2016'!V235</f>
        <v>0.27777777777777779</v>
      </c>
      <c r="Z70" s="111">
        <f>'Av 2016'!W235</f>
        <v>6.4814814814814818</v>
      </c>
      <c r="AA70" s="111">
        <f>'Av 2016'!X235</f>
        <v>27.777777777777779</v>
      </c>
      <c r="AB70" s="111">
        <f>'Av 2016'!Y235</f>
        <v>172.26143790849673</v>
      </c>
      <c r="AC70" s="111">
        <f>'Av 2016'!Z235</f>
        <v>294.48045267489704</v>
      </c>
      <c r="AD70" s="111"/>
      <c r="AE70" s="111">
        <f>'Av 2016'!AA235</f>
        <v>466.7418905833938</v>
      </c>
    </row>
    <row r="71" spans="2:32" x14ac:dyDescent="0.25">
      <c r="C71">
        <v>2017</v>
      </c>
      <c r="D71" s="111">
        <f>'Av 2017'!F235</f>
        <v>47.51951951951952</v>
      </c>
      <c r="E71" s="111">
        <f>'Av 2017'!G235</f>
        <v>24.324324324324323</v>
      </c>
      <c r="F71" s="111">
        <f>'Av 2017'!H235</f>
        <v>64.658823529411762</v>
      </c>
      <c r="G71" s="111">
        <f>'Av 2017'!I235</f>
        <v>17.294117647058822</v>
      </c>
      <c r="H71" s="111">
        <f>'Av 2017'!J235</f>
        <v>16.470588235294116</v>
      </c>
      <c r="I71" s="111">
        <f>'Av 2017'!K235</f>
        <v>4.7058823529411766</v>
      </c>
      <c r="J71" s="111">
        <f>'Av 2017'!L237</f>
        <v>7500</v>
      </c>
      <c r="P71" s="111">
        <f>'Av 2017'!M235</f>
        <v>25</v>
      </c>
      <c r="Q71" s="110">
        <f>'Av 2017'!N235</f>
        <v>13.75</v>
      </c>
      <c r="R71" s="110">
        <f>'Av 2017'!O235</f>
        <v>30</v>
      </c>
      <c r="S71" s="110">
        <f>'Av 2017'!P235</f>
        <v>250</v>
      </c>
      <c r="T71" s="111">
        <f>'Av 2017'!Q235</f>
        <v>14.814814814814817</v>
      </c>
      <c r="U71" s="111">
        <f>'Av 2017'!R235</f>
        <v>9.5238095238095255</v>
      </c>
      <c r="W71" s="111">
        <f>'Av 2017'!T235</f>
        <v>5.833333333333333</v>
      </c>
      <c r="X71" s="111">
        <f>'Av 2017'!U235</f>
        <v>12.5</v>
      </c>
      <c r="Y71" s="111">
        <f>'Av 2017'!V235</f>
        <v>0.27777777777777779</v>
      </c>
      <c r="Z71" s="111">
        <f>'Av 2017'!W235</f>
        <v>4.8611111111111107</v>
      </c>
      <c r="AA71" s="111">
        <f>'Av 2017'!X235</f>
        <v>27.777777777777779</v>
      </c>
      <c r="AB71" s="111">
        <f>'Av 2017'!Y235</f>
        <v>174.97325560854972</v>
      </c>
      <c r="AC71" s="111">
        <f>'Av 2017'!Z235</f>
        <v>394.3386243386243</v>
      </c>
      <c r="AD71" s="111"/>
      <c r="AE71" s="111">
        <f>'Av 2017'!AA235</f>
        <v>569.31187994717402</v>
      </c>
    </row>
    <row r="72" spans="2:32" x14ac:dyDescent="0.25">
      <c r="C72">
        <v>2018</v>
      </c>
      <c r="D72" s="111">
        <f>'Av 2018'!F235</f>
        <v>44.444444444444443</v>
      </c>
      <c r="E72" s="111">
        <f>'Av 2018'!G235</f>
        <v>19.333333333333332</v>
      </c>
      <c r="F72" s="111">
        <f>'Av 2018'!H235</f>
        <v>64.564705882352939</v>
      </c>
      <c r="G72" s="111">
        <f>'Av 2018'!I235</f>
        <v>20.752941176470589</v>
      </c>
      <c r="H72" s="111">
        <f>'Av 2018'!J235</f>
        <v>16.058823529411764</v>
      </c>
      <c r="I72" s="111">
        <f>'Av 2018'!K235</f>
        <v>9.4117647058823533</v>
      </c>
      <c r="J72" s="111">
        <f>'Av 2018'!L237</f>
        <v>6805.5555555555566</v>
      </c>
      <c r="P72" s="111">
        <f>'Av 2018'!M235</f>
        <v>27.777777777777779</v>
      </c>
      <c r="Q72" s="110">
        <f>'Av 2018'!N235</f>
        <v>13.75</v>
      </c>
      <c r="R72" s="110">
        <f>'Av 2018'!O235</f>
        <v>36</v>
      </c>
      <c r="S72" s="110">
        <f>'Av 2018'!P235</f>
        <v>500</v>
      </c>
      <c r="T72" s="111">
        <f>'Av 2018'!Q235</f>
        <v>18.518518518518519</v>
      </c>
      <c r="U72" s="111">
        <f>'Av 2018'!R235</f>
        <v>14.285714285714286</v>
      </c>
      <c r="W72" s="111">
        <f>'Av 2018'!T235</f>
        <v>2.5</v>
      </c>
      <c r="X72" s="111">
        <f>'Av 2018'!U235</f>
        <v>10.416666666666666</v>
      </c>
      <c r="Y72" s="111">
        <f>'Av 2018'!V235</f>
        <v>0.27777777777777779</v>
      </c>
      <c r="Z72" s="111">
        <f>'Av 2018'!W235</f>
        <v>0.76388888888888884</v>
      </c>
      <c r="AA72" s="111">
        <f>'Av 2018'!X235</f>
        <v>39.682539682539684</v>
      </c>
      <c r="AB72" s="111">
        <f>'Av 2018'!Y235</f>
        <v>174.56601307189541</v>
      </c>
      <c r="AC72" s="111">
        <f>'Av 2018'!Z235</f>
        <v>663.97288359788365</v>
      </c>
      <c r="AD72" s="111"/>
      <c r="AE72" s="111">
        <f>'Av 2018'!AA235</f>
        <v>838.53889666977909</v>
      </c>
    </row>
    <row r="73" spans="2:32" x14ac:dyDescent="0.25">
      <c r="C73">
        <v>2019</v>
      </c>
      <c r="D73" s="111">
        <f>'Av 2019'!F235</f>
        <v>39.473684210526315</v>
      </c>
      <c r="E73" s="111">
        <f>'Av 2019'!G235</f>
        <v>18.315789473684209</v>
      </c>
      <c r="F73" s="111">
        <f>'Av 2019'!H235</f>
        <v>54.879999999999995</v>
      </c>
      <c r="G73" s="111">
        <f>'Av 2019'!I235</f>
        <v>22.866666666666667</v>
      </c>
      <c r="H73" s="111">
        <f>'Av 2019'!J235</f>
        <v>22.941176470588236</v>
      </c>
      <c r="I73" s="111">
        <f>'Av 2019'!K235</f>
        <v>17.647058823529413</v>
      </c>
      <c r="J73" s="111">
        <f>'Av 2019'!L237</f>
        <v>7470</v>
      </c>
      <c r="P73" s="111">
        <f>'Av 2019'!M235</f>
        <v>30.555555555555557</v>
      </c>
      <c r="Q73" s="110">
        <f>'Av 2019'!N235</f>
        <v>13.75</v>
      </c>
      <c r="R73" s="110">
        <f>'Av 2019'!O235</f>
        <v>34.5</v>
      </c>
      <c r="S73" s="110">
        <f>'Av 2019'!P235</f>
        <v>697.77777777777783</v>
      </c>
      <c r="T73" s="111">
        <f>'Av 2019'!Q235</f>
        <v>22.222222222222221</v>
      </c>
      <c r="U73" s="111">
        <f>'Av 2019'!R235</f>
        <v>20.370370370370374</v>
      </c>
      <c r="W73" s="111">
        <f>'Av 2019'!T235</f>
        <v>6.3492063492063497</v>
      </c>
      <c r="X73" s="111">
        <f>'Av 2019'!U235</f>
        <v>11.363636363636363</v>
      </c>
      <c r="Y73" s="111">
        <f>'Av 2019'!V235</f>
        <v>0.27777777777777779</v>
      </c>
      <c r="Z73" s="111">
        <f>'Av 2019'!W235</f>
        <v>0.76388888888888884</v>
      </c>
      <c r="AA73" s="111">
        <f>'Av 2019'!X235</f>
        <v>47.619047619047628</v>
      </c>
      <c r="AB73" s="111">
        <f>'Av 2019'!Y235</f>
        <v>176.12437564499484</v>
      </c>
      <c r="AC73" s="111">
        <f>'Av 2019'!Z235</f>
        <v>885.54948292448296</v>
      </c>
      <c r="AD73" s="111"/>
      <c r="AE73" s="111">
        <f>'Av 2019'!AA235</f>
        <v>1061.6738585694777</v>
      </c>
    </row>
    <row r="74" spans="2:32" x14ac:dyDescent="0.25">
      <c r="C74">
        <v>2020</v>
      </c>
      <c r="D74" s="111">
        <f>'Av 2020'!F235</f>
        <v>38</v>
      </c>
      <c r="E74" s="111">
        <f>'Av 2020'!G235</f>
        <v>17.399999999999999</v>
      </c>
      <c r="F74" s="111">
        <f>'Av 2020'!H235</f>
        <v>54.879999999999995</v>
      </c>
      <c r="G74" s="111">
        <f>'Av 2020'!I235</f>
        <v>22.866666666666667</v>
      </c>
      <c r="H74" s="111">
        <f>'Av 2020'!J235</f>
        <v>22.941176470588236</v>
      </c>
      <c r="I74" s="111">
        <f>'Av 2020'!K235</f>
        <v>17.647058823529413</v>
      </c>
      <c r="J74" s="111">
        <f>'Av 2020'!L237</f>
        <v>7277.5</v>
      </c>
      <c r="P74" s="111">
        <f>'Av 2020'!M235</f>
        <v>33.333333333333336</v>
      </c>
      <c r="Q74" s="110">
        <f>'Av 2020'!N235</f>
        <v>15.125</v>
      </c>
      <c r="R74" s="110">
        <f>'Av 2020'!O235</f>
        <v>44.85</v>
      </c>
      <c r="S74" s="110">
        <f>'Av 2020'!P235</f>
        <v>800</v>
      </c>
      <c r="T74" s="111">
        <f>'Av 2020'!Q235</f>
        <v>31.746031746031743</v>
      </c>
      <c r="U74" s="111">
        <f>'Av 2020'!R235</f>
        <v>25.925925925925927</v>
      </c>
      <c r="W74" s="111">
        <f>'Av 2020'!T235</f>
        <v>7.4074074074074083</v>
      </c>
      <c r="X74" s="111">
        <f>'Av 2020'!U235</f>
        <v>16.666666666666668</v>
      </c>
      <c r="Y74" s="111">
        <f>'Av 2020'!V235</f>
        <v>0.27777777777777779</v>
      </c>
      <c r="Z74" s="111">
        <f>'Av 2020'!W235</f>
        <v>0.76388888888888884</v>
      </c>
      <c r="AA74" s="111">
        <f>'Av 2020'!X235</f>
        <v>47.619047619047628</v>
      </c>
      <c r="AB74" s="111">
        <f>'Av 2020'!Y235</f>
        <v>173.73490196078433</v>
      </c>
      <c r="AC74" s="111">
        <f>'Av 2020'!Z235</f>
        <v>1023.7150793650794</v>
      </c>
      <c r="AD74" s="111"/>
      <c r="AE74" s="111">
        <f>'Av 2020'!AA235</f>
        <v>1197.4499813258637</v>
      </c>
    </row>
    <row r="75" spans="2:32" x14ac:dyDescent="0.25">
      <c r="C75" s="283">
        <v>2021</v>
      </c>
      <c r="D75" s="111">
        <f>'Av 2021'!F235</f>
        <v>40</v>
      </c>
      <c r="E75" s="111">
        <f>'Av 2021'!G235</f>
        <v>18.315789473684209</v>
      </c>
      <c r="F75" s="111">
        <f>'Av 2021'!H235</f>
        <v>60.977777777777767</v>
      </c>
      <c r="G75" s="111">
        <f>'Av 2021'!I235</f>
        <v>22.866666666666667</v>
      </c>
      <c r="H75" s="111">
        <f>'Av 2021'!J235</f>
        <v>22.941176470588236</v>
      </c>
      <c r="I75" s="111">
        <f>'Av 2021'!K235</f>
        <v>17.647058823529413</v>
      </c>
      <c r="J75" s="111">
        <f>'Av 2021'!L237</f>
        <v>7455</v>
      </c>
      <c r="P75" s="111">
        <f>'Av 2021'!M235</f>
        <v>55.555555555555557</v>
      </c>
      <c r="Q75" s="111">
        <f>'Av 2021'!N235</f>
        <v>15.125</v>
      </c>
      <c r="R75" s="111">
        <f>'Av 2021'!O235</f>
        <v>44.85</v>
      </c>
      <c r="S75" s="111">
        <f>'Av 2021'!P235</f>
        <v>805.55555555555554</v>
      </c>
      <c r="T75" s="111">
        <f>'Av 2021'!Q235</f>
        <v>39.682539682539677</v>
      </c>
      <c r="U75" s="111">
        <f>'Av 2021'!R235</f>
        <v>29.629629629629633</v>
      </c>
      <c r="V75" s="111"/>
      <c r="W75" s="111">
        <f>'Av 2021'!T235</f>
        <v>7.4074074074074083</v>
      </c>
      <c r="X75" s="111">
        <f>'Av 2021'!U235</f>
        <v>16.666666666666668</v>
      </c>
      <c r="Y75" s="111">
        <f>'Av 2021'!V235</f>
        <v>0.27777777777777779</v>
      </c>
      <c r="Z75" s="111">
        <f>'Av 2021'!W235</f>
        <v>0.76388888888888884</v>
      </c>
      <c r="AA75" s="111">
        <f>'Av 2021'!X235</f>
        <v>33.333333333333336</v>
      </c>
      <c r="AB75" s="111">
        <f>'Av 2021'!Y235</f>
        <v>182.74846921224631</v>
      </c>
      <c r="AC75" s="111">
        <f>'Av 2021'!Z235</f>
        <v>1048.8473544973544</v>
      </c>
      <c r="AD75" s="111"/>
      <c r="AE75" s="111">
        <f>'Av 2021'!AA235</f>
        <v>1231.5958237096008</v>
      </c>
      <c r="AF75" s="283" t="s">
        <v>460</v>
      </c>
    </row>
    <row r="76" spans="2:32" x14ac:dyDescent="0.25">
      <c r="D76" s="111"/>
      <c r="E76" s="111"/>
      <c r="F76" s="111"/>
      <c r="G76" s="111"/>
      <c r="H76" s="111"/>
      <c r="I76" s="111"/>
      <c r="J76" s="111"/>
      <c r="K76" s="283"/>
      <c r="P76" s="111"/>
      <c r="Q76" s="110"/>
      <c r="R76" s="110"/>
      <c r="S76" s="110"/>
      <c r="T76" s="111"/>
      <c r="U76" s="111"/>
      <c r="W76" s="111"/>
      <c r="X76" s="111"/>
      <c r="Y76" s="111"/>
      <c r="Z76" s="111"/>
      <c r="AA76" s="111"/>
      <c r="AB76" s="111"/>
      <c r="AC76" s="111"/>
      <c r="AD76" s="111"/>
      <c r="AE76" s="111"/>
    </row>
    <row r="77" spans="2:32" x14ac:dyDescent="0.25">
      <c r="D77" s="111"/>
      <c r="E77" s="111"/>
      <c r="F77" s="111"/>
      <c r="G77" s="111"/>
      <c r="H77" s="111"/>
      <c r="I77" s="111"/>
      <c r="J77" s="111"/>
      <c r="P77" s="111"/>
      <c r="Q77" s="110"/>
      <c r="R77" s="110"/>
      <c r="S77" s="110"/>
      <c r="T77" s="111"/>
      <c r="U77" s="111"/>
      <c r="W77" s="111"/>
      <c r="X77" s="111"/>
      <c r="Y77" s="111"/>
      <c r="Z77" s="111"/>
      <c r="AA77" s="111"/>
      <c r="AB77" s="111"/>
      <c r="AC77" s="111"/>
      <c r="AD77" s="111"/>
      <c r="AE77" s="111"/>
    </row>
    <row r="78" spans="2:32" x14ac:dyDescent="0.25">
      <c r="B78" t="s">
        <v>150</v>
      </c>
      <c r="C78">
        <v>2012</v>
      </c>
      <c r="D78">
        <f t="shared" ref="D78:J86" si="8">D53/1000-D66</f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P78">
        <f t="shared" ref="P78:U86" si="9">P53/1000-P66</f>
        <v>0</v>
      </c>
      <c r="Q78">
        <f t="shared" si="9"/>
        <v>0</v>
      </c>
      <c r="R78">
        <f t="shared" si="9"/>
        <v>0</v>
      </c>
      <c r="S78">
        <f t="shared" si="9"/>
        <v>0</v>
      </c>
      <c r="T78">
        <f t="shared" si="9"/>
        <v>0</v>
      </c>
      <c r="U78">
        <f t="shared" si="9"/>
        <v>0</v>
      </c>
      <c r="W78">
        <f t="shared" ref="W78:AC86" si="10">W53/1000-W66</f>
        <v>0</v>
      </c>
      <c r="X78">
        <f t="shared" si="10"/>
        <v>0</v>
      </c>
      <c r="Y78">
        <f t="shared" si="10"/>
        <v>0</v>
      </c>
      <c r="Z78">
        <f t="shared" si="10"/>
        <v>0</v>
      </c>
      <c r="AA78">
        <f t="shared" si="10"/>
        <v>0</v>
      </c>
      <c r="AB78">
        <f t="shared" si="10"/>
        <v>0</v>
      </c>
      <c r="AC78">
        <f t="shared" si="10"/>
        <v>0</v>
      </c>
      <c r="AE78">
        <f t="shared" ref="AE78:AE86" si="11">AE53/1000-AE66</f>
        <v>0</v>
      </c>
    </row>
    <row r="79" spans="2:32" x14ac:dyDescent="0.25">
      <c r="C79">
        <v>2013</v>
      </c>
      <c r="D79">
        <f t="shared" si="8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  <c r="T79">
        <f t="shared" si="9"/>
        <v>0</v>
      </c>
      <c r="U79">
        <f t="shared" si="9"/>
        <v>0</v>
      </c>
      <c r="W79">
        <f t="shared" si="10"/>
        <v>0</v>
      </c>
      <c r="X79">
        <f t="shared" si="10"/>
        <v>0</v>
      </c>
      <c r="Y79">
        <f t="shared" si="10"/>
        <v>0</v>
      </c>
      <c r="Z79">
        <f t="shared" si="10"/>
        <v>0</v>
      </c>
      <c r="AA79">
        <f t="shared" si="10"/>
        <v>0</v>
      </c>
      <c r="AB79">
        <f t="shared" si="10"/>
        <v>0</v>
      </c>
      <c r="AC79">
        <f t="shared" si="10"/>
        <v>0</v>
      </c>
      <c r="AE79">
        <f t="shared" si="11"/>
        <v>0</v>
      </c>
    </row>
    <row r="80" spans="2:32" x14ac:dyDescent="0.25">
      <c r="C80">
        <v>2014</v>
      </c>
      <c r="D80">
        <f t="shared" si="8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P80">
        <f t="shared" si="9"/>
        <v>0</v>
      </c>
      <c r="Q80">
        <f t="shared" si="9"/>
        <v>0</v>
      </c>
      <c r="R80">
        <f t="shared" si="9"/>
        <v>0</v>
      </c>
      <c r="S80">
        <f t="shared" si="9"/>
        <v>0</v>
      </c>
      <c r="T80">
        <f t="shared" si="9"/>
        <v>0</v>
      </c>
      <c r="U80">
        <f t="shared" si="9"/>
        <v>0</v>
      </c>
      <c r="W80">
        <f t="shared" si="10"/>
        <v>0</v>
      </c>
      <c r="X80">
        <f t="shared" si="10"/>
        <v>0</v>
      </c>
      <c r="Y80">
        <f t="shared" si="10"/>
        <v>0</v>
      </c>
      <c r="Z80">
        <f t="shared" si="10"/>
        <v>0</v>
      </c>
      <c r="AA80">
        <f t="shared" si="10"/>
        <v>0</v>
      </c>
      <c r="AB80">
        <f t="shared" si="10"/>
        <v>0</v>
      </c>
      <c r="AC80">
        <f t="shared" si="10"/>
        <v>0</v>
      </c>
      <c r="AE80">
        <f t="shared" si="11"/>
        <v>0</v>
      </c>
    </row>
    <row r="81" spans="2:39" x14ac:dyDescent="0.25">
      <c r="C81">
        <v>2015</v>
      </c>
      <c r="D81">
        <f t="shared" si="8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P81">
        <f t="shared" si="9"/>
        <v>0</v>
      </c>
      <c r="Q81">
        <f t="shared" si="9"/>
        <v>0</v>
      </c>
      <c r="R81">
        <f t="shared" si="9"/>
        <v>0</v>
      </c>
      <c r="S81">
        <f t="shared" si="9"/>
        <v>0</v>
      </c>
      <c r="T81">
        <f t="shared" si="9"/>
        <v>0</v>
      </c>
      <c r="U81">
        <f t="shared" si="9"/>
        <v>0</v>
      </c>
      <c r="W81">
        <f t="shared" si="10"/>
        <v>0</v>
      </c>
      <c r="X81">
        <f t="shared" si="10"/>
        <v>0</v>
      </c>
      <c r="Y81">
        <f t="shared" si="10"/>
        <v>0</v>
      </c>
      <c r="Z81">
        <f t="shared" si="10"/>
        <v>0</v>
      </c>
      <c r="AA81">
        <f t="shared" si="10"/>
        <v>0</v>
      </c>
      <c r="AB81">
        <f t="shared" si="10"/>
        <v>0</v>
      </c>
      <c r="AC81">
        <f t="shared" si="10"/>
        <v>0</v>
      </c>
      <c r="AE81">
        <f t="shared" si="11"/>
        <v>0</v>
      </c>
    </row>
    <row r="82" spans="2:39" x14ac:dyDescent="0.25">
      <c r="C82">
        <v>2016</v>
      </c>
      <c r="D82">
        <f t="shared" si="8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P82">
        <f t="shared" si="9"/>
        <v>0</v>
      </c>
      <c r="Q82">
        <f t="shared" si="9"/>
        <v>0</v>
      </c>
      <c r="R82">
        <f t="shared" si="9"/>
        <v>0</v>
      </c>
      <c r="S82">
        <f t="shared" si="9"/>
        <v>0</v>
      </c>
      <c r="T82">
        <f t="shared" si="9"/>
        <v>0</v>
      </c>
      <c r="U82">
        <f t="shared" si="9"/>
        <v>0</v>
      </c>
      <c r="W82">
        <f t="shared" si="10"/>
        <v>0</v>
      </c>
      <c r="X82">
        <f t="shared" si="10"/>
        <v>0</v>
      </c>
      <c r="Y82">
        <f t="shared" si="10"/>
        <v>0</v>
      </c>
      <c r="Z82">
        <f t="shared" si="10"/>
        <v>0</v>
      </c>
      <c r="AA82">
        <f t="shared" si="10"/>
        <v>0</v>
      </c>
      <c r="AB82">
        <f t="shared" si="10"/>
        <v>0</v>
      </c>
      <c r="AC82">
        <f t="shared" si="10"/>
        <v>0</v>
      </c>
      <c r="AE82">
        <f t="shared" si="11"/>
        <v>0</v>
      </c>
    </row>
    <row r="83" spans="2:39" x14ac:dyDescent="0.25">
      <c r="C83">
        <v>2017</v>
      </c>
      <c r="D83">
        <f t="shared" si="8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P83">
        <f t="shared" si="9"/>
        <v>0</v>
      </c>
      <c r="Q83">
        <f t="shared" si="9"/>
        <v>0</v>
      </c>
      <c r="R83">
        <f t="shared" si="9"/>
        <v>0</v>
      </c>
      <c r="S83">
        <f t="shared" si="9"/>
        <v>0</v>
      </c>
      <c r="T83">
        <f t="shared" si="9"/>
        <v>0</v>
      </c>
      <c r="U83">
        <f t="shared" si="9"/>
        <v>0</v>
      </c>
      <c r="W83">
        <f t="shared" si="10"/>
        <v>0</v>
      </c>
      <c r="X83">
        <f t="shared" si="10"/>
        <v>0</v>
      </c>
      <c r="Y83">
        <f t="shared" si="10"/>
        <v>0</v>
      </c>
      <c r="Z83">
        <f t="shared" si="10"/>
        <v>0</v>
      </c>
      <c r="AA83">
        <f t="shared" si="10"/>
        <v>0</v>
      </c>
      <c r="AB83">
        <f t="shared" si="10"/>
        <v>0</v>
      </c>
      <c r="AC83">
        <f t="shared" si="10"/>
        <v>0</v>
      </c>
      <c r="AE83">
        <f t="shared" si="11"/>
        <v>0</v>
      </c>
    </row>
    <row r="84" spans="2:39" x14ac:dyDescent="0.25">
      <c r="C84">
        <v>2018</v>
      </c>
      <c r="D84">
        <f t="shared" si="8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P84">
        <f t="shared" si="9"/>
        <v>0</v>
      </c>
      <c r="Q84">
        <f t="shared" si="9"/>
        <v>0</v>
      </c>
      <c r="R84">
        <f t="shared" si="9"/>
        <v>0</v>
      </c>
      <c r="S84">
        <f t="shared" si="9"/>
        <v>0</v>
      </c>
      <c r="T84">
        <f t="shared" si="9"/>
        <v>0</v>
      </c>
      <c r="U84">
        <f t="shared" si="9"/>
        <v>0</v>
      </c>
      <c r="W84">
        <f t="shared" si="10"/>
        <v>0</v>
      </c>
      <c r="X84">
        <f t="shared" si="10"/>
        <v>0</v>
      </c>
      <c r="Y84">
        <f t="shared" si="10"/>
        <v>0</v>
      </c>
      <c r="Z84">
        <f t="shared" si="10"/>
        <v>0</v>
      </c>
      <c r="AA84">
        <f t="shared" si="10"/>
        <v>0</v>
      </c>
      <c r="AB84">
        <f t="shared" si="10"/>
        <v>0</v>
      </c>
      <c r="AC84">
        <f t="shared" si="10"/>
        <v>0</v>
      </c>
      <c r="AE84">
        <f t="shared" si="11"/>
        <v>0</v>
      </c>
    </row>
    <row r="85" spans="2:39" x14ac:dyDescent="0.25">
      <c r="C85">
        <v>2019</v>
      </c>
      <c r="D85">
        <f t="shared" si="8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P85">
        <f t="shared" si="9"/>
        <v>0</v>
      </c>
      <c r="Q85">
        <f t="shared" si="9"/>
        <v>0</v>
      </c>
      <c r="R85">
        <f t="shared" si="9"/>
        <v>0</v>
      </c>
      <c r="S85">
        <f t="shared" si="9"/>
        <v>0</v>
      </c>
      <c r="T85">
        <f t="shared" si="9"/>
        <v>0</v>
      </c>
      <c r="U85">
        <f t="shared" si="9"/>
        <v>0</v>
      </c>
      <c r="W85">
        <f t="shared" si="10"/>
        <v>0</v>
      </c>
      <c r="X85">
        <f t="shared" si="10"/>
        <v>0</v>
      </c>
      <c r="Y85">
        <f t="shared" si="10"/>
        <v>0</v>
      </c>
      <c r="Z85">
        <f t="shared" si="10"/>
        <v>0</v>
      </c>
      <c r="AA85">
        <f t="shared" si="10"/>
        <v>0</v>
      </c>
      <c r="AB85">
        <f t="shared" si="10"/>
        <v>0</v>
      </c>
      <c r="AC85">
        <f t="shared" si="10"/>
        <v>0</v>
      </c>
      <c r="AE85">
        <f t="shared" si="11"/>
        <v>0</v>
      </c>
    </row>
    <row r="86" spans="2:39" x14ac:dyDescent="0.25">
      <c r="C86">
        <v>2020</v>
      </c>
      <c r="D86">
        <f>D61/1000-D74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P86">
        <f t="shared" si="9"/>
        <v>0</v>
      </c>
      <c r="Q86">
        <f t="shared" si="9"/>
        <v>0</v>
      </c>
      <c r="R86">
        <f t="shared" si="9"/>
        <v>0</v>
      </c>
      <c r="S86">
        <f t="shared" si="9"/>
        <v>0</v>
      </c>
      <c r="T86">
        <f t="shared" si="9"/>
        <v>0</v>
      </c>
      <c r="U86">
        <f t="shared" si="9"/>
        <v>0</v>
      </c>
      <c r="W86">
        <f t="shared" si="10"/>
        <v>0</v>
      </c>
      <c r="X86">
        <f t="shared" si="10"/>
        <v>0</v>
      </c>
      <c r="Y86">
        <f t="shared" si="10"/>
        <v>0</v>
      </c>
      <c r="Z86">
        <f t="shared" si="10"/>
        <v>0</v>
      </c>
      <c r="AA86">
        <f t="shared" si="10"/>
        <v>0</v>
      </c>
      <c r="AB86">
        <f t="shared" si="10"/>
        <v>0</v>
      </c>
      <c r="AC86">
        <f t="shared" si="10"/>
        <v>0</v>
      </c>
      <c r="AE86">
        <f t="shared" si="11"/>
        <v>0</v>
      </c>
    </row>
    <row r="87" spans="2:39" x14ac:dyDescent="0.25">
      <c r="C87" s="283">
        <v>2021</v>
      </c>
      <c r="D87">
        <f>D62/1000-D75</f>
        <v>0</v>
      </c>
      <c r="E87">
        <f t="shared" ref="E87:J87" si="12">E62/1000-E75</f>
        <v>0</v>
      </c>
      <c r="F87">
        <f t="shared" si="12"/>
        <v>0</v>
      </c>
      <c r="G87">
        <f t="shared" si="12"/>
        <v>0</v>
      </c>
      <c r="H87">
        <f t="shared" si="12"/>
        <v>0</v>
      </c>
      <c r="I87">
        <f t="shared" si="12"/>
        <v>0</v>
      </c>
      <c r="J87">
        <f t="shared" si="12"/>
        <v>0</v>
      </c>
      <c r="P87">
        <f t="shared" ref="P87:U87" si="13">P61/1000-P74</f>
        <v>0</v>
      </c>
      <c r="Q87">
        <f t="shared" si="13"/>
        <v>0</v>
      </c>
      <c r="R87">
        <f t="shared" si="13"/>
        <v>0</v>
      </c>
      <c r="S87">
        <f t="shared" si="13"/>
        <v>0</v>
      </c>
      <c r="T87">
        <f t="shared" si="13"/>
        <v>0</v>
      </c>
      <c r="U87">
        <f t="shared" si="13"/>
        <v>0</v>
      </c>
      <c r="W87">
        <f t="shared" ref="W87:AC87" si="14">W61/1000-W74</f>
        <v>0</v>
      </c>
      <c r="X87">
        <f t="shared" si="14"/>
        <v>0</v>
      </c>
      <c r="Y87">
        <f t="shared" si="14"/>
        <v>0</v>
      </c>
      <c r="Z87">
        <f t="shared" si="14"/>
        <v>0</v>
      </c>
      <c r="AA87">
        <f t="shared" si="14"/>
        <v>0</v>
      </c>
      <c r="AB87">
        <f t="shared" si="14"/>
        <v>0</v>
      </c>
      <c r="AC87">
        <f t="shared" si="14"/>
        <v>0</v>
      </c>
      <c r="AE87">
        <f>AE61/1000-AE74</f>
        <v>0</v>
      </c>
    </row>
    <row r="90" spans="2:39" x14ac:dyDescent="0.25">
      <c r="B90" s="41" t="s">
        <v>141</v>
      </c>
      <c r="C90">
        <v>2012</v>
      </c>
      <c r="D90" s="70">
        <v>0.25</v>
      </c>
      <c r="E90" s="70">
        <v>0.25</v>
      </c>
      <c r="F90" s="70">
        <v>0.14000000000000001</v>
      </c>
      <c r="G90" s="70">
        <v>0.26</v>
      </c>
      <c r="H90" s="70">
        <v>0.33</v>
      </c>
      <c r="I90" s="70">
        <v>0.26</v>
      </c>
      <c r="J90" s="70">
        <v>0.22</v>
      </c>
      <c r="K90" s="70">
        <v>0.33</v>
      </c>
      <c r="L90" s="70">
        <v>0.22</v>
      </c>
      <c r="M90" s="70">
        <v>0.33</v>
      </c>
      <c r="N90" s="70">
        <v>0.14000000000000001</v>
      </c>
      <c r="O90" s="70">
        <v>0.26</v>
      </c>
      <c r="P90" s="70">
        <v>0.34</v>
      </c>
      <c r="Q90" s="70">
        <v>0.08</v>
      </c>
      <c r="R90" s="70">
        <v>0.18</v>
      </c>
      <c r="S90" s="70">
        <v>0.23</v>
      </c>
      <c r="T90" s="70">
        <v>0.33</v>
      </c>
      <c r="U90" s="70">
        <v>0.27</v>
      </c>
      <c r="V90" s="70">
        <v>0.27</v>
      </c>
      <c r="W90" s="70">
        <v>0.08</v>
      </c>
      <c r="X90" s="70">
        <v>0.08</v>
      </c>
      <c r="Y90" s="70">
        <v>0.27</v>
      </c>
      <c r="Z90" s="70">
        <v>0.27</v>
      </c>
      <c r="AA90" s="70">
        <v>0.27</v>
      </c>
      <c r="AB90" s="70"/>
      <c r="AC90" s="70"/>
      <c r="AD90" s="70"/>
      <c r="AE90" s="70"/>
    </row>
    <row r="91" spans="2:39" x14ac:dyDescent="0.25">
      <c r="C91">
        <v>2013</v>
      </c>
      <c r="D91" s="70">
        <v>0.24</v>
      </c>
      <c r="E91" s="70">
        <v>0.24</v>
      </c>
      <c r="F91" s="70">
        <v>0.13</v>
      </c>
      <c r="G91" s="70">
        <v>0.26</v>
      </c>
      <c r="H91" s="70">
        <v>0.33</v>
      </c>
      <c r="I91" s="70">
        <v>0.26</v>
      </c>
      <c r="J91" s="70">
        <v>0.22</v>
      </c>
      <c r="K91" s="70">
        <v>0.33</v>
      </c>
      <c r="L91" s="70">
        <v>0.22</v>
      </c>
      <c r="M91" s="70">
        <v>0.33</v>
      </c>
      <c r="N91" s="70">
        <v>0.12</v>
      </c>
      <c r="O91" s="70">
        <v>0.26</v>
      </c>
      <c r="P91" s="70">
        <v>0.34</v>
      </c>
      <c r="Q91" s="70">
        <v>0.11</v>
      </c>
      <c r="R91" s="70">
        <v>0.2</v>
      </c>
      <c r="S91" s="70">
        <v>0.23</v>
      </c>
      <c r="T91" s="70">
        <v>0.33</v>
      </c>
      <c r="U91" s="70">
        <v>0.27</v>
      </c>
      <c r="V91" s="70">
        <v>0.27</v>
      </c>
      <c r="W91" s="70">
        <v>0.08</v>
      </c>
      <c r="X91" s="70">
        <v>0.08</v>
      </c>
      <c r="Y91" s="70">
        <v>0.27</v>
      </c>
      <c r="Z91" s="70">
        <v>0.27</v>
      </c>
      <c r="AA91" s="70">
        <v>0.27</v>
      </c>
      <c r="AB91" s="70"/>
      <c r="AC91" s="70"/>
      <c r="AD91" s="70"/>
      <c r="AE91" s="70"/>
    </row>
    <row r="92" spans="2:39" x14ac:dyDescent="0.25">
      <c r="C92">
        <v>2014</v>
      </c>
      <c r="D92" s="70">
        <v>0.24</v>
      </c>
      <c r="E92" s="70">
        <v>0.24</v>
      </c>
      <c r="F92" s="70">
        <v>0.13</v>
      </c>
      <c r="G92" s="70">
        <v>0.26</v>
      </c>
      <c r="H92" s="70">
        <v>0.33</v>
      </c>
      <c r="I92" s="70">
        <v>0.26</v>
      </c>
      <c r="J92" s="70">
        <v>0.21</v>
      </c>
      <c r="K92" s="70">
        <v>0.33</v>
      </c>
      <c r="L92" s="70">
        <v>0.21</v>
      </c>
      <c r="M92" s="70">
        <v>0.33</v>
      </c>
      <c r="N92" s="70">
        <v>0.1</v>
      </c>
      <c r="O92" s="70">
        <v>0.26</v>
      </c>
      <c r="P92" s="70">
        <v>0.3</v>
      </c>
      <c r="Q92" s="70">
        <v>0.14000000000000001</v>
      </c>
      <c r="R92" s="70">
        <v>0.23</v>
      </c>
      <c r="S92" s="70">
        <v>0.24</v>
      </c>
      <c r="T92" s="70">
        <v>0.33</v>
      </c>
      <c r="U92" s="70">
        <v>0.27</v>
      </c>
      <c r="V92" s="70">
        <v>0.27</v>
      </c>
      <c r="W92" s="70">
        <v>7.0000000000000007E-2</v>
      </c>
      <c r="X92" s="70">
        <v>7.0000000000000007E-2</v>
      </c>
      <c r="Y92" s="70">
        <v>0.27</v>
      </c>
      <c r="Z92" s="70">
        <v>0.27</v>
      </c>
      <c r="AA92" s="70">
        <v>0.27</v>
      </c>
      <c r="AB92" s="70"/>
      <c r="AC92" s="70"/>
      <c r="AD92" s="70"/>
      <c r="AE92" s="70"/>
      <c r="AH92" t="s">
        <v>13</v>
      </c>
      <c r="AI92" t="s">
        <v>139</v>
      </c>
      <c r="AJ92" t="s">
        <v>49</v>
      </c>
      <c r="AK92" t="s">
        <v>50</v>
      </c>
    </row>
    <row r="93" spans="2:39" x14ac:dyDescent="0.25">
      <c r="C93">
        <v>2015</v>
      </c>
      <c r="D93" s="70">
        <v>0.23</v>
      </c>
      <c r="E93" s="70">
        <v>0.23</v>
      </c>
      <c r="F93" s="70">
        <v>0.12</v>
      </c>
      <c r="G93" s="70">
        <v>0.25</v>
      </c>
      <c r="H93" s="70">
        <v>0.33</v>
      </c>
      <c r="I93" s="70">
        <v>0.27</v>
      </c>
      <c r="J93" s="70">
        <v>0.21</v>
      </c>
      <c r="K93" s="70">
        <v>0.33</v>
      </c>
      <c r="L93" s="70">
        <v>0.21</v>
      </c>
      <c r="M93" s="70">
        <v>0.33</v>
      </c>
      <c r="N93" s="70">
        <v>0.08</v>
      </c>
      <c r="O93" s="70">
        <v>0.26</v>
      </c>
      <c r="P93" s="70">
        <v>0.25</v>
      </c>
      <c r="Q93" s="70">
        <v>0.16</v>
      </c>
      <c r="R93" s="70">
        <v>0.26</v>
      </c>
      <c r="S93" s="70">
        <v>0.26</v>
      </c>
      <c r="T93" s="70">
        <v>0.33</v>
      </c>
      <c r="U93" s="70">
        <v>0.27</v>
      </c>
      <c r="V93" s="70">
        <v>0.27</v>
      </c>
      <c r="W93" s="70">
        <v>7.0000000000000007E-2</v>
      </c>
      <c r="X93" s="70">
        <v>7.0000000000000007E-2</v>
      </c>
      <c r="Y93" s="70">
        <v>0.27</v>
      </c>
      <c r="Z93" s="70">
        <v>0.27</v>
      </c>
      <c r="AA93" s="70">
        <v>0.27</v>
      </c>
      <c r="AB93" s="70"/>
      <c r="AC93" s="70"/>
      <c r="AD93" s="70"/>
      <c r="AE93" s="70"/>
      <c r="AG93" t="s">
        <v>440</v>
      </c>
      <c r="AH93" s="100">
        <f>AC112</f>
        <v>13971.103896103899</v>
      </c>
      <c r="AI93" s="100">
        <f>AF112</f>
        <v>1121587.5</v>
      </c>
      <c r="AJ93" s="100">
        <v>7500</v>
      </c>
      <c r="AK93">
        <f>1000</f>
        <v>1000</v>
      </c>
    </row>
    <row r="94" spans="2:39" x14ac:dyDescent="0.25">
      <c r="C94">
        <v>2016</v>
      </c>
      <c r="D94" s="70">
        <v>0.23</v>
      </c>
      <c r="E94" s="70">
        <v>0.23</v>
      </c>
      <c r="F94" s="70">
        <v>0.12</v>
      </c>
      <c r="G94" s="70">
        <v>0.25</v>
      </c>
      <c r="H94" s="70">
        <v>0.33</v>
      </c>
      <c r="I94" s="70">
        <v>0.28999999999999998</v>
      </c>
      <c r="J94" s="70">
        <v>0.21</v>
      </c>
      <c r="K94" s="70">
        <v>0.33</v>
      </c>
      <c r="L94" s="70">
        <v>0.2</v>
      </c>
      <c r="M94" s="70">
        <v>0.33</v>
      </c>
      <c r="N94" s="70">
        <v>0.04</v>
      </c>
      <c r="O94" s="70">
        <v>0.26</v>
      </c>
      <c r="P94" s="70">
        <v>0.2</v>
      </c>
      <c r="Q94" s="70">
        <v>0.21</v>
      </c>
      <c r="R94" s="70">
        <v>0.28000000000000003</v>
      </c>
      <c r="S94" s="70">
        <v>0.22</v>
      </c>
      <c r="T94" s="70">
        <v>0.33</v>
      </c>
      <c r="U94" s="70">
        <v>0.27</v>
      </c>
      <c r="V94" s="70">
        <v>0.27</v>
      </c>
      <c r="W94" s="70">
        <v>0.06</v>
      </c>
      <c r="X94" s="70">
        <v>0.06</v>
      </c>
      <c r="Y94" s="70">
        <v>0.27</v>
      </c>
      <c r="Z94" s="70">
        <v>0.27</v>
      </c>
      <c r="AA94" s="70">
        <v>0.27</v>
      </c>
      <c r="AB94" s="70"/>
      <c r="AC94" s="70"/>
      <c r="AD94" s="70"/>
      <c r="AE94" s="70">
        <f>AE103/AK103</f>
        <v>0.57252880704043763</v>
      </c>
      <c r="AH94" s="70" t="s">
        <v>430</v>
      </c>
      <c r="AI94" t="s">
        <v>85</v>
      </c>
      <c r="AJ94" t="s">
        <v>85</v>
      </c>
      <c r="AK94" t="s">
        <v>151</v>
      </c>
    </row>
    <row r="95" spans="2:39" x14ac:dyDescent="0.25">
      <c r="C95">
        <v>2017</v>
      </c>
      <c r="D95" s="70">
        <v>0.22</v>
      </c>
      <c r="E95" s="70">
        <v>0.22</v>
      </c>
      <c r="F95" s="70">
        <f xml:space="preserve"> 220/1800</f>
        <v>0.12222222222222222</v>
      </c>
      <c r="G95" s="70">
        <v>0.25</v>
      </c>
      <c r="H95" s="70">
        <v>0.33</v>
      </c>
      <c r="I95" s="70">
        <v>0.31</v>
      </c>
      <c r="J95" s="70">
        <v>0.21</v>
      </c>
      <c r="K95" s="70">
        <v>0.33</v>
      </c>
      <c r="L95" s="70">
        <v>0.19</v>
      </c>
      <c r="M95" s="70">
        <v>0.33</v>
      </c>
      <c r="N95" s="70">
        <v>0.02</v>
      </c>
      <c r="O95" s="70">
        <v>0.26</v>
      </c>
      <c r="P95" s="70">
        <v>0.16</v>
      </c>
      <c r="Q95" s="70">
        <v>0.24</v>
      </c>
      <c r="R95" s="70">
        <v>0.3</v>
      </c>
      <c r="S95" s="70">
        <v>0.2</v>
      </c>
      <c r="T95" s="70">
        <v>0.33</v>
      </c>
      <c r="U95" s="70">
        <v>0.27</v>
      </c>
      <c r="V95" s="70">
        <v>0.27</v>
      </c>
      <c r="W95" s="70">
        <v>0.06</v>
      </c>
      <c r="X95" s="70">
        <v>0.06</v>
      </c>
      <c r="Y95" s="70">
        <v>0.27</v>
      </c>
      <c r="Z95" s="70">
        <v>0.27</v>
      </c>
      <c r="AA95" s="70">
        <v>0.27</v>
      </c>
      <c r="AB95" s="70"/>
      <c r="AC95" s="70"/>
      <c r="AD95" s="70"/>
      <c r="AE95">
        <f>AG103/AK103</f>
        <v>7.2973673283987022E-3</v>
      </c>
      <c r="AG95" t="s">
        <v>434</v>
      </c>
      <c r="AH95" s="70" t="s">
        <v>13</v>
      </c>
      <c r="AI95" t="s">
        <v>139</v>
      </c>
      <c r="AJ95" t="s">
        <v>49</v>
      </c>
      <c r="AK95" t="s">
        <v>50</v>
      </c>
    </row>
    <row r="96" spans="2:39" x14ac:dyDescent="0.25">
      <c r="C96">
        <v>2018</v>
      </c>
      <c r="D96" s="70">
        <v>0.22</v>
      </c>
      <c r="E96" s="70">
        <v>0.22</v>
      </c>
      <c r="F96" s="70">
        <f>220/1700</f>
        <v>0.12941176470588237</v>
      </c>
      <c r="G96" s="70">
        <v>0.25</v>
      </c>
      <c r="H96" s="70">
        <v>0.33</v>
      </c>
      <c r="I96" s="70">
        <v>0.33</v>
      </c>
      <c r="J96" s="70">
        <v>0.21</v>
      </c>
      <c r="K96" s="70">
        <v>0.33</v>
      </c>
      <c r="L96" s="70">
        <v>0.18</v>
      </c>
      <c r="M96" s="70">
        <v>0.33</v>
      </c>
      <c r="N96" s="70">
        <v>0.01</v>
      </c>
      <c r="O96" s="70">
        <v>0.26</v>
      </c>
      <c r="P96" s="70">
        <v>0.14000000000000001</v>
      </c>
      <c r="Q96" s="70">
        <v>0.28000000000000003</v>
      </c>
      <c r="R96" s="70">
        <v>0.32</v>
      </c>
      <c r="S96" s="70">
        <v>0.16</v>
      </c>
      <c r="T96" s="70">
        <v>0.33</v>
      </c>
      <c r="U96" s="70">
        <v>0.27</v>
      </c>
      <c r="V96" s="70">
        <v>0.27</v>
      </c>
      <c r="W96" s="70">
        <v>0.06</v>
      </c>
      <c r="X96" s="70">
        <v>0.06</v>
      </c>
      <c r="Y96" s="70">
        <v>0.27</v>
      </c>
      <c r="Z96" s="70">
        <v>0.27</v>
      </c>
      <c r="AA96" s="70">
        <v>0.27</v>
      </c>
      <c r="AB96" s="70"/>
      <c r="AC96" s="70"/>
      <c r="AD96" s="70"/>
      <c r="AF96" t="s">
        <v>436</v>
      </c>
      <c r="AG96">
        <v>240000</v>
      </c>
      <c r="AH96">
        <v>39751.579635362919</v>
      </c>
      <c r="AI96">
        <v>7500</v>
      </c>
      <c r="AJ96">
        <v>1200</v>
      </c>
      <c r="AK96">
        <v>10600</v>
      </c>
      <c r="AM96">
        <f>100/300000</f>
        <v>3.3333333333333332E-4</v>
      </c>
    </row>
    <row r="97" spans="2:41" x14ac:dyDescent="0.25">
      <c r="C97">
        <v>2019</v>
      </c>
      <c r="D97" s="70">
        <v>0.22</v>
      </c>
      <c r="E97" s="70">
        <v>0.22</v>
      </c>
      <c r="F97" s="70">
        <f>210/1600</f>
        <v>0.13125000000000001</v>
      </c>
      <c r="G97" s="70">
        <v>0.25</v>
      </c>
      <c r="H97" s="70">
        <v>0.33</v>
      </c>
      <c r="I97" s="70">
        <v>0.33</v>
      </c>
      <c r="J97" s="70">
        <v>0.21</v>
      </c>
      <c r="K97" s="70">
        <v>0.33</v>
      </c>
      <c r="L97" s="70">
        <v>0.17</v>
      </c>
      <c r="M97" s="70">
        <v>0.33</v>
      </c>
      <c r="N97" s="70">
        <v>5.0000000000000001E-3</v>
      </c>
      <c r="O97" s="70">
        <v>0.26</v>
      </c>
      <c r="P97" s="70">
        <v>0.12</v>
      </c>
      <c r="Q97" s="70">
        <v>0.3</v>
      </c>
      <c r="R97" s="70">
        <v>0.32</v>
      </c>
      <c r="S97" s="70">
        <v>0.24</v>
      </c>
      <c r="T97" s="70">
        <v>0.33</v>
      </c>
      <c r="U97" s="70">
        <v>0.27</v>
      </c>
      <c r="V97" s="70">
        <v>0.27</v>
      </c>
      <c r="W97" s="70">
        <v>0.06</v>
      </c>
      <c r="X97" s="70">
        <v>0.06</v>
      </c>
      <c r="Y97" s="70">
        <v>0.27</v>
      </c>
      <c r="Z97" s="70">
        <v>0.27</v>
      </c>
      <c r="AA97" s="70">
        <v>0.27</v>
      </c>
      <c r="AB97" s="70"/>
      <c r="AC97" s="70"/>
      <c r="AD97" s="70"/>
      <c r="AF97" t="s">
        <v>435</v>
      </c>
      <c r="AG97">
        <v>110000</v>
      </c>
      <c r="AH97">
        <v>4300</v>
      </c>
      <c r="AI97">
        <v>5010</v>
      </c>
      <c r="AJ97">
        <v>5400</v>
      </c>
      <c r="AK97">
        <v>2700</v>
      </c>
      <c r="AM97">
        <f>8000/1200000</f>
        <v>6.6666666666666671E-3</v>
      </c>
    </row>
    <row r="98" spans="2:41" x14ac:dyDescent="0.25">
      <c r="C98">
        <v>2020</v>
      </c>
      <c r="D98" s="70">
        <v>0.22</v>
      </c>
      <c r="E98" s="70">
        <v>0.22</v>
      </c>
      <c r="F98" s="70">
        <f>200/1500</f>
        <v>0.13333333333333333</v>
      </c>
      <c r="G98" s="70">
        <v>0.25</v>
      </c>
      <c r="H98" s="70">
        <v>0.33</v>
      </c>
      <c r="I98" s="70">
        <v>0.33</v>
      </c>
      <c r="J98" s="70">
        <v>0.21</v>
      </c>
      <c r="K98" s="70">
        <v>0.33</v>
      </c>
      <c r="L98" s="70">
        <v>0.17</v>
      </c>
      <c r="M98" s="70">
        <v>0.33</v>
      </c>
      <c r="N98" s="70">
        <v>0</v>
      </c>
      <c r="O98" s="70">
        <v>0.26</v>
      </c>
      <c r="P98" s="70">
        <v>0.12</v>
      </c>
      <c r="Q98" s="70">
        <v>0.31</v>
      </c>
      <c r="R98" s="70">
        <v>0.61</v>
      </c>
      <c r="S98" s="70">
        <v>0.37</v>
      </c>
      <c r="T98" s="70">
        <v>0.33</v>
      </c>
      <c r="U98" s="70">
        <v>0.27</v>
      </c>
      <c r="V98" s="70">
        <v>0.27</v>
      </c>
      <c r="W98" s="70">
        <v>0.06</v>
      </c>
      <c r="X98" s="70">
        <v>0.06</v>
      </c>
      <c r="Y98" s="70">
        <v>0.27</v>
      </c>
      <c r="Z98" s="70">
        <v>0.27</v>
      </c>
      <c r="AA98" s="70">
        <v>0.27</v>
      </c>
      <c r="AB98" s="70"/>
      <c r="AC98" s="70"/>
      <c r="AD98" s="70"/>
      <c r="AE98" s="5" t="s">
        <v>439</v>
      </c>
      <c r="AF98" s="5" t="s">
        <v>438</v>
      </c>
      <c r="AG98" s="5">
        <v>201133</v>
      </c>
      <c r="AH98" s="5"/>
      <c r="AI98" s="5">
        <v>6700</v>
      </c>
      <c r="AJ98" s="5">
        <v>3900</v>
      </c>
      <c r="AK98" s="5"/>
      <c r="AM98" s="5">
        <f>3750/5400</f>
        <v>0.69444444444444442</v>
      </c>
      <c r="AN98" s="5">
        <f>4600/5300</f>
        <v>0.86792452830188682</v>
      </c>
      <c r="AO98" t="s">
        <v>115</v>
      </c>
    </row>
    <row r="99" spans="2:41" x14ac:dyDescent="0.25">
      <c r="C99">
        <v>2021</v>
      </c>
      <c r="D99" s="70">
        <v>0.22</v>
      </c>
      <c r="E99" s="70">
        <v>0.22</v>
      </c>
      <c r="F99" s="70">
        <f>200/1500</f>
        <v>0.13333333333333333</v>
      </c>
      <c r="G99" s="70">
        <v>0.25</v>
      </c>
      <c r="H99" s="70">
        <v>0.33</v>
      </c>
      <c r="I99" s="70">
        <v>0.33</v>
      </c>
      <c r="J99" s="70">
        <v>0.21</v>
      </c>
      <c r="K99" s="70">
        <v>0.33</v>
      </c>
      <c r="L99" s="70">
        <v>0.17</v>
      </c>
      <c r="M99" s="70">
        <v>0.33</v>
      </c>
      <c r="N99" s="70">
        <v>0</v>
      </c>
      <c r="O99" s="70">
        <v>0.26</v>
      </c>
      <c r="P99" s="70">
        <v>0.12</v>
      </c>
      <c r="Q99" s="70">
        <v>0.31</v>
      </c>
      <c r="R99" s="70">
        <v>0.61</v>
      </c>
      <c r="S99" s="70">
        <v>0.37</v>
      </c>
      <c r="T99" s="70">
        <v>0.33</v>
      </c>
      <c r="U99" s="70">
        <v>0.27</v>
      </c>
      <c r="V99" s="70">
        <v>0.27</v>
      </c>
      <c r="W99" s="70">
        <v>0.06</v>
      </c>
      <c r="X99" s="70">
        <v>0.06</v>
      </c>
      <c r="Y99" s="70">
        <v>0.27</v>
      </c>
      <c r="Z99" s="70">
        <v>0.27</v>
      </c>
      <c r="AA99" s="70">
        <v>0.27</v>
      </c>
      <c r="AB99" s="70"/>
      <c r="AC99" s="70"/>
      <c r="AD99" s="70"/>
      <c r="AE99" s="246"/>
      <c r="AF99" s="5" t="s">
        <v>437</v>
      </c>
      <c r="AG99" s="5">
        <v>7000</v>
      </c>
      <c r="AH99" s="5">
        <v>2500</v>
      </c>
      <c r="AI99" s="5">
        <v>6200</v>
      </c>
      <c r="AJ99" s="5">
        <v>5400</v>
      </c>
      <c r="AK99" s="5">
        <v>2500</v>
      </c>
      <c r="AM99" s="5">
        <f>3329/3776</f>
        <v>0.8816207627118644</v>
      </c>
      <c r="AO99" t="s">
        <v>99</v>
      </c>
    </row>
    <row r="100" spans="2:41" x14ac:dyDescent="0.25"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246"/>
      <c r="AF100" s="5"/>
      <c r="AG100" s="5"/>
      <c r="AH100" s="5"/>
      <c r="AI100" s="5"/>
      <c r="AJ100" s="5"/>
      <c r="AK100" s="5"/>
      <c r="AM100" s="5"/>
    </row>
    <row r="101" spans="2:41" x14ac:dyDescent="0.25">
      <c r="P101" s="24" t="s">
        <v>81</v>
      </c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t="s">
        <v>13</v>
      </c>
      <c r="AC101" t="s">
        <v>13</v>
      </c>
      <c r="AD101" t="s">
        <v>13</v>
      </c>
      <c r="AE101" t="s">
        <v>139</v>
      </c>
      <c r="AF101" t="s">
        <v>139</v>
      </c>
      <c r="AG101" t="s">
        <v>139</v>
      </c>
      <c r="AH101" t="s">
        <v>49</v>
      </c>
      <c r="AI101" t="s">
        <v>49</v>
      </c>
      <c r="AJ101" t="s">
        <v>50</v>
      </c>
    </row>
    <row r="102" spans="2:41" x14ac:dyDescent="0.25">
      <c r="D102" s="23" t="s">
        <v>44</v>
      </c>
      <c r="E102" s="23"/>
      <c r="F102" s="23"/>
      <c r="G102" s="23"/>
      <c r="H102" s="23"/>
      <c r="I102" s="23"/>
      <c r="J102" s="7" t="s">
        <v>30</v>
      </c>
      <c r="K102" s="7" t="s">
        <v>26</v>
      </c>
      <c r="L102" s="7" t="s">
        <v>85</v>
      </c>
      <c r="M102" s="114" t="s">
        <v>26</v>
      </c>
      <c r="N102" s="114" t="s">
        <v>85</v>
      </c>
      <c r="O102" s="114" t="s">
        <v>151</v>
      </c>
      <c r="P102" s="24" t="s">
        <v>46</v>
      </c>
      <c r="Q102" s="24"/>
      <c r="R102" s="24"/>
      <c r="S102" s="24"/>
      <c r="T102" s="24"/>
      <c r="U102" s="24" t="s">
        <v>47</v>
      </c>
      <c r="V102" s="24"/>
      <c r="W102" s="24"/>
      <c r="X102" s="24"/>
      <c r="Y102" s="24"/>
      <c r="Z102" s="24"/>
      <c r="AA102" s="24"/>
      <c r="AB102" s="23" t="s">
        <v>430</v>
      </c>
      <c r="AC102" s="23" t="s">
        <v>26</v>
      </c>
      <c r="AD102" s="23" t="s">
        <v>8</v>
      </c>
      <c r="AE102" s="7" t="s">
        <v>30</v>
      </c>
      <c r="AF102" s="7" t="s">
        <v>26</v>
      </c>
      <c r="AG102" s="7" t="s">
        <v>85</v>
      </c>
      <c r="AH102" s="114" t="s">
        <v>26</v>
      </c>
      <c r="AI102" s="114" t="s">
        <v>85</v>
      </c>
      <c r="AJ102" s="114" t="s">
        <v>151</v>
      </c>
      <c r="AK102" s="117" t="s">
        <v>139</v>
      </c>
      <c r="AL102" s="117" t="s">
        <v>13</v>
      </c>
      <c r="AM102" s="117" t="s">
        <v>433</v>
      </c>
      <c r="AN102" s="117" t="s">
        <v>434</v>
      </c>
      <c r="AO102" s="117" t="s">
        <v>9</v>
      </c>
    </row>
    <row r="103" spans="2:41" x14ac:dyDescent="0.25">
      <c r="D103" s="23"/>
      <c r="E103" s="23"/>
      <c r="F103" s="23"/>
      <c r="G103" s="23"/>
      <c r="H103" s="23"/>
      <c r="I103" s="23"/>
      <c r="J103" s="7"/>
      <c r="K103" s="7"/>
      <c r="L103" s="7"/>
      <c r="M103" s="114"/>
      <c r="N103" s="114"/>
      <c r="O103" s="11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3">
        <f>AB113</f>
        <v>38616.117647058825</v>
      </c>
      <c r="AC103" s="243">
        <f t="shared" ref="AC103:AD103" si="15">AC113</f>
        <v>18995.634920634922</v>
      </c>
      <c r="AD103" s="243">
        <f t="shared" si="15"/>
        <v>328047.25000000006</v>
      </c>
      <c r="AE103" s="243">
        <f>AE113</f>
        <v>1528275</v>
      </c>
      <c r="AF103" s="243">
        <f t="shared" ref="AF103:AJ103" si="16">AF112</f>
        <v>1121587.5</v>
      </c>
      <c r="AG103" s="243">
        <f t="shared" si="16"/>
        <v>19479.166666666672</v>
      </c>
      <c r="AH103" s="243">
        <f t="shared" si="16"/>
        <v>8485.7142857142862</v>
      </c>
      <c r="AI103" s="243">
        <f t="shared" si="16"/>
        <v>105</v>
      </c>
      <c r="AJ103" s="243">
        <f t="shared" si="16"/>
        <v>2080</v>
      </c>
      <c r="AK103" s="244">
        <f>AE103+AF103+AG103</f>
        <v>2669341.6666666665</v>
      </c>
      <c r="AL103" s="244">
        <f>AB103+AC103+AD103</f>
        <v>385659.00256769382</v>
      </c>
      <c r="AM103" s="244">
        <f>AH103+AI103+AJ103</f>
        <v>10670.714285714286</v>
      </c>
      <c r="AN103" s="117">
        <v>240000</v>
      </c>
      <c r="AO103" s="244">
        <v>5000</v>
      </c>
    </row>
    <row r="104" spans="2:41" ht="47.25" x14ac:dyDescent="0.25">
      <c r="D104" s="38" t="s">
        <v>36</v>
      </c>
      <c r="E104" s="38" t="s">
        <v>37</v>
      </c>
      <c r="F104" s="38" t="s">
        <v>38</v>
      </c>
      <c r="G104" s="38" t="s">
        <v>80</v>
      </c>
      <c r="H104" s="38" t="s">
        <v>39</v>
      </c>
      <c r="I104" s="38" t="s">
        <v>45</v>
      </c>
      <c r="J104" s="39" t="s">
        <v>16</v>
      </c>
      <c r="K104" s="39" t="s">
        <v>48</v>
      </c>
      <c r="L104" s="39" t="s">
        <v>115</v>
      </c>
      <c r="M104" s="115" t="s">
        <v>26</v>
      </c>
      <c r="N104" s="115" t="s">
        <v>85</v>
      </c>
      <c r="O104" s="115" t="s">
        <v>85</v>
      </c>
      <c r="P104" s="40" t="s">
        <v>34</v>
      </c>
      <c r="Q104" s="40" t="s">
        <v>5</v>
      </c>
      <c r="R104" s="40" t="s">
        <v>7</v>
      </c>
      <c r="S104" s="40" t="s">
        <v>193</v>
      </c>
      <c r="T104" s="40" t="s">
        <v>40</v>
      </c>
      <c r="U104" s="40" t="s">
        <v>41</v>
      </c>
      <c r="V104" s="40" t="s">
        <v>42</v>
      </c>
      <c r="W104" s="40" t="s">
        <v>31</v>
      </c>
      <c r="X104" s="40" t="s">
        <v>43</v>
      </c>
      <c r="Y104" s="40" t="s">
        <v>82</v>
      </c>
      <c r="Z104" s="40" t="s">
        <v>87</v>
      </c>
      <c r="AA104" s="40" t="s">
        <v>83</v>
      </c>
      <c r="AB104" s="38" t="s">
        <v>85</v>
      </c>
      <c r="AC104" s="38" t="s">
        <v>26</v>
      </c>
      <c r="AD104" s="38"/>
      <c r="AE104" s="39" t="s">
        <v>16</v>
      </c>
      <c r="AF104" s="39" t="s">
        <v>48</v>
      </c>
      <c r="AG104" s="39" t="s">
        <v>115</v>
      </c>
      <c r="AH104" s="115" t="s">
        <v>26</v>
      </c>
      <c r="AI104" s="115" t="s">
        <v>85</v>
      </c>
      <c r="AJ104" s="115" t="s">
        <v>85</v>
      </c>
      <c r="AK104" s="117"/>
      <c r="AL104" s="117"/>
      <c r="AM104" s="117"/>
      <c r="AN104" s="117"/>
      <c r="AO104" s="117"/>
    </row>
    <row r="105" spans="2:41" x14ac:dyDescent="0.25">
      <c r="B105" s="41" t="s">
        <v>152</v>
      </c>
      <c r="C105">
        <v>2012</v>
      </c>
      <c r="D105" s="116">
        <f>D90*D53</f>
        <v>15236.111111111111</v>
      </c>
      <c r="E105" s="116">
        <f t="shared" ref="D105:J114" si="17">E90*E53</f>
        <v>4083.3333333333326</v>
      </c>
      <c r="F105" s="116">
        <f t="shared" si="17"/>
        <v>6028.2352941176487</v>
      </c>
      <c r="G105" s="116">
        <f t="shared" si="17"/>
        <v>4496.4705882352937</v>
      </c>
      <c r="H105" s="116">
        <f t="shared" si="17"/>
        <v>2659.4117647058824</v>
      </c>
      <c r="I105" s="116">
        <f t="shared" si="17"/>
        <v>917.64705882352951</v>
      </c>
      <c r="J105" s="116">
        <f t="shared" si="17"/>
        <v>1145833.3333333335</v>
      </c>
      <c r="K105" s="116">
        <f t="shared" ref="K105:O114" si="18">K90*K53*1000</f>
        <v>850073.45238095254</v>
      </c>
      <c r="L105" s="116">
        <f t="shared" si="18"/>
        <v>18333.333333333336</v>
      </c>
      <c r="M105" s="116">
        <f t="shared" si="18"/>
        <v>8485.7142857142862</v>
      </c>
      <c r="N105" s="116">
        <f t="shared" si="18"/>
        <v>5202.1857923497273</v>
      </c>
      <c r="O105" s="116">
        <f t="shared" si="18"/>
        <v>8914.2857142857138</v>
      </c>
      <c r="P105" s="116">
        <f t="shared" ref="P105:U114" si="19">P90*P53</f>
        <v>2406.4444444444443</v>
      </c>
      <c r="Q105" s="116">
        <f t="shared" si="19"/>
        <v>55.5</v>
      </c>
      <c r="R105" s="116">
        <f t="shared" si="19"/>
        <v>837</v>
      </c>
      <c r="S105" s="116">
        <f t="shared" si="19"/>
        <v>2772.7777777777774</v>
      </c>
      <c r="T105" s="116">
        <f t="shared" si="19"/>
        <v>33.333333333333336</v>
      </c>
      <c r="U105" s="116">
        <f t="shared" si="19"/>
        <v>96</v>
      </c>
      <c r="V105" s="116">
        <f t="shared" ref="V105:V114" si="20">V90*V53*1000</f>
        <v>1470.0000000000002</v>
      </c>
      <c r="W105" s="116">
        <f t="shared" ref="W105:AA114" si="21">W90*W53</f>
        <v>28.444444444444443</v>
      </c>
      <c r="X105" s="116">
        <f t="shared" si="21"/>
        <v>142.2222222222222</v>
      </c>
      <c r="Y105" s="116">
        <f t="shared" si="21"/>
        <v>75</v>
      </c>
      <c r="Z105" s="116">
        <f t="shared" si="21"/>
        <v>1600.0000000000002</v>
      </c>
      <c r="AA105" s="116">
        <f t="shared" si="21"/>
        <v>1200</v>
      </c>
      <c r="AB105" s="116">
        <f>D105+E105+F105+G105+H105+I105</f>
        <v>33421.209150326802</v>
      </c>
      <c r="AC105" s="116">
        <f>P105+Q105+R105+S105+T105+U105+V105+W105+X105+Y105</f>
        <v>7916.7222222222217</v>
      </c>
      <c r="AD105" s="116"/>
      <c r="AE105" s="116">
        <f t="shared" ref="AE105:AJ105" si="22">J105</f>
        <v>1145833.3333333335</v>
      </c>
      <c r="AF105" s="116">
        <f t="shared" si="22"/>
        <v>850073.45238095254</v>
      </c>
      <c r="AG105" s="116">
        <f t="shared" si="22"/>
        <v>18333.333333333336</v>
      </c>
      <c r="AH105" s="116">
        <f t="shared" si="22"/>
        <v>8485.7142857142862</v>
      </c>
      <c r="AI105" s="116">
        <f t="shared" si="22"/>
        <v>5202.1857923497273</v>
      </c>
      <c r="AJ105" s="116">
        <f t="shared" si="22"/>
        <v>8914.2857142857138</v>
      </c>
      <c r="AK105" s="117"/>
      <c r="AL105" s="117"/>
      <c r="AM105" s="117"/>
      <c r="AN105" s="117"/>
      <c r="AO105" s="117"/>
    </row>
    <row r="106" spans="2:41" x14ac:dyDescent="0.25">
      <c r="C106">
        <v>2013</v>
      </c>
      <c r="D106" s="116">
        <f t="shared" si="17"/>
        <v>13733.333333333332</v>
      </c>
      <c r="E106" s="116">
        <f t="shared" si="17"/>
        <v>6079.9999999999982</v>
      </c>
      <c r="F106" s="116">
        <f t="shared" si="17"/>
        <v>6499.9999999999991</v>
      </c>
      <c r="G106" s="116">
        <f t="shared" si="17"/>
        <v>4496.4705882352937</v>
      </c>
      <c r="H106" s="116">
        <f t="shared" si="17"/>
        <v>3416.4705882352946</v>
      </c>
      <c r="I106" s="116">
        <f t="shared" si="17"/>
        <v>1070.5882352941176</v>
      </c>
      <c r="J106" s="116">
        <f t="shared" si="17"/>
        <v>1258888.888888889</v>
      </c>
      <c r="K106" s="116">
        <f t="shared" si="18"/>
        <v>813247.02380952402</v>
      </c>
      <c r="L106" s="116">
        <f t="shared" si="18"/>
        <v>18333.333333333336</v>
      </c>
      <c r="M106" s="116">
        <f t="shared" si="18"/>
        <v>8768.5714285714294</v>
      </c>
      <c r="N106" s="116">
        <f t="shared" si="18"/>
        <v>4371.5846994535523</v>
      </c>
      <c r="O106" s="116">
        <f t="shared" si="18"/>
        <v>8171.4285714285706</v>
      </c>
      <c r="P106" s="116">
        <f t="shared" si="19"/>
        <v>3400.0000000000005</v>
      </c>
      <c r="Q106" s="116">
        <f t="shared" si="19"/>
        <v>151.25</v>
      </c>
      <c r="R106" s="116">
        <f t="shared" si="19"/>
        <v>885.33333333333348</v>
      </c>
      <c r="S106" s="116">
        <f t="shared" si="19"/>
        <v>5408.833333333333</v>
      </c>
      <c r="T106" s="116">
        <f t="shared" si="19"/>
        <v>146.66666666666669</v>
      </c>
      <c r="U106" s="116">
        <f t="shared" si="19"/>
        <v>367.34693877551018</v>
      </c>
      <c r="V106" s="116">
        <f t="shared" si="20"/>
        <v>1470.0000000000002</v>
      </c>
      <c r="W106" s="116">
        <f t="shared" si="21"/>
        <v>71.1111111111111</v>
      </c>
      <c r="X106" s="116">
        <f t="shared" si="21"/>
        <v>213.33333333333329</v>
      </c>
      <c r="Y106" s="116">
        <f t="shared" si="21"/>
        <v>75</v>
      </c>
      <c r="Z106" s="116">
        <f t="shared" si="21"/>
        <v>1675.0000000000002</v>
      </c>
      <c r="AA106" s="116">
        <f t="shared" si="21"/>
        <v>600</v>
      </c>
      <c r="AB106" s="116">
        <f t="shared" ref="AB106:AB110" si="23">D106+E106+F106+G106+H106+I106</f>
        <v>35296.862745098035</v>
      </c>
      <c r="AC106" s="116">
        <f t="shared" ref="AC106:AC110" si="24">P106+Q106+R106+S106+T106+U106+V106+W106+X106+Y106</f>
        <v>12188.87471655329</v>
      </c>
      <c r="AD106" s="116"/>
      <c r="AE106" s="116">
        <f t="shared" ref="AE106:AE110" si="25">J106</f>
        <v>1258888.888888889</v>
      </c>
      <c r="AF106" s="116">
        <f t="shared" ref="AF106:AF110" si="26">K106</f>
        <v>813247.02380952402</v>
      </c>
      <c r="AG106" s="116">
        <f t="shared" ref="AG106:AG110" si="27">L106</f>
        <v>18333.333333333336</v>
      </c>
      <c r="AH106" s="116">
        <f t="shared" ref="AH106:AH110" si="28">M106</f>
        <v>8768.5714285714294</v>
      </c>
      <c r="AI106" s="116">
        <f t="shared" ref="AI106:AI110" si="29">N106</f>
        <v>4371.5846994535523</v>
      </c>
      <c r="AJ106" s="116">
        <f t="shared" ref="AJ106:AJ110" si="30">O106</f>
        <v>8171.4285714285706</v>
      </c>
      <c r="AK106" s="117"/>
      <c r="AL106" s="117"/>
      <c r="AM106" s="117"/>
      <c r="AN106" s="117"/>
      <c r="AO106" s="117"/>
    </row>
    <row r="107" spans="2:41" x14ac:dyDescent="0.25">
      <c r="C107">
        <v>2014</v>
      </c>
      <c r="D107" s="116">
        <f t="shared" si="17"/>
        <v>12000</v>
      </c>
      <c r="E107" s="116">
        <f t="shared" si="17"/>
        <v>7272.727272727273</v>
      </c>
      <c r="F107" s="116">
        <f t="shared" si="17"/>
        <v>7234.1176470588225</v>
      </c>
      <c r="G107" s="116">
        <f t="shared" si="17"/>
        <v>4496.4705882352937</v>
      </c>
      <c r="H107" s="116">
        <f t="shared" si="17"/>
        <v>3591.1764705882351</v>
      </c>
      <c r="I107" s="116">
        <f t="shared" si="17"/>
        <v>1223.5294117647059</v>
      </c>
      <c r="J107" s="116">
        <f t="shared" si="17"/>
        <v>1166666.6666666667</v>
      </c>
      <c r="K107" s="116">
        <f t="shared" si="18"/>
        <v>775437.5</v>
      </c>
      <c r="L107" s="116">
        <f t="shared" si="18"/>
        <v>21875</v>
      </c>
      <c r="M107" s="116">
        <f t="shared" si="18"/>
        <v>9192.8571428571449</v>
      </c>
      <c r="N107" s="116">
        <f t="shared" si="18"/>
        <v>3666.6666666666665</v>
      </c>
      <c r="O107" s="116">
        <f t="shared" si="18"/>
        <v>7057.1428571428569</v>
      </c>
      <c r="P107" s="116">
        <f t="shared" si="19"/>
        <v>3333.3333333333335</v>
      </c>
      <c r="Q107" s="116">
        <f t="shared" si="19"/>
        <v>332.50000000000006</v>
      </c>
      <c r="R107" s="116">
        <f t="shared" si="19"/>
        <v>1527.2</v>
      </c>
      <c r="S107" s="116">
        <f t="shared" si="19"/>
        <v>8817.9199999999964</v>
      </c>
      <c r="T107" s="116">
        <f t="shared" si="19"/>
        <v>366.66666666666674</v>
      </c>
      <c r="U107" s="116">
        <f t="shared" si="19"/>
        <v>1250</v>
      </c>
      <c r="V107" s="116">
        <f t="shared" si="20"/>
        <v>1470.0000000000002</v>
      </c>
      <c r="W107" s="116">
        <f t="shared" si="21"/>
        <v>77.777777777777786</v>
      </c>
      <c r="X107" s="116">
        <f t="shared" si="21"/>
        <v>264.44444444444446</v>
      </c>
      <c r="Y107" s="116">
        <f t="shared" si="21"/>
        <v>75</v>
      </c>
      <c r="Z107" s="116">
        <f t="shared" si="21"/>
        <v>2000.0000000000002</v>
      </c>
      <c r="AA107" s="116">
        <f t="shared" si="21"/>
        <v>600</v>
      </c>
      <c r="AB107" s="116">
        <f t="shared" si="23"/>
        <v>35818.021390374328</v>
      </c>
      <c r="AC107" s="116">
        <f t="shared" si="24"/>
        <v>17514.842222222222</v>
      </c>
      <c r="AD107" s="116"/>
      <c r="AE107" s="116">
        <f t="shared" si="25"/>
        <v>1166666.6666666667</v>
      </c>
      <c r="AF107" s="116">
        <f t="shared" si="26"/>
        <v>775437.5</v>
      </c>
      <c r="AG107" s="116">
        <f t="shared" si="27"/>
        <v>21875</v>
      </c>
      <c r="AH107" s="116">
        <f t="shared" si="28"/>
        <v>9192.8571428571449</v>
      </c>
      <c r="AI107" s="116">
        <f t="shared" si="29"/>
        <v>3666.6666666666665</v>
      </c>
      <c r="AJ107" s="116">
        <f t="shared" si="30"/>
        <v>7057.1428571428569</v>
      </c>
      <c r="AK107" s="117"/>
      <c r="AL107" s="117"/>
      <c r="AM107" s="117"/>
      <c r="AN107" s="117"/>
      <c r="AO107" s="117"/>
    </row>
    <row r="108" spans="2:41" x14ac:dyDescent="0.25">
      <c r="C108">
        <v>2015</v>
      </c>
      <c r="D108" s="116">
        <f t="shared" si="17"/>
        <v>10988.888888888889</v>
      </c>
      <c r="E108" s="116">
        <f t="shared" si="17"/>
        <v>7155.5555555555584</v>
      </c>
      <c r="F108" s="116">
        <f t="shared" si="17"/>
        <v>7200</v>
      </c>
      <c r="G108" s="116">
        <f t="shared" si="17"/>
        <v>4323.5294117647054</v>
      </c>
      <c r="H108" s="116">
        <f t="shared" si="17"/>
        <v>3610.588235294118</v>
      </c>
      <c r="I108" s="116">
        <f t="shared" si="17"/>
        <v>1270.5882352941178</v>
      </c>
      <c r="J108" s="116">
        <f t="shared" si="17"/>
        <v>1235294.1176470588</v>
      </c>
      <c r="K108" s="116">
        <f t="shared" si="18"/>
        <v>812169.64285714284</v>
      </c>
      <c r="L108" s="116">
        <f t="shared" si="18"/>
        <v>24062.5</v>
      </c>
      <c r="M108" s="116">
        <f t="shared" si="18"/>
        <v>9192.8571428571449</v>
      </c>
      <c r="N108" s="116">
        <f t="shared" si="18"/>
        <v>1777.7777777777776</v>
      </c>
      <c r="O108" s="116">
        <f t="shared" si="18"/>
        <v>7057.1428571428569</v>
      </c>
      <c r="P108" s="116">
        <f t="shared" si="19"/>
        <v>5486.9684499314117</v>
      </c>
      <c r="Q108" s="116">
        <f t="shared" si="19"/>
        <v>1440</v>
      </c>
      <c r="R108" s="116">
        <f t="shared" si="19"/>
        <v>2888.8888888888887</v>
      </c>
      <c r="S108" s="116">
        <f t="shared" si="19"/>
        <v>28888.888888888894</v>
      </c>
      <c r="T108" s="116">
        <f t="shared" si="19"/>
        <v>550.00000000000011</v>
      </c>
      <c r="U108" s="116">
        <f t="shared" si="19"/>
        <v>1467.3913043478262</v>
      </c>
      <c r="V108" s="116">
        <f t="shared" si="20"/>
        <v>1470.0000000000002</v>
      </c>
      <c r="W108" s="116">
        <f t="shared" si="21"/>
        <v>145.83333333333337</v>
      </c>
      <c r="X108" s="116">
        <f t="shared" si="21"/>
        <v>324.07407407407408</v>
      </c>
      <c r="Y108" s="116">
        <f t="shared" si="21"/>
        <v>75</v>
      </c>
      <c r="Z108" s="116">
        <f t="shared" si="21"/>
        <v>1750</v>
      </c>
      <c r="AA108" s="116">
        <f t="shared" si="21"/>
        <v>14999.999999999998</v>
      </c>
      <c r="AB108" s="116">
        <f t="shared" si="23"/>
        <v>34549.150326797389</v>
      </c>
      <c r="AC108" s="116">
        <f t="shared" si="24"/>
        <v>42737.044939464431</v>
      </c>
      <c r="AD108" s="116"/>
      <c r="AE108" s="116">
        <f t="shared" si="25"/>
        <v>1235294.1176470588</v>
      </c>
      <c r="AF108" s="116">
        <f t="shared" si="26"/>
        <v>812169.64285714284</v>
      </c>
      <c r="AG108" s="116">
        <f t="shared" si="27"/>
        <v>24062.5</v>
      </c>
      <c r="AH108" s="116">
        <f t="shared" si="28"/>
        <v>9192.8571428571449</v>
      </c>
      <c r="AI108" s="116">
        <f t="shared" si="29"/>
        <v>1777.7777777777776</v>
      </c>
      <c r="AJ108" s="116">
        <f t="shared" si="30"/>
        <v>7057.1428571428569</v>
      </c>
      <c r="AK108" s="117"/>
      <c r="AL108" s="117"/>
      <c r="AM108" s="117"/>
      <c r="AN108" s="117"/>
      <c r="AO108" s="117"/>
    </row>
    <row r="109" spans="2:41" x14ac:dyDescent="0.25">
      <c r="C109">
        <v>2016</v>
      </c>
      <c r="D109" s="116">
        <f t="shared" si="17"/>
        <v>10988.888888888889</v>
      </c>
      <c r="E109" s="116">
        <f t="shared" si="17"/>
        <v>6388.8888888888896</v>
      </c>
      <c r="F109" s="116">
        <f t="shared" si="17"/>
        <v>7552.9411764705901</v>
      </c>
      <c r="G109" s="116">
        <f t="shared" si="17"/>
        <v>4323.5294117647054</v>
      </c>
      <c r="H109" s="116">
        <f t="shared" si="17"/>
        <v>3882.3529411764712</v>
      </c>
      <c r="I109" s="116">
        <f t="shared" si="17"/>
        <v>1364.7058823529412</v>
      </c>
      <c r="J109" s="116">
        <f t="shared" si="17"/>
        <v>1378125</v>
      </c>
      <c r="K109" s="116">
        <f t="shared" si="18"/>
        <v>948165.41353383462</v>
      </c>
      <c r="L109" s="116">
        <f t="shared" si="18"/>
        <v>22916.666666666672</v>
      </c>
      <c r="M109" s="116">
        <f t="shared" si="18"/>
        <v>9192.8571428571449</v>
      </c>
      <c r="N109" s="116">
        <f t="shared" si="18"/>
        <v>1466.6666666666665</v>
      </c>
      <c r="O109" s="116">
        <f t="shared" si="18"/>
        <v>6685.7142857142862</v>
      </c>
      <c r="P109" s="116">
        <f t="shared" si="19"/>
        <v>4609.0534979423855</v>
      </c>
      <c r="Q109" s="116">
        <f t="shared" si="19"/>
        <v>1968.75</v>
      </c>
      <c r="R109" s="116">
        <f t="shared" si="19"/>
        <v>4666.6666666666679</v>
      </c>
      <c r="S109" s="116">
        <f t="shared" si="19"/>
        <v>41555.555555555555</v>
      </c>
      <c r="T109" s="116">
        <f t="shared" si="19"/>
        <v>2016.6666666666665</v>
      </c>
      <c r="U109" s="116">
        <f t="shared" si="19"/>
        <v>1718.7500000000002</v>
      </c>
      <c r="V109" s="116">
        <f t="shared" si="20"/>
        <v>1470.0000000000002</v>
      </c>
      <c r="W109" s="116">
        <f t="shared" si="21"/>
        <v>222.22222222222223</v>
      </c>
      <c r="X109" s="116">
        <f t="shared" si="21"/>
        <v>347.22222222222217</v>
      </c>
      <c r="Y109" s="116">
        <f t="shared" si="21"/>
        <v>75</v>
      </c>
      <c r="Z109" s="116">
        <f t="shared" si="21"/>
        <v>1750</v>
      </c>
      <c r="AA109" s="116">
        <f t="shared" si="21"/>
        <v>7499.9999999999991</v>
      </c>
      <c r="AB109" s="116">
        <f t="shared" si="23"/>
        <v>34501.307189542487</v>
      </c>
      <c r="AC109" s="116">
        <f t="shared" si="24"/>
        <v>58649.886831275711</v>
      </c>
      <c r="AD109" s="116"/>
      <c r="AE109" s="116">
        <f t="shared" si="25"/>
        <v>1378125</v>
      </c>
      <c r="AF109" s="116">
        <f t="shared" si="26"/>
        <v>948165.41353383462</v>
      </c>
      <c r="AG109" s="116">
        <f t="shared" si="27"/>
        <v>22916.666666666672</v>
      </c>
      <c r="AH109" s="116">
        <f t="shared" si="28"/>
        <v>9192.8571428571449</v>
      </c>
      <c r="AI109" s="116">
        <f t="shared" si="29"/>
        <v>1466.6666666666665</v>
      </c>
      <c r="AJ109" s="116">
        <f t="shared" si="30"/>
        <v>6685.7142857142862</v>
      </c>
      <c r="AK109" s="117"/>
      <c r="AL109" s="117"/>
      <c r="AM109" s="117"/>
      <c r="AN109" s="117"/>
      <c r="AO109" s="117"/>
    </row>
    <row r="110" spans="2:41" x14ac:dyDescent="0.25">
      <c r="C110">
        <v>2017</v>
      </c>
      <c r="D110" s="116">
        <f t="shared" si="17"/>
        <v>10454.294294294294</v>
      </c>
      <c r="E110" s="116">
        <f t="shared" si="17"/>
        <v>5351.3513513513517</v>
      </c>
      <c r="F110" s="116">
        <f t="shared" si="17"/>
        <v>7902.745098039215</v>
      </c>
      <c r="G110" s="116">
        <f t="shared" si="17"/>
        <v>4323.5294117647054</v>
      </c>
      <c r="H110" s="116">
        <f t="shared" si="17"/>
        <v>5435.2941176470586</v>
      </c>
      <c r="I110" s="116">
        <f t="shared" si="17"/>
        <v>1458.8235294117646</v>
      </c>
      <c r="J110" s="116">
        <f t="shared" si="17"/>
        <v>1575000</v>
      </c>
      <c r="K110" s="116">
        <f t="shared" si="18"/>
        <v>919419.64285714296</v>
      </c>
      <c r="L110" s="116">
        <f t="shared" si="18"/>
        <v>22423.958333333336</v>
      </c>
      <c r="M110" s="116">
        <f t="shared" si="18"/>
        <v>9192.8571428571449</v>
      </c>
      <c r="N110" s="116">
        <f t="shared" si="18"/>
        <v>733.33333333333326</v>
      </c>
      <c r="O110" s="116">
        <f t="shared" si="18"/>
        <v>6314.2857142857138</v>
      </c>
      <c r="P110" s="116">
        <f t="shared" si="19"/>
        <v>4000</v>
      </c>
      <c r="Q110" s="116">
        <f t="shared" si="19"/>
        <v>3300</v>
      </c>
      <c r="R110" s="116">
        <f t="shared" si="19"/>
        <v>9000</v>
      </c>
      <c r="S110" s="116">
        <f t="shared" si="19"/>
        <v>50000</v>
      </c>
      <c r="T110" s="116">
        <f t="shared" si="19"/>
        <v>4888.8888888888896</v>
      </c>
      <c r="U110" s="116">
        <f t="shared" si="19"/>
        <v>2571.428571428572</v>
      </c>
      <c r="V110" s="116">
        <f t="shared" si="20"/>
        <v>1470.0000000000002</v>
      </c>
      <c r="W110" s="116">
        <f t="shared" si="21"/>
        <v>349.99999999999989</v>
      </c>
      <c r="X110" s="116">
        <f t="shared" si="21"/>
        <v>749.99999999999989</v>
      </c>
      <c r="Y110" s="116">
        <f t="shared" si="21"/>
        <v>75</v>
      </c>
      <c r="Z110" s="116">
        <f t="shared" si="21"/>
        <v>1312.4999999999995</v>
      </c>
      <c r="AA110" s="116">
        <f t="shared" si="21"/>
        <v>7499.9999999999991</v>
      </c>
      <c r="AB110" s="116">
        <f t="shared" si="23"/>
        <v>34926.037802508385</v>
      </c>
      <c r="AC110" s="116">
        <f t="shared" si="24"/>
        <v>76405.317460317456</v>
      </c>
      <c r="AD110" s="116"/>
      <c r="AE110" s="116">
        <f t="shared" si="25"/>
        <v>1575000</v>
      </c>
      <c r="AF110" s="116">
        <f t="shared" si="26"/>
        <v>919419.64285714296</v>
      </c>
      <c r="AG110" s="116">
        <f t="shared" si="27"/>
        <v>22423.958333333336</v>
      </c>
      <c r="AH110" s="116">
        <f t="shared" si="28"/>
        <v>9192.8571428571449</v>
      </c>
      <c r="AI110" s="116">
        <f t="shared" si="29"/>
        <v>733.33333333333326</v>
      </c>
      <c r="AJ110" s="116">
        <f t="shared" si="30"/>
        <v>6314.2857142857138</v>
      </c>
      <c r="AK110" s="117"/>
      <c r="AL110" s="117"/>
      <c r="AM110" s="117"/>
      <c r="AN110" s="117"/>
      <c r="AO110" s="117"/>
    </row>
    <row r="111" spans="2:41" x14ac:dyDescent="0.25">
      <c r="C111">
        <v>2018</v>
      </c>
      <c r="D111" s="116">
        <f t="shared" si="17"/>
        <v>9777.7777777777756</v>
      </c>
      <c r="E111" s="116">
        <f t="shared" si="17"/>
        <v>4253.333333333333</v>
      </c>
      <c r="F111" s="116">
        <f t="shared" si="17"/>
        <v>8355.4325259515572</v>
      </c>
      <c r="G111" s="116">
        <f t="shared" si="17"/>
        <v>5188.2352941176478</v>
      </c>
      <c r="H111" s="116">
        <f t="shared" si="17"/>
        <v>5299.4117647058829</v>
      </c>
      <c r="I111" s="116">
        <f t="shared" si="17"/>
        <v>3105.8823529411766</v>
      </c>
      <c r="J111" s="116">
        <f t="shared" si="17"/>
        <v>1429166.6666666667</v>
      </c>
      <c r="K111" s="116">
        <f t="shared" si="18"/>
        <v>1042741.0714285716</v>
      </c>
      <c r="L111" s="116">
        <f t="shared" si="18"/>
        <v>20625</v>
      </c>
      <c r="M111" s="116">
        <f t="shared" si="18"/>
        <v>9192.8571428571449</v>
      </c>
      <c r="N111" s="116">
        <f t="shared" si="18"/>
        <v>293.33333333333331</v>
      </c>
      <c r="O111" s="116">
        <f t="shared" si="18"/>
        <v>5571.4285714285716</v>
      </c>
      <c r="P111" s="116">
        <f t="shared" si="19"/>
        <v>3888.8888888888891</v>
      </c>
      <c r="Q111" s="116">
        <f t="shared" si="19"/>
        <v>3850.0000000000005</v>
      </c>
      <c r="R111" s="116">
        <f t="shared" si="19"/>
        <v>11520</v>
      </c>
      <c r="S111" s="116">
        <f t="shared" si="19"/>
        <v>80000</v>
      </c>
      <c r="T111" s="116">
        <f t="shared" si="19"/>
        <v>6111.1111111111122</v>
      </c>
      <c r="U111" s="116">
        <f t="shared" si="19"/>
        <v>3857.1428571428573</v>
      </c>
      <c r="V111" s="116">
        <f t="shared" si="20"/>
        <v>0</v>
      </c>
      <c r="W111" s="116">
        <f t="shared" si="21"/>
        <v>149.99999999999997</v>
      </c>
      <c r="X111" s="116">
        <f t="shared" si="21"/>
        <v>624.99999999999989</v>
      </c>
      <c r="Y111" s="116">
        <f t="shared" si="21"/>
        <v>75</v>
      </c>
      <c r="Z111" s="116">
        <f t="shared" si="21"/>
        <v>206.25</v>
      </c>
      <c r="AA111" s="116">
        <f t="shared" si="21"/>
        <v>10714.285714285716</v>
      </c>
      <c r="AB111" s="116">
        <f t="shared" ref="AB111:AB118" si="31">D111+E111+F111+G111+H111+I111</f>
        <v>35980.073048827369</v>
      </c>
      <c r="AC111" s="116">
        <f t="shared" ref="AC111" si="32">P111+Q111+R111+S111+T111+U111+V111+W111+X111+Y111</f>
        <v>110077.14285714286</v>
      </c>
      <c r="AD111" s="116"/>
      <c r="AE111" s="116">
        <f t="shared" ref="AE111:AE112" si="33">J111</f>
        <v>1429166.6666666667</v>
      </c>
      <c r="AF111" s="116">
        <f t="shared" ref="AF111:AF112" si="34">K111</f>
        <v>1042741.0714285716</v>
      </c>
      <c r="AG111" s="116">
        <f t="shared" ref="AG111:AG112" si="35">L111</f>
        <v>20625</v>
      </c>
      <c r="AH111" s="116">
        <f t="shared" ref="AH111:AH112" si="36">M111</f>
        <v>9192.8571428571449</v>
      </c>
      <c r="AI111" s="116">
        <f t="shared" ref="AI111:AI112" si="37">N111</f>
        <v>293.33333333333331</v>
      </c>
      <c r="AJ111" s="116">
        <f t="shared" ref="AJ111:AJ112" si="38">O111</f>
        <v>5571.4285714285716</v>
      </c>
      <c r="AK111" s="117"/>
      <c r="AL111" s="117"/>
      <c r="AM111" s="117"/>
      <c r="AN111" s="117"/>
      <c r="AO111" s="117"/>
    </row>
    <row r="112" spans="2:41" x14ac:dyDescent="0.25">
      <c r="C112">
        <v>2019</v>
      </c>
      <c r="D112" s="116">
        <f t="shared" si="17"/>
        <v>8684.2105263157882</v>
      </c>
      <c r="E112" s="116">
        <f t="shared" si="17"/>
        <v>4029.4736842105262</v>
      </c>
      <c r="F112" s="116">
        <f t="shared" si="17"/>
        <v>7203</v>
      </c>
      <c r="G112" s="116">
        <f t="shared" si="17"/>
        <v>5716.6666666666661</v>
      </c>
      <c r="H112" s="116">
        <f t="shared" si="17"/>
        <v>7570.588235294118</v>
      </c>
      <c r="I112" s="116">
        <f t="shared" si="17"/>
        <v>5823.5294117647063</v>
      </c>
      <c r="J112" s="116">
        <f t="shared" si="17"/>
        <v>1568700</v>
      </c>
      <c r="K112" s="116">
        <f t="shared" si="18"/>
        <v>1121587.5</v>
      </c>
      <c r="L112" s="116">
        <f t="shared" si="18"/>
        <v>19479.166666666672</v>
      </c>
      <c r="M112" s="116">
        <f t="shared" si="18"/>
        <v>8485.7142857142862</v>
      </c>
      <c r="N112" s="116">
        <f t="shared" si="18"/>
        <v>105</v>
      </c>
      <c r="O112" s="116">
        <f t="shared" si="18"/>
        <v>2080</v>
      </c>
      <c r="P112" s="116">
        <f t="shared" si="19"/>
        <v>3666.6666666666665</v>
      </c>
      <c r="Q112" s="116">
        <f t="shared" si="19"/>
        <v>4124.9999999999991</v>
      </c>
      <c r="R112" s="116">
        <f t="shared" si="19"/>
        <v>11040</v>
      </c>
      <c r="S112" s="116">
        <f t="shared" si="19"/>
        <v>167466.66666666669</v>
      </c>
      <c r="T112" s="116">
        <f t="shared" si="19"/>
        <v>7333.3333333333339</v>
      </c>
      <c r="U112" s="116">
        <f>U97*U60</f>
        <v>5500.0000000000009</v>
      </c>
      <c r="V112" s="116">
        <f t="shared" si="20"/>
        <v>0</v>
      </c>
      <c r="W112" s="116">
        <f t="shared" si="21"/>
        <v>380.95238095238091</v>
      </c>
      <c r="X112" s="116">
        <f t="shared" si="21"/>
        <v>681.81818181818176</v>
      </c>
      <c r="Y112" s="116">
        <f t="shared" si="21"/>
        <v>75</v>
      </c>
      <c r="Z112" s="116">
        <f t="shared" si="21"/>
        <v>206.25</v>
      </c>
      <c r="AA112" s="116">
        <f t="shared" si="21"/>
        <v>12857.142857142859</v>
      </c>
      <c r="AB112" s="116">
        <f t="shared" si="31"/>
        <v>39027.468524251803</v>
      </c>
      <c r="AC112" s="116">
        <f>T112+U112+V112+W112+X112+Y112</f>
        <v>13971.103896103899</v>
      </c>
      <c r="AD112" s="116">
        <f>Q112+R112+S112</f>
        <v>182631.66666666669</v>
      </c>
      <c r="AE112" s="116">
        <f t="shared" si="33"/>
        <v>1568700</v>
      </c>
      <c r="AF112" s="116">
        <f t="shared" si="34"/>
        <v>1121587.5</v>
      </c>
      <c r="AG112" s="116">
        <f t="shared" si="35"/>
        <v>19479.166666666672</v>
      </c>
      <c r="AH112" s="116">
        <f t="shared" si="36"/>
        <v>8485.7142857142862</v>
      </c>
      <c r="AI112" s="116">
        <f t="shared" si="37"/>
        <v>105</v>
      </c>
      <c r="AJ112" s="116">
        <f t="shared" si="38"/>
        <v>2080</v>
      </c>
      <c r="AK112" s="117"/>
      <c r="AL112" s="117"/>
      <c r="AM112" s="117"/>
      <c r="AN112" s="117"/>
      <c r="AO112" s="117"/>
    </row>
    <row r="113" spans="2:42" x14ac:dyDescent="0.25">
      <c r="C113">
        <v>2020</v>
      </c>
      <c r="D113" s="116">
        <f t="shared" si="17"/>
        <v>8360</v>
      </c>
      <c r="E113" s="116">
        <f t="shared" si="17"/>
        <v>3827.9999999999991</v>
      </c>
      <c r="F113" s="116">
        <f t="shared" si="17"/>
        <v>7317.333333333333</v>
      </c>
      <c r="G113" s="116">
        <f t="shared" si="17"/>
        <v>5716.6666666666661</v>
      </c>
      <c r="H113" s="116">
        <f t="shared" si="17"/>
        <v>7570.588235294118</v>
      </c>
      <c r="I113" s="116">
        <f t="shared" si="17"/>
        <v>5823.5294117647063</v>
      </c>
      <c r="J113" s="116">
        <f t="shared" si="17"/>
        <v>1528275</v>
      </c>
      <c r="K113" s="116">
        <f t="shared" si="18"/>
        <v>904577.14285714296</v>
      </c>
      <c r="L113" s="116">
        <f t="shared" si="18"/>
        <v>74375</v>
      </c>
      <c r="M113" s="116">
        <f t="shared" si="18"/>
        <v>0</v>
      </c>
      <c r="N113" s="116">
        <f t="shared" si="18"/>
        <v>0</v>
      </c>
      <c r="O113" s="116">
        <f t="shared" si="18"/>
        <v>1097.7777777777778</v>
      </c>
      <c r="P113" s="116">
        <f t="shared" si="19"/>
        <v>4000</v>
      </c>
      <c r="Q113" s="116">
        <f t="shared" si="19"/>
        <v>4688.75</v>
      </c>
      <c r="R113" s="116">
        <f t="shared" si="19"/>
        <v>27358.5</v>
      </c>
      <c r="S113" s="116">
        <f t="shared" si="19"/>
        <v>296000.00000000006</v>
      </c>
      <c r="T113" s="116">
        <f t="shared" si="19"/>
        <v>10476.190476190477</v>
      </c>
      <c r="U113" s="116">
        <f t="shared" si="19"/>
        <v>7000</v>
      </c>
      <c r="V113" s="116">
        <f t="shared" si="20"/>
        <v>0</v>
      </c>
      <c r="W113" s="116">
        <f t="shared" si="21"/>
        <v>444.44444444444446</v>
      </c>
      <c r="X113" s="116">
        <f t="shared" si="21"/>
        <v>1000</v>
      </c>
      <c r="Y113" s="116">
        <f t="shared" si="21"/>
        <v>75</v>
      </c>
      <c r="Z113" s="116">
        <f t="shared" si="21"/>
        <v>206.25</v>
      </c>
      <c r="AA113" s="116">
        <f t="shared" si="21"/>
        <v>12857.142857142859</v>
      </c>
      <c r="AB113" s="116">
        <f t="shared" si="31"/>
        <v>38616.117647058825</v>
      </c>
      <c r="AC113" s="116">
        <f>T113+U113+V113+W113+X113+Y113</f>
        <v>18995.634920634922</v>
      </c>
      <c r="AD113" s="116">
        <f>Q113+R113+S113</f>
        <v>328047.25000000006</v>
      </c>
      <c r="AE113" s="116">
        <f t="shared" ref="AE113" si="39">J113</f>
        <v>1528275</v>
      </c>
      <c r="AF113" s="116">
        <f t="shared" ref="AF113" si="40">K113</f>
        <v>904577.14285714296</v>
      </c>
      <c r="AG113" s="116">
        <f t="shared" ref="AG113" si="41">L113</f>
        <v>74375</v>
      </c>
      <c r="AH113" s="116">
        <f t="shared" ref="AH113" si="42">M113</f>
        <v>0</v>
      </c>
      <c r="AI113" s="116">
        <f t="shared" ref="AI113" si="43">N113</f>
        <v>0</v>
      </c>
      <c r="AJ113" s="116">
        <f t="shared" ref="AJ113" si="44">O113</f>
        <v>1097.7777777777778</v>
      </c>
      <c r="AK113" s="117"/>
      <c r="AL113" s="117"/>
      <c r="AM113" s="117"/>
      <c r="AN113" s="117"/>
      <c r="AO113" s="117"/>
    </row>
    <row r="114" spans="2:42" x14ac:dyDescent="0.25">
      <c r="C114">
        <v>2021</v>
      </c>
      <c r="D114" s="116">
        <f t="shared" si="17"/>
        <v>8800</v>
      </c>
      <c r="E114" s="116">
        <f t="shared" si="17"/>
        <v>4029.4736842105262</v>
      </c>
      <c r="F114" s="116">
        <f t="shared" si="17"/>
        <v>8130.3703703703677</v>
      </c>
      <c r="G114" s="116">
        <f t="shared" si="17"/>
        <v>5716.6666666666661</v>
      </c>
      <c r="H114" s="116">
        <f t="shared" si="17"/>
        <v>7570.588235294118</v>
      </c>
      <c r="I114" s="116">
        <f t="shared" si="17"/>
        <v>5823.5294117647063</v>
      </c>
      <c r="J114" s="116">
        <f t="shared" si="17"/>
        <v>1565550</v>
      </c>
      <c r="K114" s="116">
        <f t="shared" si="18"/>
        <v>8184.5238095238101</v>
      </c>
      <c r="L114" s="116">
        <f t="shared" si="18"/>
        <v>0</v>
      </c>
      <c r="M114" s="116">
        <f t="shared" si="18"/>
        <v>0</v>
      </c>
      <c r="N114" s="116">
        <f t="shared" si="18"/>
        <v>0</v>
      </c>
      <c r="O114" s="116">
        <f t="shared" si="18"/>
        <v>0</v>
      </c>
      <c r="P114" s="116">
        <f t="shared" si="19"/>
        <v>6666.6666666666661</v>
      </c>
      <c r="Q114" s="116">
        <f t="shared" si="19"/>
        <v>4688.75</v>
      </c>
      <c r="R114" s="116">
        <f t="shared" si="19"/>
        <v>27358.5</v>
      </c>
      <c r="S114" s="116">
        <f t="shared" si="19"/>
        <v>298055.5555555555</v>
      </c>
      <c r="T114" s="116">
        <f t="shared" si="19"/>
        <v>13095.238095238094</v>
      </c>
      <c r="U114" s="116">
        <f t="shared" si="19"/>
        <v>8000.0000000000009</v>
      </c>
      <c r="V114" s="116">
        <f t="shared" si="20"/>
        <v>0</v>
      </c>
      <c r="W114" s="116">
        <f t="shared" si="21"/>
        <v>444.44444444444446</v>
      </c>
      <c r="X114" s="116">
        <f t="shared" si="21"/>
        <v>1000</v>
      </c>
      <c r="Y114" s="116">
        <f t="shared" si="21"/>
        <v>75</v>
      </c>
      <c r="Z114" s="116">
        <f t="shared" si="21"/>
        <v>206.25</v>
      </c>
      <c r="AA114" s="116">
        <f t="shared" si="21"/>
        <v>9000.0000000000018</v>
      </c>
      <c r="AB114" s="116">
        <f t="shared" ref="AB114" si="45">D114+E114+F114+G114+H114+I114</f>
        <v>40070.628368306388</v>
      </c>
      <c r="AC114" s="116">
        <f>T114+U114+V114+W114+X114+Y114</f>
        <v>22614.682539682541</v>
      </c>
      <c r="AD114" s="116">
        <f>Q114+R114+S114</f>
        <v>330102.8055555555</v>
      </c>
      <c r="AE114" s="116">
        <f t="shared" ref="AE114" si="46">J114</f>
        <v>1565550</v>
      </c>
      <c r="AF114" s="116">
        <f t="shared" ref="AF114" si="47">K114</f>
        <v>8184.5238095238101</v>
      </c>
      <c r="AG114" s="116">
        <f t="shared" ref="AG114" si="48">L114</f>
        <v>0</v>
      </c>
      <c r="AH114" s="116">
        <f t="shared" ref="AH114" si="49">M114</f>
        <v>0</v>
      </c>
      <c r="AI114" s="116">
        <f t="shared" ref="AI114" si="50">N114</f>
        <v>0</v>
      </c>
      <c r="AJ114" s="116">
        <f t="shared" ref="AJ114" si="51">O114</f>
        <v>0</v>
      </c>
      <c r="AK114" s="117"/>
      <c r="AL114" s="117"/>
      <c r="AM114" s="117"/>
      <c r="AN114" s="117"/>
      <c r="AO114" s="117"/>
    </row>
    <row r="115" spans="2:42" x14ac:dyDescent="0.25"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7"/>
      <c r="AL115" s="117"/>
      <c r="AM115" s="117"/>
      <c r="AN115" s="117"/>
      <c r="AO115" s="117"/>
    </row>
    <row r="116" spans="2:42" x14ac:dyDescent="0.25"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7"/>
      <c r="AL116" s="117"/>
      <c r="AM116" s="117"/>
      <c r="AN116" s="117"/>
      <c r="AO116" s="117"/>
    </row>
    <row r="117" spans="2:42" x14ac:dyDescent="0.25"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23" t="s">
        <v>430</v>
      </c>
      <c r="AC117" s="116">
        <f t="shared" ref="AC117:AC118" si="52">T117+U117+V117+W117+X117+Y117</f>
        <v>0</v>
      </c>
      <c r="AD117" s="23" t="s">
        <v>8</v>
      </c>
      <c r="AE117" s="116"/>
      <c r="AF117" s="116"/>
      <c r="AG117" s="116"/>
      <c r="AH117" s="116"/>
      <c r="AI117" s="116"/>
      <c r="AJ117" s="116"/>
      <c r="AK117" s="117" t="s">
        <v>139</v>
      </c>
      <c r="AL117" s="117" t="s">
        <v>13</v>
      </c>
      <c r="AM117" s="117" t="s">
        <v>433</v>
      </c>
      <c r="AN117" s="117" t="s">
        <v>434</v>
      </c>
      <c r="AO117" s="117" t="s">
        <v>9</v>
      </c>
    </row>
    <row r="118" spans="2:42" x14ac:dyDescent="0.25">
      <c r="B118" t="s">
        <v>432</v>
      </c>
      <c r="C118">
        <v>2025</v>
      </c>
      <c r="D118" s="116">
        <f>D112*1.1</f>
        <v>9552.6315789473683</v>
      </c>
      <c r="E118" s="116">
        <f t="shared" ref="E118:I118" si="53">E112*1.1</f>
        <v>4432.4210526315792</v>
      </c>
      <c r="F118" s="116">
        <f t="shared" si="53"/>
        <v>7923.3000000000011</v>
      </c>
      <c r="G118" s="116">
        <f t="shared" si="53"/>
        <v>6288.333333333333</v>
      </c>
      <c r="H118" s="116">
        <f t="shared" si="53"/>
        <v>8327.6470588235297</v>
      </c>
      <c r="I118" s="116">
        <f t="shared" si="53"/>
        <v>6405.8823529411775</v>
      </c>
      <c r="J118" s="116">
        <f>J112</f>
        <v>1568700</v>
      </c>
      <c r="K118" s="116">
        <f>K112*1.1</f>
        <v>1233746.25</v>
      </c>
      <c r="L118" s="116">
        <f>L112</f>
        <v>19479.166666666672</v>
      </c>
      <c r="M118" s="116">
        <f>M112</f>
        <v>8485.7142857142862</v>
      </c>
      <c r="N118" s="116">
        <f t="shared" ref="N118:AA118" si="54">N112</f>
        <v>105</v>
      </c>
      <c r="O118" s="116">
        <f t="shared" si="54"/>
        <v>2080</v>
      </c>
      <c r="P118" s="116">
        <f t="shared" si="54"/>
        <v>3666.6666666666665</v>
      </c>
      <c r="Q118" s="116">
        <f>Q112*1.5</f>
        <v>6187.4999999999982</v>
      </c>
      <c r="R118" s="116">
        <f>R112*5</f>
        <v>55200</v>
      </c>
      <c r="S118" s="116">
        <f>S112*20</f>
        <v>3349333.333333334</v>
      </c>
      <c r="T118" s="116">
        <f t="shared" si="54"/>
        <v>7333.3333333333339</v>
      </c>
      <c r="U118" s="116">
        <f t="shared" si="54"/>
        <v>5500.0000000000009</v>
      </c>
      <c r="V118" s="116">
        <f t="shared" si="54"/>
        <v>0</v>
      </c>
      <c r="W118" s="116">
        <f t="shared" si="54"/>
        <v>380.95238095238091</v>
      </c>
      <c r="X118" s="116">
        <f t="shared" si="54"/>
        <v>681.81818181818176</v>
      </c>
      <c r="Y118" s="116">
        <f t="shared" si="54"/>
        <v>75</v>
      </c>
      <c r="Z118" s="116">
        <f t="shared" si="54"/>
        <v>206.25</v>
      </c>
      <c r="AA118" s="116">
        <f t="shared" si="54"/>
        <v>12857.142857142859</v>
      </c>
      <c r="AB118" s="116">
        <f t="shared" si="31"/>
        <v>42930.215376676984</v>
      </c>
      <c r="AC118" s="116">
        <f t="shared" si="52"/>
        <v>13971.103896103899</v>
      </c>
      <c r="AD118" s="116">
        <f>P118+Q118+R118+S118</f>
        <v>3414387.5000000005</v>
      </c>
      <c r="AE118" s="116">
        <f>J118</f>
        <v>1568700</v>
      </c>
      <c r="AF118" s="116">
        <f t="shared" ref="AF118:AG118" si="55">K118</f>
        <v>1233746.25</v>
      </c>
      <c r="AG118" s="116">
        <f t="shared" si="55"/>
        <v>19479.166666666672</v>
      </c>
      <c r="AH118" s="116">
        <f>AH112</f>
        <v>8485.7142857142862</v>
      </c>
      <c r="AI118" s="116">
        <f t="shared" ref="AI118:AJ118" si="56">AI112</f>
        <v>105</v>
      </c>
      <c r="AJ118" s="116">
        <f t="shared" si="56"/>
        <v>2080</v>
      </c>
      <c r="AK118" s="244">
        <f>AE118+AF118+AG118</f>
        <v>2821925.4166666665</v>
      </c>
      <c r="AL118" s="244">
        <f>AB118+AC118+AD118</f>
        <v>3471288.8192727813</v>
      </c>
      <c r="AM118" s="244">
        <f>AM103</f>
        <v>10670.714285714286</v>
      </c>
      <c r="AN118" s="244">
        <f t="shared" ref="AN118:AO118" si="57">AN103</f>
        <v>240000</v>
      </c>
      <c r="AO118" s="244">
        <f t="shared" si="57"/>
        <v>5000</v>
      </c>
      <c r="AP118" s="245">
        <v>2025</v>
      </c>
    </row>
    <row r="119" spans="2:42" x14ac:dyDescent="0.25">
      <c r="AE119">
        <v>1103000</v>
      </c>
      <c r="AF119">
        <v>442000</v>
      </c>
      <c r="AG119">
        <v>6700</v>
      </c>
      <c r="AH119">
        <v>6000</v>
      </c>
      <c r="AI119">
        <v>4000</v>
      </c>
    </row>
    <row r="120" spans="2:42" x14ac:dyDescent="0.25">
      <c r="B120" s="5" t="s">
        <v>104</v>
      </c>
      <c r="C120">
        <v>2012</v>
      </c>
      <c r="D120" s="116">
        <f t="shared" ref="D120:J129" si="58">D23/D38*1000</f>
        <v>179.99999999999997</v>
      </c>
      <c r="E120" s="116">
        <f t="shared" si="58"/>
        <v>180.00000000000003</v>
      </c>
      <c r="F120" s="116">
        <f t="shared" si="58"/>
        <v>169.99999999999997</v>
      </c>
      <c r="G120" s="116">
        <f t="shared" si="58"/>
        <v>170</v>
      </c>
      <c r="H120" s="116">
        <f t="shared" si="58"/>
        <v>170</v>
      </c>
      <c r="I120" s="116">
        <f t="shared" si="58"/>
        <v>169.99999999999997</v>
      </c>
      <c r="J120" s="116">
        <f t="shared" si="58"/>
        <v>39.999999999999993</v>
      </c>
      <c r="K120" s="116">
        <v>40</v>
      </c>
      <c r="L120" s="116">
        <v>40</v>
      </c>
      <c r="M120" s="116">
        <v>45</v>
      </c>
      <c r="N120" s="116">
        <v>45</v>
      </c>
      <c r="O120" s="116">
        <v>65</v>
      </c>
      <c r="P120" s="116">
        <f t="shared" ref="P120:U129" si="59">P23/P38*1000</f>
        <v>180.00000000000006</v>
      </c>
      <c r="Q120" s="116">
        <f t="shared" si="59"/>
        <v>160</v>
      </c>
      <c r="R120" s="116">
        <f t="shared" si="59"/>
        <v>179.99999999999997</v>
      </c>
      <c r="S120" s="116">
        <f t="shared" si="59"/>
        <v>180.00000000000003</v>
      </c>
      <c r="T120" s="116">
        <f t="shared" si="59"/>
        <v>180</v>
      </c>
      <c r="U120" s="116">
        <f t="shared" si="59"/>
        <v>180.00000000000003</v>
      </c>
      <c r="V120" s="116">
        <v>45</v>
      </c>
      <c r="W120" s="116">
        <f t="shared" ref="W120:AC129" si="60">W23/W38*1000</f>
        <v>180.00000000000003</v>
      </c>
      <c r="X120" s="116">
        <f t="shared" si="60"/>
        <v>180.00000000000003</v>
      </c>
      <c r="Y120" s="116">
        <f t="shared" si="60"/>
        <v>180.00000000000003</v>
      </c>
      <c r="Z120" s="116">
        <f t="shared" si="60"/>
        <v>180.00000000000003</v>
      </c>
      <c r="AA120" s="116">
        <f t="shared" si="60"/>
        <v>180.00000000000003</v>
      </c>
      <c r="AB120" s="116">
        <f t="shared" si="60"/>
        <v>175.17881780950924</v>
      </c>
      <c r="AC120" s="116">
        <f t="shared" si="60"/>
        <v>179.63211051303327</v>
      </c>
      <c r="AD120" s="116"/>
      <c r="AE120" s="116">
        <f t="shared" ref="AE120:AJ120" si="61">AE23/AE38*1000</f>
        <v>175.99786603563507</v>
      </c>
      <c r="AF120" s="116" t="e">
        <f t="shared" si="61"/>
        <v>#DIV/0!</v>
      </c>
      <c r="AG120" s="116" t="e">
        <f t="shared" si="61"/>
        <v>#DIV/0!</v>
      </c>
      <c r="AH120" s="116" t="e">
        <f t="shared" si="61"/>
        <v>#DIV/0!</v>
      </c>
      <c r="AI120" s="116" t="e">
        <f t="shared" si="61"/>
        <v>#DIV/0!</v>
      </c>
      <c r="AJ120" s="116" t="e">
        <f t="shared" si="61"/>
        <v>#DIV/0!</v>
      </c>
    </row>
    <row r="121" spans="2:42" x14ac:dyDescent="0.25">
      <c r="C121">
        <v>2013</v>
      </c>
      <c r="D121" s="116">
        <f t="shared" si="58"/>
        <v>180.00000000000003</v>
      </c>
      <c r="E121" s="116">
        <f t="shared" si="58"/>
        <v>180.00000000000003</v>
      </c>
      <c r="F121" s="116">
        <f t="shared" si="58"/>
        <v>169.20000000000002</v>
      </c>
      <c r="G121" s="116">
        <f t="shared" si="58"/>
        <v>170</v>
      </c>
      <c r="H121" s="116">
        <f t="shared" si="58"/>
        <v>169.99999999999997</v>
      </c>
      <c r="I121" s="116">
        <f t="shared" si="58"/>
        <v>170</v>
      </c>
      <c r="J121" s="116">
        <f t="shared" si="58"/>
        <v>40</v>
      </c>
      <c r="K121" s="116">
        <v>40</v>
      </c>
      <c r="L121" s="116">
        <v>40</v>
      </c>
      <c r="M121" s="116">
        <v>45</v>
      </c>
      <c r="N121" s="116">
        <v>45</v>
      </c>
      <c r="O121" s="116">
        <v>65</v>
      </c>
      <c r="P121" s="116">
        <f t="shared" si="59"/>
        <v>180</v>
      </c>
      <c r="Q121" s="116">
        <f t="shared" si="59"/>
        <v>160</v>
      </c>
      <c r="R121" s="116">
        <f t="shared" si="59"/>
        <v>180</v>
      </c>
      <c r="S121" s="116">
        <f t="shared" si="59"/>
        <v>180</v>
      </c>
      <c r="T121" s="116">
        <f t="shared" si="59"/>
        <v>180</v>
      </c>
      <c r="U121" s="116">
        <f t="shared" si="59"/>
        <v>180.00000000000003</v>
      </c>
      <c r="V121" s="116">
        <v>45</v>
      </c>
      <c r="W121" s="116">
        <f t="shared" si="60"/>
        <v>180.00000000000003</v>
      </c>
      <c r="X121" s="116">
        <f t="shared" si="60"/>
        <v>180.00000000000006</v>
      </c>
      <c r="Y121" s="116">
        <f t="shared" si="60"/>
        <v>180.00000000000003</v>
      </c>
      <c r="Z121" s="116">
        <f t="shared" si="60"/>
        <v>180.00000000000003</v>
      </c>
      <c r="AA121" s="116">
        <f t="shared" si="60"/>
        <v>180.00000000000003</v>
      </c>
      <c r="AB121" s="116">
        <f t="shared" si="60"/>
        <v>174.78063720615728</v>
      </c>
      <c r="AC121" s="116">
        <f t="shared" si="60"/>
        <v>179.48485068811533</v>
      </c>
      <c r="AD121" s="116"/>
      <c r="AE121" s="116">
        <f t="shared" ref="AE121:AE129" si="62">AE24/AE39*1000</f>
        <v>178.22459054786177</v>
      </c>
    </row>
    <row r="122" spans="2:42" x14ac:dyDescent="0.25">
      <c r="C122">
        <v>2014</v>
      </c>
      <c r="D122" s="116">
        <f t="shared" si="58"/>
        <v>180</v>
      </c>
      <c r="E122" s="116">
        <f t="shared" si="58"/>
        <v>180</v>
      </c>
      <c r="F122" s="116">
        <f t="shared" si="58"/>
        <v>170</v>
      </c>
      <c r="G122" s="116">
        <f t="shared" si="58"/>
        <v>170</v>
      </c>
      <c r="H122" s="116">
        <f t="shared" si="58"/>
        <v>169.99999999999997</v>
      </c>
      <c r="I122" s="116">
        <f t="shared" si="58"/>
        <v>170</v>
      </c>
      <c r="J122" s="116">
        <f t="shared" si="58"/>
        <v>40</v>
      </c>
      <c r="K122" s="116">
        <v>40</v>
      </c>
      <c r="L122" s="116">
        <v>40</v>
      </c>
      <c r="M122" s="116">
        <v>45</v>
      </c>
      <c r="N122" s="116">
        <v>45</v>
      </c>
      <c r="O122" s="116">
        <v>65</v>
      </c>
      <c r="P122" s="116">
        <f t="shared" si="59"/>
        <v>180</v>
      </c>
      <c r="Q122" s="116">
        <f t="shared" si="59"/>
        <v>160</v>
      </c>
      <c r="R122" s="116">
        <f t="shared" si="59"/>
        <v>180</v>
      </c>
      <c r="S122" s="116">
        <f t="shared" si="59"/>
        <v>180.00000000000003</v>
      </c>
      <c r="T122" s="116">
        <f t="shared" si="59"/>
        <v>180</v>
      </c>
      <c r="U122" s="116">
        <f t="shared" si="59"/>
        <v>180.00000000000003</v>
      </c>
      <c r="V122" s="116">
        <v>45</v>
      </c>
      <c r="W122" s="116">
        <f t="shared" si="60"/>
        <v>180.00000000000003</v>
      </c>
      <c r="X122" s="116">
        <f t="shared" si="60"/>
        <v>180.00000000000003</v>
      </c>
      <c r="Y122" s="116">
        <f t="shared" si="60"/>
        <v>180.00000000000003</v>
      </c>
      <c r="Z122" s="116">
        <f t="shared" si="60"/>
        <v>180.00000000000003</v>
      </c>
      <c r="AA122" s="116">
        <f t="shared" si="60"/>
        <v>180.00000000000003</v>
      </c>
      <c r="AB122" s="116">
        <f t="shared" si="60"/>
        <v>174.75637438631688</v>
      </c>
      <c r="AC122" s="116">
        <f t="shared" si="60"/>
        <v>179.38634044061953</v>
      </c>
      <c r="AD122" s="116"/>
      <c r="AE122" s="116">
        <f t="shared" si="62"/>
        <v>187.13047055812038</v>
      </c>
      <c r="AL122">
        <f>430000000/40</f>
        <v>10750000</v>
      </c>
    </row>
    <row r="123" spans="2:42" x14ac:dyDescent="0.25">
      <c r="C123">
        <v>2015</v>
      </c>
      <c r="D123" s="116">
        <f t="shared" si="58"/>
        <v>180.00000000000003</v>
      </c>
      <c r="E123" s="116">
        <f t="shared" si="58"/>
        <v>179.99999999999997</v>
      </c>
      <c r="F123" s="116">
        <f t="shared" si="58"/>
        <v>169.99999999999997</v>
      </c>
      <c r="G123" s="116">
        <f t="shared" si="58"/>
        <v>170</v>
      </c>
      <c r="H123" s="116">
        <f t="shared" si="58"/>
        <v>169.99999999999997</v>
      </c>
      <c r="I123" s="116">
        <f t="shared" si="58"/>
        <v>170</v>
      </c>
      <c r="J123" s="116">
        <f t="shared" si="58"/>
        <v>40</v>
      </c>
      <c r="K123" s="116">
        <v>40</v>
      </c>
      <c r="L123" s="116">
        <v>40</v>
      </c>
      <c r="M123" s="116">
        <v>45</v>
      </c>
      <c r="N123" s="116">
        <v>45</v>
      </c>
      <c r="O123" s="116">
        <v>65</v>
      </c>
      <c r="P123" s="116">
        <f t="shared" si="59"/>
        <v>180.00000000000006</v>
      </c>
      <c r="Q123" s="116">
        <f t="shared" si="59"/>
        <v>160</v>
      </c>
      <c r="R123" s="116">
        <f t="shared" si="59"/>
        <v>180.00000000000003</v>
      </c>
      <c r="S123" s="116">
        <f t="shared" si="59"/>
        <v>180</v>
      </c>
      <c r="T123" s="116">
        <f t="shared" si="59"/>
        <v>180</v>
      </c>
      <c r="U123" s="116">
        <f t="shared" si="59"/>
        <v>180.00000000000003</v>
      </c>
      <c r="V123" s="116">
        <v>45</v>
      </c>
      <c r="W123" s="116">
        <f t="shared" si="60"/>
        <v>180.00000000000003</v>
      </c>
      <c r="X123" s="116">
        <f t="shared" si="60"/>
        <v>180.00000000000003</v>
      </c>
      <c r="Y123" s="116">
        <f t="shared" si="60"/>
        <v>180.00000000000003</v>
      </c>
      <c r="Z123" s="116">
        <f t="shared" si="60"/>
        <v>180.00000000000003</v>
      </c>
      <c r="AA123" s="116">
        <f t="shared" si="60"/>
        <v>180.00000000000003</v>
      </c>
      <c r="AB123" s="116">
        <f t="shared" si="60"/>
        <v>174.59109927729176</v>
      </c>
      <c r="AC123" s="116">
        <f t="shared" si="60"/>
        <v>179.2149998631219</v>
      </c>
      <c r="AD123" s="116"/>
      <c r="AE123" s="116">
        <f t="shared" si="62"/>
        <v>177.23427952004357</v>
      </c>
      <c r="AL123">
        <f>AL122/AE119</f>
        <v>9.7461468721668183</v>
      </c>
    </row>
    <row r="124" spans="2:42" x14ac:dyDescent="0.25">
      <c r="C124">
        <v>2016</v>
      </c>
      <c r="D124" s="116">
        <f t="shared" si="58"/>
        <v>180.00000000000003</v>
      </c>
      <c r="E124" s="116">
        <f t="shared" si="58"/>
        <v>180</v>
      </c>
      <c r="F124" s="116">
        <f t="shared" si="58"/>
        <v>169.99999999999994</v>
      </c>
      <c r="G124" s="116">
        <f t="shared" si="58"/>
        <v>170</v>
      </c>
      <c r="H124" s="116">
        <f t="shared" si="58"/>
        <v>169.99999999999997</v>
      </c>
      <c r="I124" s="116">
        <f t="shared" si="58"/>
        <v>170</v>
      </c>
      <c r="J124" s="116">
        <f t="shared" si="58"/>
        <v>40</v>
      </c>
      <c r="K124" s="116">
        <v>40</v>
      </c>
      <c r="L124" s="116">
        <v>40</v>
      </c>
      <c r="M124" s="116">
        <v>45</v>
      </c>
      <c r="N124" s="116">
        <v>45</v>
      </c>
      <c r="O124" s="116">
        <v>65</v>
      </c>
      <c r="P124" s="116">
        <f t="shared" si="59"/>
        <v>180.00000000000006</v>
      </c>
      <c r="Q124" s="116">
        <f t="shared" si="59"/>
        <v>160</v>
      </c>
      <c r="R124" s="116">
        <f t="shared" si="59"/>
        <v>179.99999999999997</v>
      </c>
      <c r="S124" s="116">
        <f t="shared" si="59"/>
        <v>180.00000000000003</v>
      </c>
      <c r="T124" s="116">
        <f t="shared" si="59"/>
        <v>180.00000000000003</v>
      </c>
      <c r="U124" s="116">
        <f t="shared" si="59"/>
        <v>180.00000000000003</v>
      </c>
      <c r="V124" s="116">
        <v>45</v>
      </c>
      <c r="W124" s="116">
        <f t="shared" si="60"/>
        <v>180.00000000000003</v>
      </c>
      <c r="X124" s="116">
        <f t="shared" si="60"/>
        <v>180.00000000000006</v>
      </c>
      <c r="Y124" s="116">
        <f t="shared" si="60"/>
        <v>180.00000000000003</v>
      </c>
      <c r="Z124" s="116">
        <f t="shared" si="60"/>
        <v>180.00000000000003</v>
      </c>
      <c r="AA124" s="116">
        <f t="shared" si="60"/>
        <v>180.00000000000003</v>
      </c>
      <c r="AB124" s="116">
        <f t="shared" si="60"/>
        <v>174.38609804219155</v>
      </c>
      <c r="AC124" s="116">
        <f t="shared" si="60"/>
        <v>179.36328541233604</v>
      </c>
      <c r="AD124" s="116"/>
      <c r="AE124" s="116">
        <f t="shared" si="62"/>
        <v>177.52634411690303</v>
      </c>
    </row>
    <row r="125" spans="2:42" x14ac:dyDescent="0.25">
      <c r="C125">
        <v>2017</v>
      </c>
      <c r="D125" s="116">
        <f t="shared" si="58"/>
        <v>180.97826086956522</v>
      </c>
      <c r="E125" s="116">
        <f t="shared" si="58"/>
        <v>185</v>
      </c>
      <c r="F125" s="116">
        <f t="shared" si="58"/>
        <v>173.21688500727802</v>
      </c>
      <c r="G125" s="116">
        <f t="shared" si="58"/>
        <v>170</v>
      </c>
      <c r="H125" s="116">
        <f t="shared" si="58"/>
        <v>170.00000000000003</v>
      </c>
      <c r="I125" s="116">
        <f t="shared" si="58"/>
        <v>170</v>
      </c>
      <c r="J125" s="116">
        <f t="shared" si="58"/>
        <v>40</v>
      </c>
      <c r="K125" s="116">
        <v>40</v>
      </c>
      <c r="L125" s="116">
        <v>40</v>
      </c>
      <c r="M125" s="116">
        <v>45</v>
      </c>
      <c r="N125" s="116">
        <v>45</v>
      </c>
      <c r="O125" s="116">
        <v>65</v>
      </c>
      <c r="P125" s="116">
        <f t="shared" si="59"/>
        <v>180</v>
      </c>
      <c r="Q125" s="116">
        <f t="shared" si="59"/>
        <v>160</v>
      </c>
      <c r="R125" s="116">
        <f t="shared" si="59"/>
        <v>180</v>
      </c>
      <c r="S125" s="116">
        <f t="shared" si="59"/>
        <v>180.00000000000003</v>
      </c>
      <c r="T125" s="116">
        <f t="shared" si="59"/>
        <v>180</v>
      </c>
      <c r="U125" s="116">
        <f t="shared" si="59"/>
        <v>180.00000000000003</v>
      </c>
      <c r="V125" s="116">
        <v>45</v>
      </c>
      <c r="W125" s="116">
        <f t="shared" si="60"/>
        <v>180.00000000000006</v>
      </c>
      <c r="X125" s="116">
        <f t="shared" si="60"/>
        <v>180.00000000000006</v>
      </c>
      <c r="Y125" s="116">
        <f t="shared" si="60"/>
        <v>180.00000000000003</v>
      </c>
      <c r="Z125" s="116">
        <f t="shared" si="60"/>
        <v>180.00000000000006</v>
      </c>
      <c r="AA125" s="116">
        <f t="shared" si="60"/>
        <v>180.00000000000003</v>
      </c>
      <c r="AB125" s="116">
        <f t="shared" si="60"/>
        <v>176.25550769310294</v>
      </c>
      <c r="AC125" s="116">
        <f t="shared" si="60"/>
        <v>179.30262981349796</v>
      </c>
      <c r="AD125" s="116"/>
      <c r="AE125" s="116">
        <f t="shared" si="62"/>
        <v>178.36612225688097</v>
      </c>
    </row>
    <row r="126" spans="2:42" x14ac:dyDescent="0.25">
      <c r="C126">
        <v>2018</v>
      </c>
      <c r="D126" s="116">
        <f t="shared" si="58"/>
        <v>180.00000000000003</v>
      </c>
      <c r="E126" s="116">
        <f t="shared" si="58"/>
        <v>180</v>
      </c>
      <c r="F126" s="116">
        <f t="shared" si="58"/>
        <v>170</v>
      </c>
      <c r="G126" s="116">
        <f t="shared" si="58"/>
        <v>169.99999999999997</v>
      </c>
      <c r="H126" s="116">
        <f t="shared" si="58"/>
        <v>170</v>
      </c>
      <c r="I126" s="116">
        <f t="shared" si="58"/>
        <v>170</v>
      </c>
      <c r="J126" s="116">
        <f t="shared" si="58"/>
        <v>40</v>
      </c>
      <c r="K126" s="116">
        <v>40</v>
      </c>
      <c r="L126" s="116">
        <v>40</v>
      </c>
      <c r="M126" s="116">
        <v>45</v>
      </c>
      <c r="N126" s="116">
        <v>45</v>
      </c>
      <c r="O126" s="116">
        <v>65</v>
      </c>
      <c r="P126" s="116">
        <f t="shared" si="59"/>
        <v>180</v>
      </c>
      <c r="Q126" s="116">
        <f t="shared" si="59"/>
        <v>160</v>
      </c>
      <c r="R126" s="116">
        <f t="shared" si="59"/>
        <v>180</v>
      </c>
      <c r="S126" s="116">
        <f t="shared" si="59"/>
        <v>180</v>
      </c>
      <c r="T126" s="116">
        <f t="shared" si="59"/>
        <v>180</v>
      </c>
      <c r="U126" s="116">
        <f t="shared" si="59"/>
        <v>180.00000000000003</v>
      </c>
      <c r="V126" s="116">
        <v>45</v>
      </c>
      <c r="W126" s="116">
        <f t="shared" si="60"/>
        <v>180.00000000000006</v>
      </c>
      <c r="X126" s="116">
        <f t="shared" si="60"/>
        <v>180.00000000000006</v>
      </c>
      <c r="Y126" s="116">
        <f t="shared" si="60"/>
        <v>180.00000000000003</v>
      </c>
      <c r="Z126" s="116">
        <f t="shared" si="60"/>
        <v>180.00000000000003</v>
      </c>
      <c r="AA126" s="116">
        <f t="shared" si="60"/>
        <v>180.00000000000003</v>
      </c>
      <c r="AB126" s="116">
        <f t="shared" si="60"/>
        <v>173.65350486360202</v>
      </c>
      <c r="AC126" s="116">
        <f t="shared" si="60"/>
        <v>179.58582645949352</v>
      </c>
      <c r="AD126" s="116"/>
      <c r="AE126" s="116">
        <f t="shared" si="62"/>
        <v>178.35084292638868</v>
      </c>
    </row>
    <row r="127" spans="2:42" x14ac:dyDescent="0.25">
      <c r="C127">
        <v>2019</v>
      </c>
      <c r="D127" s="116">
        <f t="shared" si="58"/>
        <v>190</v>
      </c>
      <c r="E127" s="116">
        <f t="shared" si="58"/>
        <v>190</v>
      </c>
      <c r="F127" s="116">
        <f t="shared" si="58"/>
        <v>199.99999999999997</v>
      </c>
      <c r="G127" s="116">
        <f t="shared" si="58"/>
        <v>180</v>
      </c>
      <c r="H127" s="116">
        <f t="shared" si="58"/>
        <v>170</v>
      </c>
      <c r="I127" s="116">
        <f t="shared" si="58"/>
        <v>169.99999999999997</v>
      </c>
      <c r="J127" s="116">
        <f t="shared" si="58"/>
        <v>40</v>
      </c>
      <c r="K127" s="116">
        <v>40</v>
      </c>
      <c r="L127" s="116">
        <v>40</v>
      </c>
      <c r="M127" s="116">
        <v>45</v>
      </c>
      <c r="N127" s="116">
        <v>45</v>
      </c>
      <c r="O127" s="116">
        <v>65</v>
      </c>
      <c r="P127" s="116">
        <f t="shared" si="59"/>
        <v>180</v>
      </c>
      <c r="Q127" s="116">
        <f t="shared" si="59"/>
        <v>160.00000000000003</v>
      </c>
      <c r="R127" s="116">
        <f t="shared" si="59"/>
        <v>180</v>
      </c>
      <c r="S127" s="116">
        <f t="shared" si="59"/>
        <v>180</v>
      </c>
      <c r="T127" s="116">
        <f t="shared" si="59"/>
        <v>180</v>
      </c>
      <c r="U127" s="116">
        <f t="shared" si="59"/>
        <v>180.00000000000003</v>
      </c>
      <c r="V127" s="116">
        <v>45</v>
      </c>
      <c r="W127" s="116">
        <f t="shared" si="60"/>
        <v>180.00000000000003</v>
      </c>
      <c r="X127" s="116">
        <f t="shared" si="60"/>
        <v>180.00000000000003</v>
      </c>
      <c r="Y127" s="116">
        <f t="shared" si="60"/>
        <v>180.00000000000003</v>
      </c>
      <c r="Z127" s="116">
        <f t="shared" si="60"/>
        <v>180.00000000000003</v>
      </c>
      <c r="AA127" s="116">
        <f t="shared" si="60"/>
        <v>180.00000000000003</v>
      </c>
      <c r="AB127" s="116">
        <f t="shared" si="60"/>
        <v>187.20861254582965</v>
      </c>
      <c r="AC127" s="116">
        <f t="shared" si="60"/>
        <v>179.68945834727177</v>
      </c>
      <c r="AD127" s="116"/>
      <c r="AE127" s="116">
        <f t="shared" si="62"/>
        <v>180.93683420371781</v>
      </c>
    </row>
    <row r="128" spans="2:42" x14ac:dyDescent="0.25">
      <c r="C128">
        <v>2020</v>
      </c>
      <c r="D128" s="116">
        <f t="shared" si="58"/>
        <v>199.99999999999997</v>
      </c>
      <c r="E128" s="116">
        <f t="shared" si="58"/>
        <v>200</v>
      </c>
      <c r="F128" s="116">
        <f t="shared" si="58"/>
        <v>199.99999999999997</v>
      </c>
      <c r="G128" s="116">
        <f t="shared" si="58"/>
        <v>180</v>
      </c>
      <c r="H128" s="116">
        <f t="shared" si="58"/>
        <v>170</v>
      </c>
      <c r="I128" s="116">
        <f t="shared" si="58"/>
        <v>169.99999999999997</v>
      </c>
      <c r="J128" s="116">
        <f t="shared" si="58"/>
        <v>40</v>
      </c>
      <c r="K128" s="116">
        <v>40</v>
      </c>
      <c r="L128" s="116">
        <v>40</v>
      </c>
      <c r="M128" s="116">
        <v>45</v>
      </c>
      <c r="N128" s="116">
        <v>45</v>
      </c>
      <c r="O128" s="116">
        <v>65</v>
      </c>
      <c r="P128" s="116">
        <f t="shared" si="59"/>
        <v>180</v>
      </c>
      <c r="Q128" s="116">
        <f t="shared" si="59"/>
        <v>160</v>
      </c>
      <c r="R128" s="116">
        <f t="shared" si="59"/>
        <v>180</v>
      </c>
      <c r="S128" s="116">
        <f t="shared" si="59"/>
        <v>199.99999999999997</v>
      </c>
      <c r="T128" s="116">
        <f t="shared" si="59"/>
        <v>180</v>
      </c>
      <c r="U128" s="116">
        <f t="shared" si="59"/>
        <v>180.00000000000003</v>
      </c>
      <c r="V128" s="116">
        <v>46</v>
      </c>
      <c r="W128" s="116">
        <f t="shared" si="60"/>
        <v>180.00000000000003</v>
      </c>
      <c r="X128" s="116">
        <f t="shared" si="60"/>
        <v>180.00000000000003</v>
      </c>
      <c r="Y128" s="116">
        <f t="shared" si="60"/>
        <v>180.00000000000003</v>
      </c>
      <c r="Z128" s="116">
        <f t="shared" si="60"/>
        <v>180.00000000000003</v>
      </c>
      <c r="AA128" s="116">
        <f t="shared" si="60"/>
        <v>180.00000000000003</v>
      </c>
      <c r="AB128" s="116">
        <f t="shared" si="60"/>
        <v>190.35898732348585</v>
      </c>
      <c r="AC128" s="116">
        <f t="shared" si="60"/>
        <v>195.33385637899929</v>
      </c>
      <c r="AD128" s="116"/>
      <c r="AE128" s="116">
        <f t="shared" si="62"/>
        <v>194.61206557261391</v>
      </c>
    </row>
    <row r="129" spans="2:31" x14ac:dyDescent="0.25">
      <c r="C129">
        <v>2021</v>
      </c>
      <c r="D129" s="116">
        <f t="shared" si="58"/>
        <v>189.99999999999997</v>
      </c>
      <c r="E129" s="116">
        <f t="shared" si="58"/>
        <v>190</v>
      </c>
      <c r="F129" s="116">
        <f t="shared" si="58"/>
        <v>180.00000000000006</v>
      </c>
      <c r="G129" s="116">
        <f t="shared" si="58"/>
        <v>180</v>
      </c>
      <c r="H129" s="116">
        <f t="shared" si="58"/>
        <v>170</v>
      </c>
      <c r="I129" s="116">
        <f t="shared" si="58"/>
        <v>169.99999999999997</v>
      </c>
      <c r="J129" s="116">
        <f t="shared" si="58"/>
        <v>40</v>
      </c>
      <c r="K129" s="116">
        <v>40</v>
      </c>
      <c r="L129" s="116">
        <v>40</v>
      </c>
      <c r="M129" s="116">
        <v>45</v>
      </c>
      <c r="N129" s="116">
        <v>45</v>
      </c>
      <c r="O129" s="116">
        <v>65</v>
      </c>
      <c r="P129" s="116">
        <f t="shared" si="59"/>
        <v>180</v>
      </c>
      <c r="Q129" s="116">
        <f t="shared" si="59"/>
        <v>160</v>
      </c>
      <c r="R129" s="116">
        <f t="shared" si="59"/>
        <v>180</v>
      </c>
      <c r="S129" s="116">
        <f t="shared" si="59"/>
        <v>180.00000000000003</v>
      </c>
      <c r="T129" s="116">
        <f t="shared" si="59"/>
        <v>180.00000000000003</v>
      </c>
      <c r="U129" s="116">
        <f t="shared" si="59"/>
        <v>180.00000000000003</v>
      </c>
      <c r="V129" s="116">
        <v>47</v>
      </c>
      <c r="W129" s="116">
        <f t="shared" si="60"/>
        <v>180.00000000000003</v>
      </c>
      <c r="X129" s="116">
        <f t="shared" si="60"/>
        <v>180.00000000000003</v>
      </c>
      <c r="Y129" s="116">
        <f t="shared" si="60"/>
        <v>180.00000000000003</v>
      </c>
      <c r="Z129" s="116">
        <f t="shared" si="60"/>
        <v>180.00000000000003</v>
      </c>
      <c r="AA129" s="116">
        <f t="shared" si="60"/>
        <v>180.00000000000003</v>
      </c>
      <c r="AB129" s="116">
        <f t="shared" si="60"/>
        <v>180.97005212990194</v>
      </c>
      <c r="AC129" s="116">
        <f t="shared" si="60"/>
        <v>179.71158815560446</v>
      </c>
      <c r="AD129" s="116"/>
      <c r="AE129" s="116">
        <f t="shared" si="62"/>
        <v>179.89832341439163</v>
      </c>
    </row>
    <row r="130" spans="2:31" x14ac:dyDescent="0.25"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  <c r="AA130" s="116"/>
      <c r="AB130" s="116"/>
      <c r="AC130" s="116"/>
      <c r="AD130" s="116"/>
      <c r="AE130" s="116"/>
    </row>
    <row r="131" spans="2:31" x14ac:dyDescent="0.25"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  <c r="AA131" s="116"/>
      <c r="AB131" s="116"/>
      <c r="AC131" s="116"/>
      <c r="AD131" s="116"/>
      <c r="AE131" s="116"/>
    </row>
    <row r="132" spans="2:31" x14ac:dyDescent="0.25">
      <c r="B132" s="41" t="s">
        <v>167</v>
      </c>
      <c r="C132">
        <v>2012</v>
      </c>
      <c r="D132">
        <f>D105*D120/1000000</f>
        <v>2.7424999999999997</v>
      </c>
      <c r="E132">
        <f t="shared" ref="E132:AC132" si="63">E105*E120/1000000</f>
        <v>0.73499999999999999</v>
      </c>
      <c r="F132">
        <f t="shared" si="63"/>
        <v>1.0248000000000002</v>
      </c>
      <c r="G132">
        <f t="shared" si="63"/>
        <v>0.76439999999999986</v>
      </c>
      <c r="H132">
        <f t="shared" si="63"/>
        <v>0.4521</v>
      </c>
      <c r="I132">
        <f t="shared" si="63"/>
        <v>0.156</v>
      </c>
      <c r="J132">
        <f t="shared" si="63"/>
        <v>45.833333333333329</v>
      </c>
      <c r="K132">
        <f t="shared" si="63"/>
        <v>34.002938095238108</v>
      </c>
      <c r="L132">
        <f t="shared" si="63"/>
        <v>0.7333333333333335</v>
      </c>
      <c r="M132">
        <f t="shared" si="63"/>
        <v>0.38185714285714289</v>
      </c>
      <c r="N132">
        <f t="shared" si="63"/>
        <v>0.23409836065573772</v>
      </c>
      <c r="O132">
        <f t="shared" si="63"/>
        <v>0.5794285714285714</v>
      </c>
      <c r="P132">
        <f t="shared" si="63"/>
        <v>0.4331600000000001</v>
      </c>
      <c r="Q132">
        <f t="shared" si="63"/>
        <v>8.8800000000000007E-3</v>
      </c>
      <c r="R132">
        <f t="shared" si="63"/>
        <v>0.15065999999999996</v>
      </c>
      <c r="S132">
        <f t="shared" si="63"/>
        <v>0.49909999999999999</v>
      </c>
      <c r="T132">
        <f t="shared" si="63"/>
        <v>6.0000000000000001E-3</v>
      </c>
      <c r="U132">
        <f t="shared" si="63"/>
        <v>1.7280000000000004E-2</v>
      </c>
      <c r="V132">
        <f t="shared" si="63"/>
        <v>6.6150000000000014E-2</v>
      </c>
      <c r="W132">
        <f t="shared" si="63"/>
        <v>5.1200000000000013E-3</v>
      </c>
      <c r="X132">
        <f t="shared" si="63"/>
        <v>2.5600000000000001E-2</v>
      </c>
      <c r="Y132">
        <f t="shared" si="63"/>
        <v>1.3500000000000002E-2</v>
      </c>
      <c r="Z132">
        <f t="shared" si="63"/>
        <v>0.28800000000000003</v>
      </c>
      <c r="AA132">
        <f t="shared" si="63"/>
        <v>0.21600000000000003</v>
      </c>
      <c r="AB132">
        <f t="shared" si="63"/>
        <v>5.8546879087186019</v>
      </c>
      <c r="AC132">
        <f t="shared" si="63"/>
        <v>1.4220975211232083</v>
      </c>
    </row>
    <row r="133" spans="2:31" x14ac:dyDescent="0.25">
      <c r="C133">
        <v>2013</v>
      </c>
      <c r="D133">
        <f t="shared" ref="D133:AC133" si="64">D106*D121/1000000</f>
        <v>2.472</v>
      </c>
      <c r="E133">
        <f t="shared" si="64"/>
        <v>1.0943999999999998</v>
      </c>
      <c r="F133">
        <f t="shared" si="64"/>
        <v>1.0998000000000001</v>
      </c>
      <c r="G133">
        <f t="shared" si="64"/>
        <v>0.76439999999999986</v>
      </c>
      <c r="H133">
        <f t="shared" si="64"/>
        <v>0.58079999999999998</v>
      </c>
      <c r="I133">
        <f t="shared" si="64"/>
        <v>0.182</v>
      </c>
      <c r="J133">
        <f t="shared" si="64"/>
        <v>50.355555555555561</v>
      </c>
      <c r="K133">
        <f t="shared" si="64"/>
        <v>32.529880952380964</v>
      </c>
      <c r="L133">
        <f t="shared" si="64"/>
        <v>0.7333333333333335</v>
      </c>
      <c r="M133">
        <f t="shared" si="64"/>
        <v>0.39458571428571432</v>
      </c>
      <c r="N133">
        <f t="shared" si="64"/>
        <v>0.19672131147540986</v>
      </c>
      <c r="O133">
        <f t="shared" si="64"/>
        <v>0.53114285714285703</v>
      </c>
      <c r="P133">
        <f t="shared" si="64"/>
        <v>0.6120000000000001</v>
      </c>
      <c r="Q133">
        <f t="shared" si="64"/>
        <v>2.4199999999999999E-2</v>
      </c>
      <c r="R133">
        <f t="shared" si="64"/>
        <v>0.15936000000000003</v>
      </c>
      <c r="S133">
        <f t="shared" si="64"/>
        <v>0.97358999999999996</v>
      </c>
      <c r="T133">
        <f t="shared" si="64"/>
        <v>2.6400000000000003E-2</v>
      </c>
      <c r="U133">
        <f t="shared" si="64"/>
        <v>6.6122448979591852E-2</v>
      </c>
      <c r="V133">
        <f t="shared" si="64"/>
        <v>6.6150000000000014E-2</v>
      </c>
      <c r="W133">
        <f t="shared" si="64"/>
        <v>1.2800000000000001E-2</v>
      </c>
      <c r="X133">
        <f t="shared" si="64"/>
        <v>3.8399999999999997E-2</v>
      </c>
      <c r="Y133">
        <f t="shared" si="64"/>
        <v>1.3500000000000002E-2</v>
      </c>
      <c r="Z133">
        <f t="shared" si="64"/>
        <v>0.3015000000000001</v>
      </c>
      <c r="AA133">
        <f t="shared" si="64"/>
        <v>0.10800000000000001</v>
      </c>
      <c r="AB133">
        <f t="shared" si="64"/>
        <v>6.169208161966508</v>
      </c>
      <c r="AC133">
        <f t="shared" si="64"/>
        <v>2.1877183585567113</v>
      </c>
    </row>
    <row r="134" spans="2:31" x14ac:dyDescent="0.25">
      <c r="C134">
        <v>2014</v>
      </c>
      <c r="D134">
        <f t="shared" ref="D134:AC134" si="65">D107*D122/1000000</f>
        <v>2.16</v>
      </c>
      <c r="E134">
        <f t="shared" si="65"/>
        <v>1.3090909090909091</v>
      </c>
      <c r="F134">
        <f t="shared" si="65"/>
        <v>1.2297999999999998</v>
      </c>
      <c r="G134">
        <f t="shared" si="65"/>
        <v>0.76439999999999986</v>
      </c>
      <c r="H134">
        <f t="shared" si="65"/>
        <v>0.61049999999999993</v>
      </c>
      <c r="I134">
        <f t="shared" si="65"/>
        <v>0.20799999999999999</v>
      </c>
      <c r="J134">
        <f t="shared" si="65"/>
        <v>46.666666666666671</v>
      </c>
      <c r="K134">
        <f t="shared" si="65"/>
        <v>31.017499999999998</v>
      </c>
      <c r="L134">
        <f t="shared" si="65"/>
        <v>0.875</v>
      </c>
      <c r="M134">
        <f t="shared" si="65"/>
        <v>0.41367857142857156</v>
      </c>
      <c r="N134">
        <f t="shared" si="65"/>
        <v>0.16500000000000001</v>
      </c>
      <c r="O134">
        <f t="shared" si="65"/>
        <v>0.45871428571428569</v>
      </c>
      <c r="P134">
        <f t="shared" si="65"/>
        <v>0.6</v>
      </c>
      <c r="Q134">
        <f t="shared" si="65"/>
        <v>5.3200000000000004E-2</v>
      </c>
      <c r="R134">
        <f t="shared" si="65"/>
        <v>0.27489599999999997</v>
      </c>
      <c r="S134">
        <f t="shared" si="65"/>
        <v>1.5872255999999996</v>
      </c>
      <c r="T134">
        <f t="shared" si="65"/>
        <v>6.6000000000000017E-2</v>
      </c>
      <c r="U134">
        <f t="shared" si="65"/>
        <v>0.22500000000000003</v>
      </c>
      <c r="V134">
        <f t="shared" si="65"/>
        <v>6.6150000000000014E-2</v>
      </c>
      <c r="W134">
        <f t="shared" si="65"/>
        <v>1.4000000000000004E-2</v>
      </c>
      <c r="X134">
        <f t="shared" si="65"/>
        <v>4.760000000000001E-2</v>
      </c>
      <c r="Y134">
        <f t="shared" si="65"/>
        <v>1.3500000000000002E-2</v>
      </c>
      <c r="Z134">
        <f t="shared" si="65"/>
        <v>0.3600000000000001</v>
      </c>
      <c r="AA134">
        <f t="shared" si="65"/>
        <v>0.10800000000000001</v>
      </c>
      <c r="AB134">
        <f t="shared" si="65"/>
        <v>6.2594275558733621</v>
      </c>
      <c r="AC134">
        <f t="shared" si="65"/>
        <v>3.1419234496392923</v>
      </c>
    </row>
    <row r="135" spans="2:31" x14ac:dyDescent="0.25">
      <c r="C135">
        <v>2015</v>
      </c>
      <c r="D135">
        <f t="shared" ref="D135:AC135" si="66">D108*D123/1000000</f>
        <v>1.9780000000000002</v>
      </c>
      <c r="E135">
        <f t="shared" si="66"/>
        <v>1.2880000000000003</v>
      </c>
      <c r="F135">
        <f t="shared" si="66"/>
        <v>1.2239999999999998</v>
      </c>
      <c r="G135">
        <f t="shared" si="66"/>
        <v>0.73499999999999988</v>
      </c>
      <c r="H135">
        <f t="shared" si="66"/>
        <v>0.61380000000000001</v>
      </c>
      <c r="I135">
        <f t="shared" si="66"/>
        <v>0.21600000000000003</v>
      </c>
      <c r="J135">
        <f t="shared" si="66"/>
        <v>49.411764705882355</v>
      </c>
      <c r="K135">
        <f t="shared" si="66"/>
        <v>32.486785714285716</v>
      </c>
      <c r="L135">
        <f t="shared" si="66"/>
        <v>0.96250000000000002</v>
      </c>
      <c r="M135">
        <f t="shared" si="66"/>
        <v>0.41367857142857156</v>
      </c>
      <c r="N135">
        <f t="shared" si="66"/>
        <v>7.9999999999999988E-2</v>
      </c>
      <c r="O135">
        <f t="shared" si="66"/>
        <v>0.45871428571428569</v>
      </c>
      <c r="P135">
        <f t="shared" si="66"/>
        <v>0.98765432098765438</v>
      </c>
      <c r="Q135">
        <f t="shared" si="66"/>
        <v>0.23039999999999999</v>
      </c>
      <c r="R135">
        <f t="shared" si="66"/>
        <v>0.52</v>
      </c>
      <c r="S135">
        <f t="shared" si="66"/>
        <v>5.2000000000000011</v>
      </c>
      <c r="T135">
        <f t="shared" si="66"/>
        <v>9.9000000000000019E-2</v>
      </c>
      <c r="U135">
        <f t="shared" si="66"/>
        <v>0.26413043478260878</v>
      </c>
      <c r="V135">
        <f t="shared" si="66"/>
        <v>6.6150000000000014E-2</v>
      </c>
      <c r="W135">
        <f t="shared" si="66"/>
        <v>2.6250000000000009E-2</v>
      </c>
      <c r="X135">
        <f t="shared" si="66"/>
        <v>5.8333333333333341E-2</v>
      </c>
      <c r="Y135">
        <f t="shared" si="66"/>
        <v>1.3500000000000002E-2</v>
      </c>
      <c r="Z135">
        <f t="shared" si="66"/>
        <v>0.31500000000000006</v>
      </c>
      <c r="AA135">
        <f t="shared" si="66"/>
        <v>2.7</v>
      </c>
      <c r="AB135">
        <f t="shared" si="66"/>
        <v>6.0319741346519598</v>
      </c>
      <c r="AC135">
        <f t="shared" si="66"/>
        <v>7.6591195029763526</v>
      </c>
    </row>
    <row r="136" spans="2:31" x14ac:dyDescent="0.25">
      <c r="C136">
        <v>2016</v>
      </c>
      <c r="D136">
        <f t="shared" ref="D136:AC136" si="67">D109*D124/1000000</f>
        <v>1.9780000000000002</v>
      </c>
      <c r="E136">
        <f t="shared" si="67"/>
        <v>1.1500000000000001</v>
      </c>
      <c r="F136">
        <f t="shared" si="67"/>
        <v>1.284</v>
      </c>
      <c r="G136">
        <f t="shared" si="67"/>
        <v>0.73499999999999988</v>
      </c>
      <c r="H136">
        <f t="shared" si="67"/>
        <v>0.66</v>
      </c>
      <c r="I136">
        <f t="shared" si="67"/>
        <v>0.23200000000000001</v>
      </c>
      <c r="J136">
        <f t="shared" si="67"/>
        <v>55.125</v>
      </c>
      <c r="K136">
        <f t="shared" si="67"/>
        <v>37.926616541353383</v>
      </c>
      <c r="L136">
        <f t="shared" si="67"/>
        <v>0.91666666666666685</v>
      </c>
      <c r="M136">
        <f t="shared" si="67"/>
        <v>0.41367857142857156</v>
      </c>
      <c r="N136">
        <f t="shared" si="67"/>
        <v>6.6000000000000003E-2</v>
      </c>
      <c r="O136">
        <f t="shared" si="67"/>
        <v>0.43457142857142855</v>
      </c>
      <c r="P136">
        <f t="shared" si="67"/>
        <v>0.82962962962962972</v>
      </c>
      <c r="Q136">
        <f t="shared" si="67"/>
        <v>0.315</v>
      </c>
      <c r="R136">
        <f t="shared" si="67"/>
        <v>0.84000000000000008</v>
      </c>
      <c r="S136">
        <f t="shared" si="67"/>
        <v>7.4800000000000013</v>
      </c>
      <c r="T136">
        <f t="shared" si="67"/>
        <v>0.36300000000000004</v>
      </c>
      <c r="U136">
        <f t="shared" si="67"/>
        <v>0.30937500000000012</v>
      </c>
      <c r="V136">
        <f t="shared" si="67"/>
        <v>6.6150000000000014E-2</v>
      </c>
      <c r="W136">
        <f t="shared" si="67"/>
        <v>4.0000000000000008E-2</v>
      </c>
      <c r="X136">
        <f t="shared" si="67"/>
        <v>6.2500000000000014E-2</v>
      </c>
      <c r="Y136">
        <f t="shared" si="67"/>
        <v>1.3500000000000002E-2</v>
      </c>
      <c r="Z136">
        <f t="shared" si="67"/>
        <v>0.31500000000000006</v>
      </c>
      <c r="AA136">
        <f t="shared" si="67"/>
        <v>1.35</v>
      </c>
      <c r="AB136">
        <f t="shared" si="67"/>
        <v>6.0165483381393248</v>
      </c>
      <c r="AC136">
        <f t="shared" si="67"/>
        <v>10.519636391119315</v>
      </c>
    </row>
    <row r="137" spans="2:31" x14ac:dyDescent="0.25">
      <c r="C137">
        <v>2017</v>
      </c>
      <c r="D137">
        <f t="shared" ref="D137:AC137" si="68">D110*D125/1000000</f>
        <v>1.8919999999999999</v>
      </c>
      <c r="E137">
        <f t="shared" si="68"/>
        <v>0.9900000000000001</v>
      </c>
      <c r="F137">
        <f t="shared" si="68"/>
        <v>1.3688888888888888</v>
      </c>
      <c r="G137">
        <f t="shared" si="68"/>
        <v>0.73499999999999988</v>
      </c>
      <c r="H137">
        <f t="shared" si="68"/>
        <v>0.92400000000000015</v>
      </c>
      <c r="I137">
        <f t="shared" si="68"/>
        <v>0.248</v>
      </c>
      <c r="J137">
        <f t="shared" si="68"/>
        <v>63</v>
      </c>
      <c r="K137">
        <f t="shared" si="68"/>
        <v>36.776785714285715</v>
      </c>
      <c r="L137">
        <f t="shared" si="68"/>
        <v>0.89695833333333352</v>
      </c>
      <c r="M137">
        <f t="shared" si="68"/>
        <v>0.41367857142857156</v>
      </c>
      <c r="N137">
        <f t="shared" si="68"/>
        <v>3.3000000000000002E-2</v>
      </c>
      <c r="O137">
        <f t="shared" si="68"/>
        <v>0.41042857142857142</v>
      </c>
      <c r="P137">
        <f t="shared" si="68"/>
        <v>0.72</v>
      </c>
      <c r="Q137">
        <f t="shared" si="68"/>
        <v>0.52800000000000002</v>
      </c>
      <c r="R137">
        <f t="shared" si="68"/>
        <v>1.62</v>
      </c>
      <c r="S137">
        <f t="shared" si="68"/>
        <v>9.0000000000000018</v>
      </c>
      <c r="T137">
        <f t="shared" si="68"/>
        <v>0.88000000000000012</v>
      </c>
      <c r="U137">
        <f t="shared" si="68"/>
        <v>0.46285714285714302</v>
      </c>
      <c r="V137">
        <f t="shared" si="68"/>
        <v>6.6150000000000014E-2</v>
      </c>
      <c r="W137">
        <f t="shared" si="68"/>
        <v>6.3E-2</v>
      </c>
      <c r="X137">
        <f t="shared" si="68"/>
        <v>0.13500000000000004</v>
      </c>
      <c r="Y137">
        <f t="shared" si="68"/>
        <v>1.3500000000000002E-2</v>
      </c>
      <c r="Z137">
        <f t="shared" si="68"/>
        <v>0.23624999999999999</v>
      </c>
      <c r="AA137">
        <f t="shared" si="68"/>
        <v>1.35</v>
      </c>
      <c r="AB137">
        <f t="shared" si="68"/>
        <v>6.1559065245896205</v>
      </c>
      <c r="AC137">
        <f t="shared" si="68"/>
        <v>13.699674352370092</v>
      </c>
    </row>
    <row r="138" spans="2:31" x14ac:dyDescent="0.25">
      <c r="C138">
        <v>2018</v>
      </c>
      <c r="D138">
        <f t="shared" ref="D138:AC138" si="69">D111*D126/1000000</f>
        <v>1.7599999999999998</v>
      </c>
      <c r="E138">
        <f t="shared" si="69"/>
        <v>0.76559999999999995</v>
      </c>
      <c r="F138">
        <f t="shared" si="69"/>
        <v>1.4204235294117649</v>
      </c>
      <c r="G138">
        <f t="shared" si="69"/>
        <v>0.88200000000000001</v>
      </c>
      <c r="H138">
        <f t="shared" si="69"/>
        <v>0.90090000000000015</v>
      </c>
      <c r="I138">
        <f t="shared" si="69"/>
        <v>0.52800000000000002</v>
      </c>
      <c r="J138">
        <f t="shared" si="69"/>
        <v>57.166666666666671</v>
      </c>
      <c r="K138">
        <f t="shared" si="69"/>
        <v>41.709642857142867</v>
      </c>
      <c r="L138">
        <f t="shared" si="69"/>
        <v>0.82499999999999996</v>
      </c>
      <c r="M138">
        <f t="shared" si="69"/>
        <v>0.41367857142857156</v>
      </c>
      <c r="N138">
        <f t="shared" si="69"/>
        <v>1.32E-2</v>
      </c>
      <c r="O138">
        <f t="shared" si="69"/>
        <v>0.36214285714285716</v>
      </c>
      <c r="P138">
        <f t="shared" si="69"/>
        <v>0.7</v>
      </c>
      <c r="Q138">
        <f t="shared" si="69"/>
        <v>0.6160000000000001</v>
      </c>
      <c r="R138">
        <f t="shared" si="69"/>
        <v>2.0735999999999999</v>
      </c>
      <c r="S138">
        <f t="shared" si="69"/>
        <v>14.4</v>
      </c>
      <c r="T138">
        <f t="shared" si="69"/>
        <v>1.1000000000000003</v>
      </c>
      <c r="U138">
        <f t="shared" si="69"/>
        <v>0.69428571428571439</v>
      </c>
      <c r="V138">
        <f t="shared" si="69"/>
        <v>0</v>
      </c>
      <c r="W138">
        <f t="shared" si="69"/>
        <v>2.7000000000000003E-2</v>
      </c>
      <c r="X138">
        <f t="shared" si="69"/>
        <v>0.11250000000000002</v>
      </c>
      <c r="Y138">
        <f t="shared" si="69"/>
        <v>1.3500000000000002E-2</v>
      </c>
      <c r="Z138">
        <f t="shared" si="69"/>
        <v>3.7125000000000005E-2</v>
      </c>
      <c r="AA138">
        <f t="shared" si="69"/>
        <v>1.928571428571429</v>
      </c>
      <c r="AB138">
        <f t="shared" si="69"/>
        <v>6.2480657901773</v>
      </c>
      <c r="AC138">
        <f t="shared" si="69"/>
        <v>19.768294674299732</v>
      </c>
    </row>
    <row r="139" spans="2:31" x14ac:dyDescent="0.25">
      <c r="C139">
        <v>2019</v>
      </c>
      <c r="D139">
        <f t="shared" ref="D139:AC139" si="70">D112*D127/1000000</f>
        <v>1.6499999999999997</v>
      </c>
      <c r="E139">
        <f t="shared" si="70"/>
        <v>0.76559999999999995</v>
      </c>
      <c r="F139">
        <f t="shared" si="70"/>
        <v>1.4405999999999997</v>
      </c>
      <c r="G139">
        <f t="shared" si="70"/>
        <v>1.0289999999999999</v>
      </c>
      <c r="H139">
        <f t="shared" si="70"/>
        <v>1.2869999999999999</v>
      </c>
      <c r="I139">
        <f t="shared" si="70"/>
        <v>0.98999999999999988</v>
      </c>
      <c r="J139">
        <f t="shared" si="70"/>
        <v>62.747999999999998</v>
      </c>
      <c r="K139">
        <f t="shared" si="70"/>
        <v>44.863500000000002</v>
      </c>
      <c r="L139">
        <f t="shared" si="70"/>
        <v>0.7791666666666669</v>
      </c>
      <c r="M139">
        <f t="shared" si="70"/>
        <v>0.38185714285714289</v>
      </c>
      <c r="N139">
        <f t="shared" si="70"/>
        <v>4.725E-3</v>
      </c>
      <c r="O139">
        <f t="shared" si="70"/>
        <v>0.13519999999999999</v>
      </c>
      <c r="P139">
        <f t="shared" si="70"/>
        <v>0.66</v>
      </c>
      <c r="Q139">
        <f t="shared" si="70"/>
        <v>0.66</v>
      </c>
      <c r="R139">
        <f t="shared" si="70"/>
        <v>1.9872000000000001</v>
      </c>
      <c r="S139">
        <f t="shared" si="70"/>
        <v>30.144000000000005</v>
      </c>
      <c r="T139">
        <f t="shared" si="70"/>
        <v>1.32</v>
      </c>
      <c r="U139">
        <f t="shared" si="70"/>
        <v>0.99000000000000032</v>
      </c>
      <c r="V139">
        <f t="shared" si="70"/>
        <v>0</v>
      </c>
      <c r="W139">
        <f t="shared" si="70"/>
        <v>6.8571428571428575E-2</v>
      </c>
      <c r="X139">
        <f t="shared" si="70"/>
        <v>0.12272727272727274</v>
      </c>
      <c r="Y139">
        <f t="shared" si="70"/>
        <v>1.3500000000000002E-2</v>
      </c>
      <c r="Z139">
        <f t="shared" si="70"/>
        <v>3.7125000000000005E-2</v>
      </c>
      <c r="AA139">
        <f t="shared" si="70"/>
        <v>2.3142857142857149</v>
      </c>
      <c r="AB139">
        <f t="shared" si="70"/>
        <v>7.3062782336012182</v>
      </c>
      <c r="AC139">
        <f t="shared" si="70"/>
        <v>2.5104600916043678</v>
      </c>
    </row>
    <row r="140" spans="2:31" x14ac:dyDescent="0.25">
      <c r="C140">
        <v>2020</v>
      </c>
      <c r="D140">
        <f t="shared" ref="D140:AC140" si="71">D113*D128/1000000</f>
        <v>1.6719999999999997</v>
      </c>
      <c r="E140">
        <f t="shared" si="71"/>
        <v>0.76559999999999973</v>
      </c>
      <c r="F140">
        <f t="shared" si="71"/>
        <v>1.4634666666666665</v>
      </c>
      <c r="G140">
        <f t="shared" si="71"/>
        <v>1.0289999999999999</v>
      </c>
      <c r="H140">
        <f t="shared" si="71"/>
        <v>1.2869999999999999</v>
      </c>
      <c r="I140">
        <f t="shared" si="71"/>
        <v>0.98999999999999988</v>
      </c>
      <c r="J140">
        <f t="shared" si="71"/>
        <v>61.131</v>
      </c>
      <c r="K140">
        <f t="shared" si="71"/>
        <v>36.183085714285717</v>
      </c>
      <c r="L140">
        <f t="shared" si="71"/>
        <v>2.9750000000000001</v>
      </c>
      <c r="M140">
        <f t="shared" si="71"/>
        <v>0</v>
      </c>
      <c r="N140">
        <f t="shared" si="71"/>
        <v>0</v>
      </c>
      <c r="O140">
        <f t="shared" si="71"/>
        <v>7.1355555555555561E-2</v>
      </c>
      <c r="P140">
        <f t="shared" si="71"/>
        <v>0.72</v>
      </c>
      <c r="Q140">
        <f t="shared" si="71"/>
        <v>0.75019999999999998</v>
      </c>
      <c r="R140">
        <f t="shared" si="71"/>
        <v>4.9245299999999999</v>
      </c>
      <c r="S140">
        <f t="shared" si="71"/>
        <v>59.2</v>
      </c>
      <c r="T140">
        <f t="shared" si="71"/>
        <v>1.8857142857142859</v>
      </c>
      <c r="U140">
        <f t="shared" si="71"/>
        <v>1.2600000000000002</v>
      </c>
      <c r="V140">
        <f t="shared" si="71"/>
        <v>0</v>
      </c>
      <c r="W140">
        <f t="shared" si="71"/>
        <v>8.0000000000000016E-2</v>
      </c>
      <c r="X140">
        <f t="shared" si="71"/>
        <v>0.18000000000000002</v>
      </c>
      <c r="Y140">
        <f t="shared" si="71"/>
        <v>1.3500000000000002E-2</v>
      </c>
      <c r="Z140">
        <f t="shared" si="71"/>
        <v>3.7125000000000005E-2</v>
      </c>
      <c r="AA140">
        <f t="shared" si="71"/>
        <v>2.3142857142857149</v>
      </c>
      <c r="AB140">
        <f t="shared" si="71"/>
        <v>7.3509250496587093</v>
      </c>
      <c r="AC140">
        <f t="shared" si="71"/>
        <v>3.7104906234152057</v>
      </c>
    </row>
    <row r="141" spans="2:31" x14ac:dyDescent="0.25">
      <c r="C141">
        <v>2021</v>
      </c>
      <c r="D141">
        <f t="shared" ref="D141:AC141" si="72">D114*D129/1000000</f>
        <v>1.6719999999999997</v>
      </c>
      <c r="E141">
        <f t="shared" si="72"/>
        <v>0.76559999999999995</v>
      </c>
      <c r="F141">
        <f t="shared" si="72"/>
        <v>1.4634666666666667</v>
      </c>
      <c r="G141">
        <f t="shared" si="72"/>
        <v>1.0289999999999999</v>
      </c>
      <c r="H141">
        <f t="shared" si="72"/>
        <v>1.2869999999999999</v>
      </c>
      <c r="I141">
        <f t="shared" si="72"/>
        <v>0.98999999999999988</v>
      </c>
      <c r="J141">
        <f t="shared" si="72"/>
        <v>62.622</v>
      </c>
      <c r="K141">
        <f t="shared" si="72"/>
        <v>0.32738095238095244</v>
      </c>
      <c r="L141">
        <f t="shared" si="72"/>
        <v>0</v>
      </c>
      <c r="M141">
        <f t="shared" si="72"/>
        <v>0</v>
      </c>
      <c r="N141">
        <f t="shared" si="72"/>
        <v>0</v>
      </c>
      <c r="O141">
        <f t="shared" si="72"/>
        <v>0</v>
      </c>
      <c r="P141">
        <f t="shared" si="72"/>
        <v>1.2</v>
      </c>
      <c r="Q141">
        <f t="shared" si="72"/>
        <v>0.75019999999999998</v>
      </c>
      <c r="R141">
        <f t="shared" si="72"/>
        <v>4.9245299999999999</v>
      </c>
      <c r="S141">
        <f t="shared" si="72"/>
        <v>53.65</v>
      </c>
      <c r="T141">
        <f t="shared" si="72"/>
        <v>2.3571428571428572</v>
      </c>
      <c r="U141">
        <f t="shared" si="72"/>
        <v>1.4400000000000004</v>
      </c>
      <c r="V141">
        <f t="shared" si="72"/>
        <v>0</v>
      </c>
      <c r="W141">
        <f t="shared" si="72"/>
        <v>8.0000000000000016E-2</v>
      </c>
      <c r="X141">
        <f t="shared" si="72"/>
        <v>0.18000000000000002</v>
      </c>
      <c r="Y141">
        <f t="shared" si="72"/>
        <v>1.3500000000000002E-2</v>
      </c>
      <c r="Z141">
        <f t="shared" si="72"/>
        <v>3.7125000000000005E-2</v>
      </c>
      <c r="AA141">
        <f t="shared" si="72"/>
        <v>1.6200000000000008</v>
      </c>
      <c r="AB141">
        <f t="shared" si="72"/>
        <v>7.2515837046903346</v>
      </c>
      <c r="AC141">
        <f t="shared" si="72"/>
        <v>4.0641205148411679</v>
      </c>
    </row>
    <row r="149" spans="2:41" x14ac:dyDescent="0.25">
      <c r="B149" s="41" t="s">
        <v>389</v>
      </c>
    </row>
    <row r="150" spans="2:41" x14ac:dyDescent="0.25">
      <c r="B150" s="41"/>
      <c r="C150">
        <v>2012</v>
      </c>
      <c r="D150">
        <f>D132/D23*1000</f>
        <v>50.499999999999993</v>
      </c>
      <c r="E150">
        <f t="shared" ref="E150:J150" si="73">E132/E23*1000</f>
        <v>30</v>
      </c>
      <c r="F150">
        <f t="shared" si="73"/>
        <v>224.00000000000003</v>
      </c>
      <c r="G150">
        <f t="shared" si="73"/>
        <v>26.358620689655169</v>
      </c>
      <c r="H150">
        <f t="shared" si="73"/>
        <v>8.1840000000000011</v>
      </c>
      <c r="I150">
        <f t="shared" si="73"/>
        <v>5.3793103448275863</v>
      </c>
      <c r="J150">
        <f t="shared" si="73"/>
        <v>61.1111111111111</v>
      </c>
      <c r="P150">
        <f t="shared" ref="P150:U150" si="74">P132/P23*1000</f>
        <v>1.0829000000000004</v>
      </c>
      <c r="Q150">
        <f t="shared" si="74"/>
        <v>1.0206896551724139E-2</v>
      </c>
      <c r="R150">
        <f t="shared" si="74"/>
        <v>1.5065999999999996E-2</v>
      </c>
      <c r="S150">
        <f t="shared" si="74"/>
        <v>1.7825000000000001E-2</v>
      </c>
      <c r="T150">
        <f t="shared" si="74"/>
        <v>6.3829787234042559E-3</v>
      </c>
      <c r="U150">
        <f t="shared" si="74"/>
        <v>4.0563380281690146E-2</v>
      </c>
      <c r="W150">
        <f t="shared" ref="W150:AC150" si="75">W132/W23*1000</f>
        <v>1.2018779342723008E-2</v>
      </c>
      <c r="X150">
        <f t="shared" si="75"/>
        <v>6.0093896713615029E-2</v>
      </c>
      <c r="Y150">
        <f t="shared" si="75"/>
        <v>3.1690140845070429E-2</v>
      </c>
      <c r="Z150">
        <f t="shared" si="75"/>
        <v>0.67605633802816911</v>
      </c>
      <c r="AA150">
        <f t="shared" si="75"/>
        <v>0.50704225352112686</v>
      </c>
      <c r="AB150">
        <f t="shared" si="75"/>
        <v>463.37345513148261</v>
      </c>
      <c r="AC150">
        <f t="shared" si="75"/>
        <v>1.8984092078540347</v>
      </c>
    </row>
    <row r="151" spans="2:41" x14ac:dyDescent="0.25">
      <c r="B151" s="41"/>
      <c r="C151">
        <v>2013</v>
      </c>
      <c r="D151">
        <f t="shared" ref="D151:J151" si="76">D133/D24*1000</f>
        <v>41.577599999999997</v>
      </c>
      <c r="E151">
        <f t="shared" si="76"/>
        <v>50.399999999999984</v>
      </c>
      <c r="F151">
        <f t="shared" si="76"/>
        <v>234</v>
      </c>
      <c r="G151">
        <f t="shared" si="76"/>
        <v>26.358620689655169</v>
      </c>
      <c r="H151">
        <f t="shared" si="76"/>
        <v>9.5039999999999996</v>
      </c>
      <c r="I151">
        <f t="shared" si="76"/>
        <v>6.2758620689655178</v>
      </c>
      <c r="J151">
        <f t="shared" si="76"/>
        <v>67.140740740740753</v>
      </c>
      <c r="P151">
        <f t="shared" ref="P151:U151" si="77">P133/P24*1000</f>
        <v>1.5300000000000002</v>
      </c>
      <c r="Q151">
        <f t="shared" si="77"/>
        <v>2.781609195402299E-2</v>
      </c>
      <c r="R151">
        <f t="shared" si="77"/>
        <v>1.5936000000000006E-2</v>
      </c>
      <c r="S151">
        <f t="shared" si="77"/>
        <v>3.4771071428571436E-2</v>
      </c>
      <c r="T151">
        <f t="shared" si="77"/>
        <v>2.8085106382978727E-2</v>
      </c>
      <c r="U151">
        <f t="shared" si="77"/>
        <v>0.15521701638401844</v>
      </c>
      <c r="W151">
        <f t="shared" ref="W151:AC151" si="78">W133/W24*1000</f>
        <v>3.0046948356807514E-2</v>
      </c>
      <c r="X151">
        <f t="shared" si="78"/>
        <v>9.0140845070422526E-2</v>
      </c>
      <c r="Y151">
        <f t="shared" si="78"/>
        <v>3.1690140845070429E-2</v>
      </c>
      <c r="Z151">
        <f t="shared" si="78"/>
        <v>0.7077464788732396</v>
      </c>
      <c r="AA151">
        <f t="shared" si="78"/>
        <v>0.25352112676056343</v>
      </c>
      <c r="AB151">
        <f t="shared" si="78"/>
        <v>502.1196801038007</v>
      </c>
      <c r="AC151">
        <f t="shared" si="78"/>
        <v>2.4713780793754276</v>
      </c>
    </row>
    <row r="152" spans="2:41" ht="15.75" thickBot="1" x14ac:dyDescent="0.3">
      <c r="B152" s="41"/>
      <c r="C152">
        <v>2014</v>
      </c>
      <c r="D152">
        <f t="shared" ref="D152:J152" si="79">D134/D25*1000</f>
        <v>40.800000000000004</v>
      </c>
      <c r="E152">
        <f t="shared" si="79"/>
        <v>53.928000000000011</v>
      </c>
      <c r="F152">
        <f t="shared" si="79"/>
        <v>246.99999999999997</v>
      </c>
      <c r="G152">
        <f t="shared" si="79"/>
        <v>26.358620689655169</v>
      </c>
      <c r="H152">
        <f t="shared" si="79"/>
        <v>9.6491999999999987</v>
      </c>
      <c r="I152">
        <f t="shared" si="79"/>
        <v>7.1724137931034475</v>
      </c>
      <c r="J152">
        <f t="shared" si="79"/>
        <v>62.222222222222229</v>
      </c>
      <c r="P152">
        <f t="shared" ref="P152:U152" si="80">P134/P25*1000</f>
        <v>1.5</v>
      </c>
      <c r="Q152">
        <f t="shared" si="80"/>
        <v>6.1149425287356327E-2</v>
      </c>
      <c r="R152">
        <f t="shared" si="80"/>
        <v>2.7489599999999999E-2</v>
      </c>
      <c r="S152">
        <f t="shared" si="80"/>
        <v>5.6686628571428553E-2</v>
      </c>
      <c r="T152">
        <f t="shared" si="80"/>
        <v>7.0212765957446827E-2</v>
      </c>
      <c r="U152">
        <f t="shared" si="80"/>
        <v>0.52816901408450712</v>
      </c>
      <c r="W152">
        <f t="shared" ref="W152:AC152" si="81">W134/W25*1000</f>
        <v>3.2863849765258225E-2</v>
      </c>
      <c r="X152">
        <f t="shared" si="81"/>
        <v>0.11173708920187796</v>
      </c>
      <c r="Y152">
        <f t="shared" si="81"/>
        <v>3.1690140845070429E-2</v>
      </c>
      <c r="Z152">
        <f t="shared" si="81"/>
        <v>0.84507042253521147</v>
      </c>
      <c r="AA152">
        <f t="shared" si="81"/>
        <v>0.25352112676056343</v>
      </c>
      <c r="AB152">
        <f t="shared" si="81"/>
        <v>520.38708443173425</v>
      </c>
      <c r="AC152">
        <f t="shared" si="81"/>
        <v>3.2161632776567508</v>
      </c>
    </row>
    <row r="153" spans="2:41" x14ac:dyDescent="0.25">
      <c r="B153" s="41"/>
      <c r="C153">
        <v>2015</v>
      </c>
      <c r="D153">
        <f t="shared" ref="D153:J153" si="82">D135/D26*1000</f>
        <v>37.950000000000003</v>
      </c>
      <c r="E153">
        <f t="shared" si="82"/>
        <v>47.610000000000007</v>
      </c>
      <c r="F153">
        <f t="shared" si="82"/>
        <v>245.99999999999994</v>
      </c>
      <c r="G153">
        <f t="shared" si="82"/>
        <v>25.344827586206893</v>
      </c>
      <c r="H153">
        <f t="shared" si="82"/>
        <v>26.4</v>
      </c>
      <c r="I153">
        <f t="shared" si="82"/>
        <v>7.4482758620689653</v>
      </c>
      <c r="J153">
        <f t="shared" si="82"/>
        <v>65.882352941176478</v>
      </c>
      <c r="P153">
        <f t="shared" ref="P153:U153" si="83">P135/P26*1000</f>
        <v>2.4691358024691357</v>
      </c>
      <c r="Q153">
        <f t="shared" si="83"/>
        <v>0.25600000000000001</v>
      </c>
      <c r="R153">
        <f t="shared" si="83"/>
        <v>5.2000000000000005E-2</v>
      </c>
      <c r="S153">
        <f t="shared" si="83"/>
        <v>6.7600000000000021E-2</v>
      </c>
      <c r="T153">
        <f t="shared" si="83"/>
        <v>0.10531914893617023</v>
      </c>
      <c r="U153">
        <f t="shared" si="83"/>
        <v>0.62002449479485633</v>
      </c>
      <c r="W153">
        <f t="shared" ref="W153:AC153" si="84">W135/W26*1000</f>
        <v>6.1619718309859177E-2</v>
      </c>
      <c r="X153">
        <f t="shared" si="84"/>
        <v>0.13693270735524257</v>
      </c>
      <c r="Y153">
        <f t="shared" si="84"/>
        <v>3.1690140845070429E-2</v>
      </c>
      <c r="Z153">
        <f t="shared" si="84"/>
        <v>0.73943661971830998</v>
      </c>
      <c r="AA153">
        <f t="shared" si="84"/>
        <v>6.3380281690140849</v>
      </c>
      <c r="AB153">
        <f t="shared" si="84"/>
        <v>528.99719830537367</v>
      </c>
      <c r="AC153">
        <f t="shared" si="84"/>
        <v>8.1483450548263008</v>
      </c>
      <c r="AG153" s="78" t="s">
        <v>25</v>
      </c>
      <c r="AH153" s="249" t="s">
        <v>173</v>
      </c>
      <c r="AI153" s="18"/>
      <c r="AJ153" s="18"/>
      <c r="AK153" s="18"/>
      <c r="AL153" s="18"/>
      <c r="AM153" s="19" t="s">
        <v>453</v>
      </c>
      <c r="AN153" s="18"/>
      <c r="AO153" s="250" t="s">
        <v>453</v>
      </c>
    </row>
    <row r="154" spans="2:41" x14ac:dyDescent="0.25">
      <c r="B154" s="41"/>
      <c r="C154">
        <v>2016</v>
      </c>
      <c r="D154">
        <f t="shared" ref="D154:J154" si="85">D136/D27*1000</f>
        <v>37.950000000000003</v>
      </c>
      <c r="E154">
        <f t="shared" si="85"/>
        <v>44.85</v>
      </c>
      <c r="F154">
        <f t="shared" si="85"/>
        <v>231</v>
      </c>
      <c r="G154">
        <f t="shared" si="85"/>
        <v>25.344827586206893</v>
      </c>
      <c r="H154">
        <f t="shared" si="85"/>
        <v>12.342000000000002</v>
      </c>
      <c r="I154">
        <f t="shared" si="85"/>
        <v>8</v>
      </c>
      <c r="J154">
        <f t="shared" si="85"/>
        <v>73.5</v>
      </c>
      <c r="P154">
        <f t="shared" ref="P154:U154" si="86">P136/P27*1000</f>
        <v>2.074074074074074</v>
      </c>
      <c r="Q154">
        <f t="shared" si="86"/>
        <v>0.378</v>
      </c>
      <c r="R154">
        <f t="shared" si="86"/>
        <v>8.4000000000000005E-2</v>
      </c>
      <c r="S154">
        <f t="shared" si="86"/>
        <v>0.11000000000000001</v>
      </c>
      <c r="T154">
        <f t="shared" si="86"/>
        <v>0.38617021276595748</v>
      </c>
      <c r="U154">
        <f t="shared" si="86"/>
        <v>0.72623239436619746</v>
      </c>
      <c r="W154">
        <f t="shared" ref="W154:AC154" si="87">W136/W27*1000</f>
        <v>9.3896713615023483E-2</v>
      </c>
      <c r="X154">
        <f t="shared" si="87"/>
        <v>0.14671361502347421</v>
      </c>
      <c r="Y154">
        <f t="shared" si="87"/>
        <v>3.1690140845070429E-2</v>
      </c>
      <c r="Z154">
        <f t="shared" si="87"/>
        <v>0.73943661971830998</v>
      </c>
      <c r="AA154">
        <f t="shared" si="87"/>
        <v>3.1690140845070425</v>
      </c>
      <c r="AB154">
        <f t="shared" si="87"/>
        <v>490.97067672871725</v>
      </c>
      <c r="AC154">
        <f t="shared" si="87"/>
        <v>7.0570991491082111</v>
      </c>
      <c r="AG154" s="12"/>
      <c r="AH154" s="2">
        <v>2015</v>
      </c>
      <c r="AI154" s="2">
        <v>2016</v>
      </c>
      <c r="AJ154" s="2">
        <v>2017</v>
      </c>
      <c r="AK154" s="2">
        <v>2018</v>
      </c>
      <c r="AL154" s="2">
        <v>2019</v>
      </c>
      <c r="AM154" s="16">
        <v>2019</v>
      </c>
      <c r="AN154" s="2">
        <v>2020</v>
      </c>
      <c r="AO154" s="251">
        <v>2020</v>
      </c>
    </row>
    <row r="155" spans="2:41" x14ac:dyDescent="0.25">
      <c r="B155" s="41"/>
      <c r="C155">
        <v>2017</v>
      </c>
      <c r="D155">
        <f t="shared" ref="D155:J155" si="88">D137/D28*1000</f>
        <v>36.299999999999997</v>
      </c>
      <c r="E155">
        <f t="shared" si="88"/>
        <v>36.300000000000004</v>
      </c>
      <c r="F155">
        <f t="shared" si="88"/>
        <v>219.99999999999997</v>
      </c>
      <c r="G155">
        <f t="shared" si="88"/>
        <v>25.344827586206893</v>
      </c>
      <c r="H155">
        <f t="shared" si="88"/>
        <v>13.860000000000001</v>
      </c>
      <c r="I155">
        <f t="shared" si="88"/>
        <v>8.5517241379310338</v>
      </c>
      <c r="J155">
        <f t="shared" si="88"/>
        <v>84</v>
      </c>
      <c r="P155">
        <f t="shared" ref="P155:U155" si="89">P137/P28*1000</f>
        <v>1.8</v>
      </c>
      <c r="Q155">
        <f t="shared" si="89"/>
        <v>0.52800000000000002</v>
      </c>
      <c r="R155">
        <f t="shared" si="89"/>
        <v>0.13500000000000001</v>
      </c>
      <c r="S155">
        <f t="shared" si="89"/>
        <v>0.16</v>
      </c>
      <c r="T155">
        <f t="shared" si="89"/>
        <v>0.93617021276595769</v>
      </c>
      <c r="U155">
        <f t="shared" si="89"/>
        <v>1.0865191146881292</v>
      </c>
      <c r="W155">
        <f t="shared" ref="W155:AC155" si="90">W137/W28*1000</f>
        <v>0.14788732394366197</v>
      </c>
      <c r="X155">
        <f t="shared" si="90"/>
        <v>0.31690140845070425</v>
      </c>
      <c r="Y155">
        <f t="shared" si="90"/>
        <v>3.1690140845070429E-2</v>
      </c>
      <c r="Z155">
        <f t="shared" si="90"/>
        <v>0.55457746478873238</v>
      </c>
      <c r="AA155">
        <f t="shared" si="90"/>
        <v>3.1690140845070425</v>
      </c>
      <c r="AB155">
        <f t="shared" si="90"/>
        <v>459.29081194688507</v>
      </c>
      <c r="AC155">
        <f t="shared" si="90"/>
        <v>8.3733331499966397</v>
      </c>
      <c r="AG155" s="12" t="s">
        <v>452</v>
      </c>
      <c r="AH155" s="2">
        <v>0.1</v>
      </c>
      <c r="AI155" s="2"/>
      <c r="AJ155" s="2"/>
      <c r="AK155" s="2"/>
      <c r="AL155" s="2"/>
      <c r="AM155" s="16"/>
      <c r="AN155" s="2"/>
      <c r="AO155" s="251"/>
    </row>
    <row r="156" spans="2:41" x14ac:dyDescent="0.25">
      <c r="B156" s="41"/>
      <c r="C156">
        <v>2018</v>
      </c>
      <c r="D156">
        <f t="shared" ref="D156:J156" si="91">D138/D29*1000</f>
        <v>36.299999999999997</v>
      </c>
      <c r="E156">
        <f t="shared" si="91"/>
        <v>36.299999999999997</v>
      </c>
      <c r="F156">
        <f t="shared" si="91"/>
        <v>207.05882352941177</v>
      </c>
      <c r="G156">
        <f t="shared" si="91"/>
        <v>30.413793103448274</v>
      </c>
      <c r="H156">
        <f t="shared" si="91"/>
        <v>17.820000000000004</v>
      </c>
      <c r="I156">
        <f t="shared" si="91"/>
        <v>18.206896551724135</v>
      </c>
      <c r="J156">
        <f t="shared" si="91"/>
        <v>76.222222222222229</v>
      </c>
      <c r="P156">
        <f t="shared" ref="P156:U156" si="92">P138/P29*1000</f>
        <v>1.7499999999999998</v>
      </c>
      <c r="Q156">
        <f t="shared" si="92"/>
        <v>0.6160000000000001</v>
      </c>
      <c r="R156">
        <f t="shared" si="92"/>
        <v>0.1696</v>
      </c>
      <c r="S156">
        <f t="shared" si="92"/>
        <v>0.224</v>
      </c>
      <c r="T156">
        <f t="shared" si="92"/>
        <v>1.1702127659574471</v>
      </c>
      <c r="U156">
        <f t="shared" si="92"/>
        <v>1.6297786720321934</v>
      </c>
      <c r="W156">
        <f t="shared" ref="W156:AC156" si="93">W138/W29*1000</f>
        <v>6.3380281690140844E-2</v>
      </c>
      <c r="X156">
        <f t="shared" si="93"/>
        <v>0.26408450704225356</v>
      </c>
      <c r="Y156">
        <f t="shared" si="93"/>
        <v>3.1690140845070429E-2</v>
      </c>
      <c r="Z156">
        <f t="shared" si="93"/>
        <v>8.7147887323943671E-2</v>
      </c>
      <c r="AA156">
        <f t="shared" si="93"/>
        <v>4.5271629778672047</v>
      </c>
      <c r="AB156">
        <f t="shared" si="93"/>
        <v>445.37154185692083</v>
      </c>
      <c r="AC156">
        <f t="shared" si="93"/>
        <v>8.103181385389961</v>
      </c>
      <c r="AG156" s="12" t="s">
        <v>5</v>
      </c>
      <c r="AH156" s="2">
        <v>0.2</v>
      </c>
      <c r="AI156" s="2">
        <v>0.35</v>
      </c>
      <c r="AJ156" s="2">
        <v>0.55000000000000004</v>
      </c>
      <c r="AK156" s="2">
        <v>0.6</v>
      </c>
      <c r="AL156" s="2">
        <v>0.9</v>
      </c>
      <c r="AM156" s="16">
        <v>2.9</v>
      </c>
      <c r="AN156" s="2"/>
      <c r="AO156" s="251">
        <v>2.9</v>
      </c>
    </row>
    <row r="157" spans="2:41" x14ac:dyDescent="0.25">
      <c r="B157" s="41"/>
      <c r="C157">
        <v>2019</v>
      </c>
      <c r="D157">
        <f t="shared" ref="D157:J159" si="94">D139/D30*1000</f>
        <v>34.099999999999994</v>
      </c>
      <c r="E157">
        <f t="shared" si="94"/>
        <v>35.199999999999996</v>
      </c>
      <c r="F157">
        <f t="shared" si="94"/>
        <v>196.87499999999997</v>
      </c>
      <c r="G157">
        <f t="shared" si="94"/>
        <v>35.482758620689658</v>
      </c>
      <c r="H157">
        <f t="shared" si="94"/>
        <v>19.304999999999996</v>
      </c>
      <c r="I157">
        <f t="shared" si="94"/>
        <v>34.137931034482754</v>
      </c>
      <c r="J157">
        <f t="shared" si="94"/>
        <v>83.664000000000001</v>
      </c>
      <c r="P157">
        <f t="shared" ref="P157:U159" si="95">P139/P30*1000</f>
        <v>1.65</v>
      </c>
      <c r="Q157">
        <f t="shared" si="95"/>
        <v>0.87</v>
      </c>
      <c r="R157">
        <f t="shared" si="95"/>
        <v>0.15359999999999999</v>
      </c>
      <c r="S157">
        <f t="shared" si="95"/>
        <v>0.40867200000000004</v>
      </c>
      <c r="T157">
        <f t="shared" si="95"/>
        <v>1.4042553191489364</v>
      </c>
      <c r="U157">
        <f t="shared" si="95"/>
        <v>2.3239436619718319</v>
      </c>
      <c r="W157">
        <f t="shared" ref="W157:AC159" si="96">W139/W30*1000</f>
        <v>0.16096579476861167</v>
      </c>
      <c r="X157">
        <f t="shared" si="96"/>
        <v>0.28809218950064019</v>
      </c>
      <c r="Y157">
        <f t="shared" si="96"/>
        <v>3.1690140845070429E-2</v>
      </c>
      <c r="Z157">
        <f t="shared" si="96"/>
        <v>8.7147887323943671E-2</v>
      </c>
      <c r="AA157">
        <f t="shared" si="96"/>
        <v>5.4325955734406461</v>
      </c>
      <c r="AB157">
        <f t="shared" si="96"/>
        <v>469.52328596385945</v>
      </c>
      <c r="AC157">
        <f t="shared" si="96"/>
        <v>0.94251141066489919</v>
      </c>
      <c r="AG157" s="12" t="s">
        <v>7</v>
      </c>
      <c r="AH157" s="2">
        <v>0.08</v>
      </c>
      <c r="AI157" s="2">
        <v>0.1</v>
      </c>
      <c r="AJ157" s="2">
        <v>0.12</v>
      </c>
      <c r="AK157" s="2">
        <v>0.16</v>
      </c>
      <c r="AL157" s="2">
        <v>0.15</v>
      </c>
      <c r="AM157" s="16">
        <v>0.5</v>
      </c>
      <c r="AN157" s="2">
        <v>0.55000000000000004</v>
      </c>
      <c r="AO157" s="251">
        <v>0.95</v>
      </c>
    </row>
    <row r="158" spans="2:41" ht="15.75" thickBot="1" x14ac:dyDescent="0.3">
      <c r="B158" s="41"/>
      <c r="C158">
        <v>2020</v>
      </c>
      <c r="D158">
        <f t="shared" si="94"/>
        <v>31.899999999999991</v>
      </c>
      <c r="E158">
        <f t="shared" si="94"/>
        <v>32.999999999999986</v>
      </c>
      <c r="F158">
        <f t="shared" si="94"/>
        <v>199.99999999999997</v>
      </c>
      <c r="G158">
        <f t="shared" si="94"/>
        <v>35.482758620689658</v>
      </c>
      <c r="H158">
        <f t="shared" si="94"/>
        <v>26.4</v>
      </c>
      <c r="I158">
        <f t="shared" si="94"/>
        <v>34.137931034482754</v>
      </c>
      <c r="J158">
        <f t="shared" si="94"/>
        <v>81.507999999999996</v>
      </c>
      <c r="P158">
        <f t="shared" si="95"/>
        <v>1.8</v>
      </c>
      <c r="Q158">
        <f t="shared" si="95"/>
        <v>0.96099999999999997</v>
      </c>
      <c r="R158">
        <f t="shared" si="95"/>
        <v>0.54900000000000004</v>
      </c>
      <c r="S158">
        <f t="shared" si="95"/>
        <v>0.81400000000000017</v>
      </c>
      <c r="T158">
        <f t="shared" si="95"/>
        <v>2.0060790273556233</v>
      </c>
      <c r="U158">
        <f t="shared" si="95"/>
        <v>2.9577464788732399</v>
      </c>
      <c r="W158">
        <f t="shared" si="96"/>
        <v>0.18779342723004697</v>
      </c>
      <c r="X158">
        <f t="shared" si="96"/>
        <v>0.42253521126760568</v>
      </c>
      <c r="Y158">
        <f t="shared" si="96"/>
        <v>3.1690140845070429E-2</v>
      </c>
      <c r="Z158">
        <f t="shared" si="96"/>
        <v>8.7147887323943671E-2</v>
      </c>
      <c r="AA158">
        <f t="shared" si="96"/>
        <v>5.4325955734406461</v>
      </c>
      <c r="AB158">
        <f t="shared" si="96"/>
        <v>471.29745365239029</v>
      </c>
      <c r="AC158">
        <f t="shared" si="96"/>
        <v>1.2797167791950512</v>
      </c>
      <c r="AG158" s="21" t="s">
        <v>8</v>
      </c>
      <c r="AH158" s="13">
        <v>0.12</v>
      </c>
      <c r="AI158" s="13">
        <v>0.16</v>
      </c>
      <c r="AJ158" s="13">
        <v>0.18</v>
      </c>
      <c r="AK158" s="13">
        <v>0.22</v>
      </c>
      <c r="AL158" s="13">
        <v>0.4</v>
      </c>
      <c r="AM158" s="252">
        <v>1.7</v>
      </c>
      <c r="AN158" s="13">
        <v>0.82</v>
      </c>
      <c r="AO158" s="253">
        <v>2.2000000000000002</v>
      </c>
    </row>
    <row r="159" spans="2:41" x14ac:dyDescent="0.25">
      <c r="B159" s="41"/>
      <c r="C159">
        <v>2021</v>
      </c>
      <c r="D159">
        <f t="shared" si="94"/>
        <v>32.999999999999993</v>
      </c>
      <c r="E159">
        <f t="shared" si="94"/>
        <v>33</v>
      </c>
      <c r="F159">
        <f t="shared" si="94"/>
        <v>213.33333333333331</v>
      </c>
      <c r="G159">
        <f t="shared" si="94"/>
        <v>35.482758620689658</v>
      </c>
      <c r="H159">
        <f t="shared" si="94"/>
        <v>26.4</v>
      </c>
      <c r="I159">
        <f t="shared" si="94"/>
        <v>34.137931034482754</v>
      </c>
      <c r="J159">
        <f t="shared" si="94"/>
        <v>83.495999999999995</v>
      </c>
      <c r="P159">
        <f t="shared" si="95"/>
        <v>3</v>
      </c>
      <c r="Q159">
        <f t="shared" si="95"/>
        <v>0.96099999999999997</v>
      </c>
      <c r="R159">
        <f t="shared" si="95"/>
        <v>0.61</v>
      </c>
      <c r="S159">
        <f t="shared" si="95"/>
        <v>0.8879999999999999</v>
      </c>
      <c r="T159">
        <f t="shared" si="95"/>
        <v>2.5075987841945291</v>
      </c>
      <c r="U159">
        <f t="shared" si="95"/>
        <v>3.3802816901408459</v>
      </c>
      <c r="W159">
        <f t="shared" si="96"/>
        <v>0.18779342723004697</v>
      </c>
      <c r="X159">
        <f t="shared" si="96"/>
        <v>0.42253521126760568</v>
      </c>
      <c r="Y159">
        <f t="shared" si="96"/>
        <v>3.1690140845070429E-2</v>
      </c>
      <c r="Z159">
        <f t="shared" si="96"/>
        <v>8.7147887323943671E-2</v>
      </c>
      <c r="AA159">
        <f t="shared" si="96"/>
        <v>3.8028169014084523</v>
      </c>
      <c r="AB159">
        <f t="shared" si="96"/>
        <v>487.95126825264771</v>
      </c>
      <c r="AC159">
        <f t="shared" si="96"/>
        <v>1.6454659570342018</v>
      </c>
    </row>
    <row r="160" spans="2:41" x14ac:dyDescent="0.25">
      <c r="B160" s="41"/>
    </row>
    <row r="161" spans="2:36" x14ac:dyDescent="0.25">
      <c r="B161" s="41"/>
    </row>
    <row r="162" spans="2:36" x14ac:dyDescent="0.25">
      <c r="B162" s="41"/>
    </row>
    <row r="163" spans="2:36" x14ac:dyDescent="0.25">
      <c r="B163" s="41"/>
    </row>
    <row r="164" spans="2:36" x14ac:dyDescent="0.25">
      <c r="B164" s="41"/>
      <c r="P164" s="24" t="s">
        <v>81</v>
      </c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t="s">
        <v>13</v>
      </c>
      <c r="AF164" t="s">
        <v>139</v>
      </c>
      <c r="AH164" t="s">
        <v>153</v>
      </c>
      <c r="AJ164" t="s">
        <v>154</v>
      </c>
    </row>
    <row r="165" spans="2:36" x14ac:dyDescent="0.25">
      <c r="B165" s="41"/>
      <c r="D165" s="23" t="s">
        <v>44</v>
      </c>
      <c r="E165" s="23"/>
      <c r="F165" s="23"/>
      <c r="G165" s="23"/>
      <c r="H165" s="23"/>
      <c r="I165" s="23"/>
      <c r="J165" s="7" t="s">
        <v>30</v>
      </c>
      <c r="K165" s="7" t="s">
        <v>26</v>
      </c>
      <c r="L165" s="7" t="s">
        <v>85</v>
      </c>
      <c r="M165" s="114" t="s">
        <v>26</v>
      </c>
      <c r="N165" s="114" t="s">
        <v>85</v>
      </c>
      <c r="O165" s="114" t="s">
        <v>151</v>
      </c>
      <c r="P165" s="24" t="s">
        <v>46</v>
      </c>
      <c r="Q165" s="24"/>
      <c r="R165" s="24"/>
      <c r="S165" s="24"/>
      <c r="T165" s="24"/>
      <c r="U165" s="24" t="s">
        <v>47</v>
      </c>
      <c r="V165" s="24"/>
      <c r="W165" s="24"/>
      <c r="X165" s="24"/>
      <c r="Y165" s="24"/>
      <c r="Z165" s="24"/>
      <c r="AA165" s="24"/>
      <c r="AB165" s="23"/>
      <c r="AC165" s="23"/>
      <c r="AD165" s="23"/>
      <c r="AE165" s="7" t="s">
        <v>30</v>
      </c>
      <c r="AF165" s="7" t="s">
        <v>26</v>
      </c>
      <c r="AG165" s="7" t="s">
        <v>85</v>
      </c>
      <c r="AH165" s="114" t="s">
        <v>26</v>
      </c>
      <c r="AI165" s="114" t="s">
        <v>85</v>
      </c>
      <c r="AJ165" s="114" t="s">
        <v>151</v>
      </c>
    </row>
    <row r="166" spans="2:36" ht="47.25" x14ac:dyDescent="0.25">
      <c r="B166" s="41"/>
      <c r="D166" s="38" t="s">
        <v>36</v>
      </c>
      <c r="E166" s="38" t="s">
        <v>37</v>
      </c>
      <c r="F166" s="38" t="s">
        <v>38</v>
      </c>
      <c r="G166" s="38" t="s">
        <v>80</v>
      </c>
      <c r="H166" s="38" t="s">
        <v>39</v>
      </c>
      <c r="I166" s="38" t="s">
        <v>45</v>
      </c>
      <c r="J166" s="39" t="s">
        <v>16</v>
      </c>
      <c r="K166" s="39" t="s">
        <v>48</v>
      </c>
      <c r="L166" s="39" t="s">
        <v>115</v>
      </c>
      <c r="M166" s="115" t="s">
        <v>26</v>
      </c>
      <c r="N166" s="115" t="s">
        <v>85</v>
      </c>
      <c r="O166" s="115" t="s">
        <v>85</v>
      </c>
      <c r="P166" s="40" t="s">
        <v>34</v>
      </c>
      <c r="Q166" s="40" t="s">
        <v>5</v>
      </c>
      <c r="R166" s="40" t="s">
        <v>7</v>
      </c>
      <c r="S166" s="40" t="s">
        <v>193</v>
      </c>
      <c r="T166" s="40" t="s">
        <v>40</v>
      </c>
      <c r="U166" s="40" t="s">
        <v>41</v>
      </c>
      <c r="V166" s="40" t="s">
        <v>42</v>
      </c>
      <c r="W166" s="40" t="s">
        <v>31</v>
      </c>
      <c r="X166" s="40" t="s">
        <v>43</v>
      </c>
      <c r="Y166" s="40" t="s">
        <v>82</v>
      </c>
      <c r="Z166" s="40" t="s">
        <v>87</v>
      </c>
      <c r="AA166" s="40" t="s">
        <v>83</v>
      </c>
      <c r="AB166" s="38" t="s">
        <v>85</v>
      </c>
      <c r="AC166" s="38" t="s">
        <v>26</v>
      </c>
      <c r="AD166" s="38"/>
      <c r="AE166" s="39" t="s">
        <v>16</v>
      </c>
      <c r="AF166" s="39" t="s">
        <v>48</v>
      </c>
      <c r="AG166" s="39" t="s">
        <v>115</v>
      </c>
      <c r="AH166" s="115" t="s">
        <v>26</v>
      </c>
      <c r="AI166" s="115" t="s">
        <v>85</v>
      </c>
      <c r="AJ166" s="115" t="s">
        <v>85</v>
      </c>
    </row>
    <row r="170" spans="2:36" outlineLevel="1" x14ac:dyDescent="0.25">
      <c r="Q170" s="20" t="s">
        <v>381</v>
      </c>
      <c r="R170" s="20">
        <v>60</v>
      </c>
      <c r="S170" s="20" t="s">
        <v>196</v>
      </c>
    </row>
    <row r="171" spans="2:36" outlineLevel="1" x14ac:dyDescent="0.25">
      <c r="B171" t="s">
        <v>180</v>
      </c>
      <c r="D171">
        <v>2017</v>
      </c>
      <c r="H171">
        <v>2017</v>
      </c>
      <c r="I171">
        <v>2023</v>
      </c>
      <c r="M171">
        <v>2023</v>
      </c>
      <c r="N171">
        <v>2025</v>
      </c>
      <c r="R171">
        <v>2025</v>
      </c>
      <c r="S171" t="s">
        <v>382</v>
      </c>
    </row>
    <row r="172" spans="2:36" outlineLevel="1" x14ac:dyDescent="0.25">
      <c r="D172" t="s">
        <v>172</v>
      </c>
      <c r="E172" t="s">
        <v>135</v>
      </c>
      <c r="F172" t="s">
        <v>173</v>
      </c>
      <c r="G172" t="s">
        <v>174</v>
      </c>
      <c r="H172" t="s">
        <v>3</v>
      </c>
      <c r="I172" t="s">
        <v>172</v>
      </c>
      <c r="J172" t="s">
        <v>135</v>
      </c>
      <c r="K172" t="s">
        <v>173</v>
      </c>
      <c r="L172" t="s">
        <v>174</v>
      </c>
      <c r="M172" t="s">
        <v>3</v>
      </c>
      <c r="N172" t="s">
        <v>172</v>
      </c>
      <c r="O172" t="s">
        <v>135</v>
      </c>
      <c r="P172" t="s">
        <v>173</v>
      </c>
      <c r="Q172" t="s">
        <v>174</v>
      </c>
      <c r="R172" t="s">
        <v>2</v>
      </c>
      <c r="S172" t="s">
        <v>383</v>
      </c>
    </row>
    <row r="173" spans="2:36" outlineLevel="1" x14ac:dyDescent="0.25">
      <c r="C173" t="s">
        <v>171</v>
      </c>
      <c r="D173">
        <v>10</v>
      </c>
      <c r="E173">
        <v>10</v>
      </c>
      <c r="F173">
        <v>6</v>
      </c>
      <c r="G173">
        <v>2</v>
      </c>
      <c r="H173">
        <f>SUM(D173:G173)</f>
        <v>28</v>
      </c>
      <c r="I173">
        <v>15</v>
      </c>
      <c r="J173">
        <v>65</v>
      </c>
      <c r="K173">
        <v>50</v>
      </c>
      <c r="L173">
        <v>12</v>
      </c>
      <c r="M173">
        <f>SUM(I173:L173)</f>
        <v>142</v>
      </c>
      <c r="N173">
        <v>20</v>
      </c>
      <c r="O173">
        <v>92</v>
      </c>
      <c r="P173">
        <v>50</v>
      </c>
      <c r="Q173">
        <v>24</v>
      </c>
      <c r="R173">
        <f>SUM(N173:Q173)</f>
        <v>186</v>
      </c>
      <c r="S173">
        <f>R173*R$170/1000</f>
        <v>11.16</v>
      </c>
    </row>
    <row r="174" spans="2:36" outlineLevel="1" x14ac:dyDescent="0.25">
      <c r="C174" t="s">
        <v>175</v>
      </c>
      <c r="D174">
        <v>4</v>
      </c>
      <c r="E174">
        <v>5</v>
      </c>
      <c r="F174">
        <v>0</v>
      </c>
      <c r="H174">
        <f t="shared" ref="H174:H194" si="97">SUM(D174:G174)</f>
        <v>9</v>
      </c>
      <c r="I174">
        <v>20</v>
      </c>
      <c r="J174">
        <v>25</v>
      </c>
      <c r="K174">
        <v>10</v>
      </c>
      <c r="M174">
        <f t="shared" ref="M174:M194" si="98">SUM(I174:L174)</f>
        <v>55</v>
      </c>
      <c r="N174">
        <v>22</v>
      </c>
      <c r="O174">
        <v>30</v>
      </c>
      <c r="P174">
        <v>18</v>
      </c>
      <c r="R174">
        <f t="shared" ref="R174:R194" si="99">SUM(N174:Q174)</f>
        <v>70</v>
      </c>
      <c r="S174">
        <f t="shared" ref="S174:S194" si="100">R174*R$170/1000</f>
        <v>4.2</v>
      </c>
    </row>
    <row r="175" spans="2:36" outlineLevel="1" x14ac:dyDescent="0.25">
      <c r="C175" t="s">
        <v>176</v>
      </c>
      <c r="D175">
        <v>15</v>
      </c>
      <c r="E175">
        <v>4</v>
      </c>
      <c r="H175">
        <f t="shared" si="97"/>
        <v>19</v>
      </c>
      <c r="I175">
        <v>33</v>
      </c>
      <c r="J175">
        <v>10</v>
      </c>
      <c r="M175">
        <f t="shared" si="98"/>
        <v>43</v>
      </c>
      <c r="N175">
        <v>53</v>
      </c>
      <c r="O175">
        <v>25</v>
      </c>
      <c r="R175">
        <f t="shared" si="99"/>
        <v>78</v>
      </c>
      <c r="S175">
        <f t="shared" si="100"/>
        <v>4.68</v>
      </c>
    </row>
    <row r="176" spans="2:36" outlineLevel="1" x14ac:dyDescent="0.25">
      <c r="C176" t="s">
        <v>177</v>
      </c>
      <c r="D176">
        <v>5</v>
      </c>
      <c r="H176">
        <f t="shared" si="97"/>
        <v>5</v>
      </c>
      <c r="I176">
        <v>6</v>
      </c>
      <c r="K176">
        <v>8</v>
      </c>
      <c r="M176">
        <f t="shared" si="98"/>
        <v>14</v>
      </c>
      <c r="N176">
        <v>10</v>
      </c>
      <c r="P176">
        <v>12</v>
      </c>
      <c r="R176">
        <f t="shared" si="99"/>
        <v>22</v>
      </c>
      <c r="S176">
        <f t="shared" si="100"/>
        <v>1.32</v>
      </c>
    </row>
    <row r="177" spans="3:19" outlineLevel="1" x14ac:dyDescent="0.25">
      <c r="C177" t="s">
        <v>178</v>
      </c>
      <c r="D177">
        <v>4</v>
      </c>
      <c r="E177">
        <v>0</v>
      </c>
      <c r="F177">
        <v>2</v>
      </c>
      <c r="G177">
        <v>2</v>
      </c>
      <c r="H177">
        <f t="shared" si="97"/>
        <v>8</v>
      </c>
      <c r="I177">
        <v>4</v>
      </c>
      <c r="J177">
        <v>10</v>
      </c>
      <c r="K177">
        <v>4</v>
      </c>
      <c r="L177">
        <v>4</v>
      </c>
      <c r="M177">
        <f t="shared" si="98"/>
        <v>22</v>
      </c>
      <c r="N177">
        <v>4</v>
      </c>
      <c r="O177">
        <v>20</v>
      </c>
      <c r="P177">
        <v>8</v>
      </c>
      <c r="Q177">
        <v>8</v>
      </c>
      <c r="R177">
        <f t="shared" si="99"/>
        <v>40</v>
      </c>
      <c r="S177">
        <f t="shared" si="100"/>
        <v>2.4</v>
      </c>
    </row>
    <row r="178" spans="3:19" outlineLevel="1" x14ac:dyDescent="0.25">
      <c r="C178" t="s">
        <v>188</v>
      </c>
      <c r="D178">
        <v>2</v>
      </c>
      <c r="H178">
        <f t="shared" si="97"/>
        <v>2</v>
      </c>
      <c r="I178">
        <v>3</v>
      </c>
      <c r="M178">
        <f t="shared" si="98"/>
        <v>3</v>
      </c>
      <c r="N178">
        <v>5</v>
      </c>
      <c r="R178">
        <f t="shared" si="99"/>
        <v>5</v>
      </c>
      <c r="S178">
        <f t="shared" si="100"/>
        <v>0.3</v>
      </c>
    </row>
    <row r="179" spans="3:19" outlineLevel="1" x14ac:dyDescent="0.25">
      <c r="C179" t="s">
        <v>179</v>
      </c>
      <c r="D179">
        <v>0</v>
      </c>
      <c r="E179">
        <v>0</v>
      </c>
      <c r="G179">
        <v>6</v>
      </c>
      <c r="H179">
        <f t="shared" si="97"/>
        <v>6</v>
      </c>
      <c r="I179">
        <v>0</v>
      </c>
      <c r="J179">
        <v>10</v>
      </c>
      <c r="L179">
        <v>35</v>
      </c>
      <c r="M179">
        <f t="shared" si="98"/>
        <v>45</v>
      </c>
      <c r="N179">
        <v>0</v>
      </c>
      <c r="O179">
        <v>30</v>
      </c>
      <c r="Q179">
        <v>90</v>
      </c>
      <c r="R179">
        <f t="shared" si="99"/>
        <v>120</v>
      </c>
      <c r="S179">
        <f t="shared" si="100"/>
        <v>7.2</v>
      </c>
    </row>
    <row r="180" spans="3:19" outlineLevel="1" x14ac:dyDescent="0.25">
      <c r="C180" t="s">
        <v>130</v>
      </c>
      <c r="D180">
        <v>0</v>
      </c>
      <c r="E180">
        <v>10</v>
      </c>
      <c r="H180">
        <f t="shared" si="97"/>
        <v>10</v>
      </c>
      <c r="I180">
        <v>0</v>
      </c>
      <c r="J180">
        <v>40</v>
      </c>
      <c r="M180">
        <f t="shared" si="98"/>
        <v>40</v>
      </c>
      <c r="N180">
        <v>0</v>
      </c>
      <c r="O180">
        <v>60</v>
      </c>
      <c r="R180">
        <f t="shared" si="99"/>
        <v>60</v>
      </c>
      <c r="S180">
        <f t="shared" si="100"/>
        <v>3.6</v>
      </c>
    </row>
    <row r="181" spans="3:19" outlineLevel="1" x14ac:dyDescent="0.25">
      <c r="C181" t="s">
        <v>89</v>
      </c>
      <c r="D181">
        <v>0</v>
      </c>
      <c r="E181">
        <v>7</v>
      </c>
      <c r="H181">
        <f t="shared" si="97"/>
        <v>7</v>
      </c>
      <c r="I181">
        <v>0</v>
      </c>
      <c r="J181">
        <v>18</v>
      </c>
      <c r="M181">
        <f t="shared" si="98"/>
        <v>18</v>
      </c>
      <c r="N181">
        <v>0</v>
      </c>
      <c r="O181">
        <v>40</v>
      </c>
      <c r="R181">
        <f t="shared" si="99"/>
        <v>40</v>
      </c>
      <c r="S181">
        <f t="shared" si="100"/>
        <v>2.4</v>
      </c>
    </row>
    <row r="182" spans="3:19" outlineLevel="1" x14ac:dyDescent="0.25">
      <c r="C182" t="s">
        <v>181</v>
      </c>
      <c r="D182">
        <v>0</v>
      </c>
      <c r="E182">
        <v>12</v>
      </c>
      <c r="F182">
        <v>0</v>
      </c>
      <c r="H182">
        <f t="shared" si="97"/>
        <v>12</v>
      </c>
      <c r="I182">
        <v>0</v>
      </c>
      <c r="J182">
        <v>45</v>
      </c>
      <c r="K182">
        <v>12</v>
      </c>
      <c r="M182">
        <f t="shared" si="98"/>
        <v>57</v>
      </c>
      <c r="N182">
        <v>0</v>
      </c>
      <c r="O182">
        <v>100</v>
      </c>
      <c r="P182">
        <v>22</v>
      </c>
      <c r="R182">
        <f t="shared" si="99"/>
        <v>122</v>
      </c>
      <c r="S182">
        <f t="shared" si="100"/>
        <v>7.32</v>
      </c>
    </row>
    <row r="183" spans="3:19" outlineLevel="1" x14ac:dyDescent="0.25">
      <c r="C183" t="s">
        <v>182</v>
      </c>
      <c r="D183">
        <v>0</v>
      </c>
      <c r="E183">
        <v>2</v>
      </c>
      <c r="H183">
        <f t="shared" si="97"/>
        <v>2</v>
      </c>
      <c r="I183">
        <v>0</v>
      </c>
      <c r="J183">
        <v>4</v>
      </c>
      <c r="M183">
        <f t="shared" si="98"/>
        <v>4</v>
      </c>
      <c r="N183">
        <v>0</v>
      </c>
      <c r="O183">
        <v>15</v>
      </c>
      <c r="R183">
        <f t="shared" si="99"/>
        <v>15</v>
      </c>
      <c r="S183">
        <f t="shared" si="100"/>
        <v>0.9</v>
      </c>
    </row>
    <row r="184" spans="3:19" outlineLevel="1" x14ac:dyDescent="0.25">
      <c r="C184" t="s">
        <v>183</v>
      </c>
      <c r="D184">
        <v>0</v>
      </c>
      <c r="E184">
        <v>2</v>
      </c>
      <c r="H184">
        <f t="shared" si="97"/>
        <v>2</v>
      </c>
      <c r="I184">
        <v>0</v>
      </c>
      <c r="J184">
        <v>8</v>
      </c>
      <c r="M184">
        <f t="shared" si="98"/>
        <v>8</v>
      </c>
      <c r="N184">
        <v>0</v>
      </c>
      <c r="O184">
        <v>12</v>
      </c>
      <c r="R184">
        <f t="shared" si="99"/>
        <v>12</v>
      </c>
      <c r="S184">
        <f t="shared" si="100"/>
        <v>0.72</v>
      </c>
    </row>
    <row r="185" spans="3:19" outlineLevel="1" x14ac:dyDescent="0.25">
      <c r="C185" t="s">
        <v>184</v>
      </c>
      <c r="D185">
        <v>0</v>
      </c>
      <c r="E185">
        <v>0</v>
      </c>
      <c r="H185">
        <f t="shared" si="97"/>
        <v>0</v>
      </c>
      <c r="I185">
        <v>0</v>
      </c>
      <c r="J185">
        <v>20</v>
      </c>
      <c r="M185">
        <f t="shared" si="98"/>
        <v>20</v>
      </c>
      <c r="N185">
        <v>0</v>
      </c>
      <c r="O185">
        <v>25</v>
      </c>
      <c r="R185">
        <f t="shared" si="99"/>
        <v>25</v>
      </c>
      <c r="S185">
        <f t="shared" si="100"/>
        <v>1.5</v>
      </c>
    </row>
    <row r="186" spans="3:19" outlineLevel="1" x14ac:dyDescent="0.25">
      <c r="C186" t="s">
        <v>185</v>
      </c>
      <c r="D186">
        <v>0</v>
      </c>
      <c r="E186">
        <v>2</v>
      </c>
      <c r="H186">
        <f t="shared" si="97"/>
        <v>2</v>
      </c>
      <c r="I186">
        <v>0</v>
      </c>
      <c r="J186">
        <v>10</v>
      </c>
      <c r="M186">
        <f t="shared" si="98"/>
        <v>10</v>
      </c>
      <c r="N186">
        <v>0</v>
      </c>
      <c r="O186">
        <v>14</v>
      </c>
      <c r="R186">
        <f t="shared" si="99"/>
        <v>14</v>
      </c>
      <c r="S186">
        <f t="shared" si="100"/>
        <v>0.84</v>
      </c>
    </row>
    <row r="187" spans="3:19" outlineLevel="1" x14ac:dyDescent="0.25">
      <c r="C187" t="s">
        <v>186</v>
      </c>
      <c r="D187">
        <v>0</v>
      </c>
      <c r="E187">
        <v>2</v>
      </c>
      <c r="H187">
        <f t="shared" si="97"/>
        <v>2</v>
      </c>
      <c r="I187">
        <v>0</v>
      </c>
      <c r="J187">
        <v>4</v>
      </c>
      <c r="M187">
        <f t="shared" si="98"/>
        <v>4</v>
      </c>
      <c r="N187">
        <v>0</v>
      </c>
      <c r="O187">
        <v>8</v>
      </c>
      <c r="R187">
        <f t="shared" si="99"/>
        <v>8</v>
      </c>
      <c r="S187">
        <f t="shared" si="100"/>
        <v>0.48</v>
      </c>
    </row>
    <row r="188" spans="3:19" outlineLevel="1" x14ac:dyDescent="0.25">
      <c r="C188" t="s">
        <v>187</v>
      </c>
      <c r="D188">
        <v>0</v>
      </c>
      <c r="E188">
        <v>8</v>
      </c>
      <c r="H188">
        <f t="shared" si="97"/>
        <v>8</v>
      </c>
      <c r="I188">
        <v>0</v>
      </c>
      <c r="J188">
        <v>16</v>
      </c>
      <c r="M188">
        <f t="shared" si="98"/>
        <v>16</v>
      </c>
      <c r="N188">
        <v>0</v>
      </c>
      <c r="O188">
        <v>20</v>
      </c>
      <c r="R188">
        <f t="shared" si="99"/>
        <v>20</v>
      </c>
      <c r="S188">
        <f t="shared" si="100"/>
        <v>1.2</v>
      </c>
    </row>
    <row r="189" spans="3:19" outlineLevel="1" x14ac:dyDescent="0.25">
      <c r="C189" t="s">
        <v>90</v>
      </c>
      <c r="D189">
        <v>0</v>
      </c>
      <c r="E189">
        <v>8</v>
      </c>
      <c r="H189">
        <f t="shared" si="97"/>
        <v>8</v>
      </c>
      <c r="I189">
        <v>0</v>
      </c>
      <c r="J189">
        <v>17</v>
      </c>
      <c r="M189">
        <f t="shared" si="98"/>
        <v>17</v>
      </c>
      <c r="N189">
        <v>0</v>
      </c>
      <c r="O189">
        <v>20</v>
      </c>
      <c r="R189">
        <f t="shared" si="99"/>
        <v>20</v>
      </c>
      <c r="S189">
        <f t="shared" si="100"/>
        <v>1.2</v>
      </c>
    </row>
    <row r="190" spans="3:19" outlineLevel="1" x14ac:dyDescent="0.25">
      <c r="C190" t="s">
        <v>189</v>
      </c>
      <c r="E190">
        <v>8</v>
      </c>
      <c r="H190">
        <f t="shared" si="97"/>
        <v>8</v>
      </c>
      <c r="J190">
        <v>10</v>
      </c>
      <c r="M190">
        <f t="shared" si="98"/>
        <v>10</v>
      </c>
      <c r="O190">
        <v>16</v>
      </c>
      <c r="R190">
        <f t="shared" si="99"/>
        <v>16</v>
      </c>
      <c r="S190">
        <f t="shared" si="100"/>
        <v>0.96</v>
      </c>
    </row>
    <row r="191" spans="3:19" outlineLevel="1" x14ac:dyDescent="0.25">
      <c r="C191" t="s">
        <v>190</v>
      </c>
      <c r="H191">
        <f t="shared" si="97"/>
        <v>0</v>
      </c>
      <c r="K191">
        <v>16</v>
      </c>
      <c r="M191">
        <f t="shared" si="98"/>
        <v>16</v>
      </c>
      <c r="P191">
        <v>32</v>
      </c>
      <c r="R191">
        <f t="shared" si="99"/>
        <v>32</v>
      </c>
      <c r="S191">
        <f t="shared" si="100"/>
        <v>1.92</v>
      </c>
    </row>
    <row r="192" spans="3:19" outlineLevel="1" x14ac:dyDescent="0.25">
      <c r="C192" t="s">
        <v>191</v>
      </c>
      <c r="H192">
        <f t="shared" si="97"/>
        <v>0</v>
      </c>
      <c r="K192">
        <v>12</v>
      </c>
      <c r="M192">
        <f t="shared" si="98"/>
        <v>12</v>
      </c>
      <c r="P192">
        <v>18</v>
      </c>
      <c r="R192">
        <f t="shared" si="99"/>
        <v>18</v>
      </c>
      <c r="S192">
        <f t="shared" si="100"/>
        <v>1.08</v>
      </c>
    </row>
    <row r="193" spans="2:19" outlineLevel="1" x14ac:dyDescent="0.25">
      <c r="C193" t="s">
        <v>192</v>
      </c>
      <c r="H193">
        <f t="shared" si="97"/>
        <v>0</v>
      </c>
      <c r="L193">
        <v>20</v>
      </c>
      <c r="M193">
        <f t="shared" si="98"/>
        <v>20</v>
      </c>
      <c r="Q193">
        <v>20</v>
      </c>
      <c r="R193">
        <f t="shared" si="99"/>
        <v>20</v>
      </c>
      <c r="S193">
        <f t="shared" si="100"/>
        <v>1.2</v>
      </c>
    </row>
    <row r="194" spans="2:19" outlineLevel="1" x14ac:dyDescent="0.25">
      <c r="C194" t="s">
        <v>0</v>
      </c>
      <c r="E194">
        <v>8</v>
      </c>
      <c r="H194">
        <f t="shared" si="97"/>
        <v>8</v>
      </c>
      <c r="J194">
        <v>20</v>
      </c>
      <c r="K194">
        <v>15</v>
      </c>
      <c r="M194">
        <f t="shared" si="98"/>
        <v>35</v>
      </c>
      <c r="O194">
        <v>30</v>
      </c>
      <c r="P194">
        <v>30</v>
      </c>
      <c r="R194">
        <f t="shared" si="99"/>
        <v>60</v>
      </c>
      <c r="S194">
        <f t="shared" si="100"/>
        <v>3.6</v>
      </c>
    </row>
    <row r="195" spans="2:19" outlineLevel="1" x14ac:dyDescent="0.25">
      <c r="C195" t="s">
        <v>2</v>
      </c>
      <c r="D195">
        <f>SUM(D173:D194)</f>
        <v>40</v>
      </c>
      <c r="E195">
        <f t="shared" ref="E195:R195" si="101">SUM(E173:E194)</f>
        <v>88</v>
      </c>
      <c r="F195">
        <f t="shared" si="101"/>
        <v>8</v>
      </c>
      <c r="G195">
        <f t="shared" si="101"/>
        <v>10</v>
      </c>
      <c r="H195">
        <f t="shared" si="101"/>
        <v>146</v>
      </c>
      <c r="I195">
        <f t="shared" si="101"/>
        <v>81</v>
      </c>
      <c r="J195">
        <f t="shared" si="101"/>
        <v>332</v>
      </c>
      <c r="K195">
        <f t="shared" si="101"/>
        <v>127</v>
      </c>
      <c r="L195">
        <f t="shared" si="101"/>
        <v>71</v>
      </c>
      <c r="M195">
        <f t="shared" si="101"/>
        <v>611</v>
      </c>
      <c r="N195">
        <f t="shared" si="101"/>
        <v>114</v>
      </c>
      <c r="O195">
        <f t="shared" si="101"/>
        <v>557</v>
      </c>
      <c r="P195">
        <f t="shared" si="101"/>
        <v>190</v>
      </c>
      <c r="Q195">
        <f t="shared" si="101"/>
        <v>142</v>
      </c>
      <c r="R195">
        <f t="shared" si="101"/>
        <v>1003</v>
      </c>
      <c r="S195">
        <f>R195*R$170/1000</f>
        <v>60.18</v>
      </c>
    </row>
    <row r="196" spans="2:19" outlineLevel="1" x14ac:dyDescent="0.25">
      <c r="C196" t="s">
        <v>6</v>
      </c>
      <c r="D196" s="70">
        <f>D195/$H195</f>
        <v>0.27397260273972601</v>
      </c>
      <c r="E196" s="70">
        <f t="shared" ref="E196:G196" si="102">E195/$H195</f>
        <v>0.60273972602739723</v>
      </c>
      <c r="F196" s="70">
        <f t="shared" si="102"/>
        <v>5.4794520547945202E-2</v>
      </c>
      <c r="G196" s="70">
        <f t="shared" si="102"/>
        <v>6.8493150684931503E-2</v>
      </c>
      <c r="I196" s="70">
        <f>I195/$M195</f>
        <v>0.132569558101473</v>
      </c>
      <c r="J196" s="70">
        <f t="shared" ref="J196:L196" si="103">J195/$M195</f>
        <v>0.54337152209492634</v>
      </c>
      <c r="K196" s="70">
        <f t="shared" si="103"/>
        <v>0.20785597381342061</v>
      </c>
      <c r="L196" s="70">
        <f t="shared" si="103"/>
        <v>0.11620294599018004</v>
      </c>
      <c r="N196" s="70">
        <f>N195/$R195</f>
        <v>0.11365902293120637</v>
      </c>
      <c r="O196" s="70">
        <f t="shared" ref="O196:Q196" si="104">O195/$R195</f>
        <v>0.55533399800598204</v>
      </c>
      <c r="P196" s="70">
        <f t="shared" si="104"/>
        <v>0.18943170488534397</v>
      </c>
      <c r="Q196" s="70">
        <f t="shared" si="104"/>
        <v>0.1415752741774676</v>
      </c>
    </row>
    <row r="197" spans="2:19" outlineLevel="1" x14ac:dyDescent="0.25"/>
    <row r="198" spans="2:19" outlineLevel="1" x14ac:dyDescent="0.25"/>
    <row r="199" spans="2:19" outlineLevel="1" x14ac:dyDescent="0.25"/>
    <row r="200" spans="2:19" outlineLevel="1" x14ac:dyDescent="0.25">
      <c r="K200" s="119" t="s">
        <v>198</v>
      </c>
    </row>
    <row r="201" spans="2:19" outlineLevel="1" x14ac:dyDescent="0.25">
      <c r="B201" t="s">
        <v>194</v>
      </c>
      <c r="J201" t="s">
        <v>197</v>
      </c>
      <c r="L201" t="s">
        <v>209</v>
      </c>
    </row>
    <row r="202" spans="2:19" outlineLevel="1" x14ac:dyDescent="0.25">
      <c r="K202">
        <v>2015</v>
      </c>
      <c r="L202">
        <v>0.36</v>
      </c>
    </row>
    <row r="203" spans="2:19" outlineLevel="1" x14ac:dyDescent="0.25">
      <c r="C203">
        <v>2015</v>
      </c>
      <c r="D203">
        <v>2017</v>
      </c>
      <c r="K203">
        <v>2016</v>
      </c>
      <c r="L203">
        <v>0.56000000000000005</v>
      </c>
      <c r="M203">
        <f>L203-L202</f>
        <v>0.20000000000000007</v>
      </c>
    </row>
    <row r="204" spans="2:19" outlineLevel="1" x14ac:dyDescent="0.25">
      <c r="B204" t="s">
        <v>195</v>
      </c>
      <c r="C204">
        <v>3000</v>
      </c>
      <c r="D204">
        <v>4000</v>
      </c>
      <c r="E204" t="s">
        <v>24</v>
      </c>
      <c r="K204">
        <v>2017</v>
      </c>
      <c r="L204">
        <v>0.82</v>
      </c>
      <c r="M204">
        <f>L204-L203</f>
        <v>0.2599999999999999</v>
      </c>
    </row>
    <row r="205" spans="2:19" outlineLevel="1" x14ac:dyDescent="0.25">
      <c r="C205">
        <v>420</v>
      </c>
      <c r="D205">
        <v>400</v>
      </c>
      <c r="E205" t="s">
        <v>196</v>
      </c>
    </row>
    <row r="206" spans="2:19" outlineLevel="1" x14ac:dyDescent="0.25">
      <c r="C206" s="100">
        <f>C204/C205</f>
        <v>7.1428571428571432</v>
      </c>
      <c r="D206">
        <f>D204/D205</f>
        <v>10</v>
      </c>
      <c r="E206" t="s">
        <v>10</v>
      </c>
      <c r="G206" s="121" t="s">
        <v>199</v>
      </c>
    </row>
    <row r="207" spans="2:19" outlineLevel="1" x14ac:dyDescent="0.25">
      <c r="B207" t="s">
        <v>28</v>
      </c>
      <c r="C207" t="s">
        <v>85</v>
      </c>
      <c r="D207" t="s">
        <v>34</v>
      </c>
      <c r="E207" t="s">
        <v>5</v>
      </c>
      <c r="F207" t="s">
        <v>7</v>
      </c>
      <c r="G207" t="s">
        <v>146</v>
      </c>
      <c r="H207" t="s">
        <v>21</v>
      </c>
      <c r="I207" t="s">
        <v>208</v>
      </c>
    </row>
    <row r="208" spans="2:19" outlineLevel="1" x14ac:dyDescent="0.25">
      <c r="B208">
        <v>2014</v>
      </c>
      <c r="C208" s="120">
        <v>25</v>
      </c>
      <c r="D208" s="120">
        <v>2</v>
      </c>
      <c r="E208">
        <v>1</v>
      </c>
      <c r="F208" s="121">
        <v>5</v>
      </c>
      <c r="G208" s="121">
        <v>14</v>
      </c>
      <c r="H208">
        <v>4</v>
      </c>
    </row>
    <row r="209" spans="2:9" outlineLevel="1" x14ac:dyDescent="0.25">
      <c r="B209">
        <v>2015</v>
      </c>
      <c r="C209" s="120">
        <v>25</v>
      </c>
      <c r="D209" s="120">
        <v>3</v>
      </c>
      <c r="E209">
        <v>2</v>
      </c>
      <c r="F209" s="121">
        <v>11</v>
      </c>
      <c r="G209" s="121">
        <v>21</v>
      </c>
      <c r="H209">
        <v>8</v>
      </c>
    </row>
    <row r="210" spans="2:9" outlineLevel="1" x14ac:dyDescent="0.25"/>
    <row r="211" spans="2:9" outlineLevel="1" x14ac:dyDescent="0.25">
      <c r="B211" t="s">
        <v>210</v>
      </c>
    </row>
    <row r="212" spans="2:9" outlineLevel="1" x14ac:dyDescent="0.25">
      <c r="B212">
        <v>2015</v>
      </c>
      <c r="C212">
        <v>38</v>
      </c>
      <c r="D212">
        <v>3</v>
      </c>
      <c r="G212">
        <v>10</v>
      </c>
      <c r="H212">
        <v>2</v>
      </c>
      <c r="I212">
        <v>8</v>
      </c>
    </row>
    <row r="213" spans="2:9" outlineLevel="1" x14ac:dyDescent="0.25">
      <c r="B213">
        <v>2016</v>
      </c>
      <c r="C213">
        <v>42</v>
      </c>
      <c r="D213">
        <v>3.5</v>
      </c>
      <c r="G213">
        <v>20</v>
      </c>
      <c r="H213">
        <v>3</v>
      </c>
      <c r="I213">
        <v>12</v>
      </c>
    </row>
    <row r="214" spans="2:9" outlineLevel="1" x14ac:dyDescent="0.25">
      <c r="B214">
        <v>2017</v>
      </c>
      <c r="C214">
        <v>48</v>
      </c>
      <c r="D214">
        <v>4</v>
      </c>
      <c r="G214">
        <v>30</v>
      </c>
      <c r="H214">
        <v>4</v>
      </c>
      <c r="I214">
        <v>16</v>
      </c>
    </row>
    <row r="215" spans="2:9" outlineLevel="1" x14ac:dyDescent="0.25">
      <c r="B215">
        <v>2018</v>
      </c>
      <c r="C215">
        <v>55</v>
      </c>
      <c r="D215">
        <v>5</v>
      </c>
      <c r="G215">
        <v>55</v>
      </c>
      <c r="H215">
        <v>6</v>
      </c>
      <c r="I215">
        <v>22</v>
      </c>
    </row>
    <row r="216" spans="2:9" outlineLevel="1" x14ac:dyDescent="0.25">
      <c r="B216">
        <v>2019</v>
      </c>
    </row>
    <row r="217" spans="2:9" outlineLevel="1" x14ac:dyDescent="0.25">
      <c r="B217">
        <v>2020</v>
      </c>
    </row>
    <row r="218" spans="2:9" outlineLevel="1" x14ac:dyDescent="0.25"/>
    <row r="219" spans="2:9" outlineLevel="1" x14ac:dyDescent="0.25"/>
    <row r="220" spans="2:9" outlineLevel="1" x14ac:dyDescent="0.25"/>
    <row r="221" spans="2:9" outlineLevel="1" x14ac:dyDescent="0.25"/>
    <row r="222" spans="2:9" outlineLevel="1" x14ac:dyDescent="0.25"/>
    <row r="223" spans="2:9" outlineLevel="1" x14ac:dyDescent="0.25">
      <c r="B223" t="s">
        <v>10</v>
      </c>
      <c r="C223" t="s">
        <v>200</v>
      </c>
      <c r="D223" t="s">
        <v>29</v>
      </c>
    </row>
    <row r="224" spans="2:9" outlineLevel="1" x14ac:dyDescent="0.25">
      <c r="B224">
        <v>2014</v>
      </c>
      <c r="C224">
        <v>3</v>
      </c>
      <c r="D224">
        <v>1</v>
      </c>
    </row>
    <row r="225" spans="2:21" outlineLevel="1" x14ac:dyDescent="0.25">
      <c r="B225">
        <v>2015</v>
      </c>
      <c r="C225">
        <v>4.5</v>
      </c>
      <c r="D225">
        <v>1</v>
      </c>
    </row>
    <row r="226" spans="2:21" outlineLevel="1" x14ac:dyDescent="0.25"/>
    <row r="227" spans="2:21" outlineLevel="1" x14ac:dyDescent="0.25">
      <c r="B227" t="s">
        <v>201</v>
      </c>
      <c r="C227" t="s">
        <v>202</v>
      </c>
      <c r="D227" t="s">
        <v>204</v>
      </c>
      <c r="E227" t="s">
        <v>205</v>
      </c>
      <c r="F227" t="s">
        <v>203</v>
      </c>
    </row>
    <row r="228" spans="2:21" outlineLevel="1" x14ac:dyDescent="0.25">
      <c r="B228">
        <v>2014</v>
      </c>
      <c r="C228">
        <v>0.06</v>
      </c>
      <c r="E228">
        <v>0.03</v>
      </c>
      <c r="F228">
        <v>7.0000000000000007E-2</v>
      </c>
    </row>
    <row r="229" spans="2:21" outlineLevel="1" x14ac:dyDescent="0.25">
      <c r="B229">
        <v>2015</v>
      </c>
      <c r="C229">
        <v>0.09</v>
      </c>
      <c r="E229">
        <v>0.1</v>
      </c>
      <c r="F229">
        <v>0.11</v>
      </c>
    </row>
    <row r="230" spans="2:21" outlineLevel="1" x14ac:dyDescent="0.25">
      <c r="B230">
        <v>2016</v>
      </c>
      <c r="C230">
        <v>7.0000000000000007E-2</v>
      </c>
      <c r="E230">
        <v>0.12</v>
      </c>
      <c r="F230">
        <v>0.1</v>
      </c>
    </row>
    <row r="231" spans="2:21" outlineLevel="1" x14ac:dyDescent="0.25">
      <c r="B231">
        <v>2017</v>
      </c>
      <c r="C231">
        <v>0.12</v>
      </c>
      <c r="E231">
        <v>0.14000000000000001</v>
      </c>
      <c r="F231">
        <v>0.16</v>
      </c>
    </row>
    <row r="232" spans="2:21" outlineLevel="1" x14ac:dyDescent="0.25">
      <c r="B232">
        <v>2018</v>
      </c>
      <c r="C232">
        <v>0.15</v>
      </c>
      <c r="E232">
        <v>0.21</v>
      </c>
      <c r="F232">
        <v>0.25</v>
      </c>
    </row>
    <row r="233" spans="2:21" outlineLevel="1" x14ac:dyDescent="0.25">
      <c r="B233">
        <v>2019</v>
      </c>
      <c r="C233">
        <v>0.22</v>
      </c>
      <c r="E233">
        <v>0.35</v>
      </c>
      <c r="F233">
        <v>0.39</v>
      </c>
    </row>
    <row r="234" spans="2:21" outlineLevel="1" x14ac:dyDescent="0.25"/>
    <row r="235" spans="2:21" x14ac:dyDescent="0.25">
      <c r="B235" t="s">
        <v>10</v>
      </c>
      <c r="C235" t="s">
        <v>206</v>
      </c>
      <c r="D235" t="s">
        <v>207</v>
      </c>
    </row>
    <row r="236" spans="2:21" x14ac:dyDescent="0.25">
      <c r="B236">
        <v>2017</v>
      </c>
      <c r="C236">
        <v>0.5</v>
      </c>
      <c r="D236">
        <v>0.4</v>
      </c>
      <c r="P236" s="119" t="s">
        <v>220</v>
      </c>
    </row>
    <row r="237" spans="2:21" x14ac:dyDescent="0.25">
      <c r="B237">
        <v>2018</v>
      </c>
      <c r="C237">
        <v>0.7</v>
      </c>
      <c r="D237">
        <v>0.45</v>
      </c>
      <c r="P237" t="s">
        <v>221</v>
      </c>
      <c r="R237">
        <v>27</v>
      </c>
      <c r="S237" t="s">
        <v>222</v>
      </c>
    </row>
    <row r="238" spans="2:21" x14ac:dyDescent="0.25">
      <c r="B238">
        <v>2019</v>
      </c>
      <c r="C238">
        <v>1.2</v>
      </c>
      <c r="D238">
        <v>0.5</v>
      </c>
      <c r="P238" t="s">
        <v>223</v>
      </c>
      <c r="R238">
        <v>1200</v>
      </c>
      <c r="S238" t="s">
        <v>228</v>
      </c>
      <c r="T238" t="s">
        <v>224</v>
      </c>
    </row>
    <row r="239" spans="2:21" x14ac:dyDescent="0.25">
      <c r="P239" t="s">
        <v>229</v>
      </c>
      <c r="R239">
        <v>2015</v>
      </c>
      <c r="S239">
        <v>2016</v>
      </c>
      <c r="T239">
        <v>2017</v>
      </c>
      <c r="U239">
        <v>2018</v>
      </c>
    </row>
    <row r="240" spans="2:21" x14ac:dyDescent="0.25">
      <c r="Q240" t="s">
        <v>230</v>
      </c>
      <c r="R240">
        <v>1.5</v>
      </c>
      <c r="S240">
        <v>1.7</v>
      </c>
      <c r="T240">
        <v>2.2000000000000002</v>
      </c>
      <c r="U240">
        <v>2.6</v>
      </c>
    </row>
    <row r="241" spans="1:21" x14ac:dyDescent="0.25">
      <c r="A241" s="102" t="s">
        <v>255</v>
      </c>
      <c r="B241" s="102" t="s">
        <v>254</v>
      </c>
      <c r="C241" s="102"/>
      <c r="D241" s="102" t="s">
        <v>253</v>
      </c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t="s">
        <v>231</v>
      </c>
      <c r="R241" t="s">
        <v>232</v>
      </c>
      <c r="S241" t="s">
        <v>233</v>
      </c>
      <c r="T241" t="s">
        <v>21</v>
      </c>
    </row>
    <row r="242" spans="1:21" x14ac:dyDescent="0.25">
      <c r="A242" s="102"/>
      <c r="B242" s="102"/>
      <c r="C242" s="102" t="s">
        <v>8</v>
      </c>
      <c r="D242" s="102" t="s">
        <v>7</v>
      </c>
      <c r="E242" s="102" t="s">
        <v>5</v>
      </c>
      <c r="F242" s="102" t="s">
        <v>4</v>
      </c>
      <c r="G242" s="102" t="s">
        <v>34</v>
      </c>
      <c r="H242" s="102" t="s">
        <v>121</v>
      </c>
      <c r="I242" s="102" t="s">
        <v>235</v>
      </c>
      <c r="J242" s="102" t="s">
        <v>240</v>
      </c>
      <c r="K242" s="102" t="s">
        <v>236</v>
      </c>
      <c r="L242" s="102" t="s">
        <v>9</v>
      </c>
      <c r="M242" s="102" t="s">
        <v>237</v>
      </c>
      <c r="N242" s="102" t="s">
        <v>238</v>
      </c>
      <c r="O242" s="102" t="s">
        <v>239</v>
      </c>
      <c r="R242" s="71">
        <v>0.3</v>
      </c>
      <c r="S242" s="71">
        <v>0.4</v>
      </c>
      <c r="T242" s="71">
        <v>0.3</v>
      </c>
      <c r="U242" t="s">
        <v>234</v>
      </c>
    </row>
    <row r="243" spans="1:21" x14ac:dyDescent="0.25">
      <c r="A243" s="102"/>
      <c r="B243" s="102" t="s">
        <v>156</v>
      </c>
      <c r="C243" s="102">
        <v>0.28999999999999998</v>
      </c>
      <c r="D243" s="102">
        <v>0.18</v>
      </c>
      <c r="E243" s="102">
        <v>0.89</v>
      </c>
      <c r="F243" s="102">
        <v>1.7000000000000001E-2</v>
      </c>
      <c r="G243" s="102">
        <v>2.9</v>
      </c>
      <c r="H243" s="102">
        <v>410</v>
      </c>
      <c r="I243" s="102">
        <v>35</v>
      </c>
      <c r="J243" s="102">
        <v>35</v>
      </c>
      <c r="K243" s="102">
        <v>35</v>
      </c>
      <c r="L243" s="102">
        <v>35</v>
      </c>
      <c r="M243" s="102">
        <v>19</v>
      </c>
      <c r="N243" s="102"/>
      <c r="O243" s="102"/>
    </row>
    <row r="244" spans="1:21" x14ac:dyDescent="0.25">
      <c r="A244" s="102"/>
      <c r="B244" s="102" t="s">
        <v>17</v>
      </c>
      <c r="C244" s="102">
        <v>35000</v>
      </c>
      <c r="D244" s="102">
        <v>12500</v>
      </c>
      <c r="E244" s="102">
        <v>800</v>
      </c>
      <c r="F244" s="102">
        <v>200000</v>
      </c>
      <c r="G244" s="102">
        <v>400</v>
      </c>
      <c r="H244" s="102">
        <v>3.5</v>
      </c>
      <c r="I244" s="102">
        <v>46</v>
      </c>
      <c r="J244" s="102">
        <v>22</v>
      </c>
      <c r="K244" s="102">
        <v>29</v>
      </c>
      <c r="L244" s="102">
        <v>29</v>
      </c>
      <c r="M244" s="102">
        <v>67</v>
      </c>
      <c r="N244" s="102"/>
      <c r="O244" s="102"/>
    </row>
    <row r="245" spans="1:21" x14ac:dyDescent="0.25">
      <c r="A245" s="102"/>
      <c r="B245" s="102" t="s">
        <v>225</v>
      </c>
      <c r="C245" s="102">
        <f>C244/180*1000</f>
        <v>194444.44444444447</v>
      </c>
      <c r="D245" s="102">
        <f t="shared" ref="D245:G245" si="105">D244/180*1000</f>
        <v>69444.444444444438</v>
      </c>
      <c r="E245" s="102">
        <f>E244/160*1000</f>
        <v>5000</v>
      </c>
      <c r="F245" s="102">
        <f>F244/150*1000</f>
        <v>1333333.3333333333</v>
      </c>
      <c r="G245" s="102">
        <f t="shared" si="105"/>
        <v>2222.2222222222222</v>
      </c>
      <c r="H245" s="102">
        <f>H244/180*1000</f>
        <v>19.444444444444446</v>
      </c>
      <c r="I245" s="102">
        <f>I244/190*1000</f>
        <v>242.10526315789474</v>
      </c>
      <c r="J245" s="102">
        <f>J244/190*1000</f>
        <v>115.78947368421052</v>
      </c>
      <c r="K245" s="102">
        <f>K244/180*1000</f>
        <v>161.11111111111111</v>
      </c>
      <c r="L245" s="102">
        <f>L244/180*1000</f>
        <v>161.11111111111111</v>
      </c>
      <c r="M245" s="102">
        <f>M244/170*1000</f>
        <v>394.11764705882354</v>
      </c>
      <c r="N245" s="102"/>
      <c r="O245" s="102"/>
    </row>
    <row r="246" spans="1:21" x14ac:dyDescent="0.25">
      <c r="A246" s="102"/>
      <c r="B246" s="102" t="s">
        <v>10</v>
      </c>
      <c r="C246" s="102">
        <f>C243*C244/1000</f>
        <v>10.15</v>
      </c>
      <c r="D246" s="102">
        <f t="shared" ref="D246:M246" si="106">D243*D244/1000</f>
        <v>2.25</v>
      </c>
      <c r="E246" s="102">
        <f t="shared" si="106"/>
        <v>0.71199999999999997</v>
      </c>
      <c r="F246" s="102">
        <f t="shared" si="106"/>
        <v>3.4000000000000004</v>
      </c>
      <c r="G246" s="102">
        <f t="shared" si="106"/>
        <v>1.1599999999999999</v>
      </c>
      <c r="H246" s="102">
        <f t="shared" si="106"/>
        <v>1.4350000000000001</v>
      </c>
      <c r="I246" s="102">
        <f t="shared" si="106"/>
        <v>1.61</v>
      </c>
      <c r="J246" s="102">
        <f t="shared" si="106"/>
        <v>0.77</v>
      </c>
      <c r="K246" s="102">
        <f t="shared" si="106"/>
        <v>1.0149999999999999</v>
      </c>
      <c r="L246" s="102">
        <f t="shared" si="106"/>
        <v>1.0149999999999999</v>
      </c>
      <c r="M246" s="102">
        <f t="shared" si="106"/>
        <v>1.2729999999999999</v>
      </c>
      <c r="N246" s="102"/>
      <c r="O246" s="102"/>
    </row>
    <row r="247" spans="1:21" x14ac:dyDescent="0.25">
      <c r="A247" s="102"/>
      <c r="B247" s="102" t="s">
        <v>226</v>
      </c>
      <c r="C247" s="102">
        <f>C246/180*1000</f>
        <v>56.388888888888893</v>
      </c>
      <c r="D247" s="102">
        <f t="shared" ref="D247:O247" si="107">D246/180*1000</f>
        <v>12.5</v>
      </c>
      <c r="E247" s="102">
        <f>E246/160*1000</f>
        <v>4.45</v>
      </c>
      <c r="F247" s="102">
        <f>F246/150*1000</f>
        <v>22.666666666666668</v>
      </c>
      <c r="G247" s="102">
        <f t="shared" si="107"/>
        <v>6.4444444444444438</v>
      </c>
      <c r="H247" s="102">
        <f>H246/190*1000</f>
        <v>7.552631578947369</v>
      </c>
      <c r="I247" s="102">
        <f t="shared" si="107"/>
        <v>8.9444444444444464</v>
      </c>
      <c r="J247" s="102">
        <f t="shared" si="107"/>
        <v>4.2777777777777777</v>
      </c>
      <c r="K247" s="102">
        <f t="shared" si="107"/>
        <v>5.6388888888888884</v>
      </c>
      <c r="L247" s="102">
        <f t="shared" si="107"/>
        <v>5.6388888888888884</v>
      </c>
      <c r="M247" s="102">
        <f>M246/150*1000</f>
        <v>8.4866666666666664</v>
      </c>
      <c r="N247" s="102">
        <f t="shared" si="107"/>
        <v>0</v>
      </c>
      <c r="O247" s="102">
        <f t="shared" si="107"/>
        <v>0</v>
      </c>
    </row>
    <row r="248" spans="1:21" x14ac:dyDescent="0.25">
      <c r="A248" s="102"/>
      <c r="B248" s="102" t="s">
        <v>227</v>
      </c>
      <c r="C248" s="102">
        <v>0.17</v>
      </c>
      <c r="D248" s="102">
        <v>0.25</v>
      </c>
      <c r="E248" s="102">
        <v>0.28999999999999998</v>
      </c>
      <c r="F248" s="102">
        <v>0.2</v>
      </c>
      <c r="G248" s="102">
        <v>0.3</v>
      </c>
      <c r="H248" s="102">
        <v>0.26</v>
      </c>
      <c r="I248" s="102">
        <v>0.2</v>
      </c>
      <c r="J248" s="102">
        <v>0.22</v>
      </c>
      <c r="K248" s="102">
        <v>0.27</v>
      </c>
      <c r="L248" s="102">
        <v>0.27</v>
      </c>
      <c r="M248" s="102">
        <v>0.33</v>
      </c>
      <c r="N248" s="102"/>
      <c r="O248" s="102"/>
    </row>
    <row r="249" spans="1:21" x14ac:dyDescent="0.25">
      <c r="A249" s="102"/>
      <c r="B249" s="102" t="s">
        <v>24</v>
      </c>
      <c r="C249" s="102">
        <f>C246*C248*1000</f>
        <v>1725.5000000000002</v>
      </c>
      <c r="D249" s="102">
        <f t="shared" ref="D249:M249" si="108">D246*D248*1000</f>
        <v>562.5</v>
      </c>
      <c r="E249" s="102">
        <f t="shared" si="108"/>
        <v>206.47999999999996</v>
      </c>
      <c r="F249" s="102">
        <f t="shared" si="108"/>
        <v>680.00000000000011</v>
      </c>
      <c r="G249" s="102">
        <f t="shared" si="108"/>
        <v>348</v>
      </c>
      <c r="H249" s="102">
        <f t="shared" si="108"/>
        <v>373.1</v>
      </c>
      <c r="I249" s="102">
        <f t="shared" si="108"/>
        <v>322.00000000000006</v>
      </c>
      <c r="J249" s="102">
        <f t="shared" si="108"/>
        <v>169.4</v>
      </c>
      <c r="K249" s="102">
        <f t="shared" si="108"/>
        <v>274.05</v>
      </c>
      <c r="L249" s="102">
        <f t="shared" si="108"/>
        <v>274.05</v>
      </c>
      <c r="M249" s="102">
        <f t="shared" si="108"/>
        <v>420.09</v>
      </c>
      <c r="N249" s="102"/>
      <c r="O249" s="102"/>
    </row>
    <row r="250" spans="1:21" x14ac:dyDescent="0.25">
      <c r="A250" t="s">
        <v>395</v>
      </c>
      <c r="C250" t="s">
        <v>396</v>
      </c>
      <c r="E250">
        <v>100</v>
      </c>
      <c r="F250" t="s">
        <v>102</v>
      </c>
      <c r="G250">
        <f>(H245*H246+I245*I246+J245*J246+K245*K246+M245*M246)/(I246+H246+J246+K246+M246)</f>
        <v>192.05139909593487</v>
      </c>
    </row>
    <row r="251" spans="1:21" x14ac:dyDescent="0.25">
      <c r="A251" t="s">
        <v>256</v>
      </c>
      <c r="C251" t="s">
        <v>397</v>
      </c>
      <c r="E251">
        <v>25</v>
      </c>
      <c r="F251" t="s">
        <v>102</v>
      </c>
    </row>
    <row r="252" spans="1:21" x14ac:dyDescent="0.25">
      <c r="A252" t="s">
        <v>257</v>
      </c>
    </row>
    <row r="253" spans="1:21" x14ac:dyDescent="0.25">
      <c r="E253" t="s">
        <v>243</v>
      </c>
      <c r="F253" t="s">
        <v>393</v>
      </c>
      <c r="I253" s="6" t="s">
        <v>392</v>
      </c>
      <c r="J253" s="6"/>
    </row>
    <row r="254" spans="1:21" x14ac:dyDescent="0.25">
      <c r="C254" t="s">
        <v>247</v>
      </c>
      <c r="F254" t="s">
        <v>390</v>
      </c>
      <c r="I254" s="6">
        <v>2018</v>
      </c>
      <c r="J254" s="6" t="s">
        <v>391</v>
      </c>
    </row>
    <row r="255" spans="1:21" x14ac:dyDescent="0.25">
      <c r="B255" t="s">
        <v>245</v>
      </c>
      <c r="C255">
        <v>47632.370863513534</v>
      </c>
      <c r="F255">
        <v>39000</v>
      </c>
      <c r="I255" s="6">
        <v>1248.9187015102234</v>
      </c>
      <c r="J255" s="6" t="s">
        <v>49</v>
      </c>
    </row>
    <row r="256" spans="1:21" x14ac:dyDescent="0.25">
      <c r="B256" t="s">
        <v>50</v>
      </c>
      <c r="C256">
        <v>11703.676133553046</v>
      </c>
      <c r="D256">
        <f>C256*50/1000</f>
        <v>585.18380667765234</v>
      </c>
      <c r="F256">
        <v>7000</v>
      </c>
      <c r="I256" s="6">
        <v>10650.757778011259</v>
      </c>
      <c r="J256" s="6" t="s">
        <v>50</v>
      </c>
    </row>
    <row r="257" spans="2:27" x14ac:dyDescent="0.25">
      <c r="B257" t="s">
        <v>49</v>
      </c>
      <c r="C257">
        <v>1044.0231234195965</v>
      </c>
      <c r="D257">
        <f>C257*12/1000</f>
        <v>12.528277481035158</v>
      </c>
      <c r="F257">
        <v>600</v>
      </c>
      <c r="I257" s="6">
        <v>52977.64570123524</v>
      </c>
      <c r="J257" s="6" t="s">
        <v>13</v>
      </c>
    </row>
    <row r="258" spans="2:27" x14ac:dyDescent="0.25">
      <c r="B258" t="s">
        <v>246</v>
      </c>
      <c r="C258">
        <v>7526.7273083366772</v>
      </c>
      <c r="D258">
        <f>C258*4/1000</f>
        <v>30.106909233346709</v>
      </c>
      <c r="F258">
        <v>24000</v>
      </c>
      <c r="I258" s="6" t="s">
        <v>394</v>
      </c>
      <c r="J258" s="6"/>
    </row>
    <row r="259" spans="2:27" x14ac:dyDescent="0.25">
      <c r="I259" t="s">
        <v>398</v>
      </c>
    </row>
    <row r="262" spans="2:27" ht="15.75" thickBot="1" x14ac:dyDescent="0.3">
      <c r="B262" t="s">
        <v>241</v>
      </c>
      <c r="O262" t="s">
        <v>241</v>
      </c>
    </row>
    <row r="263" spans="2:27" ht="15.75" thickBot="1" x14ac:dyDescent="0.3">
      <c r="D263" s="78" t="s">
        <v>217</v>
      </c>
      <c r="E263" s="122" t="s">
        <v>76</v>
      </c>
      <c r="F263" s="122" t="s">
        <v>218</v>
      </c>
      <c r="G263" s="122" t="s">
        <v>77</v>
      </c>
      <c r="H263" s="122" t="s">
        <v>219</v>
      </c>
      <c r="I263" s="122" t="s">
        <v>242</v>
      </c>
      <c r="J263" s="122" t="s">
        <v>49</v>
      </c>
      <c r="K263" s="122" t="s">
        <v>50</v>
      </c>
      <c r="L263" s="122" t="s">
        <v>15</v>
      </c>
      <c r="M263" s="123" t="s">
        <v>9</v>
      </c>
      <c r="Q263" s="78" t="s">
        <v>217</v>
      </c>
      <c r="R263" s="122" t="s">
        <v>76</v>
      </c>
      <c r="S263" s="122" t="s">
        <v>218</v>
      </c>
      <c r="T263" s="122" t="s">
        <v>77</v>
      </c>
      <c r="U263" s="122" t="s">
        <v>219</v>
      </c>
      <c r="V263" s="122" t="s">
        <v>242</v>
      </c>
      <c r="W263" s="122" t="s">
        <v>49</v>
      </c>
      <c r="X263" s="122" t="s">
        <v>50</v>
      </c>
      <c r="Y263" s="122" t="s">
        <v>15</v>
      </c>
      <c r="Z263" s="123" t="s">
        <v>9</v>
      </c>
      <c r="AA263" s="135" t="s">
        <v>249</v>
      </c>
    </row>
    <row r="264" spans="2:27" x14ac:dyDescent="0.25">
      <c r="B264" s="130" t="s">
        <v>46</v>
      </c>
      <c r="C264" s="131" t="s">
        <v>3</v>
      </c>
      <c r="D264" s="132">
        <f>SUM(D265:D269)</f>
        <v>34.800000000000004</v>
      </c>
      <c r="E264" s="133">
        <f t="shared" ref="E264:M264" si="109">SUM(E265:E269)</f>
        <v>2756.8760000000002</v>
      </c>
      <c r="F264" s="133">
        <f t="shared" si="109"/>
        <v>189.80500000000004</v>
      </c>
      <c r="G264" s="133">
        <f t="shared" si="109"/>
        <v>410.40000000000003</v>
      </c>
      <c r="H264" s="133">
        <f t="shared" si="109"/>
        <v>34.000000000000007</v>
      </c>
      <c r="I264" s="133">
        <f t="shared" si="109"/>
        <v>86.27500000000002</v>
      </c>
      <c r="J264" s="133">
        <f t="shared" si="109"/>
        <v>0</v>
      </c>
      <c r="K264" s="133">
        <f t="shared" si="109"/>
        <v>10.323999999999998</v>
      </c>
      <c r="L264" s="133">
        <f t="shared" si="109"/>
        <v>0</v>
      </c>
      <c r="M264" s="134">
        <f t="shared" si="109"/>
        <v>0</v>
      </c>
      <c r="O264" s="130" t="s">
        <v>46</v>
      </c>
      <c r="P264" s="131" t="s">
        <v>3</v>
      </c>
      <c r="Q264" s="132">
        <v>34.800000000000004</v>
      </c>
      <c r="R264" s="133">
        <v>2953.9349999999999</v>
      </c>
      <c r="S264" s="133">
        <v>212.13499999999999</v>
      </c>
      <c r="T264" s="133">
        <v>410.40000000000003</v>
      </c>
      <c r="U264" s="133">
        <v>34.000000000000007</v>
      </c>
      <c r="V264" s="133">
        <v>96.425000000000011</v>
      </c>
      <c r="W264" s="133">
        <v>0</v>
      </c>
      <c r="X264" s="133">
        <v>12.905000000000001</v>
      </c>
      <c r="Y264" s="133">
        <v>0</v>
      </c>
      <c r="Z264" s="134">
        <v>0</v>
      </c>
      <c r="AA264" s="136"/>
    </row>
    <row r="265" spans="2:27" x14ac:dyDescent="0.25">
      <c r="B265" s="12"/>
      <c r="C265" s="2" t="s">
        <v>211</v>
      </c>
      <c r="D265" s="124">
        <f>G249*0.1</f>
        <v>34.800000000000004</v>
      </c>
      <c r="E265" s="125">
        <f>G249*0.6</f>
        <v>208.79999999999998</v>
      </c>
      <c r="F265" s="125"/>
      <c r="G265" s="125">
        <f>G249*0.3</f>
        <v>104.39999999999999</v>
      </c>
      <c r="H265" s="125"/>
      <c r="I265" s="125"/>
      <c r="J265" s="125"/>
      <c r="K265" s="125"/>
      <c r="L265" s="125"/>
      <c r="M265" s="126"/>
      <c r="O265" s="12"/>
      <c r="P265" s="2" t="s">
        <v>211</v>
      </c>
      <c r="Q265" s="124">
        <v>34.800000000000004</v>
      </c>
      <c r="R265" s="125">
        <v>208.79999999999998</v>
      </c>
      <c r="S265" s="125"/>
      <c r="T265" s="125">
        <v>104.39999999999999</v>
      </c>
      <c r="U265" s="125"/>
      <c r="V265" s="125"/>
      <c r="W265" s="125"/>
      <c r="X265" s="125"/>
      <c r="Y265" s="125"/>
      <c r="Z265" s="126"/>
      <c r="AA265" s="136">
        <f t="shared" ref="AA265:AA279" si="110">SUM(Q265:Z265)</f>
        <v>348</v>
      </c>
    </row>
    <row r="266" spans="2:27" x14ac:dyDescent="0.25">
      <c r="B266" s="12"/>
      <c r="C266" s="2" t="s">
        <v>8</v>
      </c>
      <c r="D266" s="124"/>
      <c r="E266" s="125">
        <f>$C249*0.84</f>
        <v>1449.42</v>
      </c>
      <c r="F266" s="125">
        <f>$C249*0.11</f>
        <v>189.80500000000004</v>
      </c>
      <c r="G266" s="125"/>
      <c r="H266" s="125"/>
      <c r="I266" s="125">
        <f>$C249*0.05</f>
        <v>86.27500000000002</v>
      </c>
      <c r="J266" s="125"/>
      <c r="K266" s="125"/>
      <c r="L266" s="125"/>
      <c r="M266" s="126"/>
      <c r="O266" s="12"/>
      <c r="P266" s="2" t="s">
        <v>8</v>
      </c>
      <c r="Q266" s="124"/>
      <c r="R266" s="125">
        <v>1619.9399999999998</v>
      </c>
      <c r="S266" s="125">
        <v>212.13499999999999</v>
      </c>
      <c r="T266" s="125"/>
      <c r="U266" s="125"/>
      <c r="V266" s="125">
        <v>96.425000000000011</v>
      </c>
      <c r="W266" s="125"/>
      <c r="X266" s="125"/>
      <c r="Y266" s="125"/>
      <c r="Z266" s="126"/>
      <c r="AA266" s="136">
        <f t="shared" si="110"/>
        <v>1928.4999999999998</v>
      </c>
    </row>
    <row r="267" spans="2:27" x14ac:dyDescent="0.25">
      <c r="B267" s="12"/>
      <c r="C267" s="2" t="s">
        <v>7</v>
      </c>
      <c r="D267" s="124"/>
      <c r="E267" s="125">
        <f>D249</f>
        <v>562.5</v>
      </c>
      <c r="F267" s="125"/>
      <c r="G267" s="125"/>
      <c r="H267" s="125"/>
      <c r="I267" s="125"/>
      <c r="J267" s="125"/>
      <c r="K267" s="125"/>
      <c r="L267" s="125"/>
      <c r="M267" s="126"/>
      <c r="O267" s="12"/>
      <c r="P267" s="2" t="s">
        <v>7</v>
      </c>
      <c r="Q267" s="124"/>
      <c r="R267" s="125">
        <v>540</v>
      </c>
      <c r="S267" s="125"/>
      <c r="T267" s="125"/>
      <c r="U267" s="125"/>
      <c r="V267" s="125"/>
      <c r="W267" s="125"/>
      <c r="X267" s="125"/>
      <c r="Y267" s="125"/>
      <c r="Z267" s="126"/>
      <c r="AA267" s="136">
        <f t="shared" si="110"/>
        <v>540</v>
      </c>
    </row>
    <row r="268" spans="2:27" x14ac:dyDescent="0.25">
      <c r="B268" s="12"/>
      <c r="C268" s="2" t="s">
        <v>5</v>
      </c>
      <c r="D268" s="124"/>
      <c r="E268" s="125">
        <f>E249*0.95</f>
        <v>196.15599999999995</v>
      </c>
      <c r="F268" s="125"/>
      <c r="G268" s="125"/>
      <c r="H268" s="125"/>
      <c r="I268" s="125"/>
      <c r="J268" s="125"/>
      <c r="K268" s="125">
        <f>E249*0.05</f>
        <v>10.323999999999998</v>
      </c>
      <c r="L268" s="125"/>
      <c r="M268" s="126"/>
      <c r="O268" s="12"/>
      <c r="P268" s="2" t="s">
        <v>5</v>
      </c>
      <c r="Q268" s="124"/>
      <c r="R268" s="125">
        <v>245.19500000000002</v>
      </c>
      <c r="S268" s="125"/>
      <c r="T268" s="125"/>
      <c r="U268" s="125"/>
      <c r="V268" s="125"/>
      <c r="W268" s="125"/>
      <c r="X268" s="125">
        <v>12.905000000000001</v>
      </c>
      <c r="Y268" s="125"/>
      <c r="Z268" s="126"/>
      <c r="AA268" s="136">
        <f t="shared" si="110"/>
        <v>258.10000000000002</v>
      </c>
    </row>
    <row r="269" spans="2:27" ht="15.75" thickBot="1" x14ac:dyDescent="0.3">
      <c r="B269" s="21"/>
      <c r="C269" s="13" t="s">
        <v>212</v>
      </c>
      <c r="D269" s="127"/>
      <c r="E269" s="128">
        <f>F249*0.5</f>
        <v>340.00000000000006</v>
      </c>
      <c r="F269" s="128"/>
      <c r="G269" s="128">
        <f>F249*0.45</f>
        <v>306.00000000000006</v>
      </c>
      <c r="H269" s="128">
        <f>F249*0.05</f>
        <v>34.000000000000007</v>
      </c>
      <c r="I269" s="128"/>
      <c r="J269" s="128"/>
      <c r="K269" s="128"/>
      <c r="L269" s="128"/>
      <c r="M269" s="129"/>
      <c r="O269" s="21"/>
      <c r="P269" s="13" t="s">
        <v>212</v>
      </c>
      <c r="Q269" s="127"/>
      <c r="R269" s="128">
        <v>340.00000000000006</v>
      </c>
      <c r="S269" s="128"/>
      <c r="T269" s="128">
        <v>306.00000000000006</v>
      </c>
      <c r="U269" s="128">
        <v>34.000000000000007</v>
      </c>
      <c r="V269" s="128"/>
      <c r="W269" s="128"/>
      <c r="X269" s="128"/>
      <c r="Y269" s="128"/>
      <c r="Z269" s="129"/>
      <c r="AA269" s="136">
        <f t="shared" si="110"/>
        <v>680.00000000000011</v>
      </c>
    </row>
    <row r="270" spans="2:27" x14ac:dyDescent="0.25">
      <c r="B270" s="130" t="s">
        <v>213</v>
      </c>
      <c r="C270" s="131" t="s">
        <v>3</v>
      </c>
      <c r="D270" s="132">
        <f>SUM(D271:D275)</f>
        <v>354.74941860465117</v>
      </c>
      <c r="E270" s="133">
        <f t="shared" ref="E270:K270" si="111">SUM(E271:E275)</f>
        <v>893.4205813953489</v>
      </c>
      <c r="F270" s="133">
        <f t="shared" si="111"/>
        <v>27.405000000000001</v>
      </c>
      <c r="G270" s="133">
        <f t="shared" si="111"/>
        <v>54.81</v>
      </c>
      <c r="H270" s="133">
        <f t="shared" si="111"/>
        <v>0</v>
      </c>
      <c r="I270" s="133">
        <f t="shared" si="111"/>
        <v>82.215000000000003</v>
      </c>
      <c r="J270" s="133">
        <f t="shared" si="111"/>
        <v>0</v>
      </c>
      <c r="K270" s="133">
        <f t="shared" si="111"/>
        <v>380</v>
      </c>
      <c r="L270" s="133">
        <f>SUM(L271:L275)</f>
        <v>0</v>
      </c>
      <c r="M270" s="134">
        <f t="shared" ref="M270" si="112">SUM(M271:M275)</f>
        <v>0</v>
      </c>
      <c r="O270" s="130" t="s">
        <v>213</v>
      </c>
      <c r="P270" s="131" t="s">
        <v>3</v>
      </c>
      <c r="Q270" s="132">
        <v>308.68942674418605</v>
      </c>
      <c r="R270" s="133">
        <v>790.25932325581402</v>
      </c>
      <c r="S270" s="133">
        <v>10.766250000000001</v>
      </c>
      <c r="T270" s="133">
        <v>21.532500000000002</v>
      </c>
      <c r="U270" s="133">
        <v>0</v>
      </c>
      <c r="V270" s="133">
        <v>46.980000000000004</v>
      </c>
      <c r="W270" s="133">
        <v>0</v>
      </c>
      <c r="X270" s="133">
        <v>380</v>
      </c>
      <c r="Y270" s="133">
        <v>0</v>
      </c>
      <c r="Z270" s="134">
        <v>0</v>
      </c>
      <c r="AA270" s="136"/>
    </row>
    <row r="271" spans="2:27" x14ac:dyDescent="0.25">
      <c r="B271" s="12"/>
      <c r="C271" s="2" t="s">
        <v>121</v>
      </c>
      <c r="D271" s="124">
        <f>6600/11000*H249</f>
        <v>223.86</v>
      </c>
      <c r="E271" s="125">
        <f>H249-D271</f>
        <v>149.24</v>
      </c>
      <c r="F271" s="125"/>
      <c r="G271" s="125"/>
      <c r="H271" s="125"/>
      <c r="I271" s="125"/>
      <c r="J271" s="125"/>
      <c r="K271" s="125"/>
      <c r="L271" s="125"/>
      <c r="M271" s="126"/>
      <c r="O271" s="12"/>
      <c r="P271" s="2" t="s">
        <v>121</v>
      </c>
      <c r="Q271" s="124">
        <v>189.96119999999999</v>
      </c>
      <c r="R271" s="125">
        <v>126.64079999999998</v>
      </c>
      <c r="S271" s="125"/>
      <c r="T271" s="125"/>
      <c r="U271" s="125"/>
      <c r="V271" s="125"/>
      <c r="W271" s="125"/>
      <c r="X271" s="125"/>
      <c r="Y271" s="125"/>
      <c r="Z271" s="126"/>
      <c r="AA271" s="136">
        <f t="shared" si="110"/>
        <v>316.60199999999998</v>
      </c>
    </row>
    <row r="272" spans="2:27" x14ac:dyDescent="0.25">
      <c r="B272" s="12"/>
      <c r="C272" s="2" t="s">
        <v>235</v>
      </c>
      <c r="D272" s="124">
        <f>1300/8600*I249</f>
        <v>48.674418604651166</v>
      </c>
      <c r="E272" s="125">
        <f>I249-D272</f>
        <v>273.32558139534888</v>
      </c>
      <c r="F272" s="125"/>
      <c r="G272" s="125"/>
      <c r="H272" s="125"/>
      <c r="I272" s="125"/>
      <c r="J272" s="125"/>
      <c r="K272" s="125"/>
      <c r="L272" s="125"/>
      <c r="M272" s="126"/>
      <c r="O272" s="12"/>
      <c r="P272" s="2" t="s">
        <v>235</v>
      </c>
      <c r="Q272" s="124">
        <v>57.06697674418605</v>
      </c>
      <c r="R272" s="125">
        <v>320.453023255814</v>
      </c>
      <c r="S272" s="125"/>
      <c r="T272" s="125"/>
      <c r="U272" s="125"/>
      <c r="V272" s="125"/>
      <c r="W272" s="125"/>
      <c r="X272" s="125"/>
      <c r="Y272" s="125"/>
      <c r="Z272" s="126"/>
      <c r="AA272" s="136">
        <f t="shared" si="110"/>
        <v>377.52000000000004</v>
      </c>
    </row>
    <row r="273" spans="2:27" x14ac:dyDescent="0.25">
      <c r="B273" s="12"/>
      <c r="C273" s="2" t="s">
        <v>240</v>
      </c>
      <c r="D273" s="124"/>
      <c r="E273" s="125">
        <f>J249</f>
        <v>169.4</v>
      </c>
      <c r="F273" s="125"/>
      <c r="G273" s="125"/>
      <c r="H273" s="125"/>
      <c r="I273" s="125"/>
      <c r="J273" s="125"/>
      <c r="K273" s="125"/>
      <c r="L273" s="125"/>
      <c r="M273" s="126"/>
      <c r="O273" s="12"/>
      <c r="P273" s="2" t="s">
        <v>240</v>
      </c>
      <c r="Q273" s="124"/>
      <c r="R273" s="125">
        <v>121.968</v>
      </c>
      <c r="S273" s="125"/>
      <c r="T273" s="125"/>
      <c r="U273" s="125"/>
      <c r="V273" s="125"/>
      <c r="W273" s="125"/>
      <c r="X273" s="125"/>
      <c r="Y273" s="125"/>
      <c r="Z273" s="126"/>
      <c r="AA273" s="136">
        <f t="shared" si="110"/>
        <v>121.968</v>
      </c>
    </row>
    <row r="274" spans="2:27" x14ac:dyDescent="0.25">
      <c r="B274" s="12"/>
      <c r="C274" s="2" t="s">
        <v>214</v>
      </c>
      <c r="D274" s="124">
        <f>K249*0.2</f>
        <v>54.81</v>
      </c>
      <c r="E274" s="125">
        <f>K249*0.7</f>
        <v>191.83500000000001</v>
      </c>
      <c r="F274" s="125"/>
      <c r="G274" s="125"/>
      <c r="H274" s="125"/>
      <c r="I274" s="125">
        <f>K249*0.1</f>
        <v>27.405000000000001</v>
      </c>
      <c r="J274" s="125"/>
      <c r="K274" s="125"/>
      <c r="L274" s="125"/>
      <c r="M274" s="126"/>
      <c r="O274" s="12"/>
      <c r="P274" s="2" t="s">
        <v>214</v>
      </c>
      <c r="Q274" s="124">
        <v>50.895000000000003</v>
      </c>
      <c r="R274" s="125">
        <v>178.13249999999999</v>
      </c>
      <c r="S274" s="125"/>
      <c r="T274" s="125"/>
      <c r="U274" s="125"/>
      <c r="V274" s="125">
        <v>25.447500000000002</v>
      </c>
      <c r="W274" s="125"/>
      <c r="X274" s="125"/>
      <c r="Y274" s="125"/>
      <c r="Z274" s="126"/>
      <c r="AA274" s="136">
        <f t="shared" si="110"/>
        <v>254.47499999999999</v>
      </c>
    </row>
    <row r="275" spans="2:27" ht="15.75" thickBot="1" x14ac:dyDescent="0.3">
      <c r="B275" s="21"/>
      <c r="C275" s="13" t="s">
        <v>9</v>
      </c>
      <c r="D275" s="127">
        <f>$L249*0.1</f>
        <v>27.405000000000001</v>
      </c>
      <c r="E275" s="128">
        <f>$L249*0.4</f>
        <v>109.62</v>
      </c>
      <c r="F275" s="128">
        <f>$L249*0.1</f>
        <v>27.405000000000001</v>
      </c>
      <c r="G275" s="128">
        <f>$L249*0.2</f>
        <v>54.81</v>
      </c>
      <c r="H275" s="128"/>
      <c r="I275" s="128">
        <f>$L249*0.2</f>
        <v>54.81</v>
      </c>
      <c r="J275" s="128"/>
      <c r="K275" s="128">
        <f>1900*0.2</f>
        <v>380</v>
      </c>
      <c r="L275" s="128"/>
      <c r="M275" s="129"/>
      <c r="O275" s="21"/>
      <c r="P275" s="13" t="s">
        <v>9</v>
      </c>
      <c r="Q275" s="127">
        <v>10.766250000000001</v>
      </c>
      <c r="R275" s="128">
        <v>43.065000000000005</v>
      </c>
      <c r="S275" s="128">
        <v>10.766250000000001</v>
      </c>
      <c r="T275" s="128">
        <v>21.532500000000002</v>
      </c>
      <c r="U275" s="128"/>
      <c r="V275" s="128">
        <v>21.532500000000002</v>
      </c>
      <c r="W275" s="128"/>
      <c r="X275" s="128">
        <v>380</v>
      </c>
      <c r="Y275" s="128"/>
      <c r="Z275" s="129"/>
      <c r="AA275" s="136">
        <f t="shared" si="110"/>
        <v>487.66250000000002</v>
      </c>
    </row>
    <row r="276" spans="2:27" x14ac:dyDescent="0.25">
      <c r="B276" s="130" t="s">
        <v>215</v>
      </c>
      <c r="C276" s="131" t="s">
        <v>3</v>
      </c>
      <c r="D276" s="132">
        <f>D277</f>
        <v>0</v>
      </c>
      <c r="E276" s="133">
        <f t="shared" ref="E276:M276" si="113">E277</f>
        <v>420.09</v>
      </c>
      <c r="F276" s="133">
        <f t="shared" si="113"/>
        <v>0</v>
      </c>
      <c r="G276" s="133">
        <f t="shared" si="113"/>
        <v>0</v>
      </c>
      <c r="H276" s="133">
        <f t="shared" si="113"/>
        <v>0</v>
      </c>
      <c r="I276" s="133">
        <f t="shared" si="113"/>
        <v>0</v>
      </c>
      <c r="J276" s="133">
        <f t="shared" si="113"/>
        <v>12</v>
      </c>
      <c r="K276" s="133">
        <f t="shared" si="113"/>
        <v>10</v>
      </c>
      <c r="L276" s="133">
        <f t="shared" si="113"/>
        <v>30</v>
      </c>
      <c r="M276" s="134">
        <f t="shared" si="113"/>
        <v>0</v>
      </c>
      <c r="O276" s="130" t="s">
        <v>215</v>
      </c>
      <c r="P276" s="131" t="s">
        <v>3</v>
      </c>
      <c r="Q276" s="132">
        <v>0</v>
      </c>
      <c r="R276" s="133">
        <v>230.86800000000002</v>
      </c>
      <c r="S276" s="133">
        <v>0</v>
      </c>
      <c r="T276" s="133">
        <v>0</v>
      </c>
      <c r="U276" s="133">
        <v>0</v>
      </c>
      <c r="V276" s="133">
        <v>0</v>
      </c>
      <c r="W276" s="133">
        <v>12</v>
      </c>
      <c r="X276" s="133">
        <v>10</v>
      </c>
      <c r="Y276" s="133">
        <v>30</v>
      </c>
      <c r="Z276" s="134">
        <v>0</v>
      </c>
      <c r="AA276" s="136"/>
    </row>
    <row r="277" spans="2:27" ht="15.75" thickBot="1" x14ac:dyDescent="0.3">
      <c r="B277" s="21"/>
      <c r="C277" s="13" t="s">
        <v>216</v>
      </c>
      <c r="D277" s="127"/>
      <c r="E277" s="128">
        <f>M249</f>
        <v>420.09</v>
      </c>
      <c r="F277" s="128"/>
      <c r="G277" s="128"/>
      <c r="H277" s="128"/>
      <c r="I277" s="128"/>
      <c r="J277" s="128">
        <v>12</v>
      </c>
      <c r="K277" s="128">
        <v>10</v>
      </c>
      <c r="L277" s="128">
        <v>30</v>
      </c>
      <c r="M277" s="129"/>
      <c r="O277" s="21"/>
      <c r="P277" s="13" t="s">
        <v>216</v>
      </c>
      <c r="Q277" s="127"/>
      <c r="R277" s="128">
        <v>230.86800000000002</v>
      </c>
      <c r="S277" s="128"/>
      <c r="T277" s="128"/>
      <c r="U277" s="128"/>
      <c r="V277" s="128"/>
      <c r="W277" s="128">
        <v>12</v>
      </c>
      <c r="X277" s="128">
        <v>10</v>
      </c>
      <c r="Y277" s="128">
        <v>30</v>
      </c>
      <c r="Z277" s="129"/>
      <c r="AA277" s="136">
        <f t="shared" si="110"/>
        <v>282.86800000000005</v>
      </c>
    </row>
    <row r="278" spans="2:27" x14ac:dyDescent="0.25">
      <c r="B278" s="130" t="s">
        <v>9</v>
      </c>
      <c r="C278" s="131" t="s">
        <v>3</v>
      </c>
      <c r="D278" s="132">
        <f>D279</f>
        <v>0</v>
      </c>
      <c r="E278" s="133">
        <f t="shared" ref="E278:M278" si="114">E279</f>
        <v>0</v>
      </c>
      <c r="F278" s="133">
        <f t="shared" si="114"/>
        <v>0</v>
      </c>
      <c r="G278" s="133">
        <f t="shared" si="114"/>
        <v>0</v>
      </c>
      <c r="H278" s="133">
        <f t="shared" si="114"/>
        <v>0</v>
      </c>
      <c r="I278" s="133">
        <f t="shared" si="114"/>
        <v>0</v>
      </c>
      <c r="J278" s="133">
        <f t="shared" si="114"/>
        <v>0</v>
      </c>
      <c r="K278" s="133">
        <f t="shared" si="114"/>
        <v>10</v>
      </c>
      <c r="L278" s="133">
        <f t="shared" si="114"/>
        <v>200</v>
      </c>
      <c r="M278" s="134">
        <f t="shared" si="114"/>
        <v>107</v>
      </c>
      <c r="O278" s="130" t="s">
        <v>9</v>
      </c>
      <c r="P278" s="131" t="s">
        <v>3</v>
      </c>
      <c r="Q278" s="132">
        <v>0</v>
      </c>
      <c r="R278" s="133">
        <v>0</v>
      </c>
      <c r="S278" s="133">
        <v>0</v>
      </c>
      <c r="T278" s="133">
        <v>0</v>
      </c>
      <c r="U278" s="133">
        <v>0</v>
      </c>
      <c r="V278" s="133">
        <v>0</v>
      </c>
      <c r="W278" s="133">
        <v>0</v>
      </c>
      <c r="X278" s="133">
        <v>10</v>
      </c>
      <c r="Y278" s="133">
        <v>200</v>
      </c>
      <c r="Z278" s="134">
        <v>107</v>
      </c>
      <c r="AA278" s="136"/>
    </row>
    <row r="279" spans="2:27" ht="15.75" thickBot="1" x14ac:dyDescent="0.3">
      <c r="B279" s="21"/>
      <c r="C279" s="13" t="s">
        <v>244</v>
      </c>
      <c r="D279" s="127"/>
      <c r="E279" s="128"/>
      <c r="F279" s="128"/>
      <c r="G279" s="128"/>
      <c r="H279" s="128"/>
      <c r="I279" s="128"/>
      <c r="J279" s="128"/>
      <c r="K279" s="128">
        <v>10</v>
      </c>
      <c r="L279" s="128">
        <v>200</v>
      </c>
      <c r="M279" s="129">
        <v>107</v>
      </c>
      <c r="O279" s="21"/>
      <c r="P279" s="13" t="s">
        <v>244</v>
      </c>
      <c r="Q279" s="127"/>
      <c r="R279" s="128"/>
      <c r="S279" s="128"/>
      <c r="T279" s="128"/>
      <c r="U279" s="128"/>
      <c r="V279" s="128"/>
      <c r="W279" s="128"/>
      <c r="X279" s="128">
        <v>10</v>
      </c>
      <c r="Y279" s="128">
        <v>200</v>
      </c>
      <c r="Z279" s="129">
        <v>107</v>
      </c>
      <c r="AA279" s="137">
        <f t="shared" si="110"/>
        <v>317</v>
      </c>
    </row>
    <row r="280" spans="2:27" ht="15.75" thickBot="1" x14ac:dyDescent="0.3">
      <c r="O280" s="138" t="s">
        <v>248</v>
      </c>
      <c r="P280" s="17"/>
      <c r="Q280" s="139">
        <f>Q264+Q270+Q276+Q278</f>
        <v>343.48942674418606</v>
      </c>
      <c r="R280" s="139">
        <f t="shared" ref="R280:Z280" si="115">R264+R270+R276+R278</f>
        <v>3975.0623232558141</v>
      </c>
      <c r="S280" s="139">
        <f t="shared" si="115"/>
        <v>222.90125</v>
      </c>
      <c r="T280" s="139">
        <f t="shared" si="115"/>
        <v>431.93250000000006</v>
      </c>
      <c r="U280" s="139">
        <f t="shared" si="115"/>
        <v>34.000000000000007</v>
      </c>
      <c r="V280" s="139">
        <f t="shared" si="115"/>
        <v>143.40500000000003</v>
      </c>
      <c r="W280" s="139">
        <f t="shared" si="115"/>
        <v>12</v>
      </c>
      <c r="X280" s="139">
        <f t="shared" si="115"/>
        <v>412.90499999999997</v>
      </c>
      <c r="Y280" s="139">
        <f t="shared" si="115"/>
        <v>230</v>
      </c>
      <c r="Z280" s="140">
        <f t="shared" si="115"/>
        <v>107</v>
      </c>
      <c r="AA280" s="100">
        <f>SUM(Q280:Z280)</f>
        <v>5912.6954999999998</v>
      </c>
    </row>
    <row r="283" spans="2:27" ht="21.75" thickBot="1" x14ac:dyDescent="0.4">
      <c r="B283" t="s">
        <v>147</v>
      </c>
      <c r="O283" s="141" t="s">
        <v>250</v>
      </c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  <c r="AA283" s="142"/>
    </row>
    <row r="284" spans="2:27" ht="21.75" thickBot="1" x14ac:dyDescent="0.4">
      <c r="D284" s="78" t="s">
        <v>217</v>
      </c>
      <c r="E284" s="122" t="s">
        <v>76</v>
      </c>
      <c r="F284" s="122" t="s">
        <v>218</v>
      </c>
      <c r="G284" s="122" t="s">
        <v>77</v>
      </c>
      <c r="H284" s="122" t="s">
        <v>219</v>
      </c>
      <c r="I284" s="122" t="s">
        <v>242</v>
      </c>
      <c r="J284" s="122" t="s">
        <v>49</v>
      </c>
      <c r="K284" s="122" t="s">
        <v>50</v>
      </c>
      <c r="L284" s="122" t="s">
        <v>15</v>
      </c>
      <c r="M284" s="123" t="s">
        <v>9</v>
      </c>
      <c r="O284" s="142"/>
      <c r="P284" s="142"/>
      <c r="Q284" s="171" t="s">
        <v>251</v>
      </c>
      <c r="R284" s="172" t="s">
        <v>76</v>
      </c>
      <c r="S284" s="172" t="s">
        <v>218</v>
      </c>
      <c r="T284" s="172" t="s">
        <v>77</v>
      </c>
      <c r="U284" s="172" t="s">
        <v>219</v>
      </c>
      <c r="V284" s="172" t="s">
        <v>252</v>
      </c>
      <c r="W284" s="172" t="s">
        <v>49</v>
      </c>
      <c r="X284" s="172" t="s">
        <v>50</v>
      </c>
      <c r="Y284" s="172" t="s">
        <v>15</v>
      </c>
      <c r="Z284" s="173" t="s">
        <v>9</v>
      </c>
      <c r="AA284" s="170" t="s">
        <v>249</v>
      </c>
    </row>
    <row r="285" spans="2:27" ht="21" x14ac:dyDescent="0.35">
      <c r="B285" s="130" t="s">
        <v>46</v>
      </c>
      <c r="C285" s="131" t="s">
        <v>3</v>
      </c>
      <c r="D285" s="132">
        <v>0.64444444444444438</v>
      </c>
      <c r="E285" s="133">
        <v>79.85104166666666</v>
      </c>
      <c r="F285" s="133">
        <v>6.2027777777777784</v>
      </c>
      <c r="G285" s="133">
        <v>12.133333333333335</v>
      </c>
      <c r="H285" s="133">
        <v>1.1333333333333335</v>
      </c>
      <c r="I285" s="133">
        <v>2.8194444444444446</v>
      </c>
      <c r="J285" s="133">
        <v>0</v>
      </c>
      <c r="K285" s="133">
        <v>0.27812500000000001</v>
      </c>
      <c r="L285" s="133">
        <v>0</v>
      </c>
      <c r="M285" s="134">
        <v>0</v>
      </c>
      <c r="O285" s="143" t="s">
        <v>46</v>
      </c>
      <c r="P285" s="144" t="s">
        <v>3</v>
      </c>
      <c r="Q285" s="151">
        <f>Q264/$AA$280</f>
        <v>5.8856404832618231E-3</v>
      </c>
      <c r="R285" s="152">
        <f t="shared" ref="R285:Z285" si="116">R264/$AA$280</f>
        <v>0.49959193738287389</v>
      </c>
      <c r="S285" s="152">
        <f t="shared" si="116"/>
        <v>3.5877883445883524E-2</v>
      </c>
      <c r="T285" s="152">
        <f t="shared" si="116"/>
        <v>6.9409967078467014E-2</v>
      </c>
      <c r="U285" s="152">
        <f t="shared" si="116"/>
        <v>5.7503384031868388E-3</v>
      </c>
      <c r="V285" s="152">
        <f t="shared" si="116"/>
        <v>1.6308128839037969E-2</v>
      </c>
      <c r="W285" s="152">
        <f t="shared" si="116"/>
        <v>0</v>
      </c>
      <c r="X285" s="152">
        <f t="shared" si="116"/>
        <v>2.1825916792095924E-3</v>
      </c>
      <c r="Y285" s="152">
        <f t="shared" si="116"/>
        <v>0</v>
      </c>
      <c r="Z285" s="153">
        <f t="shared" si="116"/>
        <v>0</v>
      </c>
      <c r="AA285" s="154"/>
    </row>
    <row r="286" spans="2:27" ht="21" x14ac:dyDescent="0.35">
      <c r="B286" s="12"/>
      <c r="C286" s="2" t="s">
        <v>211</v>
      </c>
      <c r="D286" s="124">
        <v>0.64444444444444438</v>
      </c>
      <c r="E286" s="125">
        <v>3.8666666666666663</v>
      </c>
      <c r="F286" s="125"/>
      <c r="G286" s="125">
        <v>1.9333333333333331</v>
      </c>
      <c r="H286" s="125"/>
      <c r="I286" s="125"/>
      <c r="J286" s="125"/>
      <c r="K286" s="125"/>
      <c r="L286" s="125"/>
      <c r="M286" s="126"/>
      <c r="O286" s="145"/>
      <c r="P286" s="146" t="s">
        <v>211</v>
      </c>
      <c r="Q286" s="155">
        <f t="shared" ref="Q286:Z286" si="117">Q265/$AA$280</f>
        <v>5.8856404832618231E-3</v>
      </c>
      <c r="R286" s="156">
        <f t="shared" si="117"/>
        <v>3.531384289957093E-2</v>
      </c>
      <c r="S286" s="156">
        <f t="shared" si="117"/>
        <v>0</v>
      </c>
      <c r="T286" s="156">
        <f t="shared" si="117"/>
        <v>1.7656921449785465E-2</v>
      </c>
      <c r="U286" s="156">
        <f t="shared" si="117"/>
        <v>0</v>
      </c>
      <c r="V286" s="156">
        <f t="shared" si="117"/>
        <v>0</v>
      </c>
      <c r="W286" s="156">
        <f t="shared" si="117"/>
        <v>0</v>
      </c>
      <c r="X286" s="156">
        <f t="shared" si="117"/>
        <v>0</v>
      </c>
      <c r="Y286" s="156">
        <f t="shared" si="117"/>
        <v>0</v>
      </c>
      <c r="Z286" s="157">
        <f t="shared" si="117"/>
        <v>0</v>
      </c>
      <c r="AA286" s="158">
        <f t="shared" ref="AA286:AA290" si="118">SUM(Q286:Z286)</f>
        <v>5.8856404832618218E-2</v>
      </c>
    </row>
    <row r="287" spans="2:27" ht="21" x14ac:dyDescent="0.35">
      <c r="B287" s="12"/>
      <c r="C287" s="2" t="s">
        <v>8</v>
      </c>
      <c r="D287" s="124"/>
      <c r="E287" s="125">
        <v>47.366666666666667</v>
      </c>
      <c r="F287" s="125">
        <v>6.2027777777777784</v>
      </c>
      <c r="G287" s="125"/>
      <c r="H287" s="125"/>
      <c r="I287" s="125">
        <v>2.8194444444444446</v>
      </c>
      <c r="J287" s="125"/>
      <c r="K287" s="125"/>
      <c r="L287" s="125"/>
      <c r="M287" s="126"/>
      <c r="O287" s="145"/>
      <c r="P287" s="146" t="s">
        <v>8</v>
      </c>
      <c r="Q287" s="155">
        <f t="shared" ref="Q287:Z287" si="119">Q266/$AA$280</f>
        <v>0</v>
      </c>
      <c r="R287" s="159">
        <f t="shared" si="119"/>
        <v>0.27397656449583779</v>
      </c>
      <c r="S287" s="156">
        <f t="shared" si="119"/>
        <v>3.5877883445883524E-2</v>
      </c>
      <c r="T287" s="156">
        <f t="shared" si="119"/>
        <v>0</v>
      </c>
      <c r="U287" s="156">
        <f t="shared" si="119"/>
        <v>0</v>
      </c>
      <c r="V287" s="156">
        <f t="shared" si="119"/>
        <v>1.6308128839037969E-2</v>
      </c>
      <c r="W287" s="156">
        <f t="shared" si="119"/>
        <v>0</v>
      </c>
      <c r="X287" s="156">
        <f t="shared" si="119"/>
        <v>0</v>
      </c>
      <c r="Y287" s="156">
        <f t="shared" si="119"/>
        <v>0</v>
      </c>
      <c r="Z287" s="157">
        <f t="shared" si="119"/>
        <v>0</v>
      </c>
      <c r="AA287" s="158">
        <f t="shared" si="118"/>
        <v>0.32616257678075933</v>
      </c>
    </row>
    <row r="288" spans="2:27" ht="21" x14ac:dyDescent="0.35">
      <c r="B288" s="12"/>
      <c r="C288" s="2" t="s">
        <v>7</v>
      </c>
      <c r="D288" s="124"/>
      <c r="E288" s="125">
        <v>12</v>
      </c>
      <c r="F288" s="125"/>
      <c r="G288" s="125"/>
      <c r="H288" s="125"/>
      <c r="I288" s="125"/>
      <c r="J288" s="125"/>
      <c r="K288" s="125"/>
      <c r="L288" s="125"/>
      <c r="M288" s="126"/>
      <c r="O288" s="145"/>
      <c r="P288" s="146" t="s">
        <v>7</v>
      </c>
      <c r="Q288" s="155">
        <f t="shared" ref="Q288:Z288" si="120">Q267/$AA$280</f>
        <v>0</v>
      </c>
      <c r="R288" s="159">
        <f t="shared" si="120"/>
        <v>9.1328904050614487E-2</v>
      </c>
      <c r="S288" s="156">
        <f t="shared" si="120"/>
        <v>0</v>
      </c>
      <c r="T288" s="156">
        <f t="shared" si="120"/>
        <v>0</v>
      </c>
      <c r="U288" s="156">
        <f t="shared" si="120"/>
        <v>0</v>
      </c>
      <c r="V288" s="156">
        <f t="shared" si="120"/>
        <v>0</v>
      </c>
      <c r="W288" s="156">
        <f t="shared" si="120"/>
        <v>0</v>
      </c>
      <c r="X288" s="156">
        <f t="shared" si="120"/>
        <v>0</v>
      </c>
      <c r="Y288" s="156">
        <f t="shared" si="120"/>
        <v>0</v>
      </c>
      <c r="Z288" s="157">
        <f t="shared" si="120"/>
        <v>0</v>
      </c>
      <c r="AA288" s="158">
        <f t="shared" si="118"/>
        <v>9.1328904050614487E-2</v>
      </c>
    </row>
    <row r="289" spans="2:27" ht="21" x14ac:dyDescent="0.35">
      <c r="B289" s="12"/>
      <c r="C289" s="2" t="s">
        <v>5</v>
      </c>
      <c r="D289" s="124"/>
      <c r="E289" s="125">
        <v>5.2843749999999998</v>
      </c>
      <c r="F289" s="125"/>
      <c r="G289" s="125"/>
      <c r="H289" s="125"/>
      <c r="I289" s="125"/>
      <c r="J289" s="125"/>
      <c r="K289" s="125">
        <v>0.27812500000000001</v>
      </c>
      <c r="L289" s="125"/>
      <c r="M289" s="126"/>
      <c r="O289" s="145"/>
      <c r="P289" s="146" t="s">
        <v>5</v>
      </c>
      <c r="Q289" s="155">
        <f t="shared" ref="Q289:Z289" si="121">Q268/$AA$280</f>
        <v>0</v>
      </c>
      <c r="R289" s="156">
        <f t="shared" si="121"/>
        <v>4.146924190498226E-2</v>
      </c>
      <c r="S289" s="156">
        <f t="shared" si="121"/>
        <v>0</v>
      </c>
      <c r="T289" s="156">
        <f t="shared" si="121"/>
        <v>0</v>
      </c>
      <c r="U289" s="156">
        <f t="shared" si="121"/>
        <v>0</v>
      </c>
      <c r="V289" s="156">
        <f t="shared" si="121"/>
        <v>0</v>
      </c>
      <c r="W289" s="156">
        <f t="shared" si="121"/>
        <v>0</v>
      </c>
      <c r="X289" s="156">
        <f t="shared" si="121"/>
        <v>2.1825916792095924E-3</v>
      </c>
      <c r="Y289" s="156">
        <f t="shared" si="121"/>
        <v>0</v>
      </c>
      <c r="Z289" s="157">
        <f t="shared" si="121"/>
        <v>0</v>
      </c>
      <c r="AA289" s="160">
        <f t="shared" si="118"/>
        <v>4.3651833584191849E-2</v>
      </c>
    </row>
    <row r="290" spans="2:27" ht="21.75" thickBot="1" x14ac:dyDescent="0.4">
      <c r="B290" s="21"/>
      <c r="C290" s="13" t="s">
        <v>212</v>
      </c>
      <c r="D290" s="127"/>
      <c r="E290" s="128">
        <v>11.333333333333334</v>
      </c>
      <c r="F290" s="128"/>
      <c r="G290" s="128">
        <v>10.200000000000001</v>
      </c>
      <c r="H290" s="128">
        <v>1.1333333333333335</v>
      </c>
      <c r="I290" s="128"/>
      <c r="J290" s="128"/>
      <c r="K290" s="128"/>
      <c r="L290" s="128"/>
      <c r="M290" s="129"/>
      <c r="O290" s="147"/>
      <c r="P290" s="148" t="s">
        <v>212</v>
      </c>
      <c r="Q290" s="161">
        <f t="shared" ref="Q290:Z290" si="122">Q269/$AA$280</f>
        <v>0</v>
      </c>
      <c r="R290" s="162">
        <f t="shared" si="122"/>
        <v>5.7503384031868388E-2</v>
      </c>
      <c r="S290" s="163">
        <f t="shared" si="122"/>
        <v>0</v>
      </c>
      <c r="T290" s="162">
        <f t="shared" si="122"/>
        <v>5.1753045628681549E-2</v>
      </c>
      <c r="U290" s="163">
        <f t="shared" si="122"/>
        <v>5.7503384031868388E-3</v>
      </c>
      <c r="V290" s="163">
        <f t="shared" si="122"/>
        <v>0</v>
      </c>
      <c r="W290" s="163">
        <f t="shared" si="122"/>
        <v>0</v>
      </c>
      <c r="X290" s="163">
        <f t="shared" si="122"/>
        <v>0</v>
      </c>
      <c r="Y290" s="163">
        <f t="shared" si="122"/>
        <v>0</v>
      </c>
      <c r="Z290" s="164">
        <f t="shared" si="122"/>
        <v>0</v>
      </c>
      <c r="AA290" s="158">
        <f t="shared" si="118"/>
        <v>0.11500676806373678</v>
      </c>
    </row>
    <row r="291" spans="2:27" ht="21" x14ac:dyDescent="0.35">
      <c r="B291" s="130" t="s">
        <v>213</v>
      </c>
      <c r="C291" s="131" t="s">
        <v>3</v>
      </c>
      <c r="D291" s="132">
        <v>6.699312219502243</v>
      </c>
      <c r="E291" s="133">
        <v>19.096440704474368</v>
      </c>
      <c r="F291" s="133">
        <v>0.22152777777777777</v>
      </c>
      <c r="G291" s="133">
        <v>0.44305555555555554</v>
      </c>
      <c r="H291" s="133">
        <v>0</v>
      </c>
      <c r="I291" s="133">
        <v>0.96666666666666667</v>
      </c>
      <c r="J291" s="133">
        <v>0</v>
      </c>
      <c r="K291" s="133">
        <v>380</v>
      </c>
      <c r="L291" s="133">
        <v>0</v>
      </c>
      <c r="M291" s="134">
        <v>0</v>
      </c>
      <c r="O291" s="143" t="s">
        <v>213</v>
      </c>
      <c r="P291" s="144" t="s">
        <v>3</v>
      </c>
      <c r="Q291" s="151">
        <f t="shared" ref="Q291:Z291" si="123">Q270/$AA$280</f>
        <v>5.2207901919553622E-2</v>
      </c>
      <c r="R291" s="152">
        <f t="shared" si="123"/>
        <v>0.13365466279395144</v>
      </c>
      <c r="S291" s="152">
        <f t="shared" si="123"/>
        <v>1.8208700245091263E-3</v>
      </c>
      <c r="T291" s="152">
        <f t="shared" si="123"/>
        <v>3.6417400490182526E-3</v>
      </c>
      <c r="U291" s="152">
        <f t="shared" si="123"/>
        <v>0</v>
      </c>
      <c r="V291" s="152">
        <f t="shared" si="123"/>
        <v>7.9456146524034613E-3</v>
      </c>
      <c r="W291" s="152">
        <f t="shared" si="123"/>
        <v>0</v>
      </c>
      <c r="X291" s="152">
        <f t="shared" si="123"/>
        <v>6.4268488035617605E-2</v>
      </c>
      <c r="Y291" s="152">
        <f t="shared" si="123"/>
        <v>0</v>
      </c>
      <c r="Z291" s="153">
        <f t="shared" si="123"/>
        <v>0</v>
      </c>
      <c r="AA291" s="160"/>
    </row>
    <row r="292" spans="2:27" ht="21" x14ac:dyDescent="0.35">
      <c r="B292" s="12"/>
      <c r="C292" s="2" t="s">
        <v>121</v>
      </c>
      <c r="D292" s="124">
        <v>3.8453684210526311</v>
      </c>
      <c r="E292" s="125">
        <v>2.5635789473684212</v>
      </c>
      <c r="F292" s="125"/>
      <c r="G292" s="125"/>
      <c r="H292" s="125"/>
      <c r="I292" s="125"/>
      <c r="J292" s="125"/>
      <c r="K292" s="125"/>
      <c r="L292" s="125"/>
      <c r="M292" s="126"/>
      <c r="O292" s="145"/>
      <c r="P292" s="146" t="s">
        <v>121</v>
      </c>
      <c r="Q292" s="155">
        <f t="shared" ref="Q292:Z292" si="124">Q271/$AA$280</f>
        <v>3.2127681866925162E-2</v>
      </c>
      <c r="R292" s="156">
        <f t="shared" si="124"/>
        <v>2.1418454577950104E-2</v>
      </c>
      <c r="S292" s="156">
        <f t="shared" si="124"/>
        <v>0</v>
      </c>
      <c r="T292" s="156">
        <f t="shared" si="124"/>
        <v>0</v>
      </c>
      <c r="U292" s="156">
        <f t="shared" si="124"/>
        <v>0</v>
      </c>
      <c r="V292" s="156">
        <f t="shared" si="124"/>
        <v>0</v>
      </c>
      <c r="W292" s="156">
        <f t="shared" si="124"/>
        <v>0</v>
      </c>
      <c r="X292" s="156">
        <f t="shared" si="124"/>
        <v>0</v>
      </c>
      <c r="Y292" s="156">
        <f t="shared" si="124"/>
        <v>0</v>
      </c>
      <c r="Z292" s="157">
        <f t="shared" si="124"/>
        <v>0</v>
      </c>
      <c r="AA292" s="158">
        <f t="shared" ref="AA292:AA296" si="125">SUM(Q292:Z292)</f>
        <v>5.354613644487527E-2</v>
      </c>
    </row>
    <row r="293" spans="2:27" ht="21" x14ac:dyDescent="0.35">
      <c r="B293" s="12"/>
      <c r="C293" s="2" t="s">
        <v>235</v>
      </c>
      <c r="D293" s="124">
        <v>1.5851937984496123</v>
      </c>
      <c r="E293" s="125">
        <v>8.9014728682170539</v>
      </c>
      <c r="F293" s="125"/>
      <c r="G293" s="125"/>
      <c r="H293" s="125"/>
      <c r="I293" s="125"/>
      <c r="J293" s="125"/>
      <c r="K293" s="125"/>
      <c r="L293" s="125"/>
      <c r="M293" s="126"/>
      <c r="O293" s="145"/>
      <c r="P293" s="146" t="s">
        <v>235</v>
      </c>
      <c r="Q293" s="155">
        <f t="shared" ref="Q293:Z293" si="126">Q272/$AA$280</f>
        <v>9.6516008213489175E-3</v>
      </c>
      <c r="R293" s="159">
        <f t="shared" si="126"/>
        <v>5.4197450766036236E-2</v>
      </c>
      <c r="S293" s="156">
        <f t="shared" si="126"/>
        <v>0</v>
      </c>
      <c r="T293" s="156">
        <f t="shared" si="126"/>
        <v>0</v>
      </c>
      <c r="U293" s="156">
        <f t="shared" si="126"/>
        <v>0</v>
      </c>
      <c r="V293" s="156">
        <f t="shared" si="126"/>
        <v>0</v>
      </c>
      <c r="W293" s="156">
        <f t="shared" si="126"/>
        <v>0</v>
      </c>
      <c r="X293" s="156">
        <f t="shared" si="126"/>
        <v>0</v>
      </c>
      <c r="Y293" s="156">
        <f t="shared" si="126"/>
        <v>0</v>
      </c>
      <c r="Z293" s="157">
        <f t="shared" si="126"/>
        <v>0</v>
      </c>
      <c r="AA293" s="158">
        <f t="shared" si="125"/>
        <v>6.3849051587385158E-2</v>
      </c>
    </row>
    <row r="294" spans="2:27" ht="21" x14ac:dyDescent="0.35">
      <c r="B294" s="12"/>
      <c r="C294" s="2" t="s">
        <v>240</v>
      </c>
      <c r="D294" s="124"/>
      <c r="E294" s="125">
        <v>3.0799999999999996</v>
      </c>
      <c r="F294" s="125"/>
      <c r="G294" s="125"/>
      <c r="H294" s="125"/>
      <c r="I294" s="125"/>
      <c r="J294" s="125"/>
      <c r="K294" s="125"/>
      <c r="L294" s="125"/>
      <c r="M294" s="126"/>
      <c r="O294" s="145"/>
      <c r="P294" s="146" t="s">
        <v>240</v>
      </c>
      <c r="Q294" s="155">
        <f t="shared" ref="Q294:Z294" si="127">Q273/$AA$280</f>
        <v>0</v>
      </c>
      <c r="R294" s="156">
        <f t="shared" si="127"/>
        <v>2.0628155128232125E-2</v>
      </c>
      <c r="S294" s="156">
        <f t="shared" si="127"/>
        <v>0</v>
      </c>
      <c r="T294" s="156">
        <f t="shared" si="127"/>
        <v>0</v>
      </c>
      <c r="U294" s="156">
        <f t="shared" si="127"/>
        <v>0</v>
      </c>
      <c r="V294" s="156">
        <f t="shared" si="127"/>
        <v>0</v>
      </c>
      <c r="W294" s="156">
        <f t="shared" si="127"/>
        <v>0</v>
      </c>
      <c r="X294" s="156">
        <f t="shared" si="127"/>
        <v>0</v>
      </c>
      <c r="Y294" s="156">
        <f t="shared" si="127"/>
        <v>0</v>
      </c>
      <c r="Z294" s="157">
        <f t="shared" si="127"/>
        <v>0</v>
      </c>
      <c r="AA294" s="160">
        <f t="shared" si="125"/>
        <v>2.0628155128232125E-2</v>
      </c>
    </row>
    <row r="295" spans="2:27" ht="21" x14ac:dyDescent="0.35">
      <c r="B295" s="12"/>
      <c r="C295" s="2" t="s">
        <v>214</v>
      </c>
      <c r="D295" s="124">
        <v>1.0472222222222223</v>
      </c>
      <c r="E295" s="125">
        <v>3.6652777777777779</v>
      </c>
      <c r="F295" s="125"/>
      <c r="G295" s="125"/>
      <c r="H295" s="125"/>
      <c r="I295" s="125">
        <v>0.52361111111111114</v>
      </c>
      <c r="J295" s="125"/>
      <c r="K295" s="125"/>
      <c r="L295" s="125"/>
      <c r="M295" s="126"/>
      <c r="O295" s="145"/>
      <c r="P295" s="146" t="s">
        <v>80</v>
      </c>
      <c r="Q295" s="155">
        <f t="shared" ref="Q295:Z295" si="128">Q274/$AA$280</f>
        <v>8.6077492067704146E-3</v>
      </c>
      <c r="R295" s="156">
        <f t="shared" si="128"/>
        <v>3.0127122223696449E-2</v>
      </c>
      <c r="S295" s="156">
        <f t="shared" si="128"/>
        <v>0</v>
      </c>
      <c r="T295" s="156">
        <f t="shared" si="128"/>
        <v>0</v>
      </c>
      <c r="U295" s="156">
        <f t="shared" si="128"/>
        <v>0</v>
      </c>
      <c r="V295" s="156">
        <f t="shared" si="128"/>
        <v>4.3038746033852073E-3</v>
      </c>
      <c r="W295" s="156">
        <f t="shared" si="128"/>
        <v>0</v>
      </c>
      <c r="X295" s="156">
        <f t="shared" si="128"/>
        <v>0</v>
      </c>
      <c r="Y295" s="156">
        <f t="shared" si="128"/>
        <v>0</v>
      </c>
      <c r="Z295" s="157">
        <f t="shared" si="128"/>
        <v>0</v>
      </c>
      <c r="AA295" s="160">
        <f t="shared" si="125"/>
        <v>4.303874603385207E-2</v>
      </c>
    </row>
    <row r="296" spans="2:27" ht="21.75" thickBot="1" x14ac:dyDescent="0.4">
      <c r="B296" s="21"/>
      <c r="C296" s="13" t="s">
        <v>9</v>
      </c>
      <c r="D296" s="127">
        <v>0.22152777777777777</v>
      </c>
      <c r="E296" s="128">
        <v>0.88611111111111107</v>
      </c>
      <c r="F296" s="128">
        <v>0.22152777777777777</v>
      </c>
      <c r="G296" s="128">
        <v>0.44305555555555554</v>
      </c>
      <c r="H296" s="128"/>
      <c r="I296" s="128">
        <v>0.44305555555555554</v>
      </c>
      <c r="J296" s="128"/>
      <c r="K296" s="128">
        <v>380</v>
      </c>
      <c r="L296" s="128"/>
      <c r="M296" s="129"/>
      <c r="O296" s="147"/>
      <c r="P296" s="148" t="s">
        <v>9</v>
      </c>
      <c r="Q296" s="161">
        <f t="shared" ref="Q296:Z296" si="129">Q275/$AA$280</f>
        <v>1.8208700245091263E-3</v>
      </c>
      <c r="R296" s="163">
        <f t="shared" si="129"/>
        <v>7.2834800980365053E-3</v>
      </c>
      <c r="S296" s="163">
        <f t="shared" si="129"/>
        <v>1.8208700245091263E-3</v>
      </c>
      <c r="T296" s="163">
        <f t="shared" si="129"/>
        <v>3.6417400490182526E-3</v>
      </c>
      <c r="U296" s="163">
        <f t="shared" si="129"/>
        <v>0</v>
      </c>
      <c r="V296" s="163">
        <f t="shared" si="129"/>
        <v>3.6417400490182526E-3</v>
      </c>
      <c r="W296" s="163">
        <f t="shared" si="129"/>
        <v>0</v>
      </c>
      <c r="X296" s="162">
        <f t="shared" si="129"/>
        <v>6.4268488035617605E-2</v>
      </c>
      <c r="Y296" s="163">
        <f t="shared" si="129"/>
        <v>0</v>
      </c>
      <c r="Z296" s="164">
        <f t="shared" si="129"/>
        <v>0</v>
      </c>
      <c r="AA296" s="158">
        <f t="shared" si="125"/>
        <v>8.2477188280708866E-2</v>
      </c>
    </row>
    <row r="297" spans="2:27" ht="21" x14ac:dyDescent="0.35">
      <c r="B297" s="130" t="s">
        <v>215</v>
      </c>
      <c r="C297" s="131" t="s">
        <v>3</v>
      </c>
      <c r="D297" s="174">
        <v>0</v>
      </c>
      <c r="E297" s="133">
        <v>4.6639999999999997</v>
      </c>
      <c r="F297" s="133">
        <v>0</v>
      </c>
      <c r="G297" s="133">
        <v>0</v>
      </c>
      <c r="H297" s="133">
        <v>0</v>
      </c>
      <c r="I297" s="133">
        <v>0</v>
      </c>
      <c r="J297" s="133">
        <v>12</v>
      </c>
      <c r="K297" s="133">
        <v>10</v>
      </c>
      <c r="L297" s="133">
        <v>30</v>
      </c>
      <c r="M297" s="134">
        <v>0</v>
      </c>
      <c r="O297" s="143" t="s">
        <v>215</v>
      </c>
      <c r="P297" s="144" t="s">
        <v>3</v>
      </c>
      <c r="Q297" s="151">
        <f t="shared" ref="Q297:Z297" si="130">Q276/$AA$280</f>
        <v>0</v>
      </c>
      <c r="R297" s="152">
        <f t="shared" si="130"/>
        <v>3.9046150778439384E-2</v>
      </c>
      <c r="S297" s="152">
        <f t="shared" si="130"/>
        <v>0</v>
      </c>
      <c r="T297" s="152">
        <f t="shared" si="130"/>
        <v>0</v>
      </c>
      <c r="U297" s="152">
        <f t="shared" si="130"/>
        <v>0</v>
      </c>
      <c r="V297" s="152">
        <f t="shared" si="130"/>
        <v>0</v>
      </c>
      <c r="W297" s="152">
        <f t="shared" si="130"/>
        <v>2.0295312011247664E-3</v>
      </c>
      <c r="X297" s="152">
        <f t="shared" si="130"/>
        <v>1.6912760009373052E-3</v>
      </c>
      <c r="Y297" s="152">
        <f t="shared" si="130"/>
        <v>5.0738280028119155E-3</v>
      </c>
      <c r="Z297" s="153">
        <f t="shared" si="130"/>
        <v>0</v>
      </c>
      <c r="AA297" s="160"/>
    </row>
    <row r="298" spans="2:27" ht="21.75" thickBot="1" x14ac:dyDescent="0.4">
      <c r="B298" s="21"/>
      <c r="C298" s="13" t="s">
        <v>216</v>
      </c>
      <c r="D298" s="127"/>
      <c r="E298" s="128">
        <v>4.6639999999999997</v>
      </c>
      <c r="F298" s="128"/>
      <c r="G298" s="128"/>
      <c r="H298" s="128"/>
      <c r="I298" s="128"/>
      <c r="J298" s="128">
        <v>12</v>
      </c>
      <c r="K298" s="128">
        <v>10</v>
      </c>
      <c r="L298" s="128">
        <v>30</v>
      </c>
      <c r="M298" s="129"/>
      <c r="O298" s="147"/>
      <c r="P298" s="148" t="s">
        <v>216</v>
      </c>
      <c r="Q298" s="161">
        <f t="shared" ref="Q298:Z298" si="131">Q277/$AA$280</f>
        <v>0</v>
      </c>
      <c r="R298" s="163">
        <f t="shared" si="131"/>
        <v>3.9046150778439384E-2</v>
      </c>
      <c r="S298" s="163">
        <f t="shared" si="131"/>
        <v>0</v>
      </c>
      <c r="T298" s="163">
        <f t="shared" si="131"/>
        <v>0</v>
      </c>
      <c r="U298" s="163">
        <f t="shared" si="131"/>
        <v>0</v>
      </c>
      <c r="V298" s="163">
        <f t="shared" si="131"/>
        <v>0</v>
      </c>
      <c r="W298" s="163">
        <f t="shared" si="131"/>
        <v>2.0295312011247664E-3</v>
      </c>
      <c r="X298" s="163">
        <f t="shared" si="131"/>
        <v>1.6912760009373052E-3</v>
      </c>
      <c r="Y298" s="163">
        <f t="shared" si="131"/>
        <v>5.0738280028119155E-3</v>
      </c>
      <c r="Z298" s="164">
        <f t="shared" si="131"/>
        <v>0</v>
      </c>
      <c r="AA298" s="158">
        <f t="shared" ref="AA298" si="132">SUM(Q298:Z298)</f>
        <v>4.7840785983313365E-2</v>
      </c>
    </row>
    <row r="299" spans="2:27" ht="21" x14ac:dyDescent="0.35">
      <c r="B299" s="130" t="s">
        <v>9</v>
      </c>
      <c r="C299" s="131" t="s">
        <v>3</v>
      </c>
      <c r="D299" s="132">
        <v>0</v>
      </c>
      <c r="E299" s="133">
        <v>0</v>
      </c>
      <c r="F299" s="133">
        <v>0</v>
      </c>
      <c r="G299" s="133">
        <v>0</v>
      </c>
      <c r="H299" s="133">
        <v>0</v>
      </c>
      <c r="I299" s="133">
        <v>0</v>
      </c>
      <c r="J299" s="133">
        <v>0</v>
      </c>
      <c r="K299" s="133">
        <v>10</v>
      </c>
      <c r="L299" s="133">
        <v>200</v>
      </c>
      <c r="M299" s="134">
        <v>107</v>
      </c>
      <c r="O299" s="143" t="s">
        <v>9</v>
      </c>
      <c r="P299" s="144" t="s">
        <v>3</v>
      </c>
      <c r="Q299" s="151">
        <f t="shared" ref="Q299:Z299" si="133">Q278/$AA$280</f>
        <v>0</v>
      </c>
      <c r="R299" s="152">
        <f t="shared" si="133"/>
        <v>0</v>
      </c>
      <c r="S299" s="152">
        <f t="shared" si="133"/>
        <v>0</v>
      </c>
      <c r="T299" s="152">
        <f t="shared" si="133"/>
        <v>0</v>
      </c>
      <c r="U299" s="152">
        <f t="shared" si="133"/>
        <v>0</v>
      </c>
      <c r="V299" s="152">
        <f t="shared" si="133"/>
        <v>0</v>
      </c>
      <c r="W299" s="152">
        <f t="shared" si="133"/>
        <v>0</v>
      </c>
      <c r="X299" s="152">
        <f t="shared" si="133"/>
        <v>1.6912760009373052E-3</v>
      </c>
      <c r="Y299" s="152">
        <f t="shared" si="133"/>
        <v>3.3825520018746107E-2</v>
      </c>
      <c r="Z299" s="153">
        <f t="shared" si="133"/>
        <v>1.8096653210029165E-2</v>
      </c>
      <c r="AA299" s="160"/>
    </row>
    <row r="300" spans="2:27" ht="21.75" thickBot="1" x14ac:dyDescent="0.4">
      <c r="B300" s="21"/>
      <c r="C300" s="13" t="s">
        <v>244</v>
      </c>
      <c r="D300" s="127"/>
      <c r="E300" s="128"/>
      <c r="F300" s="128"/>
      <c r="G300" s="128"/>
      <c r="H300" s="128"/>
      <c r="I300" s="128"/>
      <c r="J300" s="128"/>
      <c r="K300" s="128">
        <v>10</v>
      </c>
      <c r="L300" s="128">
        <v>200</v>
      </c>
      <c r="M300" s="129">
        <v>107</v>
      </c>
      <c r="O300" s="147"/>
      <c r="P300" s="148" t="s">
        <v>244</v>
      </c>
      <c r="Q300" s="161">
        <f t="shared" ref="Q300:Z300" si="134">Q279/$AA$280</f>
        <v>0</v>
      </c>
      <c r="R300" s="163">
        <f t="shared" si="134"/>
        <v>0</v>
      </c>
      <c r="S300" s="163">
        <f t="shared" si="134"/>
        <v>0</v>
      </c>
      <c r="T300" s="163">
        <f t="shared" si="134"/>
        <v>0</v>
      </c>
      <c r="U300" s="163">
        <f t="shared" si="134"/>
        <v>0</v>
      </c>
      <c r="V300" s="163">
        <f t="shared" si="134"/>
        <v>0</v>
      </c>
      <c r="W300" s="163">
        <f t="shared" si="134"/>
        <v>0</v>
      </c>
      <c r="X300" s="163">
        <f t="shared" si="134"/>
        <v>1.6912760009373052E-3</v>
      </c>
      <c r="Y300" s="163">
        <f t="shared" si="134"/>
        <v>3.3825520018746107E-2</v>
      </c>
      <c r="Z300" s="164">
        <f t="shared" si="134"/>
        <v>1.8096653210029165E-2</v>
      </c>
      <c r="AA300" s="165">
        <f t="shared" ref="AA300" si="135">SUM(Q300:Z300)</f>
        <v>5.3613449229712576E-2</v>
      </c>
    </row>
    <row r="301" spans="2:27" ht="21.75" thickBot="1" x14ac:dyDescent="0.4">
      <c r="D301" s="175">
        <f>D285+D291+D297+D299</f>
        <v>7.3437566639466869</v>
      </c>
      <c r="E301" s="175">
        <f t="shared" ref="E301:M301" si="136">E285+E291+E297+E299</f>
        <v>103.61148237114104</v>
      </c>
      <c r="F301" s="175">
        <f t="shared" si="136"/>
        <v>6.4243055555555557</v>
      </c>
      <c r="G301" s="175">
        <f t="shared" si="136"/>
        <v>12.576388888888889</v>
      </c>
      <c r="H301" s="175">
        <f t="shared" si="136"/>
        <v>1.1333333333333335</v>
      </c>
      <c r="I301" s="175">
        <f t="shared" si="136"/>
        <v>3.7861111111111114</v>
      </c>
      <c r="J301" s="175">
        <f t="shared" si="136"/>
        <v>12</v>
      </c>
      <c r="K301" s="175">
        <f t="shared" si="136"/>
        <v>400.27812499999999</v>
      </c>
      <c r="L301" s="175">
        <f t="shared" si="136"/>
        <v>230</v>
      </c>
      <c r="M301" s="175">
        <f t="shared" si="136"/>
        <v>107</v>
      </c>
      <c r="O301" s="149" t="s">
        <v>248</v>
      </c>
      <c r="P301" s="150"/>
      <c r="Q301" s="166">
        <f>Q285+Q291+Q297+Q299</f>
        <v>5.8093542402815446E-2</v>
      </c>
      <c r="R301" s="166">
        <f t="shared" ref="R301:Z301" si="137">R285+R291+R297+R299</f>
        <v>0.67229275095526475</v>
      </c>
      <c r="S301" s="167">
        <f t="shared" si="137"/>
        <v>3.769875347039265E-2</v>
      </c>
      <c r="T301" s="166">
        <f t="shared" si="137"/>
        <v>7.3051707127485266E-2</v>
      </c>
      <c r="U301" s="167">
        <f t="shared" si="137"/>
        <v>5.7503384031868388E-3</v>
      </c>
      <c r="V301" s="167">
        <f t="shared" si="137"/>
        <v>2.425374349144143E-2</v>
      </c>
      <c r="W301" s="167">
        <f t="shared" si="137"/>
        <v>2.0295312011247664E-3</v>
      </c>
      <c r="X301" s="166">
        <f t="shared" si="137"/>
        <v>6.9833631716701816E-2</v>
      </c>
      <c r="Y301" s="167">
        <f t="shared" si="137"/>
        <v>3.889934802155802E-2</v>
      </c>
      <c r="Z301" s="168">
        <f t="shared" si="137"/>
        <v>1.8096653210029165E-2</v>
      </c>
      <c r="AA301" s="169"/>
    </row>
  </sheetData>
  <hyperlinks>
    <hyperlink ref="K200" r:id="rId1"/>
    <hyperlink ref="P236" r:id="rId2" location="market-volume" display="market-volume"/>
  </hyperlinks>
  <pageMargins left="0.7" right="0.7" top="0.75" bottom="0.75" header="0.3" footer="0.3"/>
  <pageSetup paperSize="9" orientation="portrait" verticalDpi="300" r:id="rId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"/>
  <sheetViews>
    <sheetView workbookViewId="0"/>
  </sheetViews>
  <sheetFormatPr baseColWidth="10" defaultRowHeight="15" x14ac:dyDescent="0.25"/>
  <cols>
    <col min="2" max="2" width="26" customWidth="1"/>
    <col min="4" max="4" width="25.140625" customWidth="1"/>
  </cols>
  <sheetData>
    <row r="1" spans="1:11" x14ac:dyDescent="0.25">
      <c r="A1" t="s">
        <v>454</v>
      </c>
      <c r="B1" t="s">
        <v>456</v>
      </c>
      <c r="C1" t="s">
        <v>455</v>
      </c>
      <c r="D1" t="s">
        <v>457</v>
      </c>
      <c r="E1" t="s">
        <v>1</v>
      </c>
      <c r="F1" t="s">
        <v>18</v>
      </c>
      <c r="G1" t="s">
        <v>19</v>
      </c>
      <c r="H1" t="s">
        <v>461</v>
      </c>
      <c r="I1" t="s">
        <v>35</v>
      </c>
      <c r="J1" t="s">
        <v>28</v>
      </c>
      <c r="K1" t="s">
        <v>84</v>
      </c>
    </row>
    <row r="2" spans="1:11" x14ac:dyDescent="0.25">
      <c r="A2">
        <v>2021</v>
      </c>
      <c r="B2" t="s">
        <v>462</v>
      </c>
      <c r="C2" t="s">
        <v>75</v>
      </c>
      <c r="D2" t="s">
        <v>36</v>
      </c>
    </row>
    <row r="3" spans="1:11" x14ac:dyDescent="0.25">
      <c r="A3">
        <v>2021</v>
      </c>
      <c r="B3" t="s">
        <v>462</v>
      </c>
      <c r="C3" t="s">
        <v>75</v>
      </c>
      <c r="D3" t="s">
        <v>37</v>
      </c>
    </row>
    <row r="4" spans="1:11" x14ac:dyDescent="0.25">
      <c r="A4">
        <v>2021</v>
      </c>
      <c r="B4" t="s">
        <v>462</v>
      </c>
      <c r="C4" t="s">
        <v>75</v>
      </c>
      <c r="D4" t="s">
        <v>38</v>
      </c>
    </row>
    <row r="5" spans="1:11" x14ac:dyDescent="0.25">
      <c r="A5">
        <v>2021</v>
      </c>
      <c r="B5" t="s">
        <v>462</v>
      </c>
      <c r="C5" t="s">
        <v>75</v>
      </c>
      <c r="D5" t="s">
        <v>80</v>
      </c>
    </row>
    <row r="6" spans="1:11" x14ac:dyDescent="0.25">
      <c r="A6">
        <v>2021</v>
      </c>
      <c r="B6" t="s">
        <v>462</v>
      </c>
      <c r="C6" t="s">
        <v>75</v>
      </c>
      <c r="D6" t="s">
        <v>39</v>
      </c>
    </row>
    <row r="7" spans="1:11" x14ac:dyDescent="0.25">
      <c r="A7">
        <v>2021</v>
      </c>
      <c r="B7" t="s">
        <v>462</v>
      </c>
      <c r="C7" t="s">
        <v>75</v>
      </c>
      <c r="D7" t="s">
        <v>45</v>
      </c>
    </row>
    <row r="8" spans="1:11" x14ac:dyDescent="0.25">
      <c r="A8">
        <v>2021</v>
      </c>
      <c r="B8" t="s">
        <v>462</v>
      </c>
      <c r="C8" t="s">
        <v>75</v>
      </c>
      <c r="D8" t="s">
        <v>16</v>
      </c>
    </row>
    <row r="9" spans="1:11" x14ac:dyDescent="0.25">
      <c r="A9">
        <v>2021</v>
      </c>
      <c r="B9" t="s">
        <v>462</v>
      </c>
      <c r="C9" t="s">
        <v>75</v>
      </c>
      <c r="D9" t="s">
        <v>34</v>
      </c>
    </row>
    <row r="10" spans="1:11" x14ac:dyDescent="0.25">
      <c r="A10">
        <v>2021</v>
      </c>
      <c r="B10" t="s">
        <v>462</v>
      </c>
      <c r="C10" t="s">
        <v>75</v>
      </c>
      <c r="D10" t="s">
        <v>5</v>
      </c>
    </row>
    <row r="11" spans="1:11" x14ac:dyDescent="0.25">
      <c r="A11">
        <v>2021</v>
      </c>
      <c r="B11" t="s">
        <v>462</v>
      </c>
      <c r="C11" t="s">
        <v>75</v>
      </c>
      <c r="D11" t="s">
        <v>7</v>
      </c>
    </row>
    <row r="12" spans="1:11" x14ac:dyDescent="0.25">
      <c r="A12">
        <v>2021</v>
      </c>
      <c r="B12" t="s">
        <v>462</v>
      </c>
      <c r="C12" t="s">
        <v>75</v>
      </c>
      <c r="D12" t="s">
        <v>8</v>
      </c>
    </row>
    <row r="13" spans="1:11" x14ac:dyDescent="0.25">
      <c r="A13">
        <v>2021</v>
      </c>
      <c r="B13" t="s">
        <v>462</v>
      </c>
      <c r="C13" t="s">
        <v>75</v>
      </c>
      <c r="D13" t="s">
        <v>40</v>
      </c>
    </row>
    <row r="14" spans="1:11" x14ac:dyDescent="0.25">
      <c r="A14">
        <v>2021</v>
      </c>
      <c r="B14" t="s">
        <v>462</v>
      </c>
      <c r="C14" t="s">
        <v>75</v>
      </c>
      <c r="D14" t="s">
        <v>41</v>
      </c>
    </row>
    <row r="15" spans="1:11" x14ac:dyDescent="0.25">
      <c r="A15">
        <v>2021</v>
      </c>
      <c r="B15" t="s">
        <v>462</v>
      </c>
      <c r="C15" t="s">
        <v>75</v>
      </c>
      <c r="D15" t="s">
        <v>42</v>
      </c>
    </row>
    <row r="16" spans="1:11" x14ac:dyDescent="0.25">
      <c r="A16">
        <v>2021</v>
      </c>
      <c r="B16" t="s">
        <v>462</v>
      </c>
      <c r="C16" t="s">
        <v>75</v>
      </c>
      <c r="D16" t="s">
        <v>31</v>
      </c>
    </row>
    <row r="17" spans="1:4" x14ac:dyDescent="0.25">
      <c r="A17">
        <v>2021</v>
      </c>
      <c r="B17" t="s">
        <v>462</v>
      </c>
      <c r="C17" t="s">
        <v>75</v>
      </c>
      <c r="D17" t="s">
        <v>43</v>
      </c>
    </row>
    <row r="18" spans="1:4" x14ac:dyDescent="0.25">
      <c r="A18">
        <v>2021</v>
      </c>
      <c r="B18" t="s">
        <v>462</v>
      </c>
      <c r="C18" t="s">
        <v>75</v>
      </c>
      <c r="D18" t="s">
        <v>82</v>
      </c>
    </row>
    <row r="19" spans="1:4" x14ac:dyDescent="0.25">
      <c r="A19">
        <v>2021</v>
      </c>
      <c r="B19" t="s">
        <v>462</v>
      </c>
      <c r="C19" t="s">
        <v>75</v>
      </c>
      <c r="D19" t="s">
        <v>87</v>
      </c>
    </row>
    <row r="20" spans="1:4" x14ac:dyDescent="0.25">
      <c r="A20">
        <v>2021</v>
      </c>
      <c r="B20" t="s">
        <v>462</v>
      </c>
      <c r="C20" t="s">
        <v>75</v>
      </c>
      <c r="D20" t="s">
        <v>83</v>
      </c>
    </row>
    <row r="21" spans="1:4" x14ac:dyDescent="0.25">
      <c r="A21">
        <v>2021</v>
      </c>
      <c r="B21" t="s">
        <v>462</v>
      </c>
      <c r="C21" t="s">
        <v>76</v>
      </c>
      <c r="D21" t="s">
        <v>36</v>
      </c>
    </row>
    <row r="22" spans="1:4" x14ac:dyDescent="0.25">
      <c r="A22">
        <v>2021</v>
      </c>
      <c r="B22" t="s">
        <v>462</v>
      </c>
      <c r="C22" t="s">
        <v>76</v>
      </c>
      <c r="D22" t="s">
        <v>37</v>
      </c>
    </row>
    <row r="23" spans="1:4" x14ac:dyDescent="0.25">
      <c r="A23">
        <v>2021</v>
      </c>
      <c r="B23" t="s">
        <v>462</v>
      </c>
      <c r="C23" t="s">
        <v>76</v>
      </c>
      <c r="D23" t="s">
        <v>38</v>
      </c>
    </row>
    <row r="24" spans="1:4" x14ac:dyDescent="0.25">
      <c r="A24">
        <v>2021</v>
      </c>
      <c r="B24" t="s">
        <v>462</v>
      </c>
      <c r="C24" t="s">
        <v>76</v>
      </c>
      <c r="D24" t="s">
        <v>80</v>
      </c>
    </row>
    <row r="25" spans="1:4" x14ac:dyDescent="0.25">
      <c r="A25">
        <v>2021</v>
      </c>
      <c r="B25" t="s">
        <v>462</v>
      </c>
      <c r="C25" t="s">
        <v>76</v>
      </c>
      <c r="D25" t="s">
        <v>39</v>
      </c>
    </row>
    <row r="26" spans="1:4" x14ac:dyDescent="0.25">
      <c r="A26">
        <v>2021</v>
      </c>
      <c r="B26" t="s">
        <v>462</v>
      </c>
      <c r="C26" t="s">
        <v>76</v>
      </c>
      <c r="D26" t="s">
        <v>45</v>
      </c>
    </row>
    <row r="27" spans="1:4" x14ac:dyDescent="0.25">
      <c r="A27">
        <v>2021</v>
      </c>
      <c r="B27" t="s">
        <v>462</v>
      </c>
      <c r="C27" t="s">
        <v>76</v>
      </c>
      <c r="D27" t="s">
        <v>16</v>
      </c>
    </row>
    <row r="28" spans="1:4" x14ac:dyDescent="0.25">
      <c r="A28">
        <v>2021</v>
      </c>
      <c r="B28" t="s">
        <v>462</v>
      </c>
      <c r="C28" t="s">
        <v>76</v>
      </c>
      <c r="D28" t="s">
        <v>34</v>
      </c>
    </row>
    <row r="29" spans="1:4" x14ac:dyDescent="0.25">
      <c r="A29">
        <v>2021</v>
      </c>
      <c r="B29" t="s">
        <v>462</v>
      </c>
      <c r="C29" t="s">
        <v>76</v>
      </c>
      <c r="D29" t="s">
        <v>5</v>
      </c>
    </row>
    <row r="30" spans="1:4" x14ac:dyDescent="0.25">
      <c r="A30">
        <v>2021</v>
      </c>
      <c r="B30" t="s">
        <v>462</v>
      </c>
      <c r="C30" t="s">
        <v>76</v>
      </c>
      <c r="D30" t="s">
        <v>7</v>
      </c>
    </row>
    <row r="31" spans="1:4" x14ac:dyDescent="0.25">
      <c r="A31">
        <v>2021</v>
      </c>
      <c r="B31" t="s">
        <v>462</v>
      </c>
      <c r="C31" t="s">
        <v>76</v>
      </c>
      <c r="D31" t="s">
        <v>8</v>
      </c>
    </row>
    <row r="32" spans="1:4" x14ac:dyDescent="0.25">
      <c r="A32">
        <v>2021</v>
      </c>
      <c r="B32" t="s">
        <v>462</v>
      </c>
      <c r="C32" t="s">
        <v>76</v>
      </c>
      <c r="D32" t="s">
        <v>40</v>
      </c>
    </row>
    <row r="33" spans="1:5" x14ac:dyDescent="0.25">
      <c r="A33">
        <v>2021</v>
      </c>
      <c r="B33" t="s">
        <v>462</v>
      </c>
      <c r="C33" t="s">
        <v>76</v>
      </c>
      <c r="D33" t="s">
        <v>41</v>
      </c>
    </row>
    <row r="34" spans="1:5" x14ac:dyDescent="0.25">
      <c r="A34">
        <v>2021</v>
      </c>
      <c r="B34" t="s">
        <v>462</v>
      </c>
      <c r="C34" t="s">
        <v>76</v>
      </c>
      <c r="D34" t="s">
        <v>42</v>
      </c>
    </row>
    <row r="35" spans="1:5" x14ac:dyDescent="0.25">
      <c r="A35">
        <v>2021</v>
      </c>
      <c r="B35" t="s">
        <v>462</v>
      </c>
      <c r="C35" t="s">
        <v>76</v>
      </c>
      <c r="D35" t="s">
        <v>31</v>
      </c>
    </row>
    <row r="36" spans="1:5" x14ac:dyDescent="0.25">
      <c r="A36">
        <v>2021</v>
      </c>
      <c r="B36" t="s">
        <v>462</v>
      </c>
      <c r="C36" t="s">
        <v>76</v>
      </c>
      <c r="D36" t="s">
        <v>43</v>
      </c>
    </row>
    <row r="37" spans="1:5" x14ac:dyDescent="0.25">
      <c r="A37">
        <v>2021</v>
      </c>
      <c r="B37" t="s">
        <v>462</v>
      </c>
      <c r="C37" t="s">
        <v>76</v>
      </c>
      <c r="D37" t="s">
        <v>82</v>
      </c>
    </row>
    <row r="38" spans="1:5" x14ac:dyDescent="0.25">
      <c r="A38">
        <v>2021</v>
      </c>
      <c r="B38" t="s">
        <v>462</v>
      </c>
      <c r="C38" t="s">
        <v>76</v>
      </c>
      <c r="D38" t="s">
        <v>87</v>
      </c>
    </row>
    <row r="39" spans="1:5" x14ac:dyDescent="0.25">
      <c r="A39">
        <v>2021</v>
      </c>
      <c r="B39" t="s">
        <v>462</v>
      </c>
      <c r="C39" t="s">
        <v>76</v>
      </c>
      <c r="D39" t="s">
        <v>83</v>
      </c>
    </row>
    <row r="40" spans="1:5" x14ac:dyDescent="0.25">
      <c r="A40">
        <v>2021</v>
      </c>
      <c r="B40" t="s">
        <v>462</v>
      </c>
      <c r="C40" t="s">
        <v>77</v>
      </c>
      <c r="D40" t="s">
        <v>36</v>
      </c>
      <c r="E40" t="e">
        <f>HLOOKUP('Av 2021'!$D$38,'Av 2021'!$D$3:$AA$45,3,FALSE)</f>
        <v>#N/A</v>
      </c>
    </row>
    <row r="41" spans="1:5" x14ac:dyDescent="0.25">
      <c r="A41">
        <v>2021</v>
      </c>
      <c r="B41" t="s">
        <v>462</v>
      </c>
      <c r="C41" t="s">
        <v>77</v>
      </c>
      <c r="D41" t="s">
        <v>37</v>
      </c>
      <c r="E41">
        <f>VLOOKUP('Av 2021'!$D$38,'Av 2021'!$D$3:$AA$45,4,FALSE)</f>
        <v>0</v>
      </c>
    </row>
    <row r="42" spans="1:5" x14ac:dyDescent="0.25">
      <c r="A42">
        <v>2021</v>
      </c>
      <c r="B42" t="s">
        <v>462</v>
      </c>
      <c r="C42" t="s">
        <v>77</v>
      </c>
      <c r="D42" t="s">
        <v>38</v>
      </c>
      <c r="E42" t="e">
        <f>HLOOKUP('Av 2021'!$D$38,'Av 2021'!$D$3:$AA$45,3,FALSE)</f>
        <v>#N/A</v>
      </c>
    </row>
    <row r="43" spans="1:5" x14ac:dyDescent="0.25">
      <c r="A43">
        <v>2021</v>
      </c>
      <c r="B43" t="s">
        <v>462</v>
      </c>
      <c r="C43" t="s">
        <v>77</v>
      </c>
      <c r="D43" t="s">
        <v>80</v>
      </c>
      <c r="E43">
        <f>VLOOKUP('Av 2021'!$D$38,'Av 2021'!$D$3:$AA$45,3,FALSE)</f>
        <v>0</v>
      </c>
    </row>
    <row r="44" spans="1:5" x14ac:dyDescent="0.25">
      <c r="A44">
        <v>2021</v>
      </c>
      <c r="B44" t="s">
        <v>462</v>
      </c>
      <c r="C44" t="s">
        <v>77</v>
      </c>
      <c r="D44" t="s">
        <v>39</v>
      </c>
      <c r="E44">
        <f>VLOOKUP('Av 2021'!$D$38,'Av 2021'!$D$3:$AA$45,3,FALSE)</f>
        <v>0</v>
      </c>
    </row>
    <row r="45" spans="1:5" x14ac:dyDescent="0.25">
      <c r="A45">
        <v>2021</v>
      </c>
      <c r="B45" t="s">
        <v>462</v>
      </c>
      <c r="C45" t="s">
        <v>77</v>
      </c>
      <c r="D45" t="s">
        <v>45</v>
      </c>
      <c r="E45">
        <f>VLOOKUP('Av 2021'!$D$38,'Av 2021'!$D$3:$AA$45,3,FALSE)</f>
        <v>0</v>
      </c>
    </row>
    <row r="46" spans="1:5" x14ac:dyDescent="0.25">
      <c r="A46">
        <v>2021</v>
      </c>
      <c r="B46" t="s">
        <v>462</v>
      </c>
      <c r="C46" t="s">
        <v>77</v>
      </c>
      <c r="D46" t="s">
        <v>16</v>
      </c>
      <c r="E46">
        <f>VLOOKUP('Av 2021'!$D$38,'Av 2021'!$D$3:$AA$45,3,FALSE)</f>
        <v>0</v>
      </c>
    </row>
    <row r="47" spans="1:5" x14ac:dyDescent="0.25">
      <c r="A47">
        <v>2021</v>
      </c>
      <c r="B47" t="s">
        <v>462</v>
      </c>
      <c r="C47" t="s">
        <v>77</v>
      </c>
      <c r="D47" t="s">
        <v>34</v>
      </c>
      <c r="E47">
        <f>VLOOKUP('Av 2021'!D45,'Av 2021'!D10:AA52,3,FALSE)</f>
        <v>0</v>
      </c>
    </row>
    <row r="48" spans="1:5" x14ac:dyDescent="0.25">
      <c r="A48">
        <v>2021</v>
      </c>
      <c r="B48" t="s">
        <v>462</v>
      </c>
      <c r="C48" t="s">
        <v>77</v>
      </c>
      <c r="D48" t="s">
        <v>5</v>
      </c>
    </row>
    <row r="49" spans="1:4" x14ac:dyDescent="0.25">
      <c r="A49">
        <v>2021</v>
      </c>
      <c r="B49" t="s">
        <v>462</v>
      </c>
      <c r="C49" t="s">
        <v>77</v>
      </c>
      <c r="D49" t="s">
        <v>7</v>
      </c>
    </row>
    <row r="50" spans="1:4" x14ac:dyDescent="0.25">
      <c r="A50">
        <v>2021</v>
      </c>
      <c r="B50" t="s">
        <v>462</v>
      </c>
      <c r="C50" t="s">
        <v>77</v>
      </c>
      <c r="D50" t="s">
        <v>8</v>
      </c>
    </row>
    <row r="51" spans="1:4" x14ac:dyDescent="0.25">
      <c r="A51">
        <v>2021</v>
      </c>
      <c r="B51" t="s">
        <v>462</v>
      </c>
      <c r="C51" t="s">
        <v>77</v>
      </c>
      <c r="D51" t="s">
        <v>40</v>
      </c>
    </row>
    <row r="52" spans="1:4" x14ac:dyDescent="0.25">
      <c r="A52">
        <v>2021</v>
      </c>
      <c r="B52" t="s">
        <v>462</v>
      </c>
      <c r="C52" t="s">
        <v>77</v>
      </c>
      <c r="D52" t="s">
        <v>41</v>
      </c>
    </row>
    <row r="53" spans="1:4" x14ac:dyDescent="0.25">
      <c r="A53">
        <v>2021</v>
      </c>
      <c r="B53" t="s">
        <v>462</v>
      </c>
      <c r="C53" t="s">
        <v>77</v>
      </c>
      <c r="D53" t="s">
        <v>42</v>
      </c>
    </row>
    <row r="54" spans="1:4" x14ac:dyDescent="0.25">
      <c r="A54">
        <v>2021</v>
      </c>
      <c r="B54" t="s">
        <v>462</v>
      </c>
      <c r="C54" t="s">
        <v>77</v>
      </c>
      <c r="D54" t="s">
        <v>31</v>
      </c>
    </row>
    <row r="55" spans="1:4" x14ac:dyDescent="0.25">
      <c r="A55">
        <v>2021</v>
      </c>
      <c r="B55" t="s">
        <v>462</v>
      </c>
      <c r="C55" t="s">
        <v>77</v>
      </c>
      <c r="D55" t="s">
        <v>43</v>
      </c>
    </row>
    <row r="56" spans="1:4" x14ac:dyDescent="0.25">
      <c r="A56">
        <v>2021</v>
      </c>
      <c r="B56" t="s">
        <v>462</v>
      </c>
      <c r="C56" t="s">
        <v>77</v>
      </c>
      <c r="D56" t="s">
        <v>82</v>
      </c>
    </row>
    <row r="57" spans="1:4" x14ac:dyDescent="0.25">
      <c r="A57">
        <v>2021</v>
      </c>
      <c r="B57" t="s">
        <v>462</v>
      </c>
      <c r="C57" t="s">
        <v>77</v>
      </c>
      <c r="D57" t="s">
        <v>87</v>
      </c>
    </row>
    <row r="58" spans="1:4" x14ac:dyDescent="0.25">
      <c r="A58">
        <v>2021</v>
      </c>
      <c r="B58" t="s">
        <v>462</v>
      </c>
      <c r="C58" t="s">
        <v>77</v>
      </c>
      <c r="D58" t="s">
        <v>83</v>
      </c>
    </row>
    <row r="59" spans="1:4" x14ac:dyDescent="0.25">
      <c r="A59">
        <v>2021</v>
      </c>
      <c r="B59" t="s">
        <v>462</v>
      </c>
      <c r="C59" t="s">
        <v>78</v>
      </c>
      <c r="D59" t="s">
        <v>36</v>
      </c>
    </row>
    <row r="60" spans="1:4" x14ac:dyDescent="0.25">
      <c r="A60">
        <v>2021</v>
      </c>
      <c r="B60" t="s">
        <v>462</v>
      </c>
      <c r="C60" t="s">
        <v>78</v>
      </c>
      <c r="D60" t="s">
        <v>37</v>
      </c>
    </row>
    <row r="61" spans="1:4" x14ac:dyDescent="0.25">
      <c r="A61">
        <v>2021</v>
      </c>
      <c r="B61" t="s">
        <v>462</v>
      </c>
      <c r="C61" t="s">
        <v>78</v>
      </c>
      <c r="D61" t="s">
        <v>38</v>
      </c>
    </row>
    <row r="62" spans="1:4" x14ac:dyDescent="0.25">
      <c r="A62">
        <v>2021</v>
      </c>
      <c r="B62" t="s">
        <v>462</v>
      </c>
      <c r="C62" t="s">
        <v>78</v>
      </c>
      <c r="D62" t="s">
        <v>80</v>
      </c>
    </row>
    <row r="63" spans="1:4" x14ac:dyDescent="0.25">
      <c r="A63">
        <v>2021</v>
      </c>
      <c r="B63" t="s">
        <v>462</v>
      </c>
      <c r="C63" t="s">
        <v>78</v>
      </c>
      <c r="D63" t="s">
        <v>39</v>
      </c>
    </row>
    <row r="64" spans="1:4" x14ac:dyDescent="0.25">
      <c r="A64">
        <v>2021</v>
      </c>
      <c r="B64" t="s">
        <v>462</v>
      </c>
      <c r="C64" t="s">
        <v>78</v>
      </c>
      <c r="D64" t="s">
        <v>45</v>
      </c>
    </row>
    <row r="65" spans="1:4" x14ac:dyDescent="0.25">
      <c r="A65">
        <v>2021</v>
      </c>
      <c r="B65" t="s">
        <v>462</v>
      </c>
      <c r="C65" t="s">
        <v>78</v>
      </c>
      <c r="D65" t="s">
        <v>16</v>
      </c>
    </row>
    <row r="66" spans="1:4" x14ac:dyDescent="0.25">
      <c r="A66">
        <v>2021</v>
      </c>
      <c r="B66" t="s">
        <v>462</v>
      </c>
      <c r="C66" t="s">
        <v>78</v>
      </c>
      <c r="D66" t="s">
        <v>34</v>
      </c>
    </row>
    <row r="67" spans="1:4" x14ac:dyDescent="0.25">
      <c r="A67">
        <v>2021</v>
      </c>
      <c r="B67" t="s">
        <v>462</v>
      </c>
      <c r="C67" t="s">
        <v>78</v>
      </c>
      <c r="D67" t="s">
        <v>5</v>
      </c>
    </row>
    <row r="68" spans="1:4" x14ac:dyDescent="0.25">
      <c r="A68">
        <v>2021</v>
      </c>
      <c r="B68" t="s">
        <v>462</v>
      </c>
      <c r="C68" t="s">
        <v>78</v>
      </c>
      <c r="D68" t="s">
        <v>7</v>
      </c>
    </row>
    <row r="69" spans="1:4" x14ac:dyDescent="0.25">
      <c r="A69">
        <v>2021</v>
      </c>
      <c r="B69" t="s">
        <v>462</v>
      </c>
      <c r="C69" t="s">
        <v>78</v>
      </c>
      <c r="D69" t="s">
        <v>8</v>
      </c>
    </row>
    <row r="70" spans="1:4" x14ac:dyDescent="0.25">
      <c r="A70">
        <v>2021</v>
      </c>
      <c r="B70" t="s">
        <v>462</v>
      </c>
      <c r="C70" t="s">
        <v>78</v>
      </c>
      <c r="D70" t="s">
        <v>40</v>
      </c>
    </row>
    <row r="71" spans="1:4" x14ac:dyDescent="0.25">
      <c r="A71">
        <v>2021</v>
      </c>
      <c r="B71" t="s">
        <v>462</v>
      </c>
      <c r="C71" t="s">
        <v>78</v>
      </c>
      <c r="D71" t="s">
        <v>41</v>
      </c>
    </row>
    <row r="72" spans="1:4" x14ac:dyDescent="0.25">
      <c r="A72">
        <v>2021</v>
      </c>
      <c r="B72" t="s">
        <v>462</v>
      </c>
      <c r="C72" t="s">
        <v>78</v>
      </c>
      <c r="D72" t="s">
        <v>42</v>
      </c>
    </row>
    <row r="73" spans="1:4" x14ac:dyDescent="0.25">
      <c r="A73">
        <v>2021</v>
      </c>
      <c r="B73" t="s">
        <v>462</v>
      </c>
      <c r="C73" t="s">
        <v>78</v>
      </c>
      <c r="D73" t="s">
        <v>31</v>
      </c>
    </row>
    <row r="74" spans="1:4" x14ac:dyDescent="0.25">
      <c r="A74">
        <v>2021</v>
      </c>
      <c r="B74" t="s">
        <v>462</v>
      </c>
      <c r="C74" t="s">
        <v>78</v>
      </c>
      <c r="D74" t="s">
        <v>43</v>
      </c>
    </row>
    <row r="75" spans="1:4" x14ac:dyDescent="0.25">
      <c r="A75">
        <v>2021</v>
      </c>
      <c r="B75" t="s">
        <v>462</v>
      </c>
      <c r="C75" t="s">
        <v>78</v>
      </c>
      <c r="D75" t="s">
        <v>82</v>
      </c>
    </row>
    <row r="76" spans="1:4" x14ac:dyDescent="0.25">
      <c r="A76">
        <v>2021</v>
      </c>
      <c r="B76" t="s">
        <v>462</v>
      </c>
      <c r="C76" t="s">
        <v>78</v>
      </c>
      <c r="D76" t="s">
        <v>87</v>
      </c>
    </row>
    <row r="77" spans="1:4" x14ac:dyDescent="0.25">
      <c r="A77">
        <v>2021</v>
      </c>
      <c r="B77" t="s">
        <v>462</v>
      </c>
      <c r="C77" t="s">
        <v>78</v>
      </c>
      <c r="D77" t="s">
        <v>83</v>
      </c>
    </row>
    <row r="78" spans="1:4" x14ac:dyDescent="0.25">
      <c r="A78">
        <v>2021</v>
      </c>
      <c r="B78" t="s">
        <v>462</v>
      </c>
      <c r="C78" t="s">
        <v>79</v>
      </c>
      <c r="D78" t="s">
        <v>36</v>
      </c>
    </row>
    <row r="79" spans="1:4" x14ac:dyDescent="0.25">
      <c r="A79">
        <v>2021</v>
      </c>
      <c r="B79" t="s">
        <v>462</v>
      </c>
      <c r="C79" t="s">
        <v>79</v>
      </c>
      <c r="D79" t="s">
        <v>37</v>
      </c>
    </row>
    <row r="80" spans="1:4" x14ac:dyDescent="0.25">
      <c r="A80">
        <v>2021</v>
      </c>
      <c r="B80" t="s">
        <v>462</v>
      </c>
      <c r="C80" t="s">
        <v>79</v>
      </c>
      <c r="D80" t="s">
        <v>38</v>
      </c>
    </row>
    <row r="81" spans="1:4" x14ac:dyDescent="0.25">
      <c r="A81">
        <v>2021</v>
      </c>
      <c r="B81" t="s">
        <v>462</v>
      </c>
      <c r="C81" t="s">
        <v>79</v>
      </c>
      <c r="D81" t="s">
        <v>80</v>
      </c>
    </row>
    <row r="82" spans="1:4" x14ac:dyDescent="0.25">
      <c r="A82">
        <v>2021</v>
      </c>
      <c r="B82" t="s">
        <v>462</v>
      </c>
      <c r="C82" t="s">
        <v>79</v>
      </c>
      <c r="D82" t="s">
        <v>39</v>
      </c>
    </row>
    <row r="83" spans="1:4" x14ac:dyDescent="0.25">
      <c r="A83">
        <v>2021</v>
      </c>
      <c r="B83" t="s">
        <v>462</v>
      </c>
      <c r="C83" t="s">
        <v>79</v>
      </c>
      <c r="D83" t="s">
        <v>45</v>
      </c>
    </row>
    <row r="84" spans="1:4" x14ac:dyDescent="0.25">
      <c r="A84">
        <v>2021</v>
      </c>
      <c r="B84" t="s">
        <v>462</v>
      </c>
      <c r="C84" t="s">
        <v>79</v>
      </c>
      <c r="D84" t="s">
        <v>16</v>
      </c>
    </row>
    <row r="85" spans="1:4" x14ac:dyDescent="0.25">
      <c r="A85">
        <v>2021</v>
      </c>
      <c r="B85" t="s">
        <v>462</v>
      </c>
      <c r="C85" t="s">
        <v>79</v>
      </c>
      <c r="D85" t="s">
        <v>34</v>
      </c>
    </row>
    <row r="86" spans="1:4" x14ac:dyDescent="0.25">
      <c r="A86">
        <v>2021</v>
      </c>
      <c r="B86" t="s">
        <v>462</v>
      </c>
      <c r="C86" t="s">
        <v>79</v>
      </c>
      <c r="D86" t="s">
        <v>5</v>
      </c>
    </row>
    <row r="87" spans="1:4" x14ac:dyDescent="0.25">
      <c r="A87">
        <v>2021</v>
      </c>
      <c r="B87" t="s">
        <v>462</v>
      </c>
      <c r="C87" t="s">
        <v>79</v>
      </c>
      <c r="D87" t="s">
        <v>7</v>
      </c>
    </row>
    <row r="88" spans="1:4" x14ac:dyDescent="0.25">
      <c r="A88">
        <v>2021</v>
      </c>
      <c r="B88" t="s">
        <v>462</v>
      </c>
      <c r="C88" t="s">
        <v>79</v>
      </c>
      <c r="D88" t="s">
        <v>8</v>
      </c>
    </row>
    <row r="89" spans="1:4" x14ac:dyDescent="0.25">
      <c r="A89">
        <v>2021</v>
      </c>
      <c r="B89" t="s">
        <v>462</v>
      </c>
      <c r="C89" t="s">
        <v>79</v>
      </c>
      <c r="D89" t="s">
        <v>40</v>
      </c>
    </row>
    <row r="90" spans="1:4" x14ac:dyDescent="0.25">
      <c r="A90">
        <v>2021</v>
      </c>
      <c r="B90" t="s">
        <v>462</v>
      </c>
      <c r="C90" t="s">
        <v>79</v>
      </c>
      <c r="D90" t="s">
        <v>41</v>
      </c>
    </row>
    <row r="91" spans="1:4" x14ac:dyDescent="0.25">
      <c r="A91">
        <v>2021</v>
      </c>
      <c r="B91" t="s">
        <v>462</v>
      </c>
      <c r="C91" t="s">
        <v>79</v>
      </c>
      <c r="D91" t="s">
        <v>42</v>
      </c>
    </row>
    <row r="92" spans="1:4" x14ac:dyDescent="0.25">
      <c r="A92">
        <v>2021</v>
      </c>
      <c r="B92" t="s">
        <v>462</v>
      </c>
      <c r="C92" t="s">
        <v>79</v>
      </c>
      <c r="D92" t="s">
        <v>31</v>
      </c>
    </row>
    <row r="93" spans="1:4" x14ac:dyDescent="0.25">
      <c r="A93">
        <v>2021</v>
      </c>
      <c r="B93" t="s">
        <v>462</v>
      </c>
      <c r="C93" t="s">
        <v>79</v>
      </c>
      <c r="D93" t="s">
        <v>43</v>
      </c>
    </row>
    <row r="94" spans="1:4" x14ac:dyDescent="0.25">
      <c r="A94">
        <v>2021</v>
      </c>
      <c r="B94" t="s">
        <v>462</v>
      </c>
      <c r="C94" t="s">
        <v>79</v>
      </c>
      <c r="D94" t="s">
        <v>82</v>
      </c>
    </row>
    <row r="95" spans="1:4" x14ac:dyDescent="0.25">
      <c r="A95">
        <v>2021</v>
      </c>
      <c r="B95" t="s">
        <v>462</v>
      </c>
      <c r="C95" t="s">
        <v>79</v>
      </c>
      <c r="D95" t="s">
        <v>87</v>
      </c>
    </row>
    <row r="96" spans="1:4" x14ac:dyDescent="0.25">
      <c r="A96">
        <v>2021</v>
      </c>
      <c r="B96" t="s">
        <v>462</v>
      </c>
      <c r="C96" t="s">
        <v>79</v>
      </c>
      <c r="D96" t="s">
        <v>83</v>
      </c>
    </row>
    <row r="97" spans="1:4" x14ac:dyDescent="0.25">
      <c r="A97">
        <v>2021</v>
      </c>
      <c r="B97" t="s">
        <v>463</v>
      </c>
      <c r="C97" t="s">
        <v>66</v>
      </c>
      <c r="D97" t="s">
        <v>36</v>
      </c>
    </row>
    <row r="98" spans="1:4" x14ac:dyDescent="0.25">
      <c r="A98">
        <v>2021</v>
      </c>
      <c r="B98" t="s">
        <v>463</v>
      </c>
      <c r="C98" t="s">
        <v>66</v>
      </c>
      <c r="D98" t="s">
        <v>37</v>
      </c>
    </row>
    <row r="99" spans="1:4" x14ac:dyDescent="0.25">
      <c r="A99">
        <v>2021</v>
      </c>
      <c r="B99" t="s">
        <v>463</v>
      </c>
      <c r="C99" t="s">
        <v>66</v>
      </c>
      <c r="D99" t="s">
        <v>38</v>
      </c>
    </row>
    <row r="100" spans="1:4" x14ac:dyDescent="0.25">
      <c r="A100">
        <v>2021</v>
      </c>
      <c r="B100" t="s">
        <v>463</v>
      </c>
      <c r="C100" t="s">
        <v>66</v>
      </c>
      <c r="D100" t="s">
        <v>80</v>
      </c>
    </row>
    <row r="101" spans="1:4" x14ac:dyDescent="0.25">
      <c r="A101">
        <v>2021</v>
      </c>
      <c r="B101" t="s">
        <v>463</v>
      </c>
      <c r="C101" t="s">
        <v>66</v>
      </c>
      <c r="D101" t="s">
        <v>39</v>
      </c>
    </row>
    <row r="102" spans="1:4" x14ac:dyDescent="0.25">
      <c r="A102">
        <v>2021</v>
      </c>
      <c r="B102" t="s">
        <v>463</v>
      </c>
      <c r="C102" t="s">
        <v>66</v>
      </c>
      <c r="D102" t="s">
        <v>45</v>
      </c>
    </row>
    <row r="103" spans="1:4" x14ac:dyDescent="0.25">
      <c r="A103">
        <v>2021</v>
      </c>
      <c r="B103" t="s">
        <v>463</v>
      </c>
      <c r="C103" t="s">
        <v>66</v>
      </c>
      <c r="D103" t="s">
        <v>16</v>
      </c>
    </row>
    <row r="104" spans="1:4" x14ac:dyDescent="0.25">
      <c r="A104">
        <v>2021</v>
      </c>
      <c r="B104" t="s">
        <v>463</v>
      </c>
      <c r="C104" t="s">
        <v>66</v>
      </c>
      <c r="D104" t="s">
        <v>34</v>
      </c>
    </row>
    <row r="105" spans="1:4" x14ac:dyDescent="0.25">
      <c r="A105">
        <v>2021</v>
      </c>
      <c r="B105" t="s">
        <v>463</v>
      </c>
      <c r="C105" t="s">
        <v>66</v>
      </c>
      <c r="D105" t="s">
        <v>5</v>
      </c>
    </row>
    <row r="106" spans="1:4" x14ac:dyDescent="0.25">
      <c r="A106">
        <v>2021</v>
      </c>
      <c r="B106" t="s">
        <v>463</v>
      </c>
      <c r="C106" t="s">
        <v>66</v>
      </c>
      <c r="D106" t="s">
        <v>7</v>
      </c>
    </row>
    <row r="107" spans="1:4" x14ac:dyDescent="0.25">
      <c r="A107">
        <v>2021</v>
      </c>
      <c r="B107" t="s">
        <v>463</v>
      </c>
      <c r="C107" t="s">
        <v>66</v>
      </c>
      <c r="D107" t="s">
        <v>8</v>
      </c>
    </row>
    <row r="108" spans="1:4" x14ac:dyDescent="0.25">
      <c r="A108">
        <v>2021</v>
      </c>
      <c r="B108" t="s">
        <v>463</v>
      </c>
      <c r="C108" t="s">
        <v>66</v>
      </c>
      <c r="D108" t="s">
        <v>40</v>
      </c>
    </row>
    <row r="109" spans="1:4" x14ac:dyDescent="0.25">
      <c r="A109">
        <v>2021</v>
      </c>
      <c r="B109" t="s">
        <v>463</v>
      </c>
      <c r="C109" t="s">
        <v>66</v>
      </c>
      <c r="D109" t="s">
        <v>41</v>
      </c>
    </row>
    <row r="110" spans="1:4" x14ac:dyDescent="0.25">
      <c r="A110">
        <v>2021</v>
      </c>
      <c r="B110" t="s">
        <v>463</v>
      </c>
      <c r="C110" t="s">
        <v>66</v>
      </c>
      <c r="D110" t="s">
        <v>42</v>
      </c>
    </row>
    <row r="111" spans="1:4" x14ac:dyDescent="0.25">
      <c r="A111">
        <v>2021</v>
      </c>
      <c r="B111" t="s">
        <v>463</v>
      </c>
      <c r="C111" t="s">
        <v>66</v>
      </c>
      <c r="D111" t="s">
        <v>31</v>
      </c>
    </row>
    <row r="112" spans="1:4" x14ac:dyDescent="0.25">
      <c r="A112">
        <v>2021</v>
      </c>
      <c r="B112" t="s">
        <v>463</v>
      </c>
      <c r="C112" t="s">
        <v>66</v>
      </c>
      <c r="D112" t="s">
        <v>43</v>
      </c>
    </row>
    <row r="113" spans="1:4" x14ac:dyDescent="0.25">
      <c r="A113">
        <v>2021</v>
      </c>
      <c r="B113" t="s">
        <v>463</v>
      </c>
      <c r="C113" t="s">
        <v>66</v>
      </c>
      <c r="D113" t="s">
        <v>82</v>
      </c>
    </row>
    <row r="114" spans="1:4" x14ac:dyDescent="0.25">
      <c r="A114">
        <v>2021</v>
      </c>
      <c r="B114" t="s">
        <v>463</v>
      </c>
      <c r="C114" t="s">
        <v>66</v>
      </c>
      <c r="D114" t="s">
        <v>87</v>
      </c>
    </row>
    <row r="115" spans="1:4" x14ac:dyDescent="0.25">
      <c r="A115">
        <v>2021</v>
      </c>
      <c r="B115" t="s">
        <v>463</v>
      </c>
      <c r="C115" t="s">
        <v>66</v>
      </c>
      <c r="D115" t="s">
        <v>83</v>
      </c>
    </row>
    <row r="116" spans="1:4" x14ac:dyDescent="0.25">
      <c r="A116">
        <v>2021</v>
      </c>
      <c r="B116" t="s">
        <v>463</v>
      </c>
      <c r="C116" t="s">
        <v>67</v>
      </c>
      <c r="D116" t="s">
        <v>36</v>
      </c>
    </row>
    <row r="117" spans="1:4" x14ac:dyDescent="0.25">
      <c r="A117">
        <v>2021</v>
      </c>
      <c r="B117" t="s">
        <v>463</v>
      </c>
      <c r="C117" t="s">
        <v>67</v>
      </c>
      <c r="D117" t="s">
        <v>37</v>
      </c>
    </row>
    <row r="118" spans="1:4" x14ac:dyDescent="0.25">
      <c r="A118">
        <v>2021</v>
      </c>
      <c r="B118" t="s">
        <v>463</v>
      </c>
      <c r="C118" t="s">
        <v>67</v>
      </c>
      <c r="D118" t="s">
        <v>38</v>
      </c>
    </row>
    <row r="119" spans="1:4" x14ac:dyDescent="0.25">
      <c r="A119">
        <v>2021</v>
      </c>
      <c r="B119" t="s">
        <v>463</v>
      </c>
      <c r="C119" t="s">
        <v>67</v>
      </c>
      <c r="D119" t="s">
        <v>80</v>
      </c>
    </row>
    <row r="120" spans="1:4" x14ac:dyDescent="0.25">
      <c r="A120">
        <v>2021</v>
      </c>
      <c r="B120" t="s">
        <v>463</v>
      </c>
      <c r="C120" t="s">
        <v>67</v>
      </c>
      <c r="D120" t="s">
        <v>39</v>
      </c>
    </row>
    <row r="121" spans="1:4" x14ac:dyDescent="0.25">
      <c r="A121">
        <v>2021</v>
      </c>
      <c r="B121" t="s">
        <v>463</v>
      </c>
      <c r="C121" t="s">
        <v>67</v>
      </c>
      <c r="D121" t="s">
        <v>45</v>
      </c>
    </row>
    <row r="122" spans="1:4" x14ac:dyDescent="0.25">
      <c r="A122">
        <v>2021</v>
      </c>
      <c r="B122" t="s">
        <v>463</v>
      </c>
      <c r="C122" t="s">
        <v>67</v>
      </c>
      <c r="D122" t="s">
        <v>16</v>
      </c>
    </row>
    <row r="123" spans="1:4" x14ac:dyDescent="0.25">
      <c r="A123">
        <v>2021</v>
      </c>
      <c r="B123" t="s">
        <v>463</v>
      </c>
      <c r="C123" t="s">
        <v>67</v>
      </c>
      <c r="D123" t="s">
        <v>34</v>
      </c>
    </row>
    <row r="124" spans="1:4" x14ac:dyDescent="0.25">
      <c r="A124">
        <v>2021</v>
      </c>
      <c r="B124" t="s">
        <v>463</v>
      </c>
      <c r="C124" t="s">
        <v>67</v>
      </c>
      <c r="D124" t="s">
        <v>5</v>
      </c>
    </row>
    <row r="125" spans="1:4" x14ac:dyDescent="0.25">
      <c r="A125">
        <v>2021</v>
      </c>
      <c r="B125" t="s">
        <v>463</v>
      </c>
      <c r="C125" t="s">
        <v>67</v>
      </c>
      <c r="D125" t="s">
        <v>7</v>
      </c>
    </row>
    <row r="126" spans="1:4" x14ac:dyDescent="0.25">
      <c r="A126">
        <v>2021</v>
      </c>
      <c r="B126" t="s">
        <v>463</v>
      </c>
      <c r="C126" t="s">
        <v>67</v>
      </c>
      <c r="D126" t="s">
        <v>8</v>
      </c>
    </row>
    <row r="127" spans="1:4" x14ac:dyDescent="0.25">
      <c r="A127">
        <v>2021</v>
      </c>
      <c r="B127" t="s">
        <v>463</v>
      </c>
      <c r="C127" t="s">
        <v>67</v>
      </c>
      <c r="D127" t="s">
        <v>40</v>
      </c>
    </row>
    <row r="128" spans="1:4" x14ac:dyDescent="0.25">
      <c r="A128">
        <v>2021</v>
      </c>
      <c r="B128" t="s">
        <v>463</v>
      </c>
      <c r="C128" t="s">
        <v>67</v>
      </c>
      <c r="D128" t="s">
        <v>41</v>
      </c>
    </row>
    <row r="129" spans="1:4" x14ac:dyDescent="0.25">
      <c r="A129">
        <v>2021</v>
      </c>
      <c r="B129" t="s">
        <v>463</v>
      </c>
      <c r="C129" t="s">
        <v>67</v>
      </c>
      <c r="D129" t="s">
        <v>42</v>
      </c>
    </row>
    <row r="130" spans="1:4" x14ac:dyDescent="0.25">
      <c r="A130">
        <v>2021</v>
      </c>
      <c r="B130" t="s">
        <v>463</v>
      </c>
      <c r="C130" t="s">
        <v>67</v>
      </c>
      <c r="D130" t="s">
        <v>31</v>
      </c>
    </row>
    <row r="131" spans="1:4" x14ac:dyDescent="0.25">
      <c r="A131">
        <v>2021</v>
      </c>
      <c r="B131" t="s">
        <v>463</v>
      </c>
      <c r="C131" t="s">
        <v>67</v>
      </c>
      <c r="D131" t="s">
        <v>43</v>
      </c>
    </row>
    <row r="132" spans="1:4" x14ac:dyDescent="0.25">
      <c r="A132">
        <v>2021</v>
      </c>
      <c r="B132" t="s">
        <v>463</v>
      </c>
      <c r="C132" t="s">
        <v>67</v>
      </c>
      <c r="D132" t="s">
        <v>82</v>
      </c>
    </row>
    <row r="133" spans="1:4" x14ac:dyDescent="0.25">
      <c r="A133">
        <v>2021</v>
      </c>
      <c r="B133" t="s">
        <v>463</v>
      </c>
      <c r="C133" t="s">
        <v>67</v>
      </c>
      <c r="D133" t="s">
        <v>87</v>
      </c>
    </row>
    <row r="134" spans="1:4" x14ac:dyDescent="0.25">
      <c r="A134">
        <v>2021</v>
      </c>
      <c r="B134" t="s">
        <v>463</v>
      </c>
      <c r="C134" t="s">
        <v>67</v>
      </c>
      <c r="D134" t="s">
        <v>83</v>
      </c>
    </row>
    <row r="135" spans="1:4" x14ac:dyDescent="0.25">
      <c r="A135">
        <v>2021</v>
      </c>
      <c r="B135" t="s">
        <v>463</v>
      </c>
      <c r="C135" t="s">
        <v>68</v>
      </c>
      <c r="D135" t="s">
        <v>36</v>
      </c>
    </row>
    <row r="136" spans="1:4" x14ac:dyDescent="0.25">
      <c r="A136">
        <v>2021</v>
      </c>
      <c r="B136" t="s">
        <v>463</v>
      </c>
      <c r="C136" t="s">
        <v>68</v>
      </c>
      <c r="D136" t="s">
        <v>37</v>
      </c>
    </row>
    <row r="137" spans="1:4" x14ac:dyDescent="0.25">
      <c r="A137">
        <v>2021</v>
      </c>
      <c r="B137" t="s">
        <v>463</v>
      </c>
      <c r="C137" t="s">
        <v>68</v>
      </c>
      <c r="D137" t="s">
        <v>38</v>
      </c>
    </row>
    <row r="138" spans="1:4" x14ac:dyDescent="0.25">
      <c r="A138">
        <v>2021</v>
      </c>
      <c r="B138" t="s">
        <v>463</v>
      </c>
      <c r="C138" t="s">
        <v>68</v>
      </c>
      <c r="D138" t="s">
        <v>80</v>
      </c>
    </row>
    <row r="139" spans="1:4" x14ac:dyDescent="0.25">
      <c r="A139">
        <v>2021</v>
      </c>
      <c r="B139" t="s">
        <v>463</v>
      </c>
      <c r="C139" t="s">
        <v>68</v>
      </c>
      <c r="D139" t="s">
        <v>39</v>
      </c>
    </row>
    <row r="140" spans="1:4" x14ac:dyDescent="0.25">
      <c r="A140">
        <v>2021</v>
      </c>
      <c r="B140" t="s">
        <v>463</v>
      </c>
      <c r="C140" t="s">
        <v>68</v>
      </c>
      <c r="D140" t="s">
        <v>45</v>
      </c>
    </row>
    <row r="141" spans="1:4" x14ac:dyDescent="0.25">
      <c r="A141">
        <v>2021</v>
      </c>
      <c r="B141" t="s">
        <v>463</v>
      </c>
      <c r="C141" t="s">
        <v>68</v>
      </c>
      <c r="D141" t="s">
        <v>16</v>
      </c>
    </row>
    <row r="142" spans="1:4" x14ac:dyDescent="0.25">
      <c r="A142">
        <v>2021</v>
      </c>
      <c r="B142" t="s">
        <v>463</v>
      </c>
      <c r="C142" t="s">
        <v>68</v>
      </c>
      <c r="D142" t="s">
        <v>34</v>
      </c>
    </row>
    <row r="143" spans="1:4" x14ac:dyDescent="0.25">
      <c r="A143">
        <v>2021</v>
      </c>
      <c r="B143" t="s">
        <v>463</v>
      </c>
      <c r="C143" t="s">
        <v>68</v>
      </c>
      <c r="D143" t="s">
        <v>5</v>
      </c>
    </row>
    <row r="144" spans="1:4" x14ac:dyDescent="0.25">
      <c r="A144">
        <v>2021</v>
      </c>
      <c r="B144" t="s">
        <v>463</v>
      </c>
      <c r="C144" t="s">
        <v>68</v>
      </c>
      <c r="D144" t="s">
        <v>7</v>
      </c>
    </row>
    <row r="145" spans="1:4" x14ac:dyDescent="0.25">
      <c r="A145">
        <v>2021</v>
      </c>
      <c r="B145" t="s">
        <v>463</v>
      </c>
      <c r="C145" t="s">
        <v>68</v>
      </c>
      <c r="D145" t="s">
        <v>8</v>
      </c>
    </row>
    <row r="146" spans="1:4" x14ac:dyDescent="0.25">
      <c r="A146">
        <v>2021</v>
      </c>
      <c r="B146" t="s">
        <v>463</v>
      </c>
      <c r="C146" t="s">
        <v>68</v>
      </c>
      <c r="D146" t="s">
        <v>40</v>
      </c>
    </row>
    <row r="147" spans="1:4" x14ac:dyDescent="0.25">
      <c r="A147">
        <v>2021</v>
      </c>
      <c r="B147" t="s">
        <v>463</v>
      </c>
      <c r="C147" t="s">
        <v>68</v>
      </c>
      <c r="D147" t="s">
        <v>41</v>
      </c>
    </row>
    <row r="148" spans="1:4" x14ac:dyDescent="0.25">
      <c r="A148">
        <v>2021</v>
      </c>
      <c r="B148" t="s">
        <v>463</v>
      </c>
      <c r="C148" t="s">
        <v>68</v>
      </c>
      <c r="D148" t="s">
        <v>42</v>
      </c>
    </row>
    <row r="149" spans="1:4" x14ac:dyDescent="0.25">
      <c r="A149">
        <v>2021</v>
      </c>
      <c r="B149" t="s">
        <v>463</v>
      </c>
      <c r="C149" t="s">
        <v>68</v>
      </c>
      <c r="D149" t="s">
        <v>31</v>
      </c>
    </row>
    <row r="150" spans="1:4" x14ac:dyDescent="0.25">
      <c r="A150">
        <v>2021</v>
      </c>
      <c r="B150" t="s">
        <v>463</v>
      </c>
      <c r="C150" t="s">
        <v>68</v>
      </c>
      <c r="D150" t="s">
        <v>43</v>
      </c>
    </row>
    <row r="151" spans="1:4" x14ac:dyDescent="0.25">
      <c r="A151">
        <v>2021</v>
      </c>
      <c r="B151" t="s">
        <v>463</v>
      </c>
      <c r="C151" t="s">
        <v>68</v>
      </c>
      <c r="D151" t="s">
        <v>82</v>
      </c>
    </row>
    <row r="152" spans="1:4" x14ac:dyDescent="0.25">
      <c r="A152">
        <v>2021</v>
      </c>
      <c r="B152" t="s">
        <v>463</v>
      </c>
      <c r="C152" t="s">
        <v>68</v>
      </c>
      <c r="D152" t="s">
        <v>87</v>
      </c>
    </row>
    <row r="153" spans="1:4" x14ac:dyDescent="0.25">
      <c r="A153">
        <v>2021</v>
      </c>
      <c r="B153" t="s">
        <v>463</v>
      </c>
      <c r="C153" t="s">
        <v>68</v>
      </c>
      <c r="D153" t="s">
        <v>83</v>
      </c>
    </row>
    <row r="154" spans="1:4" x14ac:dyDescent="0.25">
      <c r="A154">
        <v>2021</v>
      </c>
      <c r="B154" t="s">
        <v>464</v>
      </c>
      <c r="C154" t="s">
        <v>50</v>
      </c>
      <c r="D154" t="s">
        <v>36</v>
      </c>
    </row>
    <row r="155" spans="1:4" x14ac:dyDescent="0.25">
      <c r="A155">
        <v>2021</v>
      </c>
      <c r="B155" t="s">
        <v>464</v>
      </c>
      <c r="C155" t="s">
        <v>50</v>
      </c>
      <c r="D155" t="s">
        <v>37</v>
      </c>
    </row>
    <row r="156" spans="1:4" x14ac:dyDescent="0.25">
      <c r="A156">
        <v>2021</v>
      </c>
      <c r="B156" t="s">
        <v>464</v>
      </c>
      <c r="C156" t="s">
        <v>50</v>
      </c>
      <c r="D156" t="s">
        <v>38</v>
      </c>
    </row>
    <row r="157" spans="1:4" x14ac:dyDescent="0.25">
      <c r="A157">
        <v>2021</v>
      </c>
      <c r="B157" t="s">
        <v>464</v>
      </c>
      <c r="C157" t="s">
        <v>50</v>
      </c>
      <c r="D157" t="s">
        <v>80</v>
      </c>
    </row>
    <row r="158" spans="1:4" x14ac:dyDescent="0.25">
      <c r="A158">
        <v>2021</v>
      </c>
      <c r="B158" t="s">
        <v>464</v>
      </c>
      <c r="C158" t="s">
        <v>50</v>
      </c>
      <c r="D158" t="s">
        <v>39</v>
      </c>
    </row>
    <row r="159" spans="1:4" x14ac:dyDescent="0.25">
      <c r="A159">
        <v>2021</v>
      </c>
      <c r="B159" t="s">
        <v>464</v>
      </c>
      <c r="C159" t="s">
        <v>50</v>
      </c>
      <c r="D159" t="s">
        <v>45</v>
      </c>
    </row>
    <row r="160" spans="1:4" x14ac:dyDescent="0.25">
      <c r="A160">
        <v>2021</v>
      </c>
      <c r="B160" t="s">
        <v>464</v>
      </c>
      <c r="C160" t="s">
        <v>50</v>
      </c>
      <c r="D160" t="s">
        <v>16</v>
      </c>
    </row>
    <row r="161" spans="1:4" x14ac:dyDescent="0.25">
      <c r="A161">
        <v>2021</v>
      </c>
      <c r="B161" t="s">
        <v>464</v>
      </c>
      <c r="C161" t="s">
        <v>50</v>
      </c>
      <c r="D161" t="s">
        <v>34</v>
      </c>
    </row>
    <row r="162" spans="1:4" x14ac:dyDescent="0.25">
      <c r="A162">
        <v>2021</v>
      </c>
      <c r="B162" t="s">
        <v>464</v>
      </c>
      <c r="C162" t="s">
        <v>50</v>
      </c>
      <c r="D162" t="s">
        <v>5</v>
      </c>
    </row>
    <row r="163" spans="1:4" x14ac:dyDescent="0.25">
      <c r="A163">
        <v>2021</v>
      </c>
      <c r="B163" t="s">
        <v>464</v>
      </c>
      <c r="C163" t="s">
        <v>50</v>
      </c>
      <c r="D163" t="s">
        <v>7</v>
      </c>
    </row>
    <row r="164" spans="1:4" x14ac:dyDescent="0.25">
      <c r="A164">
        <v>2021</v>
      </c>
      <c r="B164" t="s">
        <v>464</v>
      </c>
      <c r="C164" t="s">
        <v>50</v>
      </c>
      <c r="D164" t="s">
        <v>8</v>
      </c>
    </row>
    <row r="165" spans="1:4" x14ac:dyDescent="0.25">
      <c r="A165">
        <v>2021</v>
      </c>
      <c r="B165" t="s">
        <v>464</v>
      </c>
      <c r="C165" t="s">
        <v>50</v>
      </c>
      <c r="D165" t="s">
        <v>40</v>
      </c>
    </row>
    <row r="166" spans="1:4" x14ac:dyDescent="0.25">
      <c r="A166">
        <v>2021</v>
      </c>
      <c r="B166" t="s">
        <v>464</v>
      </c>
      <c r="C166" t="s">
        <v>50</v>
      </c>
      <c r="D166" t="s">
        <v>41</v>
      </c>
    </row>
    <row r="167" spans="1:4" x14ac:dyDescent="0.25">
      <c r="A167">
        <v>2021</v>
      </c>
      <c r="B167" t="s">
        <v>464</v>
      </c>
      <c r="C167" t="s">
        <v>50</v>
      </c>
      <c r="D167" t="s">
        <v>42</v>
      </c>
    </row>
    <row r="168" spans="1:4" x14ac:dyDescent="0.25">
      <c r="A168">
        <v>2021</v>
      </c>
      <c r="B168" t="s">
        <v>464</v>
      </c>
      <c r="C168" t="s">
        <v>50</v>
      </c>
      <c r="D168" t="s">
        <v>31</v>
      </c>
    </row>
    <row r="169" spans="1:4" x14ac:dyDescent="0.25">
      <c r="A169">
        <v>2021</v>
      </c>
      <c r="B169" t="s">
        <v>464</v>
      </c>
      <c r="C169" t="s">
        <v>50</v>
      </c>
      <c r="D169" t="s">
        <v>43</v>
      </c>
    </row>
    <row r="170" spans="1:4" x14ac:dyDescent="0.25">
      <c r="A170">
        <v>2021</v>
      </c>
      <c r="B170" t="s">
        <v>464</v>
      </c>
      <c r="C170" t="s">
        <v>50</v>
      </c>
      <c r="D170" t="s">
        <v>82</v>
      </c>
    </row>
    <row r="171" spans="1:4" x14ac:dyDescent="0.25">
      <c r="A171">
        <v>2021</v>
      </c>
      <c r="B171" t="s">
        <v>464</v>
      </c>
      <c r="C171" t="s">
        <v>50</v>
      </c>
      <c r="D171" t="s">
        <v>87</v>
      </c>
    </row>
    <row r="172" spans="1:4" x14ac:dyDescent="0.25">
      <c r="A172">
        <v>2021</v>
      </c>
      <c r="B172" t="s">
        <v>464</v>
      </c>
      <c r="C172" t="s">
        <v>50</v>
      </c>
      <c r="D172" t="s">
        <v>83</v>
      </c>
    </row>
    <row r="173" spans="1:4" x14ac:dyDescent="0.25">
      <c r="A173">
        <v>2021</v>
      </c>
      <c r="B173" t="s">
        <v>464</v>
      </c>
      <c r="C173" t="s">
        <v>49</v>
      </c>
      <c r="D173" t="s">
        <v>36</v>
      </c>
    </row>
    <row r="174" spans="1:4" x14ac:dyDescent="0.25">
      <c r="A174">
        <v>2021</v>
      </c>
      <c r="B174" t="s">
        <v>464</v>
      </c>
      <c r="C174" t="s">
        <v>49</v>
      </c>
      <c r="D174" t="s">
        <v>37</v>
      </c>
    </row>
    <row r="175" spans="1:4" x14ac:dyDescent="0.25">
      <c r="A175">
        <v>2021</v>
      </c>
      <c r="B175" t="s">
        <v>464</v>
      </c>
      <c r="C175" t="s">
        <v>49</v>
      </c>
      <c r="D175" t="s">
        <v>38</v>
      </c>
    </row>
    <row r="176" spans="1:4" x14ac:dyDescent="0.25">
      <c r="A176">
        <v>2021</v>
      </c>
      <c r="B176" t="s">
        <v>464</v>
      </c>
      <c r="C176" t="s">
        <v>49</v>
      </c>
      <c r="D176" t="s">
        <v>80</v>
      </c>
    </row>
    <row r="177" spans="1:4" x14ac:dyDescent="0.25">
      <c r="A177">
        <v>2021</v>
      </c>
      <c r="B177" t="s">
        <v>464</v>
      </c>
      <c r="C177" t="s">
        <v>49</v>
      </c>
      <c r="D177" t="s">
        <v>39</v>
      </c>
    </row>
    <row r="178" spans="1:4" x14ac:dyDescent="0.25">
      <c r="A178">
        <v>2021</v>
      </c>
      <c r="B178" t="s">
        <v>464</v>
      </c>
      <c r="C178" t="s">
        <v>49</v>
      </c>
      <c r="D178" t="s">
        <v>45</v>
      </c>
    </row>
    <row r="179" spans="1:4" x14ac:dyDescent="0.25">
      <c r="A179">
        <v>2021</v>
      </c>
      <c r="B179" t="s">
        <v>464</v>
      </c>
      <c r="C179" t="s">
        <v>49</v>
      </c>
      <c r="D179" t="s">
        <v>16</v>
      </c>
    </row>
    <row r="180" spans="1:4" x14ac:dyDescent="0.25">
      <c r="A180">
        <v>2021</v>
      </c>
      <c r="B180" t="s">
        <v>464</v>
      </c>
      <c r="C180" t="s">
        <v>49</v>
      </c>
      <c r="D180" t="s">
        <v>34</v>
      </c>
    </row>
    <row r="181" spans="1:4" x14ac:dyDescent="0.25">
      <c r="A181">
        <v>2021</v>
      </c>
      <c r="B181" t="s">
        <v>464</v>
      </c>
      <c r="C181" t="s">
        <v>49</v>
      </c>
      <c r="D181" t="s">
        <v>5</v>
      </c>
    </row>
    <row r="182" spans="1:4" x14ac:dyDescent="0.25">
      <c r="A182">
        <v>2021</v>
      </c>
      <c r="B182" t="s">
        <v>464</v>
      </c>
      <c r="C182" t="s">
        <v>49</v>
      </c>
      <c r="D182" t="s">
        <v>7</v>
      </c>
    </row>
    <row r="183" spans="1:4" x14ac:dyDescent="0.25">
      <c r="A183">
        <v>2021</v>
      </c>
      <c r="B183" t="s">
        <v>464</v>
      </c>
      <c r="C183" t="s">
        <v>49</v>
      </c>
      <c r="D183" t="s">
        <v>8</v>
      </c>
    </row>
    <row r="184" spans="1:4" x14ac:dyDescent="0.25">
      <c r="A184">
        <v>2021</v>
      </c>
      <c r="B184" t="s">
        <v>464</v>
      </c>
      <c r="C184" t="s">
        <v>49</v>
      </c>
      <c r="D184" t="s">
        <v>40</v>
      </c>
    </row>
    <row r="185" spans="1:4" x14ac:dyDescent="0.25">
      <c r="A185">
        <v>2021</v>
      </c>
      <c r="B185" t="s">
        <v>464</v>
      </c>
      <c r="C185" t="s">
        <v>49</v>
      </c>
      <c r="D185" t="s">
        <v>41</v>
      </c>
    </row>
    <row r="186" spans="1:4" x14ac:dyDescent="0.25">
      <c r="A186">
        <v>2021</v>
      </c>
      <c r="B186" t="s">
        <v>464</v>
      </c>
      <c r="C186" t="s">
        <v>49</v>
      </c>
      <c r="D186" t="s">
        <v>42</v>
      </c>
    </row>
    <row r="187" spans="1:4" x14ac:dyDescent="0.25">
      <c r="A187">
        <v>2021</v>
      </c>
      <c r="B187" t="s">
        <v>464</v>
      </c>
      <c r="C187" t="s">
        <v>49</v>
      </c>
      <c r="D187" t="s">
        <v>31</v>
      </c>
    </row>
    <row r="188" spans="1:4" x14ac:dyDescent="0.25">
      <c r="A188">
        <v>2021</v>
      </c>
      <c r="B188" t="s">
        <v>464</v>
      </c>
      <c r="C188" t="s">
        <v>49</v>
      </c>
      <c r="D188" t="s">
        <v>43</v>
      </c>
    </row>
    <row r="189" spans="1:4" x14ac:dyDescent="0.25">
      <c r="A189">
        <v>2021</v>
      </c>
      <c r="B189" t="s">
        <v>464</v>
      </c>
      <c r="C189" t="s">
        <v>49</v>
      </c>
      <c r="D189" t="s">
        <v>82</v>
      </c>
    </row>
    <row r="190" spans="1:4" x14ac:dyDescent="0.25">
      <c r="A190">
        <v>2021</v>
      </c>
      <c r="B190" t="s">
        <v>464</v>
      </c>
      <c r="C190" t="s">
        <v>49</v>
      </c>
      <c r="D190" t="s">
        <v>87</v>
      </c>
    </row>
    <row r="191" spans="1:4" x14ac:dyDescent="0.25">
      <c r="A191">
        <v>2021</v>
      </c>
      <c r="B191" t="s">
        <v>464</v>
      </c>
      <c r="C191" t="s">
        <v>49</v>
      </c>
      <c r="D191" t="s">
        <v>83</v>
      </c>
    </row>
    <row r="192" spans="1:4" x14ac:dyDescent="0.25">
      <c r="A192">
        <v>2021</v>
      </c>
      <c r="B192" t="s">
        <v>464</v>
      </c>
      <c r="C192" t="s">
        <v>64</v>
      </c>
      <c r="D192" t="s">
        <v>36</v>
      </c>
    </row>
    <row r="193" spans="1:4" x14ac:dyDescent="0.25">
      <c r="A193">
        <v>2021</v>
      </c>
      <c r="B193" t="s">
        <v>464</v>
      </c>
      <c r="C193" t="s">
        <v>64</v>
      </c>
      <c r="D193" t="s">
        <v>37</v>
      </c>
    </row>
    <row r="194" spans="1:4" x14ac:dyDescent="0.25">
      <c r="A194">
        <v>2021</v>
      </c>
      <c r="B194" t="s">
        <v>464</v>
      </c>
      <c r="C194" t="s">
        <v>64</v>
      </c>
      <c r="D194" t="s">
        <v>38</v>
      </c>
    </row>
    <row r="195" spans="1:4" x14ac:dyDescent="0.25">
      <c r="A195">
        <v>2021</v>
      </c>
      <c r="B195" t="s">
        <v>464</v>
      </c>
      <c r="C195" t="s">
        <v>64</v>
      </c>
      <c r="D195" t="s">
        <v>80</v>
      </c>
    </row>
    <row r="196" spans="1:4" x14ac:dyDescent="0.25">
      <c r="A196">
        <v>2021</v>
      </c>
      <c r="B196" t="s">
        <v>464</v>
      </c>
      <c r="C196" t="s">
        <v>64</v>
      </c>
      <c r="D196" t="s">
        <v>39</v>
      </c>
    </row>
    <row r="197" spans="1:4" x14ac:dyDescent="0.25">
      <c r="A197">
        <v>2021</v>
      </c>
      <c r="B197" t="s">
        <v>464</v>
      </c>
      <c r="C197" t="s">
        <v>64</v>
      </c>
      <c r="D197" t="s">
        <v>45</v>
      </c>
    </row>
    <row r="198" spans="1:4" x14ac:dyDescent="0.25">
      <c r="A198">
        <v>2021</v>
      </c>
      <c r="B198" t="s">
        <v>464</v>
      </c>
      <c r="C198" t="s">
        <v>64</v>
      </c>
      <c r="D198" t="s">
        <v>16</v>
      </c>
    </row>
    <row r="199" spans="1:4" x14ac:dyDescent="0.25">
      <c r="A199">
        <v>2021</v>
      </c>
      <c r="B199" t="s">
        <v>464</v>
      </c>
      <c r="C199" t="s">
        <v>64</v>
      </c>
      <c r="D199" t="s">
        <v>34</v>
      </c>
    </row>
    <row r="200" spans="1:4" x14ac:dyDescent="0.25">
      <c r="A200">
        <v>2021</v>
      </c>
      <c r="B200" t="s">
        <v>464</v>
      </c>
      <c r="C200" t="s">
        <v>64</v>
      </c>
      <c r="D200" t="s">
        <v>5</v>
      </c>
    </row>
    <row r="201" spans="1:4" x14ac:dyDescent="0.25">
      <c r="A201">
        <v>2021</v>
      </c>
      <c r="B201" t="s">
        <v>464</v>
      </c>
      <c r="C201" t="s">
        <v>64</v>
      </c>
      <c r="D201" t="s">
        <v>7</v>
      </c>
    </row>
    <row r="202" spans="1:4" x14ac:dyDescent="0.25">
      <c r="A202">
        <v>2021</v>
      </c>
      <c r="B202" t="s">
        <v>464</v>
      </c>
      <c r="C202" t="s">
        <v>64</v>
      </c>
      <c r="D202" t="s">
        <v>8</v>
      </c>
    </row>
    <row r="203" spans="1:4" x14ac:dyDescent="0.25">
      <c r="A203">
        <v>2021</v>
      </c>
      <c r="B203" t="s">
        <v>464</v>
      </c>
      <c r="C203" t="s">
        <v>64</v>
      </c>
      <c r="D203" t="s">
        <v>40</v>
      </c>
    </row>
    <row r="204" spans="1:4" x14ac:dyDescent="0.25">
      <c r="A204">
        <v>2021</v>
      </c>
      <c r="B204" t="s">
        <v>464</v>
      </c>
      <c r="C204" t="s">
        <v>64</v>
      </c>
      <c r="D204" t="s">
        <v>41</v>
      </c>
    </row>
    <row r="205" spans="1:4" x14ac:dyDescent="0.25">
      <c r="A205">
        <v>2021</v>
      </c>
      <c r="B205" t="s">
        <v>464</v>
      </c>
      <c r="C205" t="s">
        <v>64</v>
      </c>
      <c r="D205" t="s">
        <v>42</v>
      </c>
    </row>
    <row r="206" spans="1:4" x14ac:dyDescent="0.25">
      <c r="A206">
        <v>2021</v>
      </c>
      <c r="B206" t="s">
        <v>464</v>
      </c>
      <c r="C206" t="s">
        <v>64</v>
      </c>
      <c r="D206" t="s">
        <v>31</v>
      </c>
    </row>
    <row r="207" spans="1:4" x14ac:dyDescent="0.25">
      <c r="A207">
        <v>2021</v>
      </c>
      <c r="B207" t="s">
        <v>464</v>
      </c>
      <c r="C207" t="s">
        <v>64</v>
      </c>
      <c r="D207" t="s">
        <v>43</v>
      </c>
    </row>
    <row r="208" spans="1:4" x14ac:dyDescent="0.25">
      <c r="A208">
        <v>2021</v>
      </c>
      <c r="B208" t="s">
        <v>464</v>
      </c>
      <c r="C208" t="s">
        <v>64</v>
      </c>
      <c r="D208" t="s">
        <v>82</v>
      </c>
    </row>
    <row r="209" spans="1:4" x14ac:dyDescent="0.25">
      <c r="A209">
        <v>2021</v>
      </c>
      <c r="B209" t="s">
        <v>464</v>
      </c>
      <c r="C209" t="s">
        <v>64</v>
      </c>
      <c r="D209" t="s">
        <v>87</v>
      </c>
    </row>
    <row r="210" spans="1:4" x14ac:dyDescent="0.25">
      <c r="A210">
        <v>2021</v>
      </c>
      <c r="B210" t="s">
        <v>464</v>
      </c>
      <c r="C210" t="s">
        <v>64</v>
      </c>
      <c r="D210" t="s">
        <v>83</v>
      </c>
    </row>
    <row r="211" spans="1:4" x14ac:dyDescent="0.25">
      <c r="A211">
        <v>2021</v>
      </c>
      <c r="B211" t="s">
        <v>465</v>
      </c>
      <c r="C211" t="s">
        <v>0</v>
      </c>
      <c r="D211" t="s">
        <v>36</v>
      </c>
    </row>
    <row r="212" spans="1:4" x14ac:dyDescent="0.25">
      <c r="A212">
        <v>2021</v>
      </c>
      <c r="B212" t="s">
        <v>465</v>
      </c>
      <c r="C212" t="s">
        <v>0</v>
      </c>
      <c r="D212" t="s">
        <v>37</v>
      </c>
    </row>
    <row r="213" spans="1:4" x14ac:dyDescent="0.25">
      <c r="A213">
        <v>2021</v>
      </c>
      <c r="B213" t="s">
        <v>465</v>
      </c>
      <c r="C213" t="s">
        <v>0</v>
      </c>
      <c r="D213" t="s">
        <v>38</v>
      </c>
    </row>
    <row r="214" spans="1:4" x14ac:dyDescent="0.25">
      <c r="A214">
        <v>2021</v>
      </c>
      <c r="B214" t="s">
        <v>465</v>
      </c>
      <c r="C214" t="s">
        <v>0</v>
      </c>
      <c r="D214" t="s">
        <v>80</v>
      </c>
    </row>
    <row r="215" spans="1:4" x14ac:dyDescent="0.25">
      <c r="A215">
        <v>2021</v>
      </c>
      <c r="B215" t="s">
        <v>465</v>
      </c>
      <c r="C215" t="s">
        <v>0</v>
      </c>
      <c r="D215" t="s">
        <v>39</v>
      </c>
    </row>
    <row r="216" spans="1:4" x14ac:dyDescent="0.25">
      <c r="A216">
        <v>2021</v>
      </c>
      <c r="B216" t="s">
        <v>465</v>
      </c>
      <c r="C216" t="s">
        <v>0</v>
      </c>
      <c r="D216" t="s">
        <v>45</v>
      </c>
    </row>
    <row r="217" spans="1:4" x14ac:dyDescent="0.25">
      <c r="A217">
        <v>2021</v>
      </c>
      <c r="B217" t="s">
        <v>465</v>
      </c>
      <c r="C217" t="s">
        <v>0</v>
      </c>
      <c r="D217" t="s">
        <v>16</v>
      </c>
    </row>
    <row r="218" spans="1:4" x14ac:dyDescent="0.25">
      <c r="A218">
        <v>2021</v>
      </c>
      <c r="B218" t="s">
        <v>465</v>
      </c>
      <c r="C218" t="s">
        <v>0</v>
      </c>
      <c r="D218" t="s">
        <v>34</v>
      </c>
    </row>
    <row r="219" spans="1:4" x14ac:dyDescent="0.25">
      <c r="A219">
        <v>2021</v>
      </c>
      <c r="B219" t="s">
        <v>465</v>
      </c>
      <c r="C219" t="s">
        <v>0</v>
      </c>
      <c r="D219" t="s">
        <v>5</v>
      </c>
    </row>
    <row r="220" spans="1:4" x14ac:dyDescent="0.25">
      <c r="A220">
        <v>2021</v>
      </c>
      <c r="B220" t="s">
        <v>465</v>
      </c>
      <c r="C220" t="s">
        <v>0</v>
      </c>
      <c r="D220" t="s">
        <v>7</v>
      </c>
    </row>
    <row r="221" spans="1:4" x14ac:dyDescent="0.25">
      <c r="A221">
        <v>2021</v>
      </c>
      <c r="B221" t="s">
        <v>465</v>
      </c>
      <c r="C221" t="s">
        <v>0</v>
      </c>
      <c r="D221" t="s">
        <v>8</v>
      </c>
    </row>
    <row r="222" spans="1:4" x14ac:dyDescent="0.25">
      <c r="A222">
        <v>2021</v>
      </c>
      <c r="B222" t="s">
        <v>465</v>
      </c>
      <c r="C222" t="s">
        <v>0</v>
      </c>
      <c r="D222" t="s">
        <v>40</v>
      </c>
    </row>
    <row r="223" spans="1:4" x14ac:dyDescent="0.25">
      <c r="A223">
        <v>2021</v>
      </c>
      <c r="B223" t="s">
        <v>465</v>
      </c>
      <c r="C223" t="s">
        <v>0</v>
      </c>
      <c r="D223" t="s">
        <v>41</v>
      </c>
    </row>
    <row r="224" spans="1:4" x14ac:dyDescent="0.25">
      <c r="A224">
        <v>2021</v>
      </c>
      <c r="B224" t="s">
        <v>465</v>
      </c>
      <c r="C224" t="s">
        <v>0</v>
      </c>
      <c r="D224" t="s">
        <v>42</v>
      </c>
    </row>
    <row r="225" spans="1:4" x14ac:dyDescent="0.25">
      <c r="A225">
        <v>2021</v>
      </c>
      <c r="B225" t="s">
        <v>465</v>
      </c>
      <c r="C225" t="s">
        <v>0</v>
      </c>
      <c r="D225" t="s">
        <v>31</v>
      </c>
    </row>
    <row r="226" spans="1:4" x14ac:dyDescent="0.25">
      <c r="A226">
        <v>2021</v>
      </c>
      <c r="B226" t="s">
        <v>465</v>
      </c>
      <c r="C226" t="s">
        <v>0</v>
      </c>
      <c r="D226" t="s">
        <v>43</v>
      </c>
    </row>
    <row r="227" spans="1:4" x14ac:dyDescent="0.25">
      <c r="A227">
        <v>2021</v>
      </c>
      <c r="B227" t="s">
        <v>465</v>
      </c>
      <c r="C227" t="s">
        <v>0</v>
      </c>
      <c r="D227" t="s">
        <v>82</v>
      </c>
    </row>
    <row r="228" spans="1:4" x14ac:dyDescent="0.25">
      <c r="A228">
        <v>2021</v>
      </c>
      <c r="B228" t="s">
        <v>465</v>
      </c>
      <c r="C228" t="s">
        <v>0</v>
      </c>
      <c r="D228" t="s">
        <v>87</v>
      </c>
    </row>
    <row r="229" spans="1:4" x14ac:dyDescent="0.25">
      <c r="A229">
        <v>2021</v>
      </c>
      <c r="B229" t="s">
        <v>465</v>
      </c>
      <c r="C229" t="s">
        <v>0</v>
      </c>
      <c r="D229" t="s">
        <v>83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8"/>
  <sheetViews>
    <sheetView tabSelected="1" workbookViewId="0"/>
  </sheetViews>
  <sheetFormatPr baseColWidth="10" defaultRowHeight="15" outlineLevelCol="2" x14ac:dyDescent="0.25"/>
  <cols>
    <col min="1" max="1" width="15.140625" style="285" customWidth="1"/>
    <col min="2" max="2" width="16.28515625" style="285" bestFit="1" customWidth="1"/>
    <col min="3" max="3" width="29.42578125" style="285" customWidth="1"/>
    <col min="4" max="4" width="6.140625" style="286" customWidth="1"/>
    <col min="5" max="5" width="17.5703125" customWidth="1"/>
    <col min="6" max="6" width="11.42578125" style="285" customWidth="1"/>
    <col min="7" max="7" width="41.42578125" style="285" hidden="1" customWidth="1" outlineLevel="1"/>
    <col min="8" max="18" width="16.28515625" style="285" hidden="1" customWidth="1" outlineLevel="2"/>
    <col min="19" max="19" width="11.42578125" style="285" customWidth="1" collapsed="1"/>
    <col min="20" max="21" width="11.42578125" style="285" customWidth="1"/>
    <col min="22" max="22" width="15.7109375" style="285" customWidth="1"/>
    <col min="23" max="23" width="13.85546875" style="285" customWidth="1"/>
    <col min="24" max="28" width="11.42578125" style="282" customWidth="1"/>
    <col min="29" max="29" width="11.42578125" style="285"/>
  </cols>
  <sheetData>
    <row r="1" spans="1:29" x14ac:dyDescent="0.25">
      <c r="A1" s="285" t="s">
        <v>466</v>
      </c>
      <c r="B1" s="285" t="s">
        <v>467</v>
      </c>
      <c r="C1" s="285" t="s">
        <v>468</v>
      </c>
      <c r="D1" s="286" t="s">
        <v>469</v>
      </c>
      <c r="E1" t="s">
        <v>470</v>
      </c>
      <c r="F1" s="285" t="s">
        <v>471</v>
      </c>
      <c r="G1" s="282" t="s">
        <v>472</v>
      </c>
      <c r="H1" s="285">
        <v>2000</v>
      </c>
      <c r="I1" s="285">
        <v>2001</v>
      </c>
      <c r="J1" s="285">
        <v>2002</v>
      </c>
      <c r="K1" s="285">
        <v>2003</v>
      </c>
      <c r="L1" s="285">
        <v>2004</v>
      </c>
      <c r="M1" s="285">
        <v>2005</v>
      </c>
      <c r="N1" s="285">
        <v>2006</v>
      </c>
      <c r="O1" s="285">
        <v>2007</v>
      </c>
      <c r="P1" s="285">
        <v>2008</v>
      </c>
      <c r="Q1" s="285">
        <v>2009</v>
      </c>
      <c r="R1" s="285">
        <v>2010</v>
      </c>
      <c r="S1" s="285">
        <v>2011</v>
      </c>
      <c r="T1" s="285">
        <v>2012</v>
      </c>
      <c r="U1" s="285">
        <v>2013</v>
      </c>
      <c r="V1" s="285">
        <v>2014</v>
      </c>
      <c r="W1" s="285">
        <v>2015</v>
      </c>
      <c r="X1" s="287">
        <f>W1+1</f>
        <v>2016</v>
      </c>
      <c r="Y1" s="287">
        <f>X1+1</f>
        <v>2017</v>
      </c>
      <c r="Z1" s="282">
        <f>Y1+1</f>
        <v>2018</v>
      </c>
      <c r="AA1" s="282">
        <f>Z1+1</f>
        <v>2019</v>
      </c>
      <c r="AB1" s="282">
        <f>AA1+1</f>
        <v>2020</v>
      </c>
      <c r="AC1" s="282">
        <f t="shared" ref="AC1" si="0">AB1+1</f>
        <v>2021</v>
      </c>
    </row>
    <row r="2" spans="1:29" x14ac:dyDescent="0.25">
      <c r="A2" t="s">
        <v>473</v>
      </c>
      <c r="B2" s="285" t="s">
        <v>474</v>
      </c>
      <c r="C2" s="285" t="str">
        <f>'[1]Av 2011'!$F$4</f>
        <v>Portable PC</v>
      </c>
      <c r="D2" s="286" t="s">
        <v>475</v>
      </c>
      <c r="E2" t="s">
        <v>476</v>
      </c>
      <c r="F2" s="285" t="s">
        <v>14</v>
      </c>
      <c r="G2" s="285" t="s">
        <v>477</v>
      </c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8">
        <f>'Av 2011'!F261+'Av 2011'!F266</f>
        <v>48.022456140350876</v>
      </c>
      <c r="T2" s="288"/>
      <c r="U2" s="288"/>
      <c r="V2" s="288"/>
      <c r="W2" s="288"/>
      <c r="X2" s="288"/>
      <c r="Y2" s="288"/>
      <c r="Z2" s="289"/>
      <c r="AA2" s="289"/>
      <c r="AB2" s="289"/>
      <c r="AC2" s="289"/>
    </row>
    <row r="3" spans="1:29" x14ac:dyDescent="0.25">
      <c r="A3" t="s">
        <v>473</v>
      </c>
      <c r="B3" s="285" t="s">
        <v>474</v>
      </c>
      <c r="C3" s="285" t="str">
        <f>'[1]Av 2011'!$H$230</f>
        <v>cell phones</v>
      </c>
      <c r="D3" s="286" t="s">
        <v>478</v>
      </c>
      <c r="E3" t="s">
        <v>479</v>
      </c>
      <c r="F3" s="285" t="s">
        <v>14</v>
      </c>
      <c r="G3" s="285" t="s">
        <v>480</v>
      </c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  <c r="Y3" s="288"/>
      <c r="Z3" s="289"/>
      <c r="AA3" s="289"/>
      <c r="AB3" s="289"/>
      <c r="AC3" s="289"/>
    </row>
    <row r="4" spans="1:29" x14ac:dyDescent="0.25">
      <c r="A4" t="s">
        <v>473</v>
      </c>
      <c r="B4" s="285" t="s">
        <v>474</v>
      </c>
      <c r="C4" s="285" t="str">
        <f>'[1]Av 2011'!$I$230</f>
        <v>cameras-games</v>
      </c>
      <c r="D4" s="286" t="s">
        <v>482</v>
      </c>
      <c r="E4" t="s">
        <v>483</v>
      </c>
      <c r="F4" s="285" t="s">
        <v>14</v>
      </c>
      <c r="G4" s="285" t="s">
        <v>484</v>
      </c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9"/>
      <c r="AA4" s="289"/>
      <c r="AB4" s="289"/>
      <c r="AC4" s="289"/>
    </row>
    <row r="5" spans="1:29" x14ac:dyDescent="0.25">
      <c r="A5" t="s">
        <v>473</v>
      </c>
      <c r="B5" s="285" t="s">
        <v>474</v>
      </c>
      <c r="C5" s="285" t="str">
        <f>'[1]Av 2011'!$M$230</f>
        <v>ebikes</v>
      </c>
      <c r="D5" s="286" t="s">
        <v>485</v>
      </c>
      <c r="E5" t="s">
        <v>486</v>
      </c>
      <c r="F5" s="285" t="s">
        <v>14</v>
      </c>
      <c r="G5" s="285" t="s">
        <v>487</v>
      </c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9"/>
      <c r="Z5" s="289"/>
      <c r="AA5" s="289"/>
      <c r="AB5" s="289"/>
      <c r="AC5" s="289"/>
    </row>
    <row r="6" spans="1:29" x14ac:dyDescent="0.25">
      <c r="A6" t="s">
        <v>473</v>
      </c>
      <c r="B6" s="285" t="s">
        <v>474</v>
      </c>
      <c r="C6" s="290" t="s">
        <v>488</v>
      </c>
      <c r="E6" t="s">
        <v>26</v>
      </c>
      <c r="F6" s="285" t="s">
        <v>14</v>
      </c>
      <c r="G6" s="285" t="s">
        <v>489</v>
      </c>
      <c r="H6" s="288"/>
      <c r="I6" s="288"/>
      <c r="J6" s="288"/>
      <c r="K6" s="288"/>
      <c r="L6" s="288"/>
      <c r="M6" s="288"/>
      <c r="N6" s="288"/>
      <c r="O6" s="288"/>
      <c r="P6" s="288"/>
      <c r="Q6" s="288"/>
      <c r="R6" s="288"/>
      <c r="S6" s="288"/>
      <c r="T6" s="288"/>
      <c r="U6" s="288"/>
      <c r="V6" s="288"/>
      <c r="W6" s="288"/>
      <c r="X6" s="288"/>
      <c r="Y6" s="288"/>
      <c r="Z6" s="289"/>
      <c r="AA6" s="289"/>
      <c r="AB6" s="289"/>
      <c r="AC6" s="289"/>
    </row>
    <row r="7" spans="1:29" x14ac:dyDescent="0.25">
      <c r="A7" s="5" t="s">
        <v>473</v>
      </c>
      <c r="B7" s="5" t="s">
        <v>474</v>
      </c>
      <c r="C7" s="5" t="s">
        <v>37</v>
      </c>
      <c r="D7" s="291" t="s">
        <v>490</v>
      </c>
      <c r="E7" s="5" t="s">
        <v>491</v>
      </c>
      <c r="F7" s="5" t="s">
        <v>14</v>
      </c>
      <c r="G7" s="5" t="str">
        <f>G2</f>
        <v>Aligned with the EEE data in pieces collected and consolidated by UNU</v>
      </c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  <c r="V7" s="281"/>
      <c r="W7" s="281"/>
      <c r="X7" s="281"/>
      <c r="Y7" s="281"/>
      <c r="Z7" s="281"/>
      <c r="AA7" s="281"/>
      <c r="AB7" s="281"/>
      <c r="AC7" s="281"/>
    </row>
    <row r="8" spans="1:29" x14ac:dyDescent="0.25">
      <c r="A8" t="s">
        <v>473</v>
      </c>
      <c r="B8" s="285" t="s">
        <v>492</v>
      </c>
      <c r="C8" s="285" t="str">
        <f>'[1]Av 2011'!$K$230</f>
        <v>others portable</v>
      </c>
      <c r="D8" s="292" t="str">
        <f>C8</f>
        <v>others portable</v>
      </c>
      <c r="E8" t="s">
        <v>483</v>
      </c>
      <c r="F8" s="285" t="s">
        <v>14</v>
      </c>
      <c r="G8" s="285" t="s">
        <v>493</v>
      </c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9"/>
      <c r="AA8" s="289"/>
      <c r="AB8" s="289"/>
      <c r="AC8" s="289"/>
    </row>
    <row r="9" spans="1:29" x14ac:dyDescent="0.25">
      <c r="A9" t="s">
        <v>473</v>
      </c>
      <c r="B9" s="285" t="s">
        <v>492</v>
      </c>
      <c r="C9" s="285" t="str">
        <f>'[1]Av 2011'!$M$230</f>
        <v>ebikes</v>
      </c>
      <c r="D9" s="286" t="s">
        <v>485</v>
      </c>
      <c r="E9" t="s">
        <v>486</v>
      </c>
      <c r="F9" s="285" t="s">
        <v>14</v>
      </c>
      <c r="G9" s="285" t="s">
        <v>493</v>
      </c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8"/>
      <c r="T9" s="288"/>
      <c r="U9" s="288"/>
      <c r="V9" s="288"/>
      <c r="W9" s="288"/>
      <c r="X9" s="288"/>
      <c r="Y9" s="289"/>
      <c r="Z9" s="289"/>
      <c r="AA9" s="289"/>
      <c r="AB9" s="289"/>
      <c r="AC9" s="289"/>
    </row>
    <row r="10" spans="1:29" x14ac:dyDescent="0.25">
      <c r="A10" t="s">
        <v>473</v>
      </c>
      <c r="B10" s="285" t="s">
        <v>492</v>
      </c>
      <c r="C10" s="290" t="s">
        <v>488</v>
      </c>
      <c r="D10" s="292"/>
      <c r="E10" t="s">
        <v>26</v>
      </c>
      <c r="F10" s="285" t="s">
        <v>14</v>
      </c>
      <c r="G10" s="285" t="s">
        <v>493</v>
      </c>
      <c r="H10" s="288"/>
      <c r="I10" s="288"/>
      <c r="J10" s="288"/>
      <c r="K10" s="288"/>
      <c r="L10" s="288"/>
      <c r="M10" s="288"/>
      <c r="N10" s="288"/>
      <c r="O10" s="288"/>
      <c r="P10" s="288"/>
      <c r="Q10" s="288"/>
      <c r="R10" s="288"/>
      <c r="S10" s="288"/>
      <c r="T10" s="288"/>
      <c r="U10" s="288"/>
      <c r="V10" s="288"/>
      <c r="W10" s="293"/>
      <c r="X10" s="293"/>
      <c r="Y10" s="293"/>
      <c r="Z10" s="289"/>
      <c r="AA10" s="289"/>
      <c r="AB10" s="289"/>
      <c r="AC10" s="289"/>
    </row>
    <row r="11" spans="1:29" x14ac:dyDescent="0.25">
      <c r="A11" t="s">
        <v>473</v>
      </c>
      <c r="B11" s="285" t="s">
        <v>494</v>
      </c>
      <c r="C11" s="285" t="str">
        <f>'[1]Av 2011'!$I$230</f>
        <v>cameras-games</v>
      </c>
      <c r="D11" s="286" t="s">
        <v>482</v>
      </c>
      <c r="E11" t="s">
        <v>483</v>
      </c>
      <c r="F11" s="285" t="s">
        <v>14</v>
      </c>
      <c r="G11" s="285" t="s">
        <v>495</v>
      </c>
      <c r="H11" s="288"/>
      <c r="I11" s="288"/>
      <c r="J11" s="288"/>
      <c r="K11" s="288"/>
      <c r="L11" s="288"/>
      <c r="M11" s="288"/>
      <c r="N11" s="288"/>
      <c r="O11" s="288"/>
      <c r="P11" s="288"/>
      <c r="Q11" s="288"/>
      <c r="R11" s="288"/>
      <c r="S11" s="288"/>
      <c r="T11" s="288"/>
      <c r="U11" s="288"/>
      <c r="V11" s="288"/>
      <c r="W11" s="293"/>
      <c r="X11" s="293"/>
      <c r="Y11" s="293"/>
      <c r="Z11" s="289"/>
      <c r="AA11" s="289"/>
      <c r="AB11" s="289"/>
      <c r="AC11" s="289"/>
    </row>
    <row r="12" spans="1:29" x14ac:dyDescent="0.25">
      <c r="A12" t="s">
        <v>473</v>
      </c>
      <c r="B12" s="285" t="s">
        <v>494</v>
      </c>
      <c r="C12" s="285" t="str">
        <f>'[1]Av 2011'!$K$230</f>
        <v>others portable</v>
      </c>
      <c r="D12" s="292" t="str">
        <f>C12</f>
        <v>others portable</v>
      </c>
      <c r="E12" t="s">
        <v>483</v>
      </c>
      <c r="F12" s="285" t="s">
        <v>14</v>
      </c>
      <c r="G12" s="285" t="s">
        <v>495</v>
      </c>
      <c r="H12" s="288"/>
      <c r="I12" s="288"/>
      <c r="J12" s="288"/>
      <c r="K12" s="288"/>
      <c r="L12" s="288"/>
      <c r="M12" s="288"/>
      <c r="N12" s="288"/>
      <c r="O12" s="288"/>
      <c r="P12" s="288"/>
      <c r="Q12" s="288"/>
      <c r="R12" s="288"/>
      <c r="S12" s="288"/>
      <c r="T12" s="288"/>
      <c r="U12" s="288"/>
      <c r="V12" s="288"/>
      <c r="W12" s="288"/>
      <c r="X12" s="288"/>
      <c r="Y12" s="288"/>
      <c r="Z12" s="289"/>
      <c r="AA12" s="289"/>
      <c r="AB12" s="289"/>
      <c r="AC12" s="289"/>
    </row>
    <row r="13" spans="1:29" x14ac:dyDescent="0.25">
      <c r="A13" t="s">
        <v>473</v>
      </c>
      <c r="B13" s="285" t="s">
        <v>494</v>
      </c>
      <c r="C13" s="285" t="str">
        <f>'[1]Av 2011'!$M$230</f>
        <v>ebikes</v>
      </c>
      <c r="D13" s="286" t="s">
        <v>485</v>
      </c>
      <c r="E13" t="s">
        <v>486</v>
      </c>
      <c r="F13" s="285" t="s">
        <v>14</v>
      </c>
      <c r="G13" s="285" t="str">
        <f>G$5</f>
        <v>Zero until 2006. 2006-2010: CONEBI</v>
      </c>
      <c r="H13" s="288"/>
      <c r="I13" s="288"/>
      <c r="J13" s="288"/>
      <c r="K13" s="288"/>
      <c r="L13" s="288"/>
      <c r="M13" s="288"/>
      <c r="N13" s="288"/>
      <c r="O13" s="288"/>
      <c r="P13" s="288"/>
      <c r="Q13" s="288"/>
      <c r="R13" s="288"/>
      <c r="S13" s="288"/>
      <c r="T13" s="288"/>
      <c r="U13" s="288"/>
      <c r="V13" s="288"/>
      <c r="W13" s="288"/>
      <c r="X13" s="288"/>
      <c r="Y13" s="289"/>
      <c r="Z13" s="289"/>
      <c r="AA13" s="289"/>
      <c r="AB13" s="289"/>
      <c r="AC13" s="289"/>
    </row>
    <row r="14" spans="1:29" x14ac:dyDescent="0.25">
      <c r="A14" t="s">
        <v>473</v>
      </c>
      <c r="B14" s="285" t="s">
        <v>494</v>
      </c>
      <c r="C14" s="285" t="str">
        <f>'[1]Av 2011'!$O$230</f>
        <v>PHEV</v>
      </c>
      <c r="D14" s="292" t="str">
        <f>C14</f>
        <v>PHEV</v>
      </c>
      <c r="E14" t="s">
        <v>7</v>
      </c>
      <c r="F14" s="285" t="s">
        <v>496</v>
      </c>
      <c r="H14" s="288"/>
      <c r="I14" s="288"/>
      <c r="J14" s="288"/>
      <c r="K14" s="288"/>
      <c r="L14" s="288"/>
      <c r="M14" s="288"/>
      <c r="N14" s="288"/>
      <c r="O14" s="288"/>
      <c r="P14" s="288"/>
      <c r="Q14" s="288"/>
      <c r="R14" s="288"/>
      <c r="S14" s="288"/>
      <c r="T14" s="288"/>
      <c r="U14" s="288"/>
      <c r="V14" s="288"/>
      <c r="W14" s="288"/>
      <c r="X14" s="288"/>
      <c r="Y14" s="288"/>
      <c r="Z14" s="289"/>
      <c r="AA14" s="289"/>
      <c r="AB14" s="289"/>
      <c r="AC14" s="289"/>
    </row>
    <row r="15" spans="1:29" x14ac:dyDescent="0.25">
      <c r="A15" t="s">
        <v>473</v>
      </c>
      <c r="B15" s="285" t="s">
        <v>494</v>
      </c>
      <c r="C15" s="285" t="str">
        <f>'[1]Av 2011'!$P$230</f>
        <v>BEV</v>
      </c>
      <c r="D15" s="292" t="str">
        <f>C15</f>
        <v>BEV</v>
      </c>
      <c r="E15" t="s">
        <v>146</v>
      </c>
      <c r="F15" s="285" t="s">
        <v>496</v>
      </c>
      <c r="H15" s="288"/>
      <c r="I15" s="288"/>
      <c r="J15" s="288"/>
      <c r="K15" s="288"/>
      <c r="L15" s="288"/>
      <c r="M15" s="288"/>
      <c r="N15" s="288"/>
      <c r="O15" s="288"/>
      <c r="P15" s="288"/>
      <c r="Q15" s="288"/>
      <c r="R15" s="288"/>
      <c r="S15" s="288"/>
      <c r="T15" s="288"/>
      <c r="U15" s="288"/>
      <c r="V15" s="288"/>
      <c r="W15" s="288"/>
      <c r="X15" s="288"/>
      <c r="Y15" s="288"/>
      <c r="Z15" s="289"/>
      <c r="AA15" s="289"/>
      <c r="AB15" s="289"/>
      <c r="AC15" s="289"/>
    </row>
    <row r="16" spans="1:29" x14ac:dyDescent="0.25">
      <c r="A16" t="s">
        <v>473</v>
      </c>
      <c r="B16" s="285" t="s">
        <v>494</v>
      </c>
      <c r="C16" s="290" t="s">
        <v>488</v>
      </c>
      <c r="D16" s="292" t="str">
        <f>C16</f>
        <v>Industrial excluding mobility</v>
      </c>
      <c r="E16" t="s">
        <v>26</v>
      </c>
      <c r="F16" s="285" t="s">
        <v>14</v>
      </c>
      <c r="G16" s="285" t="str">
        <f>G11</f>
        <v>Zero until 2003. Linear increase between 2004 and 2011.</v>
      </c>
      <c r="H16" s="288"/>
      <c r="I16" s="288"/>
      <c r="J16" s="288"/>
      <c r="K16" s="288"/>
      <c r="L16" s="288"/>
      <c r="M16" s="288"/>
      <c r="N16" s="288"/>
      <c r="O16" s="288"/>
      <c r="P16" s="288"/>
      <c r="Q16" s="288"/>
      <c r="R16" s="288"/>
      <c r="S16" s="288"/>
      <c r="T16" s="288"/>
      <c r="U16" s="288"/>
      <c r="V16" s="288"/>
      <c r="W16" s="288"/>
      <c r="X16" s="288"/>
      <c r="Y16" s="288"/>
      <c r="Z16" s="289"/>
      <c r="AA16" s="289"/>
      <c r="AB16" s="289"/>
      <c r="AC16" s="289"/>
    </row>
    <row r="17" spans="1:29" x14ac:dyDescent="0.25">
      <c r="A17" t="s">
        <v>497</v>
      </c>
      <c r="B17" s="285" t="s">
        <v>498</v>
      </c>
      <c r="E17" t="s">
        <v>168</v>
      </c>
      <c r="H17" s="288"/>
      <c r="I17" s="288"/>
      <c r="J17" s="288"/>
      <c r="K17" s="288"/>
      <c r="L17" s="288"/>
      <c r="M17" s="288"/>
      <c r="N17" s="288"/>
      <c r="O17" s="288"/>
      <c r="P17" s="288"/>
      <c r="Q17" s="288"/>
      <c r="R17" s="288"/>
      <c r="S17" s="288"/>
      <c r="T17" s="288"/>
      <c r="U17" s="288"/>
      <c r="V17" s="288"/>
      <c r="W17" s="288"/>
      <c r="X17" s="288"/>
      <c r="Y17" s="288"/>
      <c r="Z17" s="288"/>
      <c r="AA17" s="288"/>
      <c r="AB17" s="288"/>
    </row>
    <row r="18" spans="1:29" x14ac:dyDescent="0.25">
      <c r="A18" t="s">
        <v>497</v>
      </c>
      <c r="B18" s="285" t="s">
        <v>499</v>
      </c>
      <c r="E18" t="s">
        <v>168</v>
      </c>
      <c r="H18" s="288"/>
      <c r="I18" s="288"/>
      <c r="J18" s="288"/>
      <c r="K18" s="288"/>
      <c r="L18" s="288"/>
      <c r="M18" s="288"/>
      <c r="N18" s="288"/>
      <c r="O18" s="288"/>
      <c r="P18" s="288"/>
      <c r="Q18" s="288"/>
      <c r="R18" s="288"/>
      <c r="S18" s="288"/>
      <c r="T18" s="288"/>
      <c r="U18" s="288"/>
      <c r="V18" s="288"/>
      <c r="W18" s="288"/>
      <c r="X18" s="288"/>
      <c r="Y18" s="288"/>
      <c r="Z18" s="288"/>
      <c r="AA18" s="288"/>
      <c r="AB18" s="288"/>
    </row>
    <row r="19" spans="1:29" x14ac:dyDescent="0.25">
      <c r="A19" t="s">
        <v>473</v>
      </c>
      <c r="B19" s="285" t="s">
        <v>500</v>
      </c>
      <c r="C19" s="285" t="str">
        <f>'[1]Av 2011'!$F$4</f>
        <v>Portable PC</v>
      </c>
      <c r="D19" s="286" t="s">
        <v>475</v>
      </c>
      <c r="E19" t="s">
        <v>476</v>
      </c>
      <c r="F19" s="285" t="s">
        <v>14</v>
      </c>
      <c r="G19" s="285" t="str">
        <f>G2</f>
        <v>Aligned with the EEE data in pieces collected and consolidated by UNU</v>
      </c>
      <c r="H19" s="281"/>
      <c r="I19" s="281"/>
      <c r="J19" s="281"/>
      <c r="K19" s="281"/>
      <c r="L19" s="281"/>
      <c r="M19" s="281"/>
      <c r="N19" s="281"/>
      <c r="O19" s="281"/>
      <c r="P19" s="281"/>
      <c r="Q19" s="281"/>
      <c r="R19" s="281"/>
      <c r="S19" s="288"/>
      <c r="T19" s="288"/>
      <c r="U19" s="288"/>
      <c r="V19" s="288"/>
      <c r="W19" s="288"/>
      <c r="X19" s="288"/>
      <c r="Y19" s="288"/>
      <c r="Z19" s="289"/>
      <c r="AA19" s="289"/>
      <c r="AB19" s="289"/>
      <c r="AC19" s="289"/>
    </row>
    <row r="20" spans="1:29" x14ac:dyDescent="0.25">
      <c r="A20" t="s">
        <v>473</v>
      </c>
      <c r="B20" s="285" t="s">
        <v>500</v>
      </c>
      <c r="C20" s="285" t="str">
        <f>'[1]Av 2011'!$G$230</f>
        <v>tablets</v>
      </c>
      <c r="D20" s="286" t="s">
        <v>490</v>
      </c>
      <c r="E20" t="s">
        <v>491</v>
      </c>
      <c r="F20" s="285" t="s">
        <v>14</v>
      </c>
      <c r="G20" s="285" t="str">
        <f>G2</f>
        <v>Aligned with the EEE data in pieces collected and consolidated by UNU</v>
      </c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8"/>
      <c r="T20" s="288"/>
      <c r="U20" s="288"/>
      <c r="V20" s="288"/>
      <c r="W20" s="288"/>
      <c r="X20" s="288"/>
      <c r="Y20" s="288"/>
      <c r="Z20" s="289"/>
      <c r="AA20" s="289"/>
      <c r="AB20" s="289"/>
      <c r="AC20" s="289"/>
    </row>
    <row r="21" spans="1:29" x14ac:dyDescent="0.25">
      <c r="A21" t="s">
        <v>473</v>
      </c>
      <c r="B21" s="285" t="s">
        <v>500</v>
      </c>
      <c r="C21" s="285" t="str">
        <f>'[1]Av 2011'!$H$230</f>
        <v>cell phones</v>
      </c>
      <c r="D21" s="286" t="s">
        <v>478</v>
      </c>
      <c r="E21" t="s">
        <v>479</v>
      </c>
      <c r="F21" s="285" t="s">
        <v>14</v>
      </c>
      <c r="G21" s="285" t="str">
        <f>G3</f>
        <v>Market trends based on historic market studies. All cell phones have LiCoO2 batteries before 2005. Linear increase of the market share of LiNMC from 2005 to 2011</v>
      </c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93"/>
      <c r="X21" s="293"/>
      <c r="Y21" s="293"/>
      <c r="Z21" s="289"/>
      <c r="AA21" s="289"/>
      <c r="AB21" s="289"/>
      <c r="AC21" s="289"/>
    </row>
    <row r="22" spans="1:29" x14ac:dyDescent="0.25">
      <c r="A22" t="s">
        <v>473</v>
      </c>
      <c r="B22" s="285" t="s">
        <v>500</v>
      </c>
      <c r="C22" s="285" t="str">
        <f>'[1]Av 2011'!$I$230</f>
        <v>cameras-games</v>
      </c>
      <c r="D22" s="286" t="s">
        <v>482</v>
      </c>
      <c r="E22" t="s">
        <v>483</v>
      </c>
      <c r="F22" s="285" t="s">
        <v>14</v>
      </c>
      <c r="G22" s="285" t="s">
        <v>501</v>
      </c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/>
      <c r="W22" s="293"/>
      <c r="X22" s="293"/>
      <c r="Y22" s="293"/>
      <c r="Z22" s="289"/>
      <c r="AA22" s="289"/>
      <c r="AB22" s="289"/>
      <c r="AC22" s="289"/>
    </row>
    <row r="23" spans="1:29" x14ac:dyDescent="0.25">
      <c r="A23" t="s">
        <v>473</v>
      </c>
      <c r="B23" s="285" t="s">
        <v>500</v>
      </c>
      <c r="C23" s="285" t="str">
        <f>'[1]Av 2011'!$J$230</f>
        <v>cordless tools</v>
      </c>
      <c r="D23" s="286" t="s">
        <v>502</v>
      </c>
      <c r="E23" t="s">
        <v>483</v>
      </c>
      <c r="F23" s="285" t="s">
        <v>14</v>
      </c>
      <c r="G23" s="285" t="s">
        <v>501</v>
      </c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9"/>
      <c r="AA23" s="289"/>
      <c r="AB23" s="289"/>
      <c r="AC23" s="289"/>
    </row>
    <row r="24" spans="1:29" x14ac:dyDescent="0.25">
      <c r="A24" t="s">
        <v>473</v>
      </c>
      <c r="B24" s="285" t="s">
        <v>500</v>
      </c>
      <c r="C24" s="285" t="str">
        <f>'[1]Av 2011'!$K$230</f>
        <v>others portable</v>
      </c>
      <c r="D24" s="292" t="str">
        <f>C24</f>
        <v>others portable</v>
      </c>
      <c r="E24" t="s">
        <v>483</v>
      </c>
      <c r="F24" s="285" t="s">
        <v>14</v>
      </c>
      <c r="G24" s="285" t="s">
        <v>501</v>
      </c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/>
      <c r="W24" s="288"/>
      <c r="X24" s="288"/>
      <c r="Y24" s="288"/>
      <c r="Z24" s="289"/>
      <c r="AA24" s="289"/>
      <c r="AB24" s="289"/>
      <c r="AC24" s="289"/>
    </row>
    <row r="25" spans="1:29" x14ac:dyDescent="0.25">
      <c r="A25" t="s">
        <v>473</v>
      </c>
      <c r="B25" s="285" t="s">
        <v>500</v>
      </c>
      <c r="C25" s="285" t="str">
        <f>'[1]Av 2011'!$M$230</f>
        <v>ebikes</v>
      </c>
      <c r="D25" s="286" t="s">
        <v>485</v>
      </c>
      <c r="E25" t="s">
        <v>486</v>
      </c>
      <c r="F25" s="285" t="s">
        <v>14</v>
      </c>
      <c r="G25" s="285" t="str">
        <f>G$5</f>
        <v>Zero until 2006. 2006-2010: CONEBI</v>
      </c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9"/>
      <c r="Z25" s="289"/>
      <c r="AA25" s="289"/>
      <c r="AB25" s="289"/>
      <c r="AC25" s="289"/>
    </row>
    <row r="26" spans="1:29" x14ac:dyDescent="0.25">
      <c r="A26" t="s">
        <v>473</v>
      </c>
      <c r="B26" s="285" t="s">
        <v>500</v>
      </c>
      <c r="C26" s="285" t="str">
        <f>'[1]Av 2011'!$N$230</f>
        <v>HEV</v>
      </c>
      <c r="D26" s="292" t="str">
        <f>C26</f>
        <v>HEV</v>
      </c>
      <c r="E26" t="s">
        <v>16</v>
      </c>
      <c r="F26" s="285" t="s">
        <v>496</v>
      </c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9"/>
      <c r="AA26" s="289"/>
      <c r="AB26" s="289"/>
      <c r="AC26" s="289"/>
    </row>
    <row r="27" spans="1:29" x14ac:dyDescent="0.25">
      <c r="A27" t="s">
        <v>473</v>
      </c>
      <c r="B27" s="285" t="s">
        <v>500</v>
      </c>
      <c r="C27" s="285" t="str">
        <f>'[1]Av 2011'!$O$230</f>
        <v>PHEV</v>
      </c>
      <c r="D27" s="292" t="str">
        <f>C27</f>
        <v>PHEV</v>
      </c>
      <c r="E27" t="s">
        <v>7</v>
      </c>
      <c r="F27" s="285" t="s">
        <v>496</v>
      </c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288"/>
      <c r="S27" s="288"/>
      <c r="T27" s="288"/>
      <c r="U27" s="288"/>
      <c r="V27" s="288"/>
      <c r="W27" s="288"/>
      <c r="X27" s="288"/>
      <c r="Y27" s="288"/>
      <c r="Z27" s="289"/>
      <c r="AA27" s="289"/>
      <c r="AB27" s="289"/>
      <c r="AC27" s="289"/>
    </row>
    <row r="28" spans="1:29" x14ac:dyDescent="0.25">
      <c r="A28" t="s">
        <v>473</v>
      </c>
      <c r="B28" s="285" t="s">
        <v>500</v>
      </c>
      <c r="C28" s="285" t="str">
        <f>'[1]Av 2011'!$P$230</f>
        <v>BEV</v>
      </c>
      <c r="D28" s="288" t="str">
        <f>C28</f>
        <v>BEV</v>
      </c>
      <c r="E28" t="s">
        <v>146</v>
      </c>
      <c r="F28" s="285" t="s">
        <v>496</v>
      </c>
      <c r="H28" s="288"/>
      <c r="I28" s="288"/>
      <c r="J28" s="288"/>
      <c r="K28" s="288"/>
      <c r="L28" s="288"/>
      <c r="M28" s="288"/>
      <c r="N28" s="288"/>
      <c r="O28" s="288"/>
      <c r="P28" s="288"/>
      <c r="Q28" s="288"/>
      <c r="R28" s="288"/>
      <c r="S28" s="288"/>
      <c r="T28" s="288"/>
      <c r="U28" s="288"/>
      <c r="V28" s="288"/>
      <c r="W28" s="288"/>
      <c r="X28" s="288"/>
      <c r="Y28" s="288"/>
      <c r="Z28" s="289"/>
      <c r="AA28" s="289"/>
      <c r="AB28" s="289"/>
      <c r="AC28" s="289"/>
    </row>
    <row r="29" spans="1:29" x14ac:dyDescent="0.25">
      <c r="A29" t="s">
        <v>473</v>
      </c>
      <c r="B29" s="285" t="s">
        <v>500</v>
      </c>
      <c r="C29" s="290" t="s">
        <v>488</v>
      </c>
      <c r="D29" s="288"/>
      <c r="E29" t="s">
        <v>26</v>
      </c>
      <c r="F29" s="285" t="s">
        <v>14</v>
      </c>
      <c r="G29" s="285" t="s">
        <v>501</v>
      </c>
      <c r="H29" s="288"/>
      <c r="I29" s="288"/>
      <c r="J29" s="288"/>
      <c r="K29" s="288"/>
      <c r="L29" s="288"/>
      <c r="M29" s="288"/>
      <c r="N29" s="288"/>
      <c r="O29" s="288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9"/>
      <c r="AA29" s="289"/>
      <c r="AB29" s="289"/>
      <c r="AC29" s="289"/>
    </row>
    <row r="30" spans="1:29" x14ac:dyDescent="0.25">
      <c r="A30" t="s">
        <v>497</v>
      </c>
      <c r="B30" s="285" t="s">
        <v>503</v>
      </c>
      <c r="E30" t="s">
        <v>168</v>
      </c>
      <c r="H30" s="288"/>
      <c r="I30" s="288"/>
      <c r="J30" s="288"/>
      <c r="K30" s="288"/>
      <c r="L30" s="288"/>
      <c r="M30" s="288"/>
      <c r="N30" s="288"/>
      <c r="O30" s="288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88"/>
      <c r="AB30" s="288"/>
    </row>
    <row r="31" spans="1:29" x14ac:dyDescent="0.25">
      <c r="A31" t="s">
        <v>497</v>
      </c>
      <c r="B31" s="285" t="s">
        <v>504</v>
      </c>
      <c r="E31" t="s">
        <v>168</v>
      </c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  <c r="S31" s="288"/>
      <c r="T31" s="288"/>
      <c r="U31" s="288"/>
      <c r="V31" s="288"/>
      <c r="W31" s="288"/>
      <c r="X31" s="293"/>
      <c r="Y31" s="293"/>
      <c r="Z31" s="293"/>
      <c r="AA31" s="293"/>
      <c r="AB31" s="293"/>
      <c r="AC31" s="287"/>
    </row>
    <row r="32" spans="1:29" x14ac:dyDescent="0.25">
      <c r="A32" t="s">
        <v>505</v>
      </c>
      <c r="B32" s="285" t="s">
        <v>506</v>
      </c>
      <c r="C32" s="287" t="str">
        <f>'[1]Av 2011'!$J$230</f>
        <v>cordless tools</v>
      </c>
      <c r="D32" s="294" t="s">
        <v>502</v>
      </c>
      <c r="E32" t="s">
        <v>507</v>
      </c>
      <c r="F32" s="285" t="s">
        <v>14</v>
      </c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</row>
    <row r="33" spans="1:29" x14ac:dyDescent="0.25">
      <c r="A33" s="295" t="s">
        <v>505</v>
      </c>
      <c r="B33" s="295" t="s">
        <v>506</v>
      </c>
      <c r="C33" s="295" t="str">
        <f>'[1]Av 2011'!$K$230</f>
        <v>others portable</v>
      </c>
      <c r="D33" s="296" t="str">
        <f>C33</f>
        <v>others portable</v>
      </c>
      <c r="E33" s="295" t="str">
        <f>E32</f>
        <v>BattNiCdPortable</v>
      </c>
      <c r="F33" s="295" t="s">
        <v>508</v>
      </c>
      <c r="G33" s="295"/>
      <c r="H33" s="297"/>
      <c r="I33" s="297"/>
      <c r="J33" s="297"/>
      <c r="K33" s="297"/>
      <c r="L33" s="297"/>
      <c r="M33" s="297"/>
      <c r="N33" s="297"/>
      <c r="O33" s="297"/>
      <c r="P33" s="297"/>
      <c r="Q33" s="297"/>
      <c r="R33" s="297"/>
      <c r="S33" s="297"/>
      <c r="T33" s="297"/>
      <c r="U33" s="297"/>
      <c r="V33" s="297"/>
      <c r="W33" s="297"/>
      <c r="X33" s="293"/>
      <c r="Y33" s="293"/>
      <c r="Z33" s="293"/>
      <c r="AA33" s="293"/>
      <c r="AB33" s="293"/>
      <c r="AC33" s="287"/>
    </row>
    <row r="34" spans="1:29" x14ac:dyDescent="0.25">
      <c r="A34" s="285" t="str">
        <f>A58</f>
        <v>battNiCd</v>
      </c>
      <c r="B34" s="285" t="s">
        <v>509</v>
      </c>
      <c r="C34" s="290" t="s">
        <v>488</v>
      </c>
      <c r="E34" t="s">
        <v>26</v>
      </c>
      <c r="F34" s="288" t="str">
        <f>F58</f>
        <v>Avicenne</v>
      </c>
      <c r="G34" s="288"/>
      <c r="H34" s="288"/>
      <c r="I34" s="288"/>
      <c r="J34" s="288"/>
      <c r="K34" s="288"/>
      <c r="L34" s="288"/>
      <c r="M34" s="288"/>
      <c r="N34" s="288"/>
      <c r="O34" s="288"/>
      <c r="P34" s="288"/>
      <c r="Q34" s="288"/>
      <c r="R34" s="288"/>
      <c r="S34" s="288"/>
      <c r="T34" s="288"/>
      <c r="U34" s="288"/>
      <c r="V34" s="288"/>
      <c r="W34" s="288"/>
      <c r="X34" s="293"/>
      <c r="Y34" s="293"/>
      <c r="Z34" s="298"/>
      <c r="AA34" s="298"/>
      <c r="AB34" s="298"/>
      <c r="AC34" s="298"/>
    </row>
    <row r="35" spans="1:29" x14ac:dyDescent="0.25">
      <c r="A35" t="s">
        <v>510</v>
      </c>
      <c r="B35" s="285" t="s">
        <v>511</v>
      </c>
      <c r="C35" s="285" t="str">
        <f>'[1]Av 2011'!$F$4</f>
        <v>Portable PC</v>
      </c>
      <c r="D35" s="286" t="s">
        <v>475</v>
      </c>
      <c r="E35" t="s">
        <v>476</v>
      </c>
      <c r="F35" s="285" t="s">
        <v>14</v>
      </c>
      <c r="G35" s="285" t="str">
        <f>G2</f>
        <v>Aligned with the EEE data in pieces collected and consolidated by UNU</v>
      </c>
      <c r="H35" s="281"/>
      <c r="I35" s="281"/>
      <c r="J35" s="281"/>
      <c r="K35" s="281"/>
      <c r="L35" s="281"/>
      <c r="M35" s="281"/>
      <c r="N35" s="281"/>
      <c r="O35" s="281"/>
      <c r="P35" s="281"/>
      <c r="Q35" s="281"/>
      <c r="R35" s="281"/>
      <c r="S35" s="288"/>
      <c r="T35" s="288"/>
      <c r="U35" s="288"/>
      <c r="V35" s="288"/>
      <c r="W35" s="288"/>
      <c r="X35" s="293"/>
      <c r="Y35" s="293"/>
      <c r="Z35" s="298"/>
      <c r="AA35" s="298"/>
      <c r="AB35" s="298"/>
      <c r="AC35" s="287"/>
    </row>
    <row r="36" spans="1:29" x14ac:dyDescent="0.25">
      <c r="A36" t="s">
        <v>510</v>
      </c>
      <c r="B36" s="285" t="s">
        <v>511</v>
      </c>
      <c r="C36" s="285" t="str">
        <f>'[1]Av 2011'!$J$230</f>
        <v>cordless tools</v>
      </c>
      <c r="D36" s="286" t="s">
        <v>502</v>
      </c>
      <c r="E36" t="s">
        <v>512</v>
      </c>
      <c r="F36" s="285" t="s">
        <v>14</v>
      </c>
      <c r="H36" s="288"/>
      <c r="I36" s="288"/>
      <c r="J36" s="288"/>
      <c r="K36" s="288"/>
      <c r="L36" s="288"/>
      <c r="M36" s="288"/>
      <c r="N36" s="288"/>
      <c r="O36" s="288"/>
      <c r="P36" s="288"/>
      <c r="Q36" s="288"/>
      <c r="R36" s="288"/>
      <c r="S36" s="288"/>
      <c r="T36" s="288"/>
      <c r="U36" s="288"/>
      <c r="V36" s="299"/>
      <c r="W36" s="299"/>
      <c r="X36" s="300"/>
      <c r="Y36" s="300"/>
      <c r="Z36" s="298"/>
      <c r="AA36" s="298"/>
      <c r="AB36" s="298"/>
      <c r="AC36" s="298"/>
    </row>
    <row r="37" spans="1:29" x14ac:dyDescent="0.25">
      <c r="A37" t="s">
        <v>510</v>
      </c>
      <c r="B37" s="285" t="s">
        <v>511</v>
      </c>
      <c r="C37" s="285" t="str">
        <f>'[1]Av 2011'!$K$230</f>
        <v>others portable</v>
      </c>
      <c r="D37" s="292" t="str">
        <f>C37</f>
        <v>others portable</v>
      </c>
      <c r="E37" t="s">
        <v>512</v>
      </c>
      <c r="F37" s="285" t="s">
        <v>14</v>
      </c>
      <c r="H37" s="288"/>
      <c r="I37" s="288"/>
      <c r="J37" s="288"/>
      <c r="K37" s="288"/>
      <c r="L37" s="288"/>
      <c r="M37" s="288"/>
      <c r="N37" s="288"/>
      <c r="O37" s="288"/>
      <c r="P37" s="288"/>
      <c r="Q37" s="288"/>
      <c r="R37" s="288"/>
      <c r="S37" s="288"/>
      <c r="T37" s="288"/>
      <c r="U37" s="288"/>
      <c r="V37" s="288"/>
      <c r="W37" s="288"/>
      <c r="X37" s="293"/>
      <c r="Y37" s="293"/>
      <c r="Z37" s="298"/>
      <c r="AA37" s="298"/>
      <c r="AB37" s="298"/>
      <c r="AC37" s="298"/>
    </row>
    <row r="38" spans="1:29" x14ac:dyDescent="0.25">
      <c r="A38" t="s">
        <v>510</v>
      </c>
      <c r="B38" s="285" t="s">
        <v>511</v>
      </c>
      <c r="C38" s="285" t="str">
        <f>'[1]Av 2011'!$N$230</f>
        <v>HEV</v>
      </c>
      <c r="D38" s="292" t="str">
        <f>C38</f>
        <v>HEV</v>
      </c>
      <c r="E38" t="s">
        <v>16</v>
      </c>
      <c r="F38" s="285" t="s">
        <v>496</v>
      </c>
      <c r="H38" s="299"/>
      <c r="I38" s="299"/>
      <c r="J38" s="299"/>
      <c r="K38" s="299"/>
      <c r="L38" s="299"/>
      <c r="M38" s="299"/>
      <c r="N38" s="299"/>
      <c r="O38" s="299"/>
      <c r="P38" s="299"/>
      <c r="Q38" s="299"/>
      <c r="R38" s="299"/>
      <c r="S38" s="299"/>
      <c r="T38" s="299"/>
      <c r="U38" s="299"/>
      <c r="V38" s="299"/>
      <c r="W38" s="299"/>
      <c r="X38" s="300"/>
      <c r="Y38" s="300"/>
      <c r="Z38" s="301"/>
      <c r="AA38" s="301"/>
      <c r="AB38" s="301"/>
      <c r="AC38" s="301"/>
    </row>
    <row r="39" spans="1:29" x14ac:dyDescent="0.25">
      <c r="A39" t="s">
        <v>510</v>
      </c>
      <c r="B39" s="285" t="s">
        <v>513</v>
      </c>
      <c r="E39" t="s">
        <v>168</v>
      </c>
      <c r="H39" s="288"/>
      <c r="I39" s="288"/>
      <c r="J39" s="288"/>
      <c r="K39" s="288"/>
      <c r="L39" s="288"/>
      <c r="M39" s="288"/>
      <c r="N39" s="288"/>
      <c r="O39" s="288"/>
      <c r="P39" s="288"/>
      <c r="Q39" s="288"/>
      <c r="R39" s="288"/>
      <c r="S39" s="288"/>
      <c r="T39" s="288"/>
      <c r="U39" s="288"/>
      <c r="V39" s="288"/>
      <c r="W39" s="288"/>
      <c r="X39" s="298"/>
      <c r="Y39" s="298"/>
      <c r="Z39" s="298"/>
      <c r="AA39" s="298"/>
      <c r="AB39" s="298"/>
      <c r="AC39" s="287"/>
    </row>
    <row r="40" spans="1:29" x14ac:dyDescent="0.25">
      <c r="A40" t="s">
        <v>463</v>
      </c>
      <c r="B40" s="285" t="s">
        <v>514</v>
      </c>
      <c r="C40" s="285" t="str">
        <f>'[1]Av 2011'!$K$230</f>
        <v>others portable</v>
      </c>
      <c r="D40" s="292" t="str">
        <f>C40</f>
        <v>others portable</v>
      </c>
      <c r="E40" t="s">
        <v>515</v>
      </c>
      <c r="F40" s="285" t="s">
        <v>516</v>
      </c>
      <c r="H40" s="288"/>
      <c r="I40" s="288"/>
      <c r="J40" s="288"/>
      <c r="K40" s="288"/>
      <c r="L40" s="288"/>
      <c r="M40" s="288"/>
      <c r="N40" s="288"/>
      <c r="O40" s="288"/>
      <c r="P40" s="288"/>
      <c r="Q40" s="293"/>
      <c r="R40" s="293"/>
      <c r="S40" s="293"/>
      <c r="T40" s="293"/>
      <c r="U40" s="293"/>
      <c r="V40" s="293"/>
      <c r="W40" s="293"/>
      <c r="X40" s="293"/>
      <c r="Y40" s="298"/>
      <c r="Z40" s="298"/>
      <c r="AA40" s="298"/>
      <c r="AB40" s="298"/>
      <c r="AC40" s="298"/>
    </row>
    <row r="41" spans="1:29" x14ac:dyDescent="0.25">
      <c r="A41" t="s">
        <v>463</v>
      </c>
      <c r="B41" s="285" t="s">
        <v>514</v>
      </c>
      <c r="C41" s="285" t="str">
        <f>'[1]Av 2011'!$L$230</f>
        <v>SLI</v>
      </c>
      <c r="D41" s="292" t="str">
        <f>C41</f>
        <v>SLI</v>
      </c>
      <c r="E41" t="s">
        <v>16</v>
      </c>
      <c r="F41" s="285" t="s">
        <v>14</v>
      </c>
      <c r="H41" s="288"/>
      <c r="I41" s="288"/>
      <c r="J41" s="288"/>
      <c r="K41" s="288"/>
      <c r="L41" s="288"/>
      <c r="M41" s="288"/>
      <c r="N41" s="288"/>
      <c r="O41" s="288"/>
      <c r="P41" s="288"/>
      <c r="Q41" s="288"/>
      <c r="R41" s="288"/>
      <c r="S41" s="288"/>
      <c r="T41" s="288"/>
      <c r="U41" s="288"/>
      <c r="V41" s="288"/>
      <c r="W41" s="288"/>
      <c r="X41" s="293"/>
      <c r="Y41" s="293"/>
      <c r="Z41" s="298"/>
      <c r="AA41" s="298"/>
      <c r="AB41" s="298"/>
      <c r="AC41" s="298"/>
    </row>
    <row r="42" spans="1:29" x14ac:dyDescent="0.25">
      <c r="A42" t="s">
        <v>463</v>
      </c>
      <c r="B42" s="285" t="s">
        <v>514</v>
      </c>
      <c r="C42" s="285" t="str">
        <f>'[1]Av 2011'!$M$230</f>
        <v>ebikes</v>
      </c>
      <c r="D42" s="286" t="s">
        <v>485</v>
      </c>
      <c r="E42" t="s">
        <v>486</v>
      </c>
      <c r="F42" s="285" t="s">
        <v>14</v>
      </c>
      <c r="G42" s="285" t="s">
        <v>517</v>
      </c>
      <c r="H42" s="288"/>
      <c r="I42" s="288"/>
      <c r="J42" s="288"/>
      <c r="K42" s="288"/>
      <c r="L42" s="288"/>
      <c r="M42" s="288"/>
      <c r="N42" s="288"/>
      <c r="O42" s="288"/>
      <c r="P42" s="288"/>
      <c r="Q42" s="288"/>
      <c r="R42" s="288"/>
      <c r="S42" s="288"/>
      <c r="T42" s="288"/>
      <c r="U42" s="288"/>
      <c r="V42" s="288"/>
      <c r="W42" s="288"/>
      <c r="X42" s="288"/>
      <c r="Y42" s="289"/>
      <c r="Z42" s="289"/>
      <c r="AA42" s="289"/>
      <c r="AB42" s="289"/>
      <c r="AC42" s="289"/>
    </row>
    <row r="43" spans="1:29" x14ac:dyDescent="0.25">
      <c r="A43" s="285" t="str">
        <f>A62</f>
        <v>battPb</v>
      </c>
      <c r="B43" s="285" t="str">
        <f>B62</f>
        <v>battPbVented</v>
      </c>
      <c r="C43" s="290" t="s">
        <v>488</v>
      </c>
      <c r="E43" t="s">
        <v>26</v>
      </c>
      <c r="F43" s="289" t="str">
        <f>F62</f>
        <v>Avicenne</v>
      </c>
      <c r="H43" s="288"/>
      <c r="I43" s="288"/>
      <c r="J43" s="288"/>
      <c r="K43" s="288"/>
      <c r="L43" s="288"/>
      <c r="M43" s="288"/>
      <c r="N43" s="288"/>
      <c r="O43" s="288"/>
      <c r="P43" s="288"/>
      <c r="Q43" s="288"/>
      <c r="R43" s="288"/>
      <c r="S43" s="288"/>
      <c r="T43" s="288"/>
      <c r="U43" s="288"/>
      <c r="V43" s="288"/>
      <c r="W43" s="288"/>
      <c r="X43" s="288"/>
      <c r="Y43" s="288"/>
      <c r="Z43" s="289"/>
      <c r="AA43" s="289"/>
      <c r="AB43" s="289"/>
      <c r="AC43" s="289"/>
    </row>
    <row r="44" spans="1:29" x14ac:dyDescent="0.25">
      <c r="A44" s="285" t="s">
        <v>518</v>
      </c>
      <c r="B44" s="285" t="s">
        <v>518</v>
      </c>
      <c r="E44" t="s">
        <v>519</v>
      </c>
      <c r="F44" s="285" t="s">
        <v>516</v>
      </c>
      <c r="G44" s="285" t="s">
        <v>481</v>
      </c>
      <c r="H44" s="302"/>
      <c r="I44" s="302"/>
      <c r="J44" s="302"/>
      <c r="K44" s="302"/>
      <c r="L44" s="302"/>
      <c r="M44" s="302"/>
      <c r="N44" s="302"/>
      <c r="O44" s="302"/>
      <c r="P44" s="302"/>
      <c r="Q44" s="302"/>
      <c r="R44" s="302"/>
      <c r="S44" s="288"/>
      <c r="T44" s="288"/>
      <c r="U44" s="288"/>
      <c r="V44" s="288"/>
      <c r="W44" s="288"/>
      <c r="X44" s="288"/>
      <c r="Y44" s="288"/>
      <c r="Z44" s="289"/>
      <c r="AA44" s="289"/>
      <c r="AB44" s="289"/>
      <c r="AC44" s="289"/>
    </row>
    <row r="45" spans="1:29" x14ac:dyDescent="0.25">
      <c r="A45" s="285" t="s">
        <v>465</v>
      </c>
      <c r="B45" s="285" t="s">
        <v>465</v>
      </c>
      <c r="C45" s="290" t="s">
        <v>488</v>
      </c>
      <c r="D45" s="292" t="str">
        <f t="shared" ref="D45" si="1">C45</f>
        <v>Industrial excluding mobility</v>
      </c>
      <c r="E45" t="s">
        <v>26</v>
      </c>
      <c r="F45" s="285" t="s">
        <v>14</v>
      </c>
      <c r="H45" s="288"/>
      <c r="I45" s="288"/>
      <c r="J45" s="288"/>
      <c r="K45" s="288"/>
      <c r="L45" s="288"/>
      <c r="M45" s="288"/>
      <c r="N45" s="288"/>
      <c r="O45" s="288"/>
      <c r="P45" s="288"/>
      <c r="Q45" s="288"/>
      <c r="R45" s="288"/>
      <c r="S45" s="288"/>
      <c r="T45" s="288"/>
      <c r="U45" s="288"/>
      <c r="V45" s="288"/>
      <c r="W45" s="288"/>
      <c r="X45" s="288"/>
      <c r="Y45" s="288"/>
      <c r="Z45" s="289"/>
      <c r="AA45" s="289"/>
      <c r="AB45" s="289"/>
      <c r="AC45" s="289"/>
    </row>
    <row r="46" spans="1:29" x14ac:dyDescent="0.25">
      <c r="A46" t="s">
        <v>497</v>
      </c>
      <c r="E46" t="s">
        <v>520</v>
      </c>
      <c r="F46" s="285" t="s">
        <v>516</v>
      </c>
      <c r="G46" s="285" t="s">
        <v>521</v>
      </c>
      <c r="H46" s="302"/>
      <c r="I46" s="302"/>
      <c r="J46" s="302"/>
      <c r="K46" s="302"/>
      <c r="L46" s="302"/>
      <c r="M46" s="302"/>
      <c r="N46" s="302"/>
      <c r="O46" s="302"/>
      <c r="P46" s="302"/>
      <c r="Q46" s="302"/>
      <c r="R46" s="288"/>
      <c r="S46" s="288"/>
      <c r="T46" s="288"/>
      <c r="U46" s="288"/>
      <c r="V46" s="288"/>
      <c r="W46" s="288"/>
      <c r="X46" s="288"/>
      <c r="Y46" s="288"/>
      <c r="Z46" s="289"/>
      <c r="AA46" s="289"/>
      <c r="AB46" s="289"/>
      <c r="AC46" s="289"/>
    </row>
    <row r="47" spans="1:29" x14ac:dyDescent="0.25">
      <c r="A47"/>
      <c r="H47" s="288"/>
      <c r="I47" s="288"/>
      <c r="J47" s="288"/>
      <c r="K47" s="288"/>
      <c r="L47" s="288"/>
      <c r="M47" s="303"/>
      <c r="N47" s="303"/>
      <c r="O47" s="303"/>
      <c r="P47" s="303"/>
      <c r="Q47" s="303"/>
      <c r="R47" s="303"/>
      <c r="S47" s="303"/>
      <c r="T47" s="303"/>
      <c r="U47" s="303"/>
      <c r="V47" s="303"/>
      <c r="W47" s="303"/>
      <c r="X47" s="303"/>
      <c r="Y47" s="303"/>
      <c r="Z47" s="303"/>
      <c r="AA47" s="303"/>
      <c r="AB47" s="303"/>
    </row>
    <row r="48" spans="1:29" x14ac:dyDescent="0.25">
      <c r="H48" s="304"/>
      <c r="I48" s="304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5"/>
      <c r="Y48" s="305"/>
      <c r="Z48" s="305"/>
      <c r="AA48" s="305"/>
      <c r="AB48" s="305"/>
    </row>
    <row r="49" spans="1:29" x14ac:dyDescent="0.25">
      <c r="B49" s="285">
        <f>COUNTA(B2:B8)</f>
        <v>7</v>
      </c>
      <c r="C49" s="285">
        <f>COUNTA(C2:C8)</f>
        <v>7</v>
      </c>
      <c r="H49" s="304"/>
      <c r="I49" s="304"/>
      <c r="J49" s="304"/>
      <c r="K49" s="304"/>
      <c r="L49" s="304"/>
      <c r="M49" s="304"/>
      <c r="N49" s="304"/>
      <c r="O49" s="304"/>
      <c r="P49" s="304"/>
      <c r="Q49" s="304"/>
      <c r="R49" s="304"/>
      <c r="S49" s="304"/>
      <c r="T49" s="304"/>
      <c r="U49" s="304"/>
      <c r="V49" s="304"/>
      <c r="W49" s="304"/>
      <c r="X49" s="305"/>
      <c r="Y49" s="305"/>
      <c r="Z49" s="305"/>
      <c r="AA49" s="305"/>
      <c r="AB49" s="305"/>
    </row>
    <row r="50" spans="1:29" x14ac:dyDescent="0.25"/>
    <row r="52" spans="1:29" x14ac:dyDescent="0.25">
      <c r="U52" s="288"/>
      <c r="V52" s="288"/>
      <c r="W52" s="288"/>
      <c r="X52" s="288"/>
      <c r="Y52" s="288"/>
      <c r="Z52" s="288"/>
      <c r="AA52" s="288"/>
      <c r="AB52" s="288"/>
    </row>
    <row r="54" spans="1:29" x14ac:dyDescent="0.25">
      <c r="B54" s="285" t="s">
        <v>2</v>
      </c>
      <c r="C54" s="285" t="str">
        <f>C9</f>
        <v>ebikes</v>
      </c>
      <c r="D54" s="285" t="str">
        <f>D9</f>
        <v>0703</v>
      </c>
      <c r="H54" s="288"/>
      <c r="I54" s="288"/>
      <c r="J54" s="288"/>
      <c r="K54" s="288"/>
      <c r="L54" s="288"/>
      <c r="M54" s="288"/>
      <c r="N54" s="288"/>
      <c r="O54" s="288"/>
      <c r="P54" s="288"/>
      <c r="Q54" s="288"/>
      <c r="R54" s="288"/>
      <c r="S54" s="288"/>
      <c r="T54" s="288"/>
      <c r="U54" s="288"/>
      <c r="V54" s="288"/>
      <c r="W54" s="288"/>
      <c r="X54" s="288"/>
      <c r="Y54" s="288"/>
      <c r="Z54" s="288"/>
      <c r="AA54" s="288"/>
      <c r="AB54" s="288"/>
    </row>
    <row r="58" spans="1:29" x14ac:dyDescent="0.25">
      <c r="A58" t="s">
        <v>505</v>
      </c>
      <c r="B58" s="285" t="s">
        <v>509</v>
      </c>
      <c r="C58" s="290" t="str">
        <f>'[1]Av 2011'!$S$230</f>
        <v>security lighting</v>
      </c>
      <c r="D58" s="286" t="s">
        <v>522</v>
      </c>
      <c r="F58" s="285" t="s">
        <v>14</v>
      </c>
      <c r="H58" s="288"/>
      <c r="I58" s="288"/>
      <c r="J58" s="288"/>
      <c r="K58" s="288"/>
      <c r="L58" s="288"/>
      <c r="M58" s="288"/>
      <c r="N58" s="288"/>
      <c r="O58" s="288"/>
      <c r="P58" s="288"/>
      <c r="Q58" s="288"/>
      <c r="R58" s="288"/>
      <c r="S58" s="288"/>
      <c r="T58" s="288"/>
      <c r="U58" s="288"/>
      <c r="V58" s="288"/>
      <c r="W58" s="288"/>
      <c r="X58" s="288"/>
      <c r="Y58" s="288"/>
      <c r="Z58" s="289"/>
      <c r="AA58" s="289"/>
      <c r="AB58" s="289"/>
      <c r="AC58" s="289"/>
    </row>
    <row r="59" spans="1:29" x14ac:dyDescent="0.25">
      <c r="A59" t="s">
        <v>505</v>
      </c>
      <c r="B59" s="285" t="s">
        <v>509</v>
      </c>
      <c r="C59" s="290" t="str">
        <f>'[1]Av 2011'!$T$230</f>
        <v>UPS</v>
      </c>
      <c r="D59" s="292" t="str">
        <f>C59</f>
        <v>UPS</v>
      </c>
      <c r="F59" s="285" t="s">
        <v>14</v>
      </c>
      <c r="H59" s="288"/>
      <c r="I59" s="288"/>
      <c r="J59" s="288"/>
      <c r="K59" s="288"/>
      <c r="L59" s="288"/>
      <c r="M59" s="288"/>
      <c r="N59" s="288"/>
      <c r="O59" s="288"/>
      <c r="P59" s="288"/>
      <c r="Q59" s="288"/>
      <c r="R59" s="288"/>
      <c r="S59" s="288"/>
      <c r="T59" s="288"/>
      <c r="U59" s="288"/>
      <c r="V59" s="288"/>
      <c r="W59" s="288"/>
      <c r="X59" s="288"/>
      <c r="Y59" s="288"/>
      <c r="Z59" s="306"/>
      <c r="AA59" s="306"/>
      <c r="AB59" s="306"/>
      <c r="AC59" s="306"/>
    </row>
    <row r="60" spans="1:29" x14ac:dyDescent="0.25">
      <c r="A60" t="s">
        <v>505</v>
      </c>
      <c r="B60" s="285" t="s">
        <v>509</v>
      </c>
      <c r="C60" s="290" t="str">
        <f>'[1]Av 2011'!$V$230</f>
        <v>Military/space</v>
      </c>
      <c r="D60" s="292" t="str">
        <f>C60</f>
        <v>Military/space</v>
      </c>
      <c r="F60" s="285" t="s">
        <v>14</v>
      </c>
      <c r="H60" s="288"/>
      <c r="I60" s="288"/>
      <c r="J60" s="288"/>
      <c r="K60" s="288"/>
      <c r="L60" s="288"/>
      <c r="M60" s="288"/>
      <c r="N60" s="288"/>
      <c r="O60" s="288"/>
      <c r="P60" s="288"/>
      <c r="Q60" s="288"/>
      <c r="R60" s="288"/>
      <c r="S60" s="288"/>
      <c r="T60" s="288"/>
      <c r="U60" s="288"/>
      <c r="V60" s="288"/>
      <c r="W60" s="288"/>
      <c r="X60" s="288"/>
      <c r="Y60" s="288"/>
      <c r="Z60" s="289"/>
      <c r="AA60" s="289"/>
      <c r="AB60" s="289"/>
      <c r="AC60" s="289"/>
    </row>
    <row r="61" spans="1:29" x14ac:dyDescent="0.25">
      <c r="A61" t="s">
        <v>505</v>
      </c>
      <c r="B61" s="285" t="s">
        <v>509</v>
      </c>
      <c r="C61" s="290" t="str">
        <f>'[1]Av 2011'!$X$230</f>
        <v>Others industrial</v>
      </c>
      <c r="D61" s="292" t="str">
        <f>C61</f>
        <v>Others industrial</v>
      </c>
      <c r="F61" s="285" t="s">
        <v>14</v>
      </c>
      <c r="H61" s="288"/>
      <c r="I61" s="288"/>
      <c r="J61" s="288"/>
      <c r="K61" s="288"/>
      <c r="L61" s="288"/>
      <c r="M61" s="288"/>
      <c r="N61" s="288"/>
      <c r="O61" s="288"/>
      <c r="P61" s="288"/>
      <c r="Q61" s="288"/>
      <c r="R61" s="288"/>
      <c r="S61" s="288"/>
      <c r="T61" s="288"/>
      <c r="U61" s="288"/>
      <c r="V61" s="288"/>
      <c r="W61" s="288"/>
      <c r="X61" s="288"/>
      <c r="Y61" s="288"/>
      <c r="Z61" s="289"/>
      <c r="AA61" s="289"/>
      <c r="AB61" s="289"/>
      <c r="AC61" s="289"/>
    </row>
    <row r="62" spans="1:29" x14ac:dyDescent="0.25">
      <c r="A62" t="s">
        <v>463</v>
      </c>
      <c r="B62" s="285" t="s">
        <v>523</v>
      </c>
      <c r="C62" s="290" t="str">
        <f>'[1]Av 2011'!$Q$230</f>
        <v>forklift, handling equpt.</v>
      </c>
      <c r="F62" s="285" t="s">
        <v>14</v>
      </c>
      <c r="H62" s="288"/>
      <c r="I62" s="288"/>
      <c r="J62" s="288"/>
      <c r="K62" s="288"/>
      <c r="L62" s="288"/>
      <c r="M62" s="288"/>
      <c r="N62" s="288"/>
      <c r="O62" s="288"/>
      <c r="P62" s="288"/>
      <c r="Q62" s="288"/>
      <c r="R62" s="288"/>
      <c r="S62" s="288"/>
      <c r="T62" s="288"/>
      <c r="U62" s="288"/>
      <c r="V62" s="288"/>
      <c r="W62" s="288"/>
      <c r="X62" s="288"/>
      <c r="Y62" s="288"/>
      <c r="Z62" s="306"/>
      <c r="AA62" s="289"/>
      <c r="AB62" s="289"/>
      <c r="AC62" s="289"/>
    </row>
    <row r="63" spans="1:29" x14ac:dyDescent="0.25">
      <c r="A63" t="s">
        <v>463</v>
      </c>
      <c r="B63" s="285" t="s">
        <v>523</v>
      </c>
      <c r="C63" s="290" t="str">
        <f>'[1]Av 2011'!$R$230</f>
        <v xml:space="preserve">Telecom </v>
      </c>
      <c r="D63" s="286" t="s">
        <v>524</v>
      </c>
      <c r="F63" s="285" t="s">
        <v>14</v>
      </c>
      <c r="H63" s="288"/>
      <c r="I63" s="288"/>
      <c r="J63" s="288"/>
      <c r="K63" s="288"/>
      <c r="L63" s="288"/>
      <c r="M63" s="288"/>
      <c r="N63" s="288"/>
      <c r="O63" s="288"/>
      <c r="P63" s="288"/>
      <c r="Q63" s="288"/>
      <c r="R63" s="288"/>
      <c r="S63" s="288"/>
      <c r="T63" s="288"/>
      <c r="U63" s="288"/>
      <c r="V63" s="288"/>
      <c r="W63" s="288"/>
      <c r="X63" s="288"/>
      <c r="Y63" s="288"/>
      <c r="Z63" s="306"/>
      <c r="AA63" s="306"/>
      <c r="AB63" s="306"/>
      <c r="AC63" s="306"/>
    </row>
    <row r="64" spans="1:29" x14ac:dyDescent="0.25">
      <c r="A64" t="s">
        <v>463</v>
      </c>
      <c r="B64" s="285" t="s">
        <v>523</v>
      </c>
      <c r="C64" s="290" t="str">
        <f>'[1]Av 2011'!$T$230</f>
        <v>UPS</v>
      </c>
      <c r="D64" s="292" t="str">
        <f>C64</f>
        <v>UPS</v>
      </c>
      <c r="F64" s="285" t="s">
        <v>14</v>
      </c>
      <c r="H64" s="288"/>
      <c r="I64" s="288"/>
      <c r="J64" s="288"/>
      <c r="K64" s="288"/>
      <c r="L64" s="288"/>
      <c r="M64" s="288"/>
      <c r="N64" s="288"/>
      <c r="O64" s="288"/>
      <c r="P64" s="288"/>
      <c r="Q64" s="288"/>
      <c r="R64" s="288"/>
      <c r="S64" s="288"/>
      <c r="T64" s="288"/>
      <c r="U64" s="288"/>
      <c r="V64" s="288"/>
      <c r="W64" s="288"/>
      <c r="X64" s="288"/>
      <c r="Y64" s="288"/>
      <c r="Z64" s="306"/>
      <c r="AA64" s="289"/>
      <c r="AB64" s="289"/>
      <c r="AC64" s="289"/>
    </row>
    <row r="65" spans="1:29" x14ac:dyDescent="0.25">
      <c r="A65" t="s">
        <v>463</v>
      </c>
      <c r="B65" s="285" t="s">
        <v>523</v>
      </c>
      <c r="C65" s="290" t="s">
        <v>29</v>
      </c>
      <c r="D65" s="292" t="str">
        <f>C65</f>
        <v>ESS</v>
      </c>
      <c r="F65" s="285" t="s">
        <v>14</v>
      </c>
      <c r="H65" s="288"/>
      <c r="I65" s="288"/>
      <c r="J65" s="288"/>
      <c r="K65" s="288"/>
      <c r="L65" s="288"/>
      <c r="M65" s="288"/>
      <c r="N65" s="288"/>
      <c r="O65" s="288"/>
      <c r="P65" s="288"/>
      <c r="Q65" s="288"/>
      <c r="R65" s="288"/>
      <c r="S65" s="288"/>
      <c r="T65" s="288"/>
      <c r="U65" s="288"/>
      <c r="V65" s="288"/>
      <c r="W65" s="288"/>
      <c r="X65" s="288"/>
      <c r="Y65" s="288"/>
      <c r="Z65" s="306"/>
      <c r="AA65" s="289"/>
      <c r="AB65" s="289"/>
      <c r="AC65" s="289"/>
    </row>
    <row r="66" spans="1:29" x14ac:dyDescent="0.25">
      <c r="A66" t="s">
        <v>463</v>
      </c>
      <c r="B66" s="285" t="s">
        <v>523</v>
      </c>
      <c r="C66" s="290" t="str">
        <f>'[1]Av 2011'!$V$230</f>
        <v>Military/space</v>
      </c>
      <c r="D66" s="292" t="str">
        <f>C66</f>
        <v>Military/space</v>
      </c>
      <c r="F66" s="285" t="s">
        <v>14</v>
      </c>
      <c r="H66" s="288"/>
      <c r="I66" s="288"/>
      <c r="J66" s="288"/>
      <c r="K66" s="288"/>
      <c r="L66" s="288"/>
      <c r="M66" s="288"/>
      <c r="N66" s="288"/>
      <c r="O66" s="288"/>
      <c r="P66" s="288"/>
      <c r="Q66" s="288"/>
      <c r="R66" s="288"/>
      <c r="S66" s="288"/>
      <c r="T66" s="288"/>
      <c r="U66" s="288"/>
      <c r="V66" s="288"/>
      <c r="W66" s="288"/>
      <c r="X66" s="288"/>
      <c r="Y66" s="288"/>
      <c r="Z66" s="289"/>
      <c r="AA66" s="289"/>
      <c r="AB66" s="289"/>
      <c r="AC66" s="289"/>
    </row>
    <row r="67" spans="1:29" x14ac:dyDescent="0.25">
      <c r="A67" t="s">
        <v>463</v>
      </c>
      <c r="B67" s="285" t="s">
        <v>523</v>
      </c>
      <c r="C67" s="290" t="str">
        <f>'[1]Av 2011'!$W$230</f>
        <v>Medical</v>
      </c>
      <c r="D67" s="286" t="s">
        <v>525</v>
      </c>
      <c r="F67" s="285" t="s">
        <v>14</v>
      </c>
      <c r="H67" s="288"/>
      <c r="I67" s="288"/>
      <c r="J67" s="288"/>
      <c r="K67" s="288"/>
      <c r="L67" s="288"/>
      <c r="M67" s="288"/>
      <c r="N67" s="288"/>
      <c r="O67" s="288"/>
      <c r="P67" s="288"/>
      <c r="Q67" s="288"/>
      <c r="R67" s="288"/>
      <c r="S67" s="288"/>
      <c r="T67" s="288"/>
      <c r="U67" s="288"/>
      <c r="V67" s="288"/>
      <c r="W67" s="288"/>
      <c r="X67" s="288"/>
      <c r="Y67" s="288"/>
      <c r="Z67" s="289"/>
      <c r="AA67" s="289"/>
      <c r="AB67" s="289"/>
      <c r="AC67" s="289"/>
    </row>
    <row r="68" spans="1:29" x14ac:dyDescent="0.25">
      <c r="A68" t="s">
        <v>463</v>
      </c>
      <c r="B68" s="285" t="s">
        <v>523</v>
      </c>
      <c r="C68" s="290" t="str">
        <f>'[1]Av 2011'!$X$230</f>
        <v>Others industrial</v>
      </c>
      <c r="D68" s="292" t="str">
        <f>C68</f>
        <v>Others industrial</v>
      </c>
      <c r="F68" s="285" t="s">
        <v>14</v>
      </c>
      <c r="H68" s="288"/>
      <c r="I68" s="288"/>
      <c r="J68" s="288"/>
      <c r="K68" s="288"/>
      <c r="L68" s="288"/>
      <c r="M68" s="288"/>
      <c r="N68" s="288"/>
      <c r="O68" s="288"/>
      <c r="P68" s="288"/>
      <c r="Q68" s="288"/>
      <c r="R68" s="288"/>
      <c r="S68" s="288"/>
      <c r="T68" s="288"/>
      <c r="U68" s="288"/>
      <c r="V68" s="288"/>
      <c r="W68" s="288"/>
      <c r="X68" s="288"/>
      <c r="Y68" s="288"/>
      <c r="Z68" s="289"/>
      <c r="AA68" s="289"/>
      <c r="AB68" s="289"/>
      <c r="AC68" s="289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15"/>
  <sheetViews>
    <sheetView topLeftCell="A16" workbookViewId="0"/>
  </sheetViews>
  <sheetFormatPr baseColWidth="10" defaultColWidth="8.85546875" defaultRowHeight="15" x14ac:dyDescent="0.25"/>
  <cols>
    <col min="5" max="5" width="4.42578125" customWidth="1"/>
  </cols>
  <sheetData>
    <row r="1" spans="1:33" ht="18.75" x14ac:dyDescent="0.3">
      <c r="A1" s="42" t="s">
        <v>14</v>
      </c>
      <c r="B1" s="42"/>
      <c r="C1" s="82">
        <v>2012</v>
      </c>
    </row>
    <row r="2" spans="1:33" x14ac:dyDescent="0.25">
      <c r="D2" s="41" t="s">
        <v>1</v>
      </c>
      <c r="E2" s="41"/>
      <c r="M2" s="24" t="s">
        <v>81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33" x14ac:dyDescent="0.25">
      <c r="F3" s="23" t="s">
        <v>44</v>
      </c>
      <c r="G3" s="23"/>
      <c r="H3" s="23"/>
      <c r="I3" s="23"/>
      <c r="J3" s="23"/>
      <c r="K3" s="23"/>
      <c r="L3" s="7" t="s">
        <v>30</v>
      </c>
      <c r="M3" s="24" t="s">
        <v>46</v>
      </c>
      <c r="N3" s="24"/>
      <c r="O3" s="24"/>
      <c r="P3" s="24"/>
      <c r="Q3" s="24"/>
      <c r="R3" s="24" t="s">
        <v>47</v>
      </c>
      <c r="S3" s="24"/>
      <c r="T3" s="24"/>
      <c r="U3" s="24"/>
      <c r="V3" s="24"/>
      <c r="W3" s="24"/>
      <c r="X3" s="24"/>
      <c r="Y3" s="44" t="s">
        <v>85</v>
      </c>
      <c r="Z3" s="44" t="s">
        <v>48</v>
      </c>
      <c r="AA3" s="44" t="s">
        <v>3</v>
      </c>
    </row>
    <row r="4" spans="1:33" ht="63" x14ac:dyDescent="0.25">
      <c r="F4" s="38" t="s">
        <v>36</v>
      </c>
      <c r="G4" s="38" t="s">
        <v>37</v>
      </c>
      <c r="H4" s="38" t="s">
        <v>38</v>
      </c>
      <c r="I4" s="38" t="s">
        <v>80</v>
      </c>
      <c r="J4" s="38" t="s">
        <v>39</v>
      </c>
      <c r="K4" s="38" t="s">
        <v>45</v>
      </c>
      <c r="L4" s="39" t="s">
        <v>16</v>
      </c>
      <c r="M4" s="40" t="s">
        <v>34</v>
      </c>
      <c r="N4" s="40" t="s">
        <v>5</v>
      </c>
      <c r="O4" s="40" t="s">
        <v>7</v>
      </c>
      <c r="P4" s="40" t="s">
        <v>8</v>
      </c>
      <c r="Q4" s="40" t="s">
        <v>40</v>
      </c>
      <c r="R4" s="40" t="s">
        <v>41</v>
      </c>
      <c r="S4" s="40" t="s">
        <v>42</v>
      </c>
      <c r="T4" s="40" t="s">
        <v>31</v>
      </c>
      <c r="U4" s="40" t="s">
        <v>43</v>
      </c>
      <c r="V4" s="40" t="s">
        <v>82</v>
      </c>
      <c r="W4" s="40" t="s">
        <v>87</v>
      </c>
      <c r="X4" s="40" t="s">
        <v>83</v>
      </c>
      <c r="Y4" s="45" t="s">
        <v>3</v>
      </c>
      <c r="Z4" s="45" t="s">
        <v>3</v>
      </c>
      <c r="AA4" s="45" t="s">
        <v>3</v>
      </c>
    </row>
    <row r="5" spans="1:33" x14ac:dyDescent="0.25">
      <c r="A5" s="15" t="s">
        <v>51</v>
      </c>
      <c r="B5" s="2"/>
      <c r="C5" s="2"/>
      <c r="F5" s="1">
        <f t="shared" ref="F5:M5" si="0">F7+F8+F9</f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52">
        <f t="shared" si="0"/>
        <v>0</v>
      </c>
      <c r="M5" s="1">
        <f t="shared" si="0"/>
        <v>0</v>
      </c>
      <c r="N5" s="1">
        <f t="shared" ref="N5:X5" si="1">N7+N8+N9</f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>W7+W8+W9</f>
        <v>0</v>
      </c>
      <c r="X5" s="1">
        <f t="shared" si="1"/>
        <v>0</v>
      </c>
      <c r="Y5" s="58">
        <f t="shared" ref="Y5:Y45" si="2">SUM(F5:K5)</f>
        <v>0</v>
      </c>
      <c r="Z5" s="1">
        <f t="shared" ref="Z5:Z45" si="3">SUM(M5:X5)</f>
        <v>0</v>
      </c>
      <c r="AA5" s="1">
        <f>L5+Y5+Z5</f>
        <v>0</v>
      </c>
    </row>
    <row r="6" spans="1:33" x14ac:dyDescent="0.25">
      <c r="A6" s="30" t="s">
        <v>60</v>
      </c>
      <c r="B6" s="2"/>
      <c r="C6" s="2"/>
      <c r="F6" s="1">
        <f>F10+F11+F12+F13</f>
        <v>11120</v>
      </c>
      <c r="G6" s="1">
        <f t="shared" ref="G6:X6" si="4">G10+G11+G12+G13</f>
        <v>2940</v>
      </c>
      <c r="H6" s="1">
        <f t="shared" si="4"/>
        <v>7320</v>
      </c>
      <c r="I6" s="1">
        <f t="shared" si="4"/>
        <v>2940</v>
      </c>
      <c r="J6" s="1">
        <f t="shared" si="4"/>
        <v>6443.9644808743178</v>
      </c>
      <c r="K6" s="1">
        <f t="shared" si="4"/>
        <v>3300</v>
      </c>
      <c r="L6" s="52">
        <f t="shared" si="4"/>
        <v>208333.33333333334</v>
      </c>
      <c r="M6" s="1">
        <f t="shared" si="4"/>
        <v>11190.666666666668</v>
      </c>
      <c r="N6" s="1">
        <f t="shared" si="4"/>
        <v>1491</v>
      </c>
      <c r="O6" s="1">
        <f t="shared" si="4"/>
        <v>837</v>
      </c>
      <c r="P6" s="1">
        <f t="shared" si="4"/>
        <v>2170</v>
      </c>
      <c r="Q6" s="1">
        <f t="shared" si="4"/>
        <v>22844.848484848488</v>
      </c>
      <c r="R6" s="1">
        <f t="shared" si="4"/>
        <v>10286.222222222223</v>
      </c>
      <c r="S6" s="1">
        <f t="shared" si="4"/>
        <v>245</v>
      </c>
      <c r="T6" s="1">
        <f t="shared" si="4"/>
        <v>15597.333333333334</v>
      </c>
      <c r="U6" s="1">
        <f t="shared" si="4"/>
        <v>7653.3333333333339</v>
      </c>
      <c r="V6" s="1">
        <f t="shared" si="4"/>
        <v>5076.666666666667</v>
      </c>
      <c r="W6" s="1">
        <f>W10+W11+W12+W13</f>
        <v>6400.0000000000009</v>
      </c>
      <c r="X6" s="54">
        <f t="shared" si="4"/>
        <v>19054.761904761905</v>
      </c>
      <c r="Y6" s="58">
        <f t="shared" si="2"/>
        <v>34063.964480874318</v>
      </c>
      <c r="Z6" s="1">
        <f t="shared" si="3"/>
        <v>102846.83261183262</v>
      </c>
      <c r="AA6" s="1">
        <f>L6+Y6+Z6</f>
        <v>345244.13042604027</v>
      </c>
    </row>
    <row r="7" spans="1:33" x14ac:dyDescent="0.25">
      <c r="A7" s="15" t="s">
        <v>51</v>
      </c>
      <c r="B7" s="16" t="s">
        <v>52</v>
      </c>
      <c r="C7" s="2"/>
      <c r="F7" s="1">
        <f>F14+F15+F16</f>
        <v>0</v>
      </c>
      <c r="G7" s="1">
        <f t="shared" ref="G7:X7" si="5">G14+G15+G16</f>
        <v>0</v>
      </c>
      <c r="H7" s="1">
        <f t="shared" si="5"/>
        <v>0</v>
      </c>
      <c r="I7" s="1">
        <f t="shared" si="5"/>
        <v>0</v>
      </c>
      <c r="J7" s="1">
        <f t="shared" si="5"/>
        <v>0</v>
      </c>
      <c r="K7" s="1">
        <f t="shared" si="5"/>
        <v>0</v>
      </c>
      <c r="L7" s="52">
        <f t="shared" si="5"/>
        <v>0</v>
      </c>
      <c r="M7" s="1">
        <f t="shared" si="5"/>
        <v>0</v>
      </c>
      <c r="N7" s="1">
        <f t="shared" si="5"/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  <c r="R7" s="1">
        <f t="shared" si="5"/>
        <v>0</v>
      </c>
      <c r="S7" s="1">
        <f t="shared" si="5"/>
        <v>0</v>
      </c>
      <c r="T7" s="1">
        <f t="shared" si="5"/>
        <v>0</v>
      </c>
      <c r="U7" s="1">
        <f t="shared" si="5"/>
        <v>0</v>
      </c>
      <c r="V7" s="1">
        <f t="shared" si="5"/>
        <v>0</v>
      </c>
      <c r="W7" s="1">
        <f>W14+W15+W16</f>
        <v>0</v>
      </c>
      <c r="X7" s="54">
        <f t="shared" si="5"/>
        <v>0</v>
      </c>
      <c r="Y7" s="58">
        <f t="shared" si="2"/>
        <v>0</v>
      </c>
      <c r="Z7" s="1">
        <f t="shared" si="3"/>
        <v>0</v>
      </c>
      <c r="AA7" s="1">
        <f>L7+Y7+Z7</f>
        <v>0</v>
      </c>
    </row>
    <row r="8" spans="1:33" x14ac:dyDescent="0.25">
      <c r="A8" s="15" t="s">
        <v>51</v>
      </c>
      <c r="B8" s="16" t="s">
        <v>56</v>
      </c>
      <c r="C8" s="2"/>
      <c r="F8" s="1">
        <f>F17+F18+F19</f>
        <v>0</v>
      </c>
      <c r="G8" s="1">
        <f t="shared" ref="G8:X8" si="6">G17+G18+G19</f>
        <v>0</v>
      </c>
      <c r="H8" s="1">
        <f t="shared" si="6"/>
        <v>0</v>
      </c>
      <c r="I8" s="1">
        <f t="shared" si="6"/>
        <v>0</v>
      </c>
      <c r="J8" s="1">
        <f t="shared" si="6"/>
        <v>0</v>
      </c>
      <c r="K8" s="1">
        <f t="shared" si="6"/>
        <v>0</v>
      </c>
      <c r="L8" s="52">
        <f t="shared" si="6"/>
        <v>0</v>
      </c>
      <c r="M8" s="1">
        <f t="shared" si="6"/>
        <v>0</v>
      </c>
      <c r="N8" s="1">
        <f t="shared" si="6"/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  <c r="R8" s="1">
        <f t="shared" si="6"/>
        <v>0</v>
      </c>
      <c r="S8" s="1">
        <f t="shared" si="6"/>
        <v>0</v>
      </c>
      <c r="T8" s="1">
        <f t="shared" si="6"/>
        <v>0</v>
      </c>
      <c r="U8" s="1">
        <f t="shared" si="6"/>
        <v>0</v>
      </c>
      <c r="V8" s="1">
        <f t="shared" si="6"/>
        <v>0</v>
      </c>
      <c r="W8" s="1">
        <f>W17+W18+W19</f>
        <v>0</v>
      </c>
      <c r="X8" s="54">
        <f t="shared" si="6"/>
        <v>0</v>
      </c>
      <c r="Y8" s="58">
        <f t="shared" si="2"/>
        <v>0</v>
      </c>
      <c r="Z8" s="1">
        <f t="shared" si="3"/>
        <v>0</v>
      </c>
      <c r="AA8" s="1">
        <f>L8+Y8+Z8</f>
        <v>0</v>
      </c>
      <c r="AE8" s="98" t="s">
        <v>114</v>
      </c>
      <c r="AF8" s="98"/>
      <c r="AG8" s="98"/>
    </row>
    <row r="9" spans="1:33" x14ac:dyDescent="0.25">
      <c r="A9" s="15" t="s">
        <v>51</v>
      </c>
      <c r="B9" s="16" t="s">
        <v>9</v>
      </c>
      <c r="C9" s="2"/>
      <c r="F9" s="1">
        <f>F20</f>
        <v>0</v>
      </c>
      <c r="G9" s="1">
        <f t="shared" ref="G9:X9" si="7">G20</f>
        <v>0</v>
      </c>
      <c r="H9" s="1">
        <f t="shared" si="7"/>
        <v>0</v>
      </c>
      <c r="I9" s="1">
        <f t="shared" si="7"/>
        <v>0</v>
      </c>
      <c r="J9" s="1">
        <f t="shared" si="7"/>
        <v>0</v>
      </c>
      <c r="K9" s="1">
        <f t="shared" si="7"/>
        <v>0</v>
      </c>
      <c r="L9" s="52">
        <f t="shared" si="7"/>
        <v>0</v>
      </c>
      <c r="M9" s="1">
        <f t="shared" si="7"/>
        <v>0</v>
      </c>
      <c r="N9" s="1">
        <f t="shared" si="7"/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  <c r="R9" s="1">
        <f t="shared" si="7"/>
        <v>0</v>
      </c>
      <c r="S9" s="1">
        <f t="shared" si="7"/>
        <v>0</v>
      </c>
      <c r="T9" s="1">
        <f t="shared" si="7"/>
        <v>0</v>
      </c>
      <c r="U9" s="1">
        <f t="shared" si="7"/>
        <v>0</v>
      </c>
      <c r="V9" s="1">
        <f t="shared" si="7"/>
        <v>0</v>
      </c>
      <c r="W9" s="1">
        <f>W20</f>
        <v>0</v>
      </c>
      <c r="X9" s="54">
        <f t="shared" si="7"/>
        <v>0</v>
      </c>
      <c r="Y9" s="58">
        <f t="shared" si="2"/>
        <v>0</v>
      </c>
      <c r="Z9" s="1">
        <f t="shared" si="3"/>
        <v>0</v>
      </c>
      <c r="AA9" s="1">
        <f>L9+Y9+Z9</f>
        <v>0</v>
      </c>
      <c r="AE9" s="98" t="s">
        <v>115</v>
      </c>
      <c r="AF9" s="98" t="s">
        <v>8</v>
      </c>
      <c r="AG9" s="98" t="s">
        <v>29</v>
      </c>
    </row>
    <row r="10" spans="1:33" x14ac:dyDescent="0.25">
      <c r="A10" s="30" t="s">
        <v>60</v>
      </c>
      <c r="B10" s="32" t="s">
        <v>13</v>
      </c>
      <c r="C10" s="2"/>
      <c r="F10" s="51">
        <f>F21+F22+F23</f>
        <v>10970</v>
      </c>
      <c r="G10" s="51">
        <f t="shared" ref="G10:X10" si="8">G21+G22+G23</f>
        <v>2940</v>
      </c>
      <c r="H10" s="64">
        <v>7320</v>
      </c>
      <c r="I10" s="51">
        <f t="shared" si="8"/>
        <v>2940</v>
      </c>
      <c r="J10" s="51">
        <f t="shared" si="8"/>
        <v>1370</v>
      </c>
      <c r="K10" s="51">
        <f t="shared" si="8"/>
        <v>600</v>
      </c>
      <c r="L10" s="52">
        <f t="shared" si="8"/>
        <v>0</v>
      </c>
      <c r="M10" s="51">
        <f t="shared" si="8"/>
        <v>1274</v>
      </c>
      <c r="N10" s="51">
        <f t="shared" si="8"/>
        <v>111</v>
      </c>
      <c r="O10" s="51">
        <f t="shared" si="8"/>
        <v>837</v>
      </c>
      <c r="P10" s="51">
        <f t="shared" si="8"/>
        <v>2170</v>
      </c>
      <c r="Q10" s="51">
        <f t="shared" si="8"/>
        <v>18.18181818181818</v>
      </c>
      <c r="R10" s="51">
        <f t="shared" si="8"/>
        <v>64</v>
      </c>
      <c r="S10" s="51">
        <f t="shared" si="8"/>
        <v>0</v>
      </c>
      <c r="T10" s="51">
        <f t="shared" si="8"/>
        <v>64</v>
      </c>
      <c r="U10" s="51">
        <f t="shared" si="8"/>
        <v>320</v>
      </c>
      <c r="V10" s="51">
        <f t="shared" si="8"/>
        <v>50</v>
      </c>
      <c r="W10" s="51">
        <f>W21+W22+W23</f>
        <v>1066.6666666666667</v>
      </c>
      <c r="X10" s="55">
        <f t="shared" si="8"/>
        <v>800</v>
      </c>
      <c r="Y10" s="59">
        <f t="shared" si="2"/>
        <v>26140</v>
      </c>
      <c r="Z10" s="73">
        <f t="shared" si="3"/>
        <v>6774.848484848485</v>
      </c>
      <c r="AA10" s="64">
        <v>32900</v>
      </c>
      <c r="AE10" s="98">
        <v>29228</v>
      </c>
      <c r="AF10" s="98">
        <v>2585</v>
      </c>
      <c r="AG10" s="98">
        <v>274</v>
      </c>
    </row>
    <row r="11" spans="1:33" x14ac:dyDescent="0.25">
      <c r="A11" s="30" t="s">
        <v>60</v>
      </c>
      <c r="B11" s="31" t="s">
        <v>23</v>
      </c>
      <c r="C11" s="2"/>
      <c r="F11" s="51">
        <f>F24+F25+F26</f>
        <v>150</v>
      </c>
      <c r="G11" s="51">
        <f t="shared" ref="G11:X11" si="9">G24+G25+G26</f>
        <v>0</v>
      </c>
      <c r="H11" s="51">
        <f t="shared" si="9"/>
        <v>0</v>
      </c>
      <c r="I11" s="51">
        <f t="shared" si="9"/>
        <v>0</v>
      </c>
      <c r="J11" s="51">
        <f t="shared" si="9"/>
        <v>1740.6311475409836</v>
      </c>
      <c r="K11" s="51">
        <f t="shared" si="9"/>
        <v>2700</v>
      </c>
      <c r="L11" s="52">
        <f t="shared" si="9"/>
        <v>0</v>
      </c>
      <c r="M11" s="51">
        <f t="shared" si="9"/>
        <v>0</v>
      </c>
      <c r="N11" s="51">
        <f t="shared" si="9"/>
        <v>1380</v>
      </c>
      <c r="O11" s="51">
        <f t="shared" si="9"/>
        <v>0</v>
      </c>
      <c r="P11" s="51">
        <f t="shared" si="9"/>
        <v>0</v>
      </c>
      <c r="Q11" s="51">
        <f t="shared" si="9"/>
        <v>0</v>
      </c>
      <c r="R11" s="51">
        <f t="shared" si="9"/>
        <v>0</v>
      </c>
      <c r="S11" s="51">
        <f t="shared" si="9"/>
        <v>245</v>
      </c>
      <c r="T11" s="51">
        <f t="shared" si="9"/>
        <v>600</v>
      </c>
      <c r="U11" s="51">
        <f t="shared" si="9"/>
        <v>0</v>
      </c>
      <c r="V11" s="51">
        <f t="shared" si="9"/>
        <v>100</v>
      </c>
      <c r="W11" s="51">
        <f>W24+W25+W26</f>
        <v>0</v>
      </c>
      <c r="X11" s="55">
        <f t="shared" si="9"/>
        <v>100</v>
      </c>
      <c r="Y11" s="59">
        <f t="shared" si="2"/>
        <v>4590.6311475409839</v>
      </c>
      <c r="Z11" s="73">
        <f t="shared" si="3"/>
        <v>2425</v>
      </c>
      <c r="AA11" s="73">
        <f>L11+Y11+Z11</f>
        <v>7015.6311475409839</v>
      </c>
      <c r="AC11" t="s">
        <v>14</v>
      </c>
    </row>
    <row r="12" spans="1:33" x14ac:dyDescent="0.25">
      <c r="A12" s="30" t="s">
        <v>60</v>
      </c>
      <c r="B12" s="31" t="s">
        <v>65</v>
      </c>
      <c r="C12" s="46"/>
      <c r="F12" s="51">
        <f>F27+F28+F29</f>
        <v>0</v>
      </c>
      <c r="G12" s="51">
        <f t="shared" ref="G12:X12" si="10">G27+G28+G29</f>
        <v>0</v>
      </c>
      <c r="H12" s="51">
        <f t="shared" si="10"/>
        <v>0</v>
      </c>
      <c r="I12" s="51">
        <f t="shared" si="10"/>
        <v>0</v>
      </c>
      <c r="J12" s="51">
        <f t="shared" si="10"/>
        <v>3333.3333333333335</v>
      </c>
      <c r="K12" s="51">
        <f t="shared" si="10"/>
        <v>0</v>
      </c>
      <c r="L12" s="52">
        <f t="shared" si="10"/>
        <v>208333.33333333334</v>
      </c>
      <c r="M12" s="51">
        <f t="shared" si="10"/>
        <v>9916.6666666666679</v>
      </c>
      <c r="N12" s="51">
        <f t="shared" si="10"/>
        <v>0</v>
      </c>
      <c r="O12" s="51">
        <f t="shared" si="10"/>
        <v>0</v>
      </c>
      <c r="P12" s="51">
        <f t="shared" si="10"/>
        <v>0</v>
      </c>
      <c r="Q12" s="51">
        <f t="shared" si="10"/>
        <v>22826.666666666668</v>
      </c>
      <c r="R12" s="51">
        <f t="shared" si="10"/>
        <v>10222.222222222223</v>
      </c>
      <c r="S12" s="51">
        <f t="shared" si="10"/>
        <v>0</v>
      </c>
      <c r="T12" s="51">
        <f t="shared" si="10"/>
        <v>14933.333333333334</v>
      </c>
      <c r="U12" s="51">
        <f t="shared" si="10"/>
        <v>7333.3333333333339</v>
      </c>
      <c r="V12" s="51">
        <f t="shared" si="10"/>
        <v>4166.666666666667</v>
      </c>
      <c r="W12" s="51">
        <f>W27+W28+W29</f>
        <v>5333.3333333333339</v>
      </c>
      <c r="X12" s="55">
        <f t="shared" si="10"/>
        <v>16666.666666666668</v>
      </c>
      <c r="Y12" s="59">
        <f t="shared" si="2"/>
        <v>3333.3333333333335</v>
      </c>
      <c r="Z12" s="73">
        <f t="shared" si="3"/>
        <v>91398.888888888905</v>
      </c>
      <c r="AA12" s="81">
        <f>L12+Y12+Z12</f>
        <v>303065.55555555562</v>
      </c>
      <c r="AB12" s="64">
        <v>320000</v>
      </c>
      <c r="AC12">
        <f>31/320</f>
        <v>9.6875000000000003E-2</v>
      </c>
      <c r="AD12" t="s">
        <v>100</v>
      </c>
    </row>
    <row r="13" spans="1:33" ht="15.75" thickBot="1" x14ac:dyDescent="0.3">
      <c r="A13" s="48" t="s">
        <v>60</v>
      </c>
      <c r="B13" s="49" t="s">
        <v>9</v>
      </c>
      <c r="C13" s="50"/>
      <c r="D13" s="50"/>
      <c r="E13" s="50"/>
      <c r="F13" s="53">
        <f>F30</f>
        <v>0</v>
      </c>
      <c r="G13" s="53">
        <f t="shared" ref="G13:X13" si="11">G30</f>
        <v>0</v>
      </c>
      <c r="H13" s="53">
        <f t="shared" si="11"/>
        <v>0</v>
      </c>
      <c r="I13" s="53">
        <f t="shared" si="11"/>
        <v>0</v>
      </c>
      <c r="J13" s="53">
        <f t="shared" si="11"/>
        <v>0</v>
      </c>
      <c r="K13" s="53">
        <f t="shared" si="11"/>
        <v>0</v>
      </c>
      <c r="L13" s="62">
        <f t="shared" si="11"/>
        <v>0</v>
      </c>
      <c r="M13" s="53">
        <f t="shared" si="11"/>
        <v>0</v>
      </c>
      <c r="N13" s="53">
        <f t="shared" si="11"/>
        <v>0</v>
      </c>
      <c r="O13" s="53">
        <f t="shared" si="11"/>
        <v>0</v>
      </c>
      <c r="P13" s="53">
        <f t="shared" si="11"/>
        <v>0</v>
      </c>
      <c r="Q13" s="53">
        <f t="shared" si="11"/>
        <v>0</v>
      </c>
      <c r="R13" s="53">
        <f t="shared" si="11"/>
        <v>0</v>
      </c>
      <c r="S13" s="53">
        <f t="shared" si="11"/>
        <v>0</v>
      </c>
      <c r="T13" s="53">
        <f t="shared" si="11"/>
        <v>0</v>
      </c>
      <c r="U13" s="53">
        <f t="shared" si="11"/>
        <v>0</v>
      </c>
      <c r="V13" s="53">
        <f t="shared" si="11"/>
        <v>760</v>
      </c>
      <c r="W13" s="53">
        <f>W30</f>
        <v>0</v>
      </c>
      <c r="X13" s="75">
        <f t="shared" si="11"/>
        <v>1488.0952380952381</v>
      </c>
      <c r="Y13" s="60">
        <f t="shared" si="2"/>
        <v>0</v>
      </c>
      <c r="Z13" s="74">
        <f t="shared" si="3"/>
        <v>2248.0952380952381</v>
      </c>
      <c r="AA13" s="65">
        <v>1500</v>
      </c>
    </row>
    <row r="14" spans="1:33" ht="15" customHeight="1" thickTop="1" x14ac:dyDescent="0.25">
      <c r="A14" s="15" t="s">
        <v>51</v>
      </c>
      <c r="B14" s="16" t="s">
        <v>52</v>
      </c>
      <c r="C14" s="16" t="s">
        <v>53</v>
      </c>
      <c r="D14" s="2"/>
      <c r="E14" s="2"/>
      <c r="F14" s="47">
        <v>0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63">
        <v>0</v>
      </c>
      <c r="M14" s="47">
        <v>0</v>
      </c>
      <c r="N14" s="47">
        <v>0</v>
      </c>
      <c r="O14" s="47">
        <v>0</v>
      </c>
      <c r="P14" s="47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57">
        <v>0</v>
      </c>
      <c r="Y14" s="61">
        <f t="shared" si="2"/>
        <v>0</v>
      </c>
      <c r="Z14" s="47">
        <f t="shared" si="3"/>
        <v>0</v>
      </c>
      <c r="AA14" s="47">
        <f t="shared" ref="AA14:AA23" si="12">L14+Y14+Z14</f>
        <v>0</v>
      </c>
    </row>
    <row r="15" spans="1:33" x14ac:dyDescent="0.25">
      <c r="A15" s="15" t="s">
        <v>51</v>
      </c>
      <c r="B15" s="16" t="s">
        <v>52</v>
      </c>
      <c r="C15" s="16" t="s">
        <v>54</v>
      </c>
      <c r="D15" s="2"/>
      <c r="E15" s="2"/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52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54">
        <v>0</v>
      </c>
      <c r="Y15" s="58">
        <f t="shared" si="2"/>
        <v>0</v>
      </c>
      <c r="Z15" s="1">
        <f t="shared" si="3"/>
        <v>0</v>
      </c>
      <c r="AA15" s="1">
        <f t="shared" si="12"/>
        <v>0</v>
      </c>
    </row>
    <row r="16" spans="1:33" x14ac:dyDescent="0.25">
      <c r="A16" s="15" t="s">
        <v>51</v>
      </c>
      <c r="B16" s="16" t="s">
        <v>52</v>
      </c>
      <c r="C16" s="16" t="s">
        <v>55</v>
      </c>
      <c r="D16" s="2"/>
      <c r="E16" s="2"/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52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54">
        <v>0</v>
      </c>
      <c r="Y16" s="58">
        <f t="shared" si="2"/>
        <v>0</v>
      </c>
      <c r="Z16" s="1">
        <f t="shared" si="3"/>
        <v>0</v>
      </c>
      <c r="AA16" s="1">
        <f t="shared" si="12"/>
        <v>0</v>
      </c>
    </row>
    <row r="17" spans="1:30" ht="15" customHeight="1" x14ac:dyDescent="0.25">
      <c r="A17" s="25" t="s">
        <v>51</v>
      </c>
      <c r="B17" s="26" t="s">
        <v>56</v>
      </c>
      <c r="C17" s="26" t="s">
        <v>57</v>
      </c>
      <c r="D17" s="2"/>
      <c r="E17" s="2"/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52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54">
        <v>0</v>
      </c>
      <c r="Y17" s="58">
        <f t="shared" si="2"/>
        <v>0</v>
      </c>
      <c r="Z17" s="1">
        <f t="shared" si="3"/>
        <v>0</v>
      </c>
      <c r="AA17" s="1">
        <f t="shared" si="12"/>
        <v>0</v>
      </c>
    </row>
    <row r="18" spans="1:30" ht="15" customHeight="1" x14ac:dyDescent="0.25">
      <c r="A18" s="15" t="s">
        <v>51</v>
      </c>
      <c r="B18" s="16" t="s">
        <v>56</v>
      </c>
      <c r="C18" s="27" t="s">
        <v>58</v>
      </c>
      <c r="D18" s="2"/>
      <c r="E18" s="2"/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52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54">
        <v>0</v>
      </c>
      <c r="Y18" s="58">
        <f t="shared" si="2"/>
        <v>0</v>
      </c>
      <c r="Z18" s="1">
        <f t="shared" si="3"/>
        <v>0</v>
      </c>
      <c r="AA18" s="1">
        <f t="shared" si="12"/>
        <v>0</v>
      </c>
    </row>
    <row r="19" spans="1:30" x14ac:dyDescent="0.25">
      <c r="A19" s="15" t="s">
        <v>51</v>
      </c>
      <c r="B19" s="16" t="s">
        <v>9</v>
      </c>
      <c r="C19" s="27" t="s">
        <v>59</v>
      </c>
      <c r="D19" s="2"/>
      <c r="E19" s="2"/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52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54">
        <v>0</v>
      </c>
      <c r="Y19" s="58">
        <f t="shared" si="2"/>
        <v>0</v>
      </c>
      <c r="Z19" s="1">
        <f t="shared" si="3"/>
        <v>0</v>
      </c>
      <c r="AA19" s="1">
        <f t="shared" si="12"/>
        <v>0</v>
      </c>
    </row>
    <row r="20" spans="1:30" x14ac:dyDescent="0.25">
      <c r="A20" s="15" t="s">
        <v>51</v>
      </c>
      <c r="B20" s="16" t="s">
        <v>9</v>
      </c>
      <c r="C20" s="27" t="s">
        <v>9</v>
      </c>
      <c r="D20" s="2"/>
      <c r="E20" s="2"/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52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54">
        <v>0</v>
      </c>
      <c r="Y20" s="58">
        <f t="shared" si="2"/>
        <v>0</v>
      </c>
      <c r="Z20" s="1">
        <f t="shared" si="3"/>
        <v>0</v>
      </c>
      <c r="AA20" s="1">
        <f t="shared" si="12"/>
        <v>0</v>
      </c>
      <c r="AB20" t="s">
        <v>122</v>
      </c>
      <c r="AC20">
        <v>871.11111111111097</v>
      </c>
      <c r="AD20">
        <v>1333.3333333333333</v>
      </c>
    </row>
    <row r="21" spans="1:30" x14ac:dyDescent="0.25">
      <c r="A21" s="28" t="s">
        <v>60</v>
      </c>
      <c r="B21" s="29" t="s">
        <v>13</v>
      </c>
      <c r="C21" s="29" t="s">
        <v>61</v>
      </c>
      <c r="D21" s="2"/>
      <c r="E21" s="2"/>
      <c r="F21" s="64">
        <f>10970*0.88</f>
        <v>9653.6</v>
      </c>
      <c r="G21" s="51">
        <v>0</v>
      </c>
      <c r="H21" s="64">
        <f>7320*0.68</f>
        <v>4977.6000000000004</v>
      </c>
      <c r="I21" s="64">
        <v>2940</v>
      </c>
      <c r="J21" s="64">
        <f>1370</f>
        <v>1370</v>
      </c>
      <c r="K21" s="64">
        <v>600</v>
      </c>
      <c r="L21" s="52">
        <v>0</v>
      </c>
      <c r="M21" s="64">
        <v>1274</v>
      </c>
      <c r="N21" s="64">
        <v>111</v>
      </c>
      <c r="O21" s="64">
        <f>3100*0.27</f>
        <v>837</v>
      </c>
      <c r="P21" s="64">
        <f>3100*0.7</f>
        <v>2170</v>
      </c>
      <c r="Q21" s="69">
        <f>Q66/Q111</f>
        <v>18.18181818181818</v>
      </c>
      <c r="R21" s="69">
        <f>R66/R111</f>
        <v>64</v>
      </c>
      <c r="S21" s="51">
        <v>0</v>
      </c>
      <c r="T21" s="69">
        <f>T66/T111</f>
        <v>64</v>
      </c>
      <c r="U21" s="69">
        <f>U66/U111</f>
        <v>320</v>
      </c>
      <c r="V21" s="77">
        <v>50</v>
      </c>
      <c r="W21" s="69">
        <f>W66/W111</f>
        <v>1066.6666666666667</v>
      </c>
      <c r="X21" s="69">
        <f>X66/X111</f>
        <v>800</v>
      </c>
      <c r="Y21" s="59">
        <f t="shared" si="2"/>
        <v>19541.2</v>
      </c>
      <c r="Z21" s="51">
        <f t="shared" si="3"/>
        <v>6774.848484848485</v>
      </c>
      <c r="AA21" s="51">
        <f t="shared" si="12"/>
        <v>26316.048484848485</v>
      </c>
      <c r="AB21" t="s">
        <v>123</v>
      </c>
      <c r="AD21">
        <v>111.11111111111111</v>
      </c>
    </row>
    <row r="22" spans="1:30" x14ac:dyDescent="0.25">
      <c r="A22" s="36" t="s">
        <v>60</v>
      </c>
      <c r="B22" s="37" t="s">
        <v>13</v>
      </c>
      <c r="C22" s="29" t="s">
        <v>62</v>
      </c>
      <c r="D22" s="2"/>
      <c r="E22" s="2"/>
      <c r="F22" s="64">
        <f>10970*0.12</f>
        <v>1316.3999999999999</v>
      </c>
      <c r="G22" s="64">
        <v>2940</v>
      </c>
      <c r="H22" s="64">
        <f>7320*0.32</f>
        <v>2342.4</v>
      </c>
      <c r="I22" s="51">
        <v>0</v>
      </c>
      <c r="J22" s="51">
        <v>0</v>
      </c>
      <c r="K22" s="51">
        <v>0</v>
      </c>
      <c r="L22" s="52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  <c r="R22" s="51">
        <v>0</v>
      </c>
      <c r="S22" s="51">
        <v>0</v>
      </c>
      <c r="T22" s="51">
        <v>0</v>
      </c>
      <c r="U22" s="51">
        <v>0</v>
      </c>
      <c r="V22" s="51">
        <v>0</v>
      </c>
      <c r="W22" s="51">
        <v>0</v>
      </c>
      <c r="X22" s="55">
        <v>0</v>
      </c>
      <c r="Y22" s="59">
        <f t="shared" si="2"/>
        <v>6598.7999999999993</v>
      </c>
      <c r="Z22" s="51">
        <f t="shared" si="3"/>
        <v>0</v>
      </c>
      <c r="AA22" s="51">
        <f t="shared" si="12"/>
        <v>6598.7999999999993</v>
      </c>
      <c r="AB22" t="s">
        <v>7</v>
      </c>
      <c r="AD22">
        <v>888.88888888888891</v>
      </c>
    </row>
    <row r="23" spans="1:30" x14ac:dyDescent="0.25">
      <c r="A23" s="30" t="s">
        <v>60</v>
      </c>
      <c r="B23" s="31" t="s">
        <v>13</v>
      </c>
      <c r="C23" s="32" t="s">
        <v>63</v>
      </c>
      <c r="D23" s="2"/>
      <c r="E23" s="2"/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2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55">
        <v>0</v>
      </c>
      <c r="Y23" s="59">
        <f t="shared" si="2"/>
        <v>0</v>
      </c>
      <c r="Z23" s="51">
        <f t="shared" si="3"/>
        <v>0</v>
      </c>
      <c r="AA23" s="51">
        <f t="shared" si="12"/>
        <v>0</v>
      </c>
      <c r="AB23" t="s">
        <v>8</v>
      </c>
      <c r="AC23">
        <v>28282.828282828283</v>
      </c>
      <c r="AD23">
        <v>2222.2222222222222</v>
      </c>
    </row>
    <row r="24" spans="1:30" x14ac:dyDescent="0.25">
      <c r="A24" s="30" t="s">
        <v>60</v>
      </c>
      <c r="B24" s="32" t="s">
        <v>23</v>
      </c>
      <c r="C24" s="31" t="s">
        <v>50</v>
      </c>
      <c r="D24" s="2"/>
      <c r="E24" s="2"/>
      <c r="F24" s="77">
        <f>F204*F159</f>
        <v>150</v>
      </c>
      <c r="G24" s="51">
        <v>0</v>
      </c>
      <c r="H24" s="51">
        <v>0</v>
      </c>
      <c r="I24" s="51">
        <v>0</v>
      </c>
      <c r="J24" s="77">
        <f>J21*0.05</f>
        <v>68.5</v>
      </c>
      <c r="K24" s="64">
        <v>2400</v>
      </c>
      <c r="L24" s="52">
        <v>0</v>
      </c>
      <c r="M24" s="51">
        <v>0</v>
      </c>
      <c r="N24" s="64">
        <v>1380</v>
      </c>
      <c r="O24" s="51">
        <v>0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51">
        <v>0</v>
      </c>
      <c r="X24" s="55">
        <v>0</v>
      </c>
      <c r="Y24" s="59">
        <f t="shared" si="2"/>
        <v>2618.5</v>
      </c>
      <c r="Z24" s="51">
        <f t="shared" si="3"/>
        <v>1380</v>
      </c>
      <c r="AA24" s="64">
        <v>3800</v>
      </c>
    </row>
    <row r="25" spans="1:30" x14ac:dyDescent="0.25">
      <c r="A25" s="30" t="s">
        <v>60</v>
      </c>
      <c r="B25" s="32" t="s">
        <v>23</v>
      </c>
      <c r="C25" s="31" t="s">
        <v>49</v>
      </c>
      <c r="D25" s="2"/>
      <c r="E25" s="2"/>
      <c r="F25" s="51">
        <v>0</v>
      </c>
      <c r="G25" s="51">
        <v>0</v>
      </c>
      <c r="H25" s="51">
        <v>0</v>
      </c>
      <c r="I25" s="51">
        <v>0</v>
      </c>
      <c r="J25" s="81">
        <f>J70/J115</f>
        <v>1672.1311475409836</v>
      </c>
      <c r="K25" s="77">
        <v>300</v>
      </c>
      <c r="L25" s="52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51">
        <v>0</v>
      </c>
      <c r="S25" s="77">
        <v>245</v>
      </c>
      <c r="T25" s="77">
        <v>600</v>
      </c>
      <c r="U25" s="51">
        <v>0</v>
      </c>
      <c r="V25" s="77">
        <v>100</v>
      </c>
      <c r="W25" s="51">
        <v>0</v>
      </c>
      <c r="X25" s="77">
        <v>100</v>
      </c>
      <c r="Y25" s="59">
        <f t="shared" si="2"/>
        <v>1972.1311475409836</v>
      </c>
      <c r="Z25" s="51">
        <f t="shared" si="3"/>
        <v>1045</v>
      </c>
      <c r="AA25" s="64">
        <v>2500</v>
      </c>
    </row>
    <row r="26" spans="1:30" x14ac:dyDescent="0.25">
      <c r="A26" s="30" t="s">
        <v>60</v>
      </c>
      <c r="B26" s="32" t="s">
        <v>23</v>
      </c>
      <c r="C26" s="31" t="s">
        <v>64</v>
      </c>
      <c r="D26" s="2"/>
      <c r="E26" s="2"/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2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  <c r="V26" s="51">
        <v>0</v>
      </c>
      <c r="W26" s="51">
        <v>0</v>
      </c>
      <c r="X26" s="55">
        <v>0</v>
      </c>
      <c r="Y26" s="59">
        <f t="shared" si="2"/>
        <v>0</v>
      </c>
      <c r="Z26" s="51">
        <f t="shared" si="3"/>
        <v>0</v>
      </c>
      <c r="AA26" s="51">
        <f t="shared" ref="AA26:AA45" si="13">L26+Y26+Z26</f>
        <v>0</v>
      </c>
      <c r="AD26">
        <f>300*0.26</f>
        <v>78</v>
      </c>
    </row>
    <row r="27" spans="1:30" x14ac:dyDescent="0.25">
      <c r="A27" s="30" t="s">
        <v>60</v>
      </c>
      <c r="B27" s="32" t="s">
        <v>65</v>
      </c>
      <c r="C27" s="31" t="s">
        <v>66</v>
      </c>
      <c r="D27" s="2"/>
      <c r="E27" s="2"/>
      <c r="F27" s="51">
        <v>0</v>
      </c>
      <c r="G27" s="51">
        <v>0</v>
      </c>
      <c r="H27" s="51">
        <v>0</v>
      </c>
      <c r="I27" s="51">
        <v>0</v>
      </c>
      <c r="J27" s="81">
        <f>J72/J117</f>
        <v>3333.3333333333335</v>
      </c>
      <c r="K27" s="51">
        <v>0</v>
      </c>
      <c r="L27" s="52">
        <v>0</v>
      </c>
      <c r="M27" s="81">
        <f>M72/M117</f>
        <v>9916.6666666666679</v>
      </c>
      <c r="N27" s="51">
        <v>0</v>
      </c>
      <c r="O27" s="51">
        <v>0</v>
      </c>
      <c r="P27" s="51">
        <v>0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51">
        <v>0</v>
      </c>
      <c r="X27" s="55">
        <v>0</v>
      </c>
      <c r="Y27" s="59">
        <f t="shared" si="2"/>
        <v>3333.3333333333335</v>
      </c>
      <c r="Z27" s="51">
        <f t="shared" si="3"/>
        <v>9916.6666666666679</v>
      </c>
      <c r="AA27" s="51">
        <f t="shared" si="13"/>
        <v>13250.000000000002</v>
      </c>
    </row>
    <row r="28" spans="1:30" x14ac:dyDescent="0.25">
      <c r="A28" s="30" t="s">
        <v>60</v>
      </c>
      <c r="B28" s="32" t="s">
        <v>65</v>
      </c>
      <c r="C28" s="31" t="s">
        <v>67</v>
      </c>
      <c r="D28" s="2"/>
      <c r="E28" s="2"/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2">
        <v>0</v>
      </c>
      <c r="M28" s="51">
        <v>0</v>
      </c>
      <c r="N28" s="51">
        <v>0</v>
      </c>
      <c r="O28" s="51">
        <v>0</v>
      </c>
      <c r="P28" s="51">
        <v>0</v>
      </c>
      <c r="Q28" s="81">
        <f>Q73/Q118</f>
        <v>22826.666666666668</v>
      </c>
      <c r="R28" s="81">
        <f>R73/R118</f>
        <v>10222.222222222223</v>
      </c>
      <c r="S28" s="51">
        <v>0</v>
      </c>
      <c r="T28" s="81">
        <f>T73/T118</f>
        <v>14933.333333333334</v>
      </c>
      <c r="U28" s="81">
        <f>U73/U118</f>
        <v>7333.3333333333339</v>
      </c>
      <c r="V28" s="81">
        <f>V73/V118</f>
        <v>4166.666666666667</v>
      </c>
      <c r="W28" s="81">
        <f>W73/W118</f>
        <v>5333.3333333333339</v>
      </c>
      <c r="X28" s="81">
        <f>X73/X118</f>
        <v>16666.666666666668</v>
      </c>
      <c r="Y28" s="59">
        <f t="shared" si="2"/>
        <v>0</v>
      </c>
      <c r="Z28" s="51">
        <f t="shared" si="3"/>
        <v>81482.222222222234</v>
      </c>
      <c r="AA28" s="51">
        <f t="shared" si="13"/>
        <v>81482.222222222234</v>
      </c>
    </row>
    <row r="29" spans="1:30" x14ac:dyDescent="0.25">
      <c r="A29" s="30" t="s">
        <v>60</v>
      </c>
      <c r="B29" s="32" t="s">
        <v>65</v>
      </c>
      <c r="C29" s="31" t="s">
        <v>68</v>
      </c>
      <c r="D29" s="2"/>
      <c r="E29" s="2"/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81">
        <f>L74/L119</f>
        <v>208333.33333333334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  <c r="R29" s="51">
        <v>0</v>
      </c>
      <c r="S29" s="51">
        <v>0</v>
      </c>
      <c r="T29" s="51">
        <v>0</v>
      </c>
      <c r="U29" s="51">
        <v>0</v>
      </c>
      <c r="V29" s="51">
        <v>0</v>
      </c>
      <c r="W29" s="51">
        <v>0</v>
      </c>
      <c r="X29" s="55">
        <v>0</v>
      </c>
      <c r="Y29" s="59">
        <f t="shared" si="2"/>
        <v>0</v>
      </c>
      <c r="Z29" s="51">
        <f t="shared" si="3"/>
        <v>0</v>
      </c>
      <c r="AA29" s="51">
        <f t="shared" si="13"/>
        <v>208333.33333333334</v>
      </c>
    </row>
    <row r="30" spans="1:30" x14ac:dyDescent="0.25">
      <c r="A30" s="30" t="s">
        <v>60</v>
      </c>
      <c r="B30" s="32" t="s">
        <v>9</v>
      </c>
      <c r="C30" s="31" t="s">
        <v>69</v>
      </c>
      <c r="D30" s="2"/>
      <c r="E30" s="2"/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2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  <c r="R30" s="51">
        <v>0</v>
      </c>
      <c r="S30" s="51">
        <v>0</v>
      </c>
      <c r="T30" s="51">
        <v>0</v>
      </c>
      <c r="U30" s="51">
        <v>0</v>
      </c>
      <c r="V30" s="96">
        <v>760</v>
      </c>
      <c r="W30" s="51">
        <v>0</v>
      </c>
      <c r="X30" s="81">
        <f>X75/X120</f>
        <v>1488.0952380952381</v>
      </c>
      <c r="Y30" s="59">
        <f t="shared" si="2"/>
        <v>0</v>
      </c>
      <c r="Z30" s="51">
        <f t="shared" si="3"/>
        <v>2248.0952380952381</v>
      </c>
      <c r="AA30" s="51">
        <f t="shared" si="13"/>
        <v>2248.0952380952381</v>
      </c>
    </row>
    <row r="31" spans="1:30" x14ac:dyDescent="0.25">
      <c r="A31" s="15" t="s">
        <v>51</v>
      </c>
      <c r="B31" s="16" t="s">
        <v>56</v>
      </c>
      <c r="C31" s="27" t="s">
        <v>57</v>
      </c>
      <c r="D31" s="16" t="s">
        <v>70</v>
      </c>
      <c r="E31" s="43"/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52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54">
        <v>0</v>
      </c>
      <c r="Y31" s="58">
        <f t="shared" si="2"/>
        <v>0</v>
      </c>
      <c r="Z31" s="1">
        <f t="shared" si="3"/>
        <v>0</v>
      </c>
      <c r="AA31" s="1">
        <f t="shared" si="13"/>
        <v>0</v>
      </c>
    </row>
    <row r="32" spans="1:30" x14ac:dyDescent="0.25">
      <c r="A32" s="15" t="s">
        <v>51</v>
      </c>
      <c r="B32" s="16" t="s">
        <v>56</v>
      </c>
      <c r="C32" s="27" t="s">
        <v>57</v>
      </c>
      <c r="D32" s="16" t="s">
        <v>71</v>
      </c>
      <c r="E32" s="43"/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52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54">
        <v>0</v>
      </c>
      <c r="Y32" s="58">
        <f t="shared" si="2"/>
        <v>0</v>
      </c>
      <c r="Z32" s="1">
        <f t="shared" si="3"/>
        <v>0</v>
      </c>
      <c r="AA32" s="1">
        <f t="shared" si="13"/>
        <v>0</v>
      </c>
    </row>
    <row r="33" spans="1:29" x14ac:dyDescent="0.25">
      <c r="A33" s="15" t="s">
        <v>51</v>
      </c>
      <c r="B33" s="16" t="s">
        <v>56</v>
      </c>
      <c r="C33" s="27" t="s">
        <v>27</v>
      </c>
      <c r="D33" s="16" t="s">
        <v>72</v>
      </c>
      <c r="E33" s="43"/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52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54">
        <v>0</v>
      </c>
      <c r="Y33" s="58">
        <f t="shared" si="2"/>
        <v>0</v>
      </c>
      <c r="Z33" s="1">
        <f t="shared" si="3"/>
        <v>0</v>
      </c>
      <c r="AA33" s="1">
        <f t="shared" si="13"/>
        <v>0</v>
      </c>
    </row>
    <row r="34" spans="1:29" x14ac:dyDescent="0.25">
      <c r="A34" s="15" t="s">
        <v>51</v>
      </c>
      <c r="B34" s="16" t="s">
        <v>56</v>
      </c>
      <c r="C34" s="27" t="s">
        <v>57</v>
      </c>
      <c r="D34" s="16" t="s">
        <v>73</v>
      </c>
      <c r="E34" s="43"/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52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54">
        <v>0</v>
      </c>
      <c r="Y34" s="58">
        <f t="shared" si="2"/>
        <v>0</v>
      </c>
      <c r="Z34" s="1">
        <f t="shared" si="3"/>
        <v>0</v>
      </c>
      <c r="AA34" s="1">
        <f t="shared" si="13"/>
        <v>0</v>
      </c>
    </row>
    <row r="35" spans="1:29" x14ac:dyDescent="0.25">
      <c r="A35" s="15" t="s">
        <v>51</v>
      </c>
      <c r="B35" s="16" t="s">
        <v>56</v>
      </c>
      <c r="C35" s="27" t="s">
        <v>57</v>
      </c>
      <c r="D35" s="16" t="s">
        <v>74</v>
      </c>
      <c r="E35" s="43"/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52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54">
        <v>0</v>
      </c>
      <c r="Y35" s="58">
        <f t="shared" si="2"/>
        <v>0</v>
      </c>
      <c r="Z35" s="1">
        <f t="shared" si="3"/>
        <v>0</v>
      </c>
      <c r="AA35" s="1">
        <f t="shared" si="13"/>
        <v>0</v>
      </c>
      <c r="AC35" t="s">
        <v>105</v>
      </c>
    </row>
    <row r="36" spans="1:29" x14ac:dyDescent="0.25">
      <c r="A36" s="30" t="s">
        <v>60</v>
      </c>
      <c r="B36" s="31" t="s">
        <v>13</v>
      </c>
      <c r="C36" s="32" t="s">
        <v>61</v>
      </c>
      <c r="D36" s="31" t="s">
        <v>75</v>
      </c>
      <c r="E36" s="72" t="e">
        <f>#REF!</f>
        <v>#REF!</v>
      </c>
      <c r="F36" s="51">
        <f>F21*0.8</f>
        <v>7722.880000000001</v>
      </c>
      <c r="G36" s="51">
        <v>0</v>
      </c>
      <c r="H36" s="51">
        <f>H21</f>
        <v>4977.6000000000004</v>
      </c>
      <c r="I36" s="51">
        <f>I21*0.1</f>
        <v>294</v>
      </c>
      <c r="J36" s="51">
        <v>0</v>
      </c>
      <c r="K36" s="51">
        <f>K21*0.05</f>
        <v>30</v>
      </c>
      <c r="L36" s="52">
        <v>0</v>
      </c>
      <c r="M36" s="51">
        <f>M21*0.1</f>
        <v>127.4</v>
      </c>
      <c r="N36" s="51">
        <v>0</v>
      </c>
      <c r="O36" s="51">
        <v>0</v>
      </c>
      <c r="P36" s="51">
        <v>0</v>
      </c>
      <c r="Q36" s="51"/>
      <c r="R36" s="51"/>
      <c r="S36" s="51"/>
      <c r="T36" s="51"/>
      <c r="U36" s="51"/>
      <c r="V36" s="51"/>
      <c r="W36" s="51">
        <f>W21</f>
        <v>1066.6666666666667</v>
      </c>
      <c r="X36" s="55"/>
      <c r="Y36" s="59">
        <f t="shared" si="2"/>
        <v>13024.480000000001</v>
      </c>
      <c r="Z36" s="51">
        <f t="shared" si="3"/>
        <v>1194.0666666666668</v>
      </c>
      <c r="AA36" s="51">
        <f t="shared" si="13"/>
        <v>14218.546666666669</v>
      </c>
      <c r="AB36">
        <f>AA36/AA$10</f>
        <v>0.43217467071935162</v>
      </c>
      <c r="AC36" s="71" t="e">
        <f>E36</f>
        <v>#REF!</v>
      </c>
    </row>
    <row r="37" spans="1:29" x14ac:dyDescent="0.25">
      <c r="A37" s="30" t="s">
        <v>60</v>
      </c>
      <c r="B37" s="31" t="s">
        <v>13</v>
      </c>
      <c r="C37" s="32" t="s">
        <v>61</v>
      </c>
      <c r="D37" s="31" t="s">
        <v>76</v>
      </c>
      <c r="E37" s="72" t="e">
        <f>#REF!</f>
        <v>#REF!</v>
      </c>
      <c r="F37" s="51">
        <f>F21*0.2</f>
        <v>1930.7200000000003</v>
      </c>
      <c r="G37" s="51">
        <v>0</v>
      </c>
      <c r="H37" s="51">
        <v>0</v>
      </c>
      <c r="I37" s="51">
        <f>I21*0.7</f>
        <v>2058</v>
      </c>
      <c r="J37" s="51">
        <f>J21</f>
        <v>1370</v>
      </c>
      <c r="K37" s="51">
        <f>K21*0.15</f>
        <v>90</v>
      </c>
      <c r="L37" s="52">
        <v>0</v>
      </c>
      <c r="M37" s="51">
        <f>M21*0.3</f>
        <v>382.2</v>
      </c>
      <c r="N37" s="51">
        <f>N21</f>
        <v>111</v>
      </c>
      <c r="O37" s="51">
        <f>O21*0.9</f>
        <v>753.30000000000007</v>
      </c>
      <c r="P37" s="51">
        <f>P21*0.05</f>
        <v>108.5</v>
      </c>
      <c r="Q37" s="51"/>
      <c r="R37" s="51">
        <f>R21</f>
        <v>64</v>
      </c>
      <c r="S37" s="51"/>
      <c r="T37" s="51"/>
      <c r="U37" s="51"/>
      <c r="V37" s="51"/>
      <c r="W37" s="51"/>
      <c r="X37" s="55"/>
      <c r="Y37" s="59">
        <f t="shared" si="2"/>
        <v>5448.72</v>
      </c>
      <c r="Z37" s="51">
        <f t="shared" si="3"/>
        <v>1419</v>
      </c>
      <c r="AA37" s="51">
        <f t="shared" si="13"/>
        <v>6867.72</v>
      </c>
      <c r="AB37">
        <f t="shared" ref="AB37:AB42" si="14">AA37/AA$10</f>
        <v>0.20874528875379941</v>
      </c>
      <c r="AC37" s="71" t="e">
        <f>E37</f>
        <v>#REF!</v>
      </c>
    </row>
    <row r="38" spans="1:29" x14ac:dyDescent="0.25">
      <c r="A38" s="30" t="s">
        <v>60</v>
      </c>
      <c r="B38" s="31" t="s">
        <v>13</v>
      </c>
      <c r="C38" s="32" t="s">
        <v>61</v>
      </c>
      <c r="D38" s="31" t="s">
        <v>77</v>
      </c>
      <c r="E38" s="72" t="e">
        <f>#REF!</f>
        <v>#REF!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f>K21*0.4</f>
        <v>240</v>
      </c>
      <c r="L38" s="52">
        <v>0</v>
      </c>
      <c r="M38" s="51">
        <f>M21*0.5</f>
        <v>637</v>
      </c>
      <c r="N38" s="51">
        <v>0</v>
      </c>
      <c r="O38" s="51">
        <v>0</v>
      </c>
      <c r="P38" s="51">
        <v>0</v>
      </c>
      <c r="Q38" s="51"/>
      <c r="R38" s="51"/>
      <c r="S38" s="51"/>
      <c r="T38" s="51">
        <f>T21/2</f>
        <v>32</v>
      </c>
      <c r="U38" s="51">
        <f>U21</f>
        <v>320</v>
      </c>
      <c r="V38" s="51"/>
      <c r="W38" s="51"/>
      <c r="X38" s="55"/>
      <c r="Y38" s="59">
        <f t="shared" si="2"/>
        <v>240</v>
      </c>
      <c r="Z38" s="51">
        <f t="shared" si="3"/>
        <v>989</v>
      </c>
      <c r="AA38" s="51">
        <f t="shared" si="13"/>
        <v>1229</v>
      </c>
      <c r="AB38">
        <f t="shared" si="14"/>
        <v>3.735562310030395E-2</v>
      </c>
      <c r="AC38" s="71" t="e">
        <f>E38</f>
        <v>#REF!</v>
      </c>
    </row>
    <row r="39" spans="1:29" x14ac:dyDescent="0.25">
      <c r="A39" s="30" t="s">
        <v>60</v>
      </c>
      <c r="B39" s="31" t="s">
        <v>13</v>
      </c>
      <c r="C39" s="32" t="s">
        <v>61</v>
      </c>
      <c r="D39" s="31" t="s">
        <v>78</v>
      </c>
      <c r="E39" s="72" t="e">
        <f>#REF!</f>
        <v>#REF!</v>
      </c>
      <c r="F39" s="51">
        <v>0</v>
      </c>
      <c r="G39" s="51">
        <v>0</v>
      </c>
      <c r="H39" s="51">
        <v>0</v>
      </c>
      <c r="I39" s="51">
        <f>I21*0.2</f>
        <v>588</v>
      </c>
      <c r="J39" s="51">
        <v>0</v>
      </c>
      <c r="K39" s="51">
        <f>K21*0.4</f>
        <v>240</v>
      </c>
      <c r="L39" s="52">
        <v>0</v>
      </c>
      <c r="M39" s="51">
        <f>M21*0.1</f>
        <v>127.4</v>
      </c>
      <c r="N39" s="51">
        <v>0</v>
      </c>
      <c r="O39" s="51">
        <f>O21*0.1</f>
        <v>83.7</v>
      </c>
      <c r="P39" s="51">
        <f>P21*0.95</f>
        <v>2061.5</v>
      </c>
      <c r="Q39" s="51">
        <f>Q21</f>
        <v>18.18181818181818</v>
      </c>
      <c r="R39" s="51"/>
      <c r="S39" s="51"/>
      <c r="T39" s="51"/>
      <c r="U39" s="51"/>
      <c r="V39" s="51"/>
      <c r="W39" s="51"/>
      <c r="X39" s="55">
        <f>X21</f>
        <v>800</v>
      </c>
      <c r="Y39" s="59">
        <f t="shared" si="2"/>
        <v>828</v>
      </c>
      <c r="Z39" s="51">
        <f t="shared" si="3"/>
        <v>3090.7818181818179</v>
      </c>
      <c r="AA39" s="51">
        <f t="shared" si="13"/>
        <v>3918.7818181818179</v>
      </c>
      <c r="AB39">
        <f t="shared" si="14"/>
        <v>0.11911190936722851</v>
      </c>
      <c r="AC39" s="71" t="e">
        <f>E39</f>
        <v>#REF!</v>
      </c>
    </row>
    <row r="40" spans="1:29" ht="15.75" thickBot="1" x14ac:dyDescent="0.3">
      <c r="A40" s="33" t="s">
        <v>60</v>
      </c>
      <c r="B40" s="34" t="s">
        <v>13</v>
      </c>
      <c r="C40" s="35" t="s">
        <v>61</v>
      </c>
      <c r="D40" s="34" t="s">
        <v>79</v>
      </c>
      <c r="E40" s="43"/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2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  <c r="V40" s="51">
        <v>0</v>
      </c>
      <c r="W40" s="51">
        <v>0</v>
      </c>
      <c r="X40" s="55">
        <v>0</v>
      </c>
      <c r="Y40" s="59">
        <f t="shared" si="2"/>
        <v>0</v>
      </c>
      <c r="Z40" s="51">
        <f t="shared" si="3"/>
        <v>0</v>
      </c>
      <c r="AA40" s="51">
        <f t="shared" si="13"/>
        <v>0</v>
      </c>
      <c r="AB40">
        <f t="shared" si="14"/>
        <v>0</v>
      </c>
    </row>
    <row r="41" spans="1:29" x14ac:dyDescent="0.25">
      <c r="A41" s="30" t="s">
        <v>60</v>
      </c>
      <c r="B41" s="31" t="s">
        <v>13</v>
      </c>
      <c r="C41" s="32" t="s">
        <v>62</v>
      </c>
      <c r="D41" s="31" t="s">
        <v>75</v>
      </c>
      <c r="E41" s="43"/>
      <c r="F41" s="51"/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2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  <c r="R41" s="51">
        <v>0</v>
      </c>
      <c r="S41" s="51">
        <v>0</v>
      </c>
      <c r="T41" s="51">
        <v>0</v>
      </c>
      <c r="U41" s="51">
        <v>0</v>
      </c>
      <c r="V41" s="51">
        <v>0</v>
      </c>
      <c r="W41" s="51">
        <v>0</v>
      </c>
      <c r="X41" s="55">
        <v>0</v>
      </c>
      <c r="Y41" s="59">
        <f t="shared" si="2"/>
        <v>0</v>
      </c>
      <c r="Z41" s="51">
        <f t="shared" si="3"/>
        <v>0</v>
      </c>
      <c r="AA41" s="51">
        <f t="shared" si="13"/>
        <v>0</v>
      </c>
      <c r="AB41">
        <f t="shared" si="14"/>
        <v>0</v>
      </c>
    </row>
    <row r="42" spans="1:29" x14ac:dyDescent="0.25">
      <c r="A42" s="30" t="s">
        <v>60</v>
      </c>
      <c r="B42" s="31" t="s">
        <v>13</v>
      </c>
      <c r="C42" s="32" t="s">
        <v>62</v>
      </c>
      <c r="D42" s="31" t="s">
        <v>76</v>
      </c>
      <c r="E42" s="43"/>
      <c r="F42" s="51">
        <f>F22</f>
        <v>1316.3999999999999</v>
      </c>
      <c r="G42" s="51">
        <f>G22</f>
        <v>2940</v>
      </c>
      <c r="H42" s="51">
        <f>H22</f>
        <v>2342.4</v>
      </c>
      <c r="I42" s="51">
        <v>0</v>
      </c>
      <c r="J42" s="51">
        <v>0</v>
      </c>
      <c r="K42" s="51">
        <v>0</v>
      </c>
      <c r="L42" s="52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  <c r="R42" s="51">
        <v>0</v>
      </c>
      <c r="S42" s="51">
        <v>0</v>
      </c>
      <c r="T42" s="51">
        <v>0</v>
      </c>
      <c r="U42" s="51">
        <v>0</v>
      </c>
      <c r="V42" s="51">
        <v>0</v>
      </c>
      <c r="W42" s="51">
        <v>0</v>
      </c>
      <c r="X42" s="55">
        <v>0</v>
      </c>
      <c r="Y42" s="59">
        <f t="shared" si="2"/>
        <v>6598.7999999999993</v>
      </c>
      <c r="Z42" s="51">
        <f t="shared" si="3"/>
        <v>0</v>
      </c>
      <c r="AA42" s="51">
        <f t="shared" si="13"/>
        <v>6598.7999999999993</v>
      </c>
      <c r="AB42">
        <f t="shared" si="14"/>
        <v>0.20057142857142854</v>
      </c>
    </row>
    <row r="43" spans="1:29" x14ac:dyDescent="0.25">
      <c r="A43" s="30" t="s">
        <v>60</v>
      </c>
      <c r="B43" s="31" t="s">
        <v>13</v>
      </c>
      <c r="C43" s="32" t="s">
        <v>62</v>
      </c>
      <c r="D43" s="31" t="s">
        <v>77</v>
      </c>
      <c r="E43" s="43"/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2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  <c r="R43" s="51">
        <v>0</v>
      </c>
      <c r="S43" s="51">
        <v>0</v>
      </c>
      <c r="T43" s="51">
        <v>0</v>
      </c>
      <c r="U43" s="51">
        <v>0</v>
      </c>
      <c r="V43" s="51">
        <v>0</v>
      </c>
      <c r="W43" s="51">
        <v>0</v>
      </c>
      <c r="X43" s="55">
        <v>0</v>
      </c>
      <c r="Y43" s="59">
        <f t="shared" si="2"/>
        <v>0</v>
      </c>
      <c r="Z43" s="51">
        <f t="shared" si="3"/>
        <v>0</v>
      </c>
      <c r="AA43" s="51">
        <f t="shared" si="13"/>
        <v>0</v>
      </c>
    </row>
    <row r="44" spans="1:29" x14ac:dyDescent="0.25">
      <c r="A44" s="30" t="s">
        <v>60</v>
      </c>
      <c r="B44" s="31" t="s">
        <v>13</v>
      </c>
      <c r="C44" s="32" t="s">
        <v>62</v>
      </c>
      <c r="D44" s="31" t="s">
        <v>78</v>
      </c>
      <c r="E44" s="43"/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2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  <c r="R44" s="51">
        <v>0</v>
      </c>
      <c r="S44" s="51">
        <v>0</v>
      </c>
      <c r="T44" s="51">
        <v>0</v>
      </c>
      <c r="U44" s="51">
        <v>0</v>
      </c>
      <c r="V44" s="51">
        <v>0</v>
      </c>
      <c r="W44" s="51">
        <v>0</v>
      </c>
      <c r="X44" s="55">
        <v>0</v>
      </c>
      <c r="Y44" s="59">
        <f t="shared" si="2"/>
        <v>0</v>
      </c>
      <c r="Z44" s="51">
        <f t="shared" si="3"/>
        <v>0</v>
      </c>
      <c r="AA44" s="51">
        <f t="shared" si="13"/>
        <v>0</v>
      </c>
    </row>
    <row r="45" spans="1:29" ht="15.75" thickBot="1" x14ac:dyDescent="0.3">
      <c r="A45" s="33" t="s">
        <v>60</v>
      </c>
      <c r="B45" s="34" t="s">
        <v>13</v>
      </c>
      <c r="C45" s="32" t="s">
        <v>62</v>
      </c>
      <c r="D45" s="34" t="s">
        <v>79</v>
      </c>
      <c r="E45" s="43"/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2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  <c r="R45" s="51">
        <v>0</v>
      </c>
      <c r="S45" s="51">
        <v>0</v>
      </c>
      <c r="T45" s="51">
        <v>0</v>
      </c>
      <c r="U45" s="51">
        <v>0</v>
      </c>
      <c r="V45" s="51">
        <v>0</v>
      </c>
      <c r="W45" s="51">
        <v>0</v>
      </c>
      <c r="X45" s="55">
        <v>0</v>
      </c>
      <c r="Y45" s="59">
        <f t="shared" si="2"/>
        <v>0</v>
      </c>
      <c r="Z45" s="51">
        <f t="shared" si="3"/>
        <v>0</v>
      </c>
      <c r="AA45" s="51">
        <f t="shared" si="13"/>
        <v>0</v>
      </c>
    </row>
    <row r="47" spans="1:29" x14ac:dyDescent="0.25">
      <c r="D47" s="41" t="s">
        <v>18</v>
      </c>
      <c r="E47" s="41"/>
      <c r="M47" s="24" t="s">
        <v>81</v>
      </c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  <row r="48" spans="1:29" x14ac:dyDescent="0.25">
      <c r="F48" s="23" t="s">
        <v>44</v>
      </c>
      <c r="G48" s="23"/>
      <c r="H48" s="23"/>
      <c r="I48" s="23"/>
      <c r="J48" s="23"/>
      <c r="K48" s="23"/>
      <c r="L48" s="7" t="s">
        <v>30</v>
      </c>
      <c r="M48" s="24" t="s">
        <v>46</v>
      </c>
      <c r="N48" s="24"/>
      <c r="O48" s="24"/>
      <c r="P48" s="24"/>
      <c r="Q48" s="24"/>
      <c r="R48" s="24" t="s">
        <v>47</v>
      </c>
      <c r="S48" s="24"/>
      <c r="T48" s="24"/>
      <c r="U48" s="24"/>
      <c r="V48" s="24"/>
      <c r="W48" s="24"/>
      <c r="X48" s="24"/>
      <c r="Y48" s="44" t="s">
        <v>85</v>
      </c>
      <c r="Z48" s="44" t="s">
        <v>48</v>
      </c>
      <c r="AA48" s="44" t="s">
        <v>3</v>
      </c>
    </row>
    <row r="49" spans="1:31" ht="63" x14ac:dyDescent="0.25">
      <c r="F49" s="38" t="s">
        <v>36</v>
      </c>
      <c r="G49" s="38" t="s">
        <v>37</v>
      </c>
      <c r="H49" s="38" t="s">
        <v>38</v>
      </c>
      <c r="I49" s="38" t="s">
        <v>80</v>
      </c>
      <c r="J49" s="38" t="s">
        <v>39</v>
      </c>
      <c r="K49" s="38" t="s">
        <v>45</v>
      </c>
      <c r="L49" s="39" t="s">
        <v>16</v>
      </c>
      <c r="M49" s="40" t="s">
        <v>34</v>
      </c>
      <c r="N49" s="40" t="s">
        <v>5</v>
      </c>
      <c r="O49" s="40" t="s">
        <v>7</v>
      </c>
      <c r="P49" s="40" t="s">
        <v>8</v>
      </c>
      <c r="Q49" s="40" t="s">
        <v>40</v>
      </c>
      <c r="R49" s="40" t="s">
        <v>41</v>
      </c>
      <c r="S49" s="40" t="s">
        <v>42</v>
      </c>
      <c r="T49" s="40" t="s">
        <v>31</v>
      </c>
      <c r="U49" s="40" t="s">
        <v>43</v>
      </c>
      <c r="V49" s="40" t="s">
        <v>82</v>
      </c>
      <c r="W49" s="40" t="s">
        <v>87</v>
      </c>
      <c r="X49" s="40" t="s">
        <v>83</v>
      </c>
      <c r="Y49" s="45" t="s">
        <v>3</v>
      </c>
      <c r="Z49" s="45" t="s">
        <v>3</v>
      </c>
      <c r="AA49" s="45" t="s">
        <v>3</v>
      </c>
    </row>
    <row r="50" spans="1:31" x14ac:dyDescent="0.25">
      <c r="A50" s="15" t="s">
        <v>51</v>
      </c>
      <c r="B50" s="2"/>
      <c r="C50" s="2"/>
      <c r="F50" s="1">
        <f t="shared" ref="F50:M50" si="15">F52+F53+F54</f>
        <v>0</v>
      </c>
      <c r="G50" s="1">
        <f t="shared" si="15"/>
        <v>0</v>
      </c>
      <c r="H50" s="1">
        <f t="shared" si="15"/>
        <v>0</v>
      </c>
      <c r="I50" s="1">
        <f t="shared" si="15"/>
        <v>0</v>
      </c>
      <c r="J50" s="1">
        <f t="shared" si="15"/>
        <v>0</v>
      </c>
      <c r="K50" s="1">
        <f t="shared" si="15"/>
        <v>0</v>
      </c>
      <c r="L50" s="52">
        <f t="shared" si="15"/>
        <v>0</v>
      </c>
      <c r="M50" s="1">
        <f t="shared" si="15"/>
        <v>0</v>
      </c>
      <c r="N50" s="1">
        <f t="shared" ref="N50:X50" si="16">N52+N53+N54</f>
        <v>0</v>
      </c>
      <c r="O50" s="1">
        <f t="shared" si="16"/>
        <v>0</v>
      </c>
      <c r="P50" s="1">
        <f t="shared" si="16"/>
        <v>0</v>
      </c>
      <c r="Q50" s="1">
        <f t="shared" si="16"/>
        <v>0</v>
      </c>
      <c r="R50" s="1">
        <f t="shared" si="16"/>
        <v>0</v>
      </c>
      <c r="S50" s="1">
        <f t="shared" si="16"/>
        <v>0</v>
      </c>
      <c r="T50" s="1">
        <f t="shared" si="16"/>
        <v>0</v>
      </c>
      <c r="U50" s="1">
        <f t="shared" si="16"/>
        <v>0</v>
      </c>
      <c r="V50" s="1">
        <f t="shared" si="16"/>
        <v>0</v>
      </c>
      <c r="W50" s="1">
        <f>W52+W53+W54</f>
        <v>0</v>
      </c>
      <c r="X50" s="1">
        <f t="shared" si="16"/>
        <v>0</v>
      </c>
      <c r="Y50" s="58">
        <f t="shared" ref="Y50:Y90" si="17">SUM(F50:K50)</f>
        <v>0</v>
      </c>
      <c r="Z50" s="1">
        <f t="shared" ref="Z50:Z90" si="18">SUM(M50:X50)</f>
        <v>0</v>
      </c>
      <c r="AA50" s="1">
        <f t="shared" ref="AA50:AA56" si="19">L50+Y50+Z50</f>
        <v>0</v>
      </c>
      <c r="AB50" s="44" t="s">
        <v>85</v>
      </c>
      <c r="AC50" s="44" t="s">
        <v>48</v>
      </c>
    </row>
    <row r="51" spans="1:31" x14ac:dyDescent="0.25">
      <c r="A51" s="30" t="s">
        <v>60</v>
      </c>
      <c r="B51" s="2"/>
      <c r="C51" s="2"/>
      <c r="F51" s="1">
        <f>F55+F56+F57+F58</f>
        <v>2318</v>
      </c>
      <c r="G51" s="1">
        <f t="shared" ref="G51:X51" si="20">G55+G56+G57+G58</f>
        <v>1020</v>
      </c>
      <c r="H51" s="1">
        <f t="shared" si="20"/>
        <v>3070.0000000000005</v>
      </c>
      <c r="I51" s="1">
        <f t="shared" si="20"/>
        <v>850</v>
      </c>
      <c r="J51" s="64">
        <v>1450</v>
      </c>
      <c r="K51" s="1">
        <f t="shared" si="20"/>
        <v>780</v>
      </c>
      <c r="L51" s="52">
        <f t="shared" si="20"/>
        <v>18750</v>
      </c>
      <c r="M51" s="64">
        <v>1740</v>
      </c>
      <c r="N51" s="1">
        <f t="shared" si="20"/>
        <v>1145</v>
      </c>
      <c r="O51" s="1">
        <f t="shared" si="20"/>
        <v>440</v>
      </c>
      <c r="P51" s="1">
        <f t="shared" si="20"/>
        <v>880</v>
      </c>
      <c r="Q51" s="1">
        <f t="shared" si="20"/>
        <v>3434</v>
      </c>
      <c r="R51" s="1">
        <f t="shared" si="20"/>
        <v>1872</v>
      </c>
      <c r="S51" s="1">
        <f t="shared" si="20"/>
        <v>73.5</v>
      </c>
      <c r="T51" s="1">
        <f t="shared" si="20"/>
        <v>2512</v>
      </c>
      <c r="U51" s="1">
        <f t="shared" si="20"/>
        <v>1040</v>
      </c>
      <c r="V51" s="1">
        <f t="shared" si="20"/>
        <v>1410</v>
      </c>
      <c r="W51" s="1">
        <f>W55+W56+W57+W58</f>
        <v>1280</v>
      </c>
      <c r="X51" s="54">
        <f t="shared" si="20"/>
        <v>3115</v>
      </c>
      <c r="Y51" s="58">
        <f t="shared" si="17"/>
        <v>9488</v>
      </c>
      <c r="Z51" s="1">
        <f t="shared" si="18"/>
        <v>18941.5</v>
      </c>
      <c r="AA51" s="1">
        <f t="shared" si="19"/>
        <v>47179.5</v>
      </c>
      <c r="AB51" s="66">
        <f>11250+M50</f>
        <v>11250</v>
      </c>
      <c r="AC51" s="64">
        <f>10200+3750+200+P50</f>
        <v>14150</v>
      </c>
    </row>
    <row r="52" spans="1:31" x14ac:dyDescent="0.25">
      <c r="A52" s="15" t="s">
        <v>51</v>
      </c>
      <c r="B52" s="16" t="s">
        <v>52</v>
      </c>
      <c r="C52" s="2"/>
      <c r="F52" s="1">
        <f>F59+F60+F61</f>
        <v>0</v>
      </c>
      <c r="G52" s="1">
        <f t="shared" ref="G52:X52" si="21">G59+G60+G61</f>
        <v>0</v>
      </c>
      <c r="H52" s="1">
        <f t="shared" si="21"/>
        <v>0</v>
      </c>
      <c r="I52" s="1">
        <f t="shared" si="21"/>
        <v>0</v>
      </c>
      <c r="J52" s="1">
        <f t="shared" si="21"/>
        <v>0</v>
      </c>
      <c r="K52" s="1">
        <f t="shared" si="21"/>
        <v>0</v>
      </c>
      <c r="L52" s="52">
        <f t="shared" si="21"/>
        <v>0</v>
      </c>
      <c r="M52" s="1">
        <f t="shared" si="21"/>
        <v>0</v>
      </c>
      <c r="N52" s="1">
        <f t="shared" si="21"/>
        <v>0</v>
      </c>
      <c r="O52" s="1">
        <f t="shared" si="21"/>
        <v>0</v>
      </c>
      <c r="P52" s="1">
        <f t="shared" si="21"/>
        <v>0</v>
      </c>
      <c r="Q52" s="1">
        <f t="shared" si="21"/>
        <v>0</v>
      </c>
      <c r="R52" s="1">
        <f t="shared" si="21"/>
        <v>0</v>
      </c>
      <c r="S52" s="1">
        <f t="shared" si="21"/>
        <v>0</v>
      </c>
      <c r="T52" s="1">
        <f t="shared" si="21"/>
        <v>0</v>
      </c>
      <c r="U52" s="1">
        <f t="shared" si="21"/>
        <v>0</v>
      </c>
      <c r="V52" s="1">
        <f t="shared" si="21"/>
        <v>0</v>
      </c>
      <c r="W52" s="1">
        <f>W59+W60+W61</f>
        <v>0</v>
      </c>
      <c r="X52" s="54">
        <f t="shared" si="21"/>
        <v>0</v>
      </c>
      <c r="Y52" s="58">
        <f t="shared" si="17"/>
        <v>0</v>
      </c>
      <c r="Z52" s="1">
        <f t="shared" si="18"/>
        <v>0</v>
      </c>
      <c r="AA52" s="1">
        <f t="shared" si="19"/>
        <v>0</v>
      </c>
      <c r="AB52" s="10" t="s">
        <v>88</v>
      </c>
    </row>
    <row r="53" spans="1:31" x14ac:dyDescent="0.25">
      <c r="A53" s="15" t="s">
        <v>51</v>
      </c>
      <c r="B53" s="16" t="s">
        <v>56</v>
      </c>
      <c r="C53" s="2"/>
      <c r="F53" s="1">
        <f>F62+F63+F64</f>
        <v>0</v>
      </c>
      <c r="G53" s="1">
        <f t="shared" ref="G53:X53" si="22">G62+G63+G64</f>
        <v>0</v>
      </c>
      <c r="H53" s="1">
        <f t="shared" si="22"/>
        <v>0</v>
      </c>
      <c r="I53" s="1">
        <f t="shared" si="22"/>
        <v>0</v>
      </c>
      <c r="J53" s="1">
        <f t="shared" si="22"/>
        <v>0</v>
      </c>
      <c r="K53" s="1">
        <f t="shared" si="22"/>
        <v>0</v>
      </c>
      <c r="L53" s="52">
        <f t="shared" si="22"/>
        <v>0</v>
      </c>
      <c r="M53" s="1">
        <f t="shared" si="22"/>
        <v>0</v>
      </c>
      <c r="N53" s="1">
        <f t="shared" si="22"/>
        <v>0</v>
      </c>
      <c r="O53" s="1">
        <f t="shared" si="22"/>
        <v>0</v>
      </c>
      <c r="P53" s="1">
        <f t="shared" si="22"/>
        <v>0</v>
      </c>
      <c r="Q53" s="1">
        <f t="shared" si="22"/>
        <v>0</v>
      </c>
      <c r="R53" s="1">
        <f t="shared" si="22"/>
        <v>0</v>
      </c>
      <c r="S53" s="1">
        <f t="shared" si="22"/>
        <v>0</v>
      </c>
      <c r="T53" s="1">
        <f t="shared" si="22"/>
        <v>0</v>
      </c>
      <c r="U53" s="1">
        <f t="shared" si="22"/>
        <v>0</v>
      </c>
      <c r="V53" s="1">
        <f t="shared" si="22"/>
        <v>0</v>
      </c>
      <c r="W53" s="1">
        <f>W62+W63+W64</f>
        <v>0</v>
      </c>
      <c r="X53" s="54">
        <f t="shared" si="22"/>
        <v>0</v>
      </c>
      <c r="Y53" s="58">
        <f t="shared" si="17"/>
        <v>0</v>
      </c>
      <c r="Z53" s="1">
        <f t="shared" si="18"/>
        <v>0</v>
      </c>
      <c r="AA53" s="1">
        <f t="shared" si="19"/>
        <v>0</v>
      </c>
      <c r="AB53" t="s">
        <v>97</v>
      </c>
    </row>
    <row r="54" spans="1:31" x14ac:dyDescent="0.25">
      <c r="A54" s="15" t="s">
        <v>51</v>
      </c>
      <c r="B54" s="16" t="s">
        <v>9</v>
      </c>
      <c r="C54" s="2"/>
      <c r="F54" s="1">
        <f>F65</f>
        <v>0</v>
      </c>
      <c r="G54" s="1">
        <f t="shared" ref="G54:X54" si="23">G65</f>
        <v>0</v>
      </c>
      <c r="H54" s="1">
        <f t="shared" si="23"/>
        <v>0</v>
      </c>
      <c r="I54" s="1">
        <f t="shared" si="23"/>
        <v>0</v>
      </c>
      <c r="J54" s="1">
        <f t="shared" si="23"/>
        <v>0</v>
      </c>
      <c r="K54" s="1">
        <f t="shared" si="23"/>
        <v>0</v>
      </c>
      <c r="L54" s="52">
        <f t="shared" si="23"/>
        <v>0</v>
      </c>
      <c r="M54" s="1">
        <f t="shared" si="23"/>
        <v>0</v>
      </c>
      <c r="N54" s="1">
        <f t="shared" si="23"/>
        <v>0</v>
      </c>
      <c r="O54" s="1">
        <f t="shared" si="23"/>
        <v>0</v>
      </c>
      <c r="P54" s="1">
        <f t="shared" si="23"/>
        <v>0</v>
      </c>
      <c r="Q54" s="1">
        <f t="shared" si="23"/>
        <v>0</v>
      </c>
      <c r="R54" s="1">
        <f t="shared" si="23"/>
        <v>0</v>
      </c>
      <c r="S54" s="1">
        <f t="shared" si="23"/>
        <v>0</v>
      </c>
      <c r="T54" s="1">
        <f t="shared" si="23"/>
        <v>0</v>
      </c>
      <c r="U54" s="1">
        <f t="shared" si="23"/>
        <v>0</v>
      </c>
      <c r="V54" s="1">
        <f t="shared" si="23"/>
        <v>0</v>
      </c>
      <c r="W54" s="1">
        <f>W65</f>
        <v>0</v>
      </c>
      <c r="X54" s="54">
        <f t="shared" si="23"/>
        <v>0</v>
      </c>
      <c r="Y54" s="58">
        <f t="shared" si="17"/>
        <v>0</v>
      </c>
      <c r="Z54" s="1">
        <f t="shared" si="18"/>
        <v>0</v>
      </c>
      <c r="AA54" s="1">
        <f t="shared" si="19"/>
        <v>0</v>
      </c>
    </row>
    <row r="55" spans="1:31" x14ac:dyDescent="0.25">
      <c r="A55" s="30" t="s">
        <v>60</v>
      </c>
      <c r="B55" s="32" t="s">
        <v>13</v>
      </c>
      <c r="C55" s="2"/>
      <c r="F55" s="51">
        <f>F66+F67+F68</f>
        <v>2270</v>
      </c>
      <c r="G55" s="51">
        <f t="shared" ref="G55:X55" si="24">G66+G67+G68</f>
        <v>1020</v>
      </c>
      <c r="H55" s="51">
        <f t="shared" si="24"/>
        <v>3070.0000000000005</v>
      </c>
      <c r="I55" s="51">
        <f t="shared" si="24"/>
        <v>850</v>
      </c>
      <c r="J55" s="51">
        <f t="shared" si="24"/>
        <v>540</v>
      </c>
      <c r="K55" s="51">
        <f t="shared" si="24"/>
        <v>180</v>
      </c>
      <c r="L55" s="52">
        <f t="shared" si="24"/>
        <v>0</v>
      </c>
      <c r="M55" s="51">
        <f t="shared" si="24"/>
        <v>550</v>
      </c>
      <c r="N55" s="51">
        <f t="shared" si="24"/>
        <v>75</v>
      </c>
      <c r="O55" s="51">
        <f t="shared" si="24"/>
        <v>440</v>
      </c>
      <c r="P55" s="51">
        <f t="shared" si="24"/>
        <v>880</v>
      </c>
      <c r="Q55" s="51">
        <f t="shared" si="24"/>
        <v>10</v>
      </c>
      <c r="R55" s="51">
        <f t="shared" si="24"/>
        <v>32</v>
      </c>
      <c r="S55" s="51">
        <f t="shared" si="24"/>
        <v>0</v>
      </c>
      <c r="T55" s="51">
        <f t="shared" si="24"/>
        <v>32</v>
      </c>
      <c r="U55" s="51">
        <f t="shared" si="24"/>
        <v>160</v>
      </c>
      <c r="V55" s="51">
        <f t="shared" si="24"/>
        <v>60</v>
      </c>
      <c r="W55" s="51">
        <f>W66+W67+W68</f>
        <v>640</v>
      </c>
      <c r="X55" s="55">
        <f t="shared" si="24"/>
        <v>400</v>
      </c>
      <c r="Y55" s="59">
        <f t="shared" si="17"/>
        <v>7930</v>
      </c>
      <c r="Z55" s="51">
        <f t="shared" si="18"/>
        <v>3279</v>
      </c>
      <c r="AA55" s="1">
        <f t="shared" si="19"/>
        <v>11209</v>
      </c>
      <c r="AB55" s="64">
        <v>15000</v>
      </c>
      <c r="AC55" s="10" t="s">
        <v>97</v>
      </c>
    </row>
    <row r="56" spans="1:31" x14ac:dyDescent="0.25">
      <c r="A56" s="30" t="s">
        <v>60</v>
      </c>
      <c r="B56" s="31" t="s">
        <v>23</v>
      </c>
      <c r="C56" s="2"/>
      <c r="F56" s="51">
        <f>F69+F70+F71</f>
        <v>48</v>
      </c>
      <c r="G56" s="51">
        <f t="shared" ref="G56:X56" si="25">G69+G70+G71</f>
        <v>0</v>
      </c>
      <c r="H56" s="51">
        <f t="shared" si="25"/>
        <v>0</v>
      </c>
      <c r="I56" s="51">
        <f t="shared" si="25"/>
        <v>0</v>
      </c>
      <c r="J56" s="51">
        <f t="shared" si="25"/>
        <v>530.54999999999995</v>
      </c>
      <c r="K56" s="51">
        <f t="shared" si="25"/>
        <v>600</v>
      </c>
      <c r="L56" s="52">
        <f t="shared" si="25"/>
        <v>0</v>
      </c>
      <c r="M56" s="51">
        <f t="shared" si="25"/>
        <v>0</v>
      </c>
      <c r="N56" s="51">
        <f t="shared" si="25"/>
        <v>1070</v>
      </c>
      <c r="O56" s="51">
        <f t="shared" si="25"/>
        <v>0</v>
      </c>
      <c r="P56" s="51">
        <f t="shared" si="25"/>
        <v>0</v>
      </c>
      <c r="Q56" s="51">
        <f t="shared" si="25"/>
        <v>0</v>
      </c>
      <c r="R56" s="51">
        <f t="shared" si="25"/>
        <v>0</v>
      </c>
      <c r="S56" s="51">
        <f t="shared" si="25"/>
        <v>73.5</v>
      </c>
      <c r="T56" s="51">
        <f t="shared" si="25"/>
        <v>240</v>
      </c>
      <c r="U56" s="51">
        <f t="shared" si="25"/>
        <v>0</v>
      </c>
      <c r="V56" s="51">
        <f t="shared" si="25"/>
        <v>90</v>
      </c>
      <c r="W56" s="51">
        <f>W69+W70+W71</f>
        <v>0</v>
      </c>
      <c r="X56" s="55">
        <f t="shared" si="25"/>
        <v>90</v>
      </c>
      <c r="Y56" s="59">
        <f t="shared" si="17"/>
        <v>1178.55</v>
      </c>
      <c r="Z56" s="51">
        <f t="shared" si="18"/>
        <v>1563.5</v>
      </c>
      <c r="AA56" s="51">
        <f t="shared" si="19"/>
        <v>2742.05</v>
      </c>
    </row>
    <row r="57" spans="1:31" x14ac:dyDescent="0.25">
      <c r="A57" s="30" t="s">
        <v>60</v>
      </c>
      <c r="B57" s="31" t="s">
        <v>65</v>
      </c>
      <c r="C57" s="46"/>
      <c r="F57" s="51">
        <f>F72+F73+F74</f>
        <v>0</v>
      </c>
      <c r="G57" s="51">
        <f t="shared" ref="G57:X57" si="26">G72+G73+G74</f>
        <v>0</v>
      </c>
      <c r="H57" s="51">
        <f t="shared" si="26"/>
        <v>0</v>
      </c>
      <c r="I57" s="51">
        <f t="shared" si="26"/>
        <v>0</v>
      </c>
      <c r="J57" s="51">
        <f t="shared" si="26"/>
        <v>400</v>
      </c>
      <c r="K57" s="51">
        <f t="shared" si="26"/>
        <v>0</v>
      </c>
      <c r="L57" s="52">
        <f t="shared" si="26"/>
        <v>18750</v>
      </c>
      <c r="M57" s="51">
        <f t="shared" si="26"/>
        <v>1190</v>
      </c>
      <c r="N57" s="51">
        <f t="shared" si="26"/>
        <v>0</v>
      </c>
      <c r="O57" s="51">
        <f t="shared" si="26"/>
        <v>0</v>
      </c>
      <c r="P57" s="51">
        <f t="shared" si="26"/>
        <v>0</v>
      </c>
      <c r="Q57" s="51">
        <f t="shared" si="26"/>
        <v>3424</v>
      </c>
      <c r="R57" s="51">
        <f t="shared" si="26"/>
        <v>1840</v>
      </c>
      <c r="S57" s="51">
        <f t="shared" si="26"/>
        <v>0</v>
      </c>
      <c r="T57" s="51">
        <f t="shared" si="26"/>
        <v>2240</v>
      </c>
      <c r="U57" s="51">
        <f t="shared" si="26"/>
        <v>880</v>
      </c>
      <c r="V57" s="51">
        <f t="shared" si="26"/>
        <v>500</v>
      </c>
      <c r="W57" s="51">
        <f>W72+W73+W74</f>
        <v>640</v>
      </c>
      <c r="X57" s="55">
        <f t="shared" si="26"/>
        <v>2000</v>
      </c>
      <c r="Y57" s="59">
        <f t="shared" si="17"/>
        <v>400</v>
      </c>
      <c r="Z57" s="51">
        <f t="shared" si="18"/>
        <v>12714</v>
      </c>
      <c r="AA57" s="64">
        <f>31850</f>
        <v>31850</v>
      </c>
    </row>
    <row r="58" spans="1:31" ht="15.75" thickBot="1" x14ac:dyDescent="0.3">
      <c r="A58" s="48" t="s">
        <v>60</v>
      </c>
      <c r="B58" s="49" t="s">
        <v>9</v>
      </c>
      <c r="C58" s="50"/>
      <c r="D58" s="50"/>
      <c r="E58" s="50"/>
      <c r="F58" s="53">
        <f>F75</f>
        <v>0</v>
      </c>
      <c r="G58" s="53">
        <f t="shared" ref="G58:V58" si="27">G75</f>
        <v>0</v>
      </c>
      <c r="H58" s="53">
        <f t="shared" si="27"/>
        <v>0</v>
      </c>
      <c r="I58" s="53">
        <f t="shared" si="27"/>
        <v>0</v>
      </c>
      <c r="J58" s="53">
        <f t="shared" si="27"/>
        <v>0</v>
      </c>
      <c r="K58" s="53">
        <f t="shared" si="27"/>
        <v>0</v>
      </c>
      <c r="L58" s="62">
        <f t="shared" si="27"/>
        <v>0</v>
      </c>
      <c r="M58" s="53">
        <f t="shared" si="27"/>
        <v>0</v>
      </c>
      <c r="N58" s="53">
        <f t="shared" si="27"/>
        <v>0</v>
      </c>
      <c r="O58" s="53">
        <f t="shared" si="27"/>
        <v>0</v>
      </c>
      <c r="P58" s="53">
        <f t="shared" si="27"/>
        <v>0</v>
      </c>
      <c r="Q58" s="53">
        <f t="shared" si="27"/>
        <v>0</v>
      </c>
      <c r="R58" s="53">
        <f t="shared" si="27"/>
        <v>0</v>
      </c>
      <c r="S58" s="53">
        <f t="shared" si="27"/>
        <v>0</v>
      </c>
      <c r="T58" s="53">
        <f t="shared" si="27"/>
        <v>0</v>
      </c>
      <c r="U58" s="53">
        <f t="shared" si="27"/>
        <v>0</v>
      </c>
      <c r="V58" s="53">
        <f t="shared" si="27"/>
        <v>760</v>
      </c>
      <c r="W58" s="53">
        <f>W75</f>
        <v>0</v>
      </c>
      <c r="X58" s="53">
        <f>X75</f>
        <v>625</v>
      </c>
      <c r="Y58" s="60">
        <f t="shared" si="17"/>
        <v>0</v>
      </c>
      <c r="Z58" s="53">
        <f t="shared" si="18"/>
        <v>1385</v>
      </c>
      <c r="AA58" s="65">
        <v>625</v>
      </c>
    </row>
    <row r="59" spans="1:31" ht="15.75" thickTop="1" x14ac:dyDescent="0.25">
      <c r="A59" s="15" t="s">
        <v>51</v>
      </c>
      <c r="B59" s="16" t="s">
        <v>52</v>
      </c>
      <c r="C59" s="16" t="s">
        <v>53</v>
      </c>
      <c r="D59" s="2"/>
      <c r="E59" s="2"/>
      <c r="F59" s="47"/>
      <c r="G59" s="47"/>
      <c r="H59" s="47"/>
      <c r="I59" s="47"/>
      <c r="J59" s="47"/>
      <c r="K59" s="47"/>
      <c r="L59" s="6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57"/>
      <c r="Y59" s="61">
        <f t="shared" si="17"/>
        <v>0</v>
      </c>
      <c r="Z59" s="47">
        <f t="shared" si="18"/>
        <v>0</v>
      </c>
      <c r="AA59" s="47">
        <f t="shared" ref="AA59:AA68" si="28">L59+Y59+Z59</f>
        <v>0</v>
      </c>
    </row>
    <row r="60" spans="1:31" x14ac:dyDescent="0.25">
      <c r="A60" s="15" t="s">
        <v>51</v>
      </c>
      <c r="B60" s="16" t="s">
        <v>52</v>
      </c>
      <c r="C60" s="16" t="s">
        <v>54</v>
      </c>
      <c r="D60" s="2"/>
      <c r="E60" s="2"/>
      <c r="F60" s="1"/>
      <c r="G60" s="1"/>
      <c r="H60" s="1"/>
      <c r="I60" s="1"/>
      <c r="J60" s="1"/>
      <c r="K60" s="1"/>
      <c r="L60" s="5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54"/>
      <c r="Y60" s="58">
        <f t="shared" si="17"/>
        <v>0</v>
      </c>
      <c r="Z60" s="1">
        <f t="shared" si="18"/>
        <v>0</v>
      </c>
      <c r="AA60" s="1">
        <f t="shared" si="28"/>
        <v>0</v>
      </c>
      <c r="AD60">
        <f>1.7/7.5</f>
        <v>0.22666666666666666</v>
      </c>
    </row>
    <row r="61" spans="1:31" x14ac:dyDescent="0.25">
      <c r="A61" s="15" t="s">
        <v>51</v>
      </c>
      <c r="B61" s="16" t="s">
        <v>52</v>
      </c>
      <c r="C61" s="16" t="s">
        <v>55</v>
      </c>
      <c r="D61" s="2"/>
      <c r="E61" s="2"/>
      <c r="F61" s="1"/>
      <c r="G61" s="1"/>
      <c r="H61" s="1"/>
      <c r="I61" s="1"/>
      <c r="J61" s="1"/>
      <c r="K61" s="1"/>
      <c r="L61" s="5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54"/>
      <c r="Y61" s="58">
        <f t="shared" si="17"/>
        <v>0</v>
      </c>
      <c r="Z61" s="1">
        <f t="shared" si="18"/>
        <v>0</v>
      </c>
      <c r="AA61" s="1">
        <f t="shared" si="28"/>
        <v>0</v>
      </c>
    </row>
    <row r="62" spans="1:31" x14ac:dyDescent="0.25">
      <c r="A62" s="25" t="s">
        <v>51</v>
      </c>
      <c r="B62" s="26" t="s">
        <v>56</v>
      </c>
      <c r="C62" s="26" t="s">
        <v>57</v>
      </c>
      <c r="D62" s="2"/>
      <c r="E62" s="2"/>
      <c r="F62" s="1"/>
      <c r="G62" s="1"/>
      <c r="H62" s="1"/>
      <c r="I62" s="1"/>
      <c r="J62" s="1"/>
      <c r="K62" s="1"/>
      <c r="L62" s="5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54"/>
      <c r="Y62" s="58">
        <f t="shared" si="17"/>
        <v>0</v>
      </c>
      <c r="Z62" s="1">
        <f t="shared" si="18"/>
        <v>0</v>
      </c>
      <c r="AA62" s="1">
        <f t="shared" si="28"/>
        <v>0</v>
      </c>
    </row>
    <row r="63" spans="1:31" x14ac:dyDescent="0.25">
      <c r="A63" s="15" t="s">
        <v>51</v>
      </c>
      <c r="B63" s="16" t="s">
        <v>56</v>
      </c>
      <c r="C63" s="27" t="s">
        <v>58</v>
      </c>
      <c r="D63" s="2"/>
      <c r="E63" s="2"/>
      <c r="F63" s="1"/>
      <c r="G63" s="1"/>
      <c r="H63" s="1"/>
      <c r="I63" s="1"/>
      <c r="J63" s="1"/>
      <c r="K63" s="1"/>
      <c r="L63" s="5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54"/>
      <c r="Y63" s="58">
        <f t="shared" si="17"/>
        <v>0</v>
      </c>
      <c r="Z63" s="1">
        <f t="shared" si="18"/>
        <v>0</v>
      </c>
      <c r="AA63" s="1">
        <f t="shared" si="28"/>
        <v>0</v>
      </c>
      <c r="AC63">
        <f>16/103*5000</f>
        <v>776.69902912621353</v>
      </c>
    </row>
    <row r="64" spans="1:31" x14ac:dyDescent="0.25">
      <c r="A64" s="15" t="s">
        <v>51</v>
      </c>
      <c r="B64" s="16" t="s">
        <v>9</v>
      </c>
      <c r="C64" s="27" t="s">
        <v>59</v>
      </c>
      <c r="D64" s="2"/>
      <c r="E64" s="2"/>
      <c r="F64" s="1"/>
      <c r="G64" s="1"/>
      <c r="H64" s="1"/>
      <c r="I64" s="1"/>
      <c r="J64" s="1"/>
      <c r="K64" s="1"/>
      <c r="L64" s="5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54"/>
      <c r="Y64" s="58">
        <f t="shared" si="17"/>
        <v>0</v>
      </c>
      <c r="Z64" s="1">
        <f t="shared" si="18"/>
        <v>0</v>
      </c>
      <c r="AA64" s="1">
        <f t="shared" si="28"/>
        <v>0</v>
      </c>
      <c r="AC64">
        <f>80/190*2000</f>
        <v>842.10526315789468</v>
      </c>
      <c r="AE64" s="98" t="s">
        <v>114</v>
      </c>
    </row>
    <row r="65" spans="1:32" x14ac:dyDescent="0.25">
      <c r="A65" s="15" t="s">
        <v>51</v>
      </c>
      <c r="B65" s="16" t="s">
        <v>9</v>
      </c>
      <c r="C65" s="27" t="s">
        <v>9</v>
      </c>
      <c r="D65" s="2"/>
      <c r="E65" s="2"/>
      <c r="F65" s="1"/>
      <c r="G65" s="1"/>
      <c r="H65" s="1"/>
      <c r="I65" s="1"/>
      <c r="J65" s="1"/>
      <c r="K65" s="1"/>
      <c r="L65" s="5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54"/>
      <c r="Y65" s="58">
        <f t="shared" si="17"/>
        <v>0</v>
      </c>
      <c r="Z65" s="1">
        <f t="shared" si="18"/>
        <v>0</v>
      </c>
      <c r="AA65" s="1">
        <f t="shared" si="28"/>
        <v>0</v>
      </c>
      <c r="AE65" s="98">
        <v>13200</v>
      </c>
      <c r="AF65" s="98" t="s">
        <v>120</v>
      </c>
    </row>
    <row r="66" spans="1:32" x14ac:dyDescent="0.25">
      <c r="A66" s="28" t="s">
        <v>60</v>
      </c>
      <c r="B66" s="29" t="s">
        <v>13</v>
      </c>
      <c r="C66" s="29" t="s">
        <v>61</v>
      </c>
      <c r="D66" s="2"/>
      <c r="E66" s="2"/>
      <c r="F66" s="64">
        <f>2270*0.88</f>
        <v>1997.6</v>
      </c>
      <c r="G66" s="51"/>
      <c r="H66" s="64">
        <f>3070*0.68</f>
        <v>2087.6000000000004</v>
      </c>
      <c r="I66" s="64">
        <v>850</v>
      </c>
      <c r="J66" s="64">
        <v>540</v>
      </c>
      <c r="K66" s="64">
        <v>180</v>
      </c>
      <c r="L66" s="52"/>
      <c r="M66" s="64">
        <v>550</v>
      </c>
      <c r="N66" s="64">
        <v>75</v>
      </c>
      <c r="O66" s="64">
        <v>440</v>
      </c>
      <c r="P66" s="64">
        <v>880</v>
      </c>
      <c r="Q66" s="64">
        <v>10</v>
      </c>
      <c r="R66" s="64">
        <f>4/250*2000</f>
        <v>32</v>
      </c>
      <c r="S66" s="51"/>
      <c r="T66" s="64">
        <v>32</v>
      </c>
      <c r="U66" s="64">
        <f>120+40</f>
        <v>160</v>
      </c>
      <c r="V66" s="77">
        <f>V21*V111</f>
        <v>60</v>
      </c>
      <c r="W66" s="64">
        <f>640</f>
        <v>640</v>
      </c>
      <c r="X66" s="67">
        <v>400</v>
      </c>
      <c r="Y66" s="59">
        <f t="shared" si="17"/>
        <v>5655.2000000000007</v>
      </c>
      <c r="Z66" s="51">
        <f t="shared" si="18"/>
        <v>3279</v>
      </c>
      <c r="AA66" s="51">
        <f t="shared" si="28"/>
        <v>8934.2000000000007</v>
      </c>
      <c r="AC66">
        <f>28/104*2000</f>
        <v>538.46153846153845</v>
      </c>
      <c r="AE66" s="98">
        <v>2000</v>
      </c>
      <c r="AF66" s="98" t="s">
        <v>119</v>
      </c>
    </row>
    <row r="67" spans="1:32" x14ac:dyDescent="0.25">
      <c r="A67" s="36" t="s">
        <v>60</v>
      </c>
      <c r="B67" s="37" t="s">
        <v>13</v>
      </c>
      <c r="C67" s="29" t="s">
        <v>62</v>
      </c>
      <c r="D67" s="2"/>
      <c r="E67" s="2"/>
      <c r="F67" s="64">
        <f>2270*0.12</f>
        <v>272.39999999999998</v>
      </c>
      <c r="G67" s="64">
        <v>1020</v>
      </c>
      <c r="H67" s="64">
        <f>3070*0.32</f>
        <v>982.4</v>
      </c>
      <c r="I67" s="51"/>
      <c r="J67" s="51"/>
      <c r="K67" s="51"/>
      <c r="L67" s="52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5"/>
      <c r="Y67" s="59">
        <f t="shared" si="17"/>
        <v>2274.8000000000002</v>
      </c>
      <c r="Z67" s="51">
        <f t="shared" si="18"/>
        <v>0</v>
      </c>
      <c r="AA67" s="51">
        <f t="shared" si="28"/>
        <v>2274.8000000000002</v>
      </c>
      <c r="AC67">
        <f>40/56</f>
        <v>0.7142857142857143</v>
      </c>
      <c r="AE67" s="98">
        <v>400</v>
      </c>
      <c r="AF67" s="98" t="s">
        <v>118</v>
      </c>
    </row>
    <row r="68" spans="1:32" x14ac:dyDescent="0.25">
      <c r="A68" s="30" t="s">
        <v>60</v>
      </c>
      <c r="B68" s="31" t="s">
        <v>13</v>
      </c>
      <c r="C68" s="32" t="s">
        <v>63</v>
      </c>
      <c r="D68" s="2"/>
      <c r="E68" s="2"/>
      <c r="F68" s="51"/>
      <c r="G68" s="51"/>
      <c r="H68" s="51"/>
      <c r="I68" s="51"/>
      <c r="J68" s="51"/>
      <c r="K68" s="51"/>
      <c r="L68" s="52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5"/>
      <c r="Y68" s="59">
        <f t="shared" si="17"/>
        <v>0</v>
      </c>
      <c r="Z68" s="51">
        <f t="shared" si="18"/>
        <v>0</v>
      </c>
      <c r="AA68" s="51">
        <f t="shared" si="28"/>
        <v>0</v>
      </c>
      <c r="AE68" s="98">
        <v>1100</v>
      </c>
      <c r="AF68" s="98" t="s">
        <v>117</v>
      </c>
    </row>
    <row r="69" spans="1:32" x14ac:dyDescent="0.25">
      <c r="A69" s="30" t="s">
        <v>60</v>
      </c>
      <c r="B69" s="32" t="s">
        <v>23</v>
      </c>
      <c r="C69" s="31" t="s">
        <v>50</v>
      </c>
      <c r="D69" s="2"/>
      <c r="E69" s="2"/>
      <c r="F69" s="77">
        <f>F24*F114</f>
        <v>48</v>
      </c>
      <c r="G69" s="51"/>
      <c r="H69" s="51"/>
      <c r="I69" s="51"/>
      <c r="J69" s="77">
        <f>J24*J114</f>
        <v>20.55</v>
      </c>
      <c r="K69" s="64">
        <v>600</v>
      </c>
      <c r="L69" s="52"/>
      <c r="M69" s="51"/>
      <c r="N69" s="64">
        <v>1070</v>
      </c>
      <c r="O69" s="51"/>
      <c r="P69" s="51"/>
      <c r="Q69" s="51"/>
      <c r="R69" s="51"/>
      <c r="S69" s="51"/>
      <c r="T69" s="51"/>
      <c r="U69" s="51"/>
      <c r="V69" s="51"/>
      <c r="W69" s="51"/>
      <c r="X69" s="55"/>
      <c r="Y69" s="59">
        <f t="shared" si="17"/>
        <v>668.55</v>
      </c>
      <c r="Z69" s="51">
        <f t="shared" si="18"/>
        <v>1070</v>
      </c>
      <c r="AA69" s="64">
        <v>1680</v>
      </c>
      <c r="AE69" s="98">
        <v>1800</v>
      </c>
      <c r="AF69" s="98" t="s">
        <v>116</v>
      </c>
    </row>
    <row r="70" spans="1:32" x14ac:dyDescent="0.25">
      <c r="A70" s="30" t="s">
        <v>60</v>
      </c>
      <c r="B70" s="32" t="s">
        <v>23</v>
      </c>
      <c r="C70" s="31" t="s">
        <v>49</v>
      </c>
      <c r="D70" s="2"/>
      <c r="E70" s="2"/>
      <c r="F70" s="51"/>
      <c r="G70" s="51"/>
      <c r="H70" s="51"/>
      <c r="I70" s="51"/>
      <c r="J70" s="68">
        <f>J51-J66-J72</f>
        <v>510</v>
      </c>
      <c r="K70" s="51"/>
      <c r="L70" s="52"/>
      <c r="M70" s="51"/>
      <c r="N70" s="51"/>
      <c r="O70" s="51"/>
      <c r="P70" s="51"/>
      <c r="Q70" s="51"/>
      <c r="R70" s="51"/>
      <c r="S70" s="77">
        <f>S25*S115</f>
        <v>73.5</v>
      </c>
      <c r="T70" s="77">
        <f>T25*T115</f>
        <v>240</v>
      </c>
      <c r="U70" s="51"/>
      <c r="V70" s="77">
        <f>V25*V115</f>
        <v>90</v>
      </c>
      <c r="W70" s="51"/>
      <c r="X70" s="77">
        <f>X25*X115</f>
        <v>90</v>
      </c>
      <c r="Y70" s="59">
        <f t="shared" si="17"/>
        <v>510</v>
      </c>
      <c r="Z70" s="51">
        <f t="shared" si="18"/>
        <v>493.5</v>
      </c>
      <c r="AA70" s="64">
        <v>1150</v>
      </c>
      <c r="AE70" s="98">
        <v>800</v>
      </c>
      <c r="AF70" s="98" t="s">
        <v>49</v>
      </c>
    </row>
    <row r="71" spans="1:32" x14ac:dyDescent="0.25">
      <c r="A71" s="30" t="s">
        <v>60</v>
      </c>
      <c r="B71" s="32" t="s">
        <v>23</v>
      </c>
      <c r="C71" s="31" t="s">
        <v>64</v>
      </c>
      <c r="D71" s="2"/>
      <c r="E71" s="2"/>
      <c r="F71" s="51"/>
      <c r="G71" s="51"/>
      <c r="H71" s="51"/>
      <c r="I71" s="51"/>
      <c r="J71" s="51"/>
      <c r="K71" s="51"/>
      <c r="L71" s="52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5"/>
      <c r="Y71" s="59">
        <f t="shared" si="17"/>
        <v>0</v>
      </c>
      <c r="Z71" s="51">
        <f t="shared" si="18"/>
        <v>0</v>
      </c>
      <c r="AA71" s="51">
        <f t="shared" ref="AA71:AA90" si="29">L71+Y71+Z71</f>
        <v>0</v>
      </c>
    </row>
    <row r="72" spans="1:32" x14ac:dyDescent="0.25">
      <c r="A72" s="30" t="s">
        <v>60</v>
      </c>
      <c r="B72" s="32" t="s">
        <v>65</v>
      </c>
      <c r="C72" s="31" t="s">
        <v>66</v>
      </c>
      <c r="D72" s="2"/>
      <c r="E72" s="2"/>
      <c r="F72" s="51"/>
      <c r="G72" s="51"/>
      <c r="H72" s="51"/>
      <c r="I72" s="51"/>
      <c r="J72" s="64">
        <v>400</v>
      </c>
      <c r="K72" s="51"/>
      <c r="L72" s="52"/>
      <c r="M72" s="64">
        <v>1190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5"/>
      <c r="Y72" s="59">
        <f t="shared" si="17"/>
        <v>400</v>
      </c>
      <c r="Z72" s="51">
        <f t="shared" si="18"/>
        <v>1190</v>
      </c>
      <c r="AA72" s="51">
        <f t="shared" si="29"/>
        <v>1590</v>
      </c>
    </row>
    <row r="73" spans="1:32" x14ac:dyDescent="0.25">
      <c r="A73" s="30" t="s">
        <v>60</v>
      </c>
      <c r="B73" s="32" t="s">
        <v>65</v>
      </c>
      <c r="C73" s="31" t="s">
        <v>67</v>
      </c>
      <c r="D73" s="2"/>
      <c r="E73" s="2"/>
      <c r="F73" s="51"/>
      <c r="G73" s="51"/>
      <c r="H73" s="51"/>
      <c r="I73" s="51"/>
      <c r="J73" s="51"/>
      <c r="K73" s="51"/>
      <c r="L73" s="52"/>
      <c r="M73" s="51"/>
      <c r="N73" s="51"/>
      <c r="O73" s="51"/>
      <c r="P73" s="51"/>
      <c r="Q73" s="64">
        <f>3280+144</f>
        <v>3424</v>
      </c>
      <c r="R73" s="64">
        <f>1840</f>
        <v>1840</v>
      </c>
      <c r="S73" s="51"/>
      <c r="T73" s="64">
        <f>2240</f>
        <v>2240</v>
      </c>
      <c r="U73" s="64">
        <v>880</v>
      </c>
      <c r="V73" s="64">
        <f>500</f>
        <v>500</v>
      </c>
      <c r="W73" s="64">
        <v>640</v>
      </c>
      <c r="X73" s="67">
        <v>2000</v>
      </c>
      <c r="Y73" s="59">
        <f t="shared" si="17"/>
        <v>0</v>
      </c>
      <c r="Z73" s="51">
        <f t="shared" si="18"/>
        <v>11524</v>
      </c>
      <c r="AA73" s="51">
        <f t="shared" si="29"/>
        <v>11524</v>
      </c>
    </row>
    <row r="74" spans="1:32" x14ac:dyDescent="0.25">
      <c r="A74" s="30" t="s">
        <v>60</v>
      </c>
      <c r="B74" s="32" t="s">
        <v>65</v>
      </c>
      <c r="C74" s="31" t="s">
        <v>68</v>
      </c>
      <c r="D74" s="2"/>
      <c r="E74" s="2"/>
      <c r="F74" s="51"/>
      <c r="G74" s="51"/>
      <c r="H74" s="51"/>
      <c r="I74" s="51"/>
      <c r="J74" s="51"/>
      <c r="K74" s="51"/>
      <c r="L74" s="64">
        <v>18750</v>
      </c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5"/>
      <c r="Y74" s="59">
        <f t="shared" si="17"/>
        <v>0</v>
      </c>
      <c r="Z74" s="51">
        <f t="shared" si="18"/>
        <v>0</v>
      </c>
      <c r="AA74" s="51">
        <f t="shared" si="29"/>
        <v>18750</v>
      </c>
    </row>
    <row r="75" spans="1:32" x14ac:dyDescent="0.25">
      <c r="A75" s="30" t="s">
        <v>60</v>
      </c>
      <c r="B75" s="32" t="s">
        <v>9</v>
      </c>
      <c r="C75" s="31" t="s">
        <v>69</v>
      </c>
      <c r="D75" s="2"/>
      <c r="E75" s="2"/>
      <c r="F75" s="51"/>
      <c r="G75" s="51"/>
      <c r="H75" s="51"/>
      <c r="I75" s="51"/>
      <c r="J75" s="51"/>
      <c r="K75" s="51"/>
      <c r="L75" s="52"/>
      <c r="M75" s="51"/>
      <c r="N75" s="51"/>
      <c r="O75" s="51"/>
      <c r="P75" s="51"/>
      <c r="Q75" s="51"/>
      <c r="R75" s="51"/>
      <c r="S75" s="51"/>
      <c r="T75" s="51"/>
      <c r="U75" s="51"/>
      <c r="V75" s="96">
        <v>760</v>
      </c>
      <c r="W75" s="51"/>
      <c r="X75" s="55">
        <v>625</v>
      </c>
      <c r="Y75" s="59">
        <f t="shared" si="17"/>
        <v>0</v>
      </c>
      <c r="Z75" s="51">
        <f t="shared" si="18"/>
        <v>1385</v>
      </c>
      <c r="AA75" s="51">
        <f t="shared" si="29"/>
        <v>1385</v>
      </c>
    </row>
    <row r="76" spans="1:32" x14ac:dyDescent="0.25">
      <c r="A76" s="15" t="s">
        <v>51</v>
      </c>
      <c r="B76" s="16" t="s">
        <v>56</v>
      </c>
      <c r="C76" s="27" t="s">
        <v>57</v>
      </c>
      <c r="D76" s="16" t="s">
        <v>70</v>
      </c>
      <c r="E76" s="16"/>
      <c r="F76" s="1"/>
      <c r="G76" s="1"/>
      <c r="H76" s="1"/>
      <c r="I76" s="1"/>
      <c r="J76" s="1"/>
      <c r="K76" s="1"/>
      <c r="L76" s="5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54"/>
      <c r="Y76" s="58">
        <f t="shared" si="17"/>
        <v>0</v>
      </c>
      <c r="Z76" s="1">
        <f t="shared" si="18"/>
        <v>0</v>
      </c>
      <c r="AA76" s="1">
        <f t="shared" si="29"/>
        <v>0</v>
      </c>
    </row>
    <row r="77" spans="1:32" x14ac:dyDescent="0.25">
      <c r="A77" s="15" t="s">
        <v>51</v>
      </c>
      <c r="B77" s="16" t="s">
        <v>56</v>
      </c>
      <c r="C77" s="27" t="s">
        <v>57</v>
      </c>
      <c r="D77" s="16" t="s">
        <v>71</v>
      </c>
      <c r="E77" s="16"/>
      <c r="F77" s="1"/>
      <c r="G77" s="1"/>
      <c r="H77" s="1"/>
      <c r="I77" s="1"/>
      <c r="J77" s="1"/>
      <c r="K77" s="1"/>
      <c r="L77" s="5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54"/>
      <c r="Y77" s="58">
        <f t="shared" si="17"/>
        <v>0</v>
      </c>
      <c r="Z77" s="1">
        <f t="shared" si="18"/>
        <v>0</v>
      </c>
      <c r="AA77" s="1">
        <f t="shared" si="29"/>
        <v>0</v>
      </c>
    </row>
    <row r="78" spans="1:32" x14ac:dyDescent="0.25">
      <c r="A78" s="15" t="s">
        <v>51</v>
      </c>
      <c r="B78" s="16" t="s">
        <v>56</v>
      </c>
      <c r="C78" s="27" t="s">
        <v>27</v>
      </c>
      <c r="D78" s="16" t="s">
        <v>72</v>
      </c>
      <c r="E78" s="16"/>
      <c r="F78" s="1"/>
      <c r="G78" s="1"/>
      <c r="H78" s="1"/>
      <c r="I78" s="1"/>
      <c r="J78" s="1"/>
      <c r="K78" s="1"/>
      <c r="L78" s="5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54"/>
      <c r="Y78" s="58">
        <f t="shared" si="17"/>
        <v>0</v>
      </c>
      <c r="Z78" s="1">
        <f t="shared" si="18"/>
        <v>0</v>
      </c>
      <c r="AA78" s="1">
        <f t="shared" si="29"/>
        <v>0</v>
      </c>
    </row>
    <row r="79" spans="1:32" x14ac:dyDescent="0.25">
      <c r="A79" s="15" t="s">
        <v>51</v>
      </c>
      <c r="B79" s="16" t="s">
        <v>56</v>
      </c>
      <c r="C79" s="27" t="s">
        <v>57</v>
      </c>
      <c r="D79" s="16" t="s">
        <v>73</v>
      </c>
      <c r="E79" s="16"/>
      <c r="F79" s="1"/>
      <c r="G79" s="1"/>
      <c r="H79" s="1"/>
      <c r="I79" s="1"/>
      <c r="J79" s="1"/>
      <c r="K79" s="1"/>
      <c r="L79" s="5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54"/>
      <c r="Y79" s="58">
        <f t="shared" si="17"/>
        <v>0</v>
      </c>
      <c r="Z79" s="1">
        <f t="shared" si="18"/>
        <v>0</v>
      </c>
      <c r="AA79" s="1">
        <f t="shared" si="29"/>
        <v>0</v>
      </c>
    </row>
    <row r="80" spans="1:32" x14ac:dyDescent="0.25">
      <c r="A80" s="15" t="s">
        <v>51</v>
      </c>
      <c r="B80" s="16" t="s">
        <v>56</v>
      </c>
      <c r="C80" s="27" t="s">
        <v>57</v>
      </c>
      <c r="D80" s="16" t="s">
        <v>74</v>
      </c>
      <c r="E80" s="16"/>
      <c r="F80" s="1"/>
      <c r="G80" s="1"/>
      <c r="H80" s="1"/>
      <c r="I80" s="1"/>
      <c r="J80" s="1"/>
      <c r="K80" s="1"/>
      <c r="L80" s="5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54"/>
      <c r="Y80" s="58">
        <f t="shared" si="17"/>
        <v>0</v>
      </c>
      <c r="Z80" s="1">
        <f t="shared" si="18"/>
        <v>0</v>
      </c>
      <c r="AA80" s="1">
        <f t="shared" si="29"/>
        <v>0</v>
      </c>
    </row>
    <row r="81" spans="1:27" x14ac:dyDescent="0.25">
      <c r="A81" s="30" t="s">
        <v>60</v>
      </c>
      <c r="B81" s="31" t="s">
        <v>13</v>
      </c>
      <c r="C81" s="32" t="s">
        <v>61</v>
      </c>
      <c r="D81" s="31" t="s">
        <v>75</v>
      </c>
      <c r="E81" s="31"/>
      <c r="F81" s="51">
        <f>F66*0.8</f>
        <v>1598.08</v>
      </c>
      <c r="G81" s="51">
        <v>0</v>
      </c>
      <c r="H81" s="51">
        <f>H66</f>
        <v>2087.6000000000004</v>
      </c>
      <c r="I81" s="51">
        <f>I66*0.1</f>
        <v>85</v>
      </c>
      <c r="J81" s="51">
        <v>0</v>
      </c>
      <c r="K81" s="51">
        <v>0</v>
      </c>
      <c r="L81" s="52">
        <v>0</v>
      </c>
      <c r="M81" s="51">
        <f>M66*0.1</f>
        <v>55</v>
      </c>
      <c r="N81" s="51">
        <v>0</v>
      </c>
      <c r="O81" s="51">
        <v>0</v>
      </c>
      <c r="P81" s="51">
        <v>0</v>
      </c>
      <c r="Q81" s="51"/>
      <c r="R81" s="51"/>
      <c r="S81" s="51"/>
      <c r="T81" s="51"/>
      <c r="U81" s="51"/>
      <c r="V81" s="51"/>
      <c r="W81" s="51">
        <f>W66</f>
        <v>640</v>
      </c>
      <c r="X81" s="55"/>
      <c r="Y81" s="59">
        <f t="shared" si="17"/>
        <v>3770.6800000000003</v>
      </c>
      <c r="Z81" s="51">
        <f t="shared" si="18"/>
        <v>695</v>
      </c>
      <c r="AA81" s="51">
        <f t="shared" si="29"/>
        <v>4465.68</v>
      </c>
    </row>
    <row r="82" spans="1:27" x14ac:dyDescent="0.25">
      <c r="A82" s="30" t="s">
        <v>60</v>
      </c>
      <c r="B82" s="31" t="s">
        <v>13</v>
      </c>
      <c r="C82" s="32" t="s">
        <v>61</v>
      </c>
      <c r="D82" s="31" t="s">
        <v>76</v>
      </c>
      <c r="E82" s="31"/>
      <c r="F82" s="51">
        <f>F66*0.2</f>
        <v>399.52</v>
      </c>
      <c r="G82" s="51">
        <v>0</v>
      </c>
      <c r="H82" s="51">
        <v>0</v>
      </c>
      <c r="I82" s="51">
        <f>I66*0.7</f>
        <v>595</v>
      </c>
      <c r="J82" s="51">
        <f>J66</f>
        <v>540</v>
      </c>
      <c r="K82" s="51">
        <f>K66*0.2</f>
        <v>36</v>
      </c>
      <c r="L82" s="52">
        <v>0</v>
      </c>
      <c r="M82" s="51">
        <f>M66*0.3</f>
        <v>165</v>
      </c>
      <c r="N82" s="51">
        <f>N66</f>
        <v>75</v>
      </c>
      <c r="O82" s="51">
        <f>O66*0.9</f>
        <v>396</v>
      </c>
      <c r="P82" s="51">
        <f>P66*0.05</f>
        <v>44</v>
      </c>
      <c r="Q82" s="51"/>
      <c r="R82" s="51">
        <f>R66</f>
        <v>32</v>
      </c>
      <c r="S82" s="51"/>
      <c r="T82" s="51"/>
      <c r="U82" s="51"/>
      <c r="V82" s="51"/>
      <c r="W82" s="51"/>
      <c r="X82" s="55"/>
      <c r="Y82" s="59">
        <f t="shared" si="17"/>
        <v>1570.52</v>
      </c>
      <c r="Z82" s="51">
        <f t="shared" si="18"/>
        <v>712</v>
      </c>
      <c r="AA82" s="51">
        <f t="shared" si="29"/>
        <v>2282.52</v>
      </c>
    </row>
    <row r="83" spans="1:27" x14ac:dyDescent="0.25">
      <c r="A83" s="30" t="s">
        <v>60</v>
      </c>
      <c r="B83" s="31" t="s">
        <v>13</v>
      </c>
      <c r="C83" s="32" t="s">
        <v>61</v>
      </c>
      <c r="D83" s="31" t="s">
        <v>77</v>
      </c>
      <c r="E83" s="31"/>
      <c r="F83" s="51">
        <v>0</v>
      </c>
      <c r="G83" s="51">
        <v>0</v>
      </c>
      <c r="H83" s="51">
        <v>0</v>
      </c>
      <c r="I83" s="51">
        <v>0</v>
      </c>
      <c r="J83" s="51">
        <v>0</v>
      </c>
      <c r="K83" s="51">
        <f>K66*0.4</f>
        <v>72</v>
      </c>
      <c r="L83" s="52">
        <v>0</v>
      </c>
      <c r="M83" s="51">
        <f>M66*0.5</f>
        <v>275</v>
      </c>
      <c r="N83" s="51">
        <v>0</v>
      </c>
      <c r="O83" s="51">
        <v>0</v>
      </c>
      <c r="P83" s="51">
        <v>0</v>
      </c>
      <c r="Q83" s="51"/>
      <c r="R83" s="51"/>
      <c r="S83" s="51"/>
      <c r="T83" s="51">
        <f>T66</f>
        <v>32</v>
      </c>
      <c r="U83" s="51">
        <f>U66</f>
        <v>160</v>
      </c>
      <c r="V83" s="51"/>
      <c r="W83" s="51"/>
      <c r="X83" s="55"/>
      <c r="Y83" s="59">
        <f t="shared" si="17"/>
        <v>72</v>
      </c>
      <c r="Z83" s="51">
        <f t="shared" si="18"/>
        <v>467</v>
      </c>
      <c r="AA83" s="51">
        <f t="shared" si="29"/>
        <v>539</v>
      </c>
    </row>
    <row r="84" spans="1:27" x14ac:dyDescent="0.25">
      <c r="A84" s="30" t="s">
        <v>60</v>
      </c>
      <c r="B84" s="31" t="s">
        <v>13</v>
      </c>
      <c r="C84" s="32" t="s">
        <v>61</v>
      </c>
      <c r="D84" s="31" t="s">
        <v>78</v>
      </c>
      <c r="E84" s="31"/>
      <c r="F84" s="51">
        <v>0</v>
      </c>
      <c r="G84" s="51">
        <v>0</v>
      </c>
      <c r="H84" s="51">
        <v>0</v>
      </c>
      <c r="I84" s="51">
        <f>I66*0.2</f>
        <v>170</v>
      </c>
      <c r="J84" s="51">
        <v>0</v>
      </c>
      <c r="K84" s="51">
        <f>K66*0.4</f>
        <v>72</v>
      </c>
      <c r="L84" s="52">
        <v>0</v>
      </c>
      <c r="M84" s="51">
        <f>M66*0.1</f>
        <v>55</v>
      </c>
      <c r="N84" s="51">
        <v>0</v>
      </c>
      <c r="O84" s="51">
        <f>O66*0.1</f>
        <v>44</v>
      </c>
      <c r="P84" s="51">
        <f>P66*0.95</f>
        <v>836</v>
      </c>
      <c r="Q84" s="51">
        <f>Q66</f>
        <v>10</v>
      </c>
      <c r="R84" s="51"/>
      <c r="S84" s="51"/>
      <c r="T84" s="51"/>
      <c r="U84" s="51"/>
      <c r="V84" s="51"/>
      <c r="W84" s="51"/>
      <c r="X84" s="55">
        <f>X66</f>
        <v>400</v>
      </c>
      <c r="Y84" s="59">
        <f t="shared" si="17"/>
        <v>242</v>
      </c>
      <c r="Z84" s="51">
        <f t="shared" si="18"/>
        <v>1345</v>
      </c>
      <c r="AA84" s="51">
        <f t="shared" si="29"/>
        <v>1587</v>
      </c>
    </row>
    <row r="85" spans="1:27" ht="15.75" thickBot="1" x14ac:dyDescent="0.3">
      <c r="A85" s="33" t="s">
        <v>60</v>
      </c>
      <c r="B85" s="34" t="s">
        <v>13</v>
      </c>
      <c r="C85" s="35" t="s">
        <v>61</v>
      </c>
      <c r="D85" s="34" t="s">
        <v>79</v>
      </c>
      <c r="E85" s="31"/>
      <c r="F85" s="51">
        <v>0</v>
      </c>
      <c r="G85" s="51">
        <v>0</v>
      </c>
      <c r="H85" s="51">
        <v>0</v>
      </c>
      <c r="I85" s="51">
        <v>0</v>
      </c>
      <c r="J85" s="51">
        <v>0</v>
      </c>
      <c r="K85" s="51">
        <v>0</v>
      </c>
      <c r="L85" s="52">
        <v>0</v>
      </c>
      <c r="M85" s="51">
        <v>0</v>
      </c>
      <c r="N85" s="51">
        <v>0</v>
      </c>
      <c r="O85" s="51">
        <v>0</v>
      </c>
      <c r="P85" s="51">
        <v>0</v>
      </c>
      <c r="Q85" s="51"/>
      <c r="R85" s="51"/>
      <c r="S85" s="51"/>
      <c r="T85" s="51"/>
      <c r="U85" s="51"/>
      <c r="V85" s="51"/>
      <c r="W85" s="51"/>
      <c r="X85" s="55"/>
      <c r="Y85" s="59">
        <f t="shared" si="17"/>
        <v>0</v>
      </c>
      <c r="Z85" s="51">
        <f t="shared" si="18"/>
        <v>0</v>
      </c>
      <c r="AA85" s="51">
        <f t="shared" si="29"/>
        <v>0</v>
      </c>
    </row>
    <row r="86" spans="1:27" x14ac:dyDescent="0.25">
      <c r="A86" s="30" t="s">
        <v>60</v>
      </c>
      <c r="B86" s="31" t="s">
        <v>13</v>
      </c>
      <c r="C86" s="32" t="s">
        <v>62</v>
      </c>
      <c r="D86" s="31" t="s">
        <v>75</v>
      </c>
      <c r="E86" s="31"/>
      <c r="F86" s="51"/>
      <c r="G86" s="51">
        <v>0</v>
      </c>
      <c r="H86" s="51">
        <v>0</v>
      </c>
      <c r="I86" s="51">
        <v>0</v>
      </c>
      <c r="J86" s="51">
        <v>0</v>
      </c>
      <c r="K86" s="51">
        <v>0</v>
      </c>
      <c r="L86" s="52">
        <v>0</v>
      </c>
      <c r="M86" s="51">
        <v>0</v>
      </c>
      <c r="N86" s="51">
        <v>0</v>
      </c>
      <c r="O86" s="51">
        <v>0</v>
      </c>
      <c r="P86" s="51">
        <v>0</v>
      </c>
      <c r="Q86" s="51"/>
      <c r="R86" s="51"/>
      <c r="S86" s="51"/>
      <c r="T86" s="51"/>
      <c r="U86" s="51"/>
      <c r="V86" s="51"/>
      <c r="W86" s="51"/>
      <c r="X86" s="55"/>
      <c r="Y86" s="59">
        <f t="shared" si="17"/>
        <v>0</v>
      </c>
      <c r="Z86" s="51">
        <f t="shared" si="18"/>
        <v>0</v>
      </c>
      <c r="AA86" s="51">
        <f t="shared" si="29"/>
        <v>0</v>
      </c>
    </row>
    <row r="87" spans="1:27" x14ac:dyDescent="0.25">
      <c r="A87" s="30" t="s">
        <v>60</v>
      </c>
      <c r="B87" s="31" t="s">
        <v>13</v>
      </c>
      <c r="C87" s="32" t="s">
        <v>62</v>
      </c>
      <c r="D87" s="31" t="s">
        <v>76</v>
      </c>
      <c r="E87" s="31"/>
      <c r="F87" s="51">
        <f>F67</f>
        <v>272.39999999999998</v>
      </c>
      <c r="G87" s="51">
        <f>G67</f>
        <v>1020</v>
      </c>
      <c r="H87" s="51">
        <f>H67</f>
        <v>982.4</v>
      </c>
      <c r="I87" s="51">
        <v>0</v>
      </c>
      <c r="J87" s="51">
        <v>0</v>
      </c>
      <c r="K87" s="51">
        <v>0</v>
      </c>
      <c r="L87" s="52">
        <v>0</v>
      </c>
      <c r="M87" s="51">
        <v>0</v>
      </c>
      <c r="N87" s="51">
        <v>0</v>
      </c>
      <c r="O87" s="51">
        <v>0</v>
      </c>
      <c r="P87" s="51">
        <v>0</v>
      </c>
      <c r="Q87" s="51"/>
      <c r="R87" s="51"/>
      <c r="S87" s="51"/>
      <c r="T87" s="51"/>
      <c r="U87" s="51"/>
      <c r="V87" s="51"/>
      <c r="W87" s="51"/>
      <c r="X87" s="55"/>
      <c r="Y87" s="59">
        <f t="shared" si="17"/>
        <v>2274.8000000000002</v>
      </c>
      <c r="Z87" s="51">
        <f t="shared" si="18"/>
        <v>0</v>
      </c>
      <c r="AA87" s="51">
        <f t="shared" si="29"/>
        <v>2274.8000000000002</v>
      </c>
    </row>
    <row r="88" spans="1:27" x14ac:dyDescent="0.25">
      <c r="A88" s="30" t="s">
        <v>60</v>
      </c>
      <c r="B88" s="31" t="s">
        <v>13</v>
      </c>
      <c r="C88" s="32" t="s">
        <v>62</v>
      </c>
      <c r="D88" s="31" t="s">
        <v>77</v>
      </c>
      <c r="E88" s="31"/>
      <c r="F88" s="51">
        <v>0</v>
      </c>
      <c r="G88" s="51">
        <v>0</v>
      </c>
      <c r="H88" s="51">
        <v>0</v>
      </c>
      <c r="I88" s="51">
        <v>0</v>
      </c>
      <c r="J88" s="51">
        <v>0</v>
      </c>
      <c r="K88" s="51">
        <v>0</v>
      </c>
      <c r="L88" s="52">
        <v>0</v>
      </c>
      <c r="M88" s="51">
        <v>0</v>
      </c>
      <c r="N88" s="51">
        <v>0</v>
      </c>
      <c r="O88" s="51">
        <v>0</v>
      </c>
      <c r="P88" s="51">
        <v>0</v>
      </c>
      <c r="Q88" s="51"/>
      <c r="R88" s="51"/>
      <c r="S88" s="51"/>
      <c r="T88" s="51"/>
      <c r="U88" s="51"/>
      <c r="V88" s="51"/>
      <c r="W88" s="51"/>
      <c r="X88" s="55"/>
      <c r="Y88" s="59">
        <f t="shared" si="17"/>
        <v>0</v>
      </c>
      <c r="Z88" s="51">
        <f t="shared" si="18"/>
        <v>0</v>
      </c>
      <c r="AA88" s="51">
        <f t="shared" si="29"/>
        <v>0</v>
      </c>
    </row>
    <row r="89" spans="1:27" x14ac:dyDescent="0.25">
      <c r="A89" s="30" t="s">
        <v>60</v>
      </c>
      <c r="B89" s="31" t="s">
        <v>13</v>
      </c>
      <c r="C89" s="32" t="s">
        <v>62</v>
      </c>
      <c r="D89" s="31" t="s">
        <v>78</v>
      </c>
      <c r="E89" s="31"/>
      <c r="F89" s="51">
        <v>0</v>
      </c>
      <c r="G89" s="51">
        <v>0</v>
      </c>
      <c r="H89" s="51">
        <v>0</v>
      </c>
      <c r="I89" s="51">
        <v>0</v>
      </c>
      <c r="J89" s="51">
        <v>0</v>
      </c>
      <c r="K89" s="51">
        <v>0</v>
      </c>
      <c r="L89" s="52">
        <v>0</v>
      </c>
      <c r="M89" s="51">
        <v>0</v>
      </c>
      <c r="N89" s="51">
        <v>0</v>
      </c>
      <c r="O89" s="51">
        <v>0</v>
      </c>
      <c r="P89" s="51">
        <v>0</v>
      </c>
      <c r="Q89" s="51"/>
      <c r="R89" s="51"/>
      <c r="S89" s="51"/>
      <c r="T89" s="51"/>
      <c r="U89" s="51"/>
      <c r="V89" s="51"/>
      <c r="W89" s="51"/>
      <c r="X89" s="55"/>
      <c r="Y89" s="59">
        <f t="shared" si="17"/>
        <v>0</v>
      </c>
      <c r="Z89" s="51">
        <f t="shared" si="18"/>
        <v>0</v>
      </c>
      <c r="AA89" s="51">
        <f t="shared" si="29"/>
        <v>0</v>
      </c>
    </row>
    <row r="90" spans="1:27" ht="15.75" thickBot="1" x14ac:dyDescent="0.3">
      <c r="A90" s="33" t="s">
        <v>60</v>
      </c>
      <c r="B90" s="34" t="s">
        <v>13</v>
      </c>
      <c r="C90" s="32" t="s">
        <v>62</v>
      </c>
      <c r="D90" s="34" t="s">
        <v>79</v>
      </c>
      <c r="E90" s="31"/>
      <c r="F90" s="51"/>
      <c r="G90" s="51"/>
      <c r="H90" s="51"/>
      <c r="I90" s="51"/>
      <c r="J90" s="51"/>
      <c r="K90" s="51"/>
      <c r="L90" s="52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5"/>
      <c r="Y90" s="59">
        <f t="shared" si="17"/>
        <v>0</v>
      </c>
      <c r="Z90" s="51">
        <f t="shared" si="18"/>
        <v>0</v>
      </c>
      <c r="AA90" s="51">
        <f t="shared" si="29"/>
        <v>0</v>
      </c>
    </row>
    <row r="92" spans="1:27" x14ac:dyDescent="0.25">
      <c r="D92" s="41" t="s">
        <v>19</v>
      </c>
      <c r="E92" s="41"/>
      <c r="M92" s="24" t="s">
        <v>81</v>
      </c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</row>
    <row r="93" spans="1:27" x14ac:dyDescent="0.25">
      <c r="F93" s="23" t="s">
        <v>44</v>
      </c>
      <c r="G93" s="23"/>
      <c r="H93" s="23"/>
      <c r="I93" s="23"/>
      <c r="J93" s="23"/>
      <c r="K93" s="23"/>
      <c r="L93" s="7" t="s">
        <v>30</v>
      </c>
      <c r="M93" s="24" t="s">
        <v>46</v>
      </c>
      <c r="N93" s="24"/>
      <c r="O93" s="24"/>
      <c r="P93" s="24"/>
      <c r="Q93" s="24"/>
      <c r="R93" s="24" t="s">
        <v>47</v>
      </c>
      <c r="S93" s="24"/>
      <c r="T93" s="24"/>
      <c r="U93" s="24"/>
      <c r="V93" s="24"/>
      <c r="W93" s="24"/>
      <c r="X93" s="24"/>
      <c r="Y93" s="44" t="s">
        <v>85</v>
      </c>
      <c r="Z93" s="44" t="s">
        <v>48</v>
      </c>
      <c r="AA93" s="44" t="s">
        <v>3</v>
      </c>
    </row>
    <row r="94" spans="1:27" ht="63" x14ac:dyDescent="0.25">
      <c r="F94" s="38" t="s">
        <v>36</v>
      </c>
      <c r="G94" s="38" t="s">
        <v>37</v>
      </c>
      <c r="H94" s="38" t="s">
        <v>38</v>
      </c>
      <c r="I94" s="38" t="s">
        <v>80</v>
      </c>
      <c r="J94" s="38" t="s">
        <v>39</v>
      </c>
      <c r="K94" s="38" t="s">
        <v>45</v>
      </c>
      <c r="L94" s="39" t="s">
        <v>16</v>
      </c>
      <c r="M94" s="40" t="s">
        <v>34</v>
      </c>
      <c r="N94" s="40" t="s">
        <v>5</v>
      </c>
      <c r="O94" s="40" t="s">
        <v>7</v>
      </c>
      <c r="P94" s="40" t="s">
        <v>8</v>
      </c>
      <c r="Q94" s="40" t="s">
        <v>40</v>
      </c>
      <c r="R94" s="40" t="s">
        <v>41</v>
      </c>
      <c r="S94" s="40" t="s">
        <v>42</v>
      </c>
      <c r="T94" s="40" t="s">
        <v>31</v>
      </c>
      <c r="U94" s="40" t="s">
        <v>43</v>
      </c>
      <c r="V94" s="40" t="s">
        <v>82</v>
      </c>
      <c r="W94" s="40" t="s">
        <v>87</v>
      </c>
      <c r="X94" s="40" t="s">
        <v>83</v>
      </c>
      <c r="Y94" s="45" t="s">
        <v>3</v>
      </c>
      <c r="Z94" s="45" t="s">
        <v>3</v>
      </c>
      <c r="AA94" s="45" t="s">
        <v>3</v>
      </c>
    </row>
    <row r="95" spans="1:27" x14ac:dyDescent="0.25">
      <c r="A95" s="15" t="s">
        <v>51</v>
      </c>
      <c r="B95" s="2"/>
      <c r="C95" s="2"/>
      <c r="F95" s="1">
        <f>IF(F5&gt;0,F50/F5,0)</f>
        <v>0</v>
      </c>
      <c r="G95" s="1">
        <f t="shared" ref="G95:AA95" si="30">IF(G5&gt;0,G50/G5,0)</f>
        <v>0</v>
      </c>
      <c r="H95" s="1">
        <f t="shared" si="30"/>
        <v>0</v>
      </c>
      <c r="I95" s="1">
        <f t="shared" si="30"/>
        <v>0</v>
      </c>
      <c r="J95" s="1">
        <f t="shared" si="30"/>
        <v>0</v>
      </c>
      <c r="K95" s="1">
        <f t="shared" si="30"/>
        <v>0</v>
      </c>
      <c r="L95" s="52">
        <f t="shared" si="30"/>
        <v>0</v>
      </c>
      <c r="M95" s="1">
        <f t="shared" si="30"/>
        <v>0</v>
      </c>
      <c r="N95" s="1">
        <f t="shared" si="30"/>
        <v>0</v>
      </c>
      <c r="O95" s="1">
        <f t="shared" si="30"/>
        <v>0</v>
      </c>
      <c r="P95" s="1">
        <f t="shared" si="30"/>
        <v>0</v>
      </c>
      <c r="Q95" s="1">
        <f t="shared" si="30"/>
        <v>0</v>
      </c>
      <c r="R95" s="1">
        <f t="shared" si="30"/>
        <v>0</v>
      </c>
      <c r="S95" s="1">
        <f t="shared" si="30"/>
        <v>0</v>
      </c>
      <c r="T95" s="1">
        <f t="shared" si="30"/>
        <v>0</v>
      </c>
      <c r="U95" s="1">
        <f t="shared" si="30"/>
        <v>0</v>
      </c>
      <c r="V95" s="1">
        <f t="shared" si="30"/>
        <v>0</v>
      </c>
      <c r="W95" s="1">
        <f t="shared" ref="W95:W110" si="31">IF(W5&gt;0,W50/W5,0)</f>
        <v>0</v>
      </c>
      <c r="X95" s="54">
        <f t="shared" si="30"/>
        <v>0</v>
      </c>
      <c r="Y95" s="58">
        <f t="shared" si="30"/>
        <v>0</v>
      </c>
      <c r="Z95" s="1">
        <f t="shared" si="30"/>
        <v>0</v>
      </c>
      <c r="AA95" s="1">
        <f t="shared" si="30"/>
        <v>0</v>
      </c>
    </row>
    <row r="96" spans="1:27" x14ac:dyDescent="0.25">
      <c r="A96" s="30" t="s">
        <v>60</v>
      </c>
      <c r="B96" s="2"/>
      <c r="C96" s="2"/>
      <c r="F96" s="1">
        <f t="shared" ref="F96:AA96" si="32">IF(F6&gt;0,F51/F6,0)</f>
        <v>0.20845323741007193</v>
      </c>
      <c r="G96" s="1">
        <f t="shared" si="32"/>
        <v>0.34693877551020408</v>
      </c>
      <c r="H96" s="1">
        <f t="shared" si="32"/>
        <v>0.41939890710382521</v>
      </c>
      <c r="I96" s="1">
        <f t="shared" si="32"/>
        <v>0.28911564625850339</v>
      </c>
      <c r="J96" s="1">
        <f t="shared" si="32"/>
        <v>0.22501675859691639</v>
      </c>
      <c r="K96" s="1">
        <f t="shared" si="32"/>
        <v>0.23636363636363636</v>
      </c>
      <c r="L96" s="52">
        <f t="shared" si="32"/>
        <v>0.09</v>
      </c>
      <c r="M96" s="1">
        <f t="shared" si="32"/>
        <v>0.15548671511974263</v>
      </c>
      <c r="N96" s="1">
        <f t="shared" si="32"/>
        <v>0.76794097920858484</v>
      </c>
      <c r="O96" s="1">
        <f t="shared" si="32"/>
        <v>0.52568697729988056</v>
      </c>
      <c r="P96" s="1">
        <f t="shared" si="32"/>
        <v>0.40552995391705071</v>
      </c>
      <c r="Q96" s="1">
        <f t="shared" si="32"/>
        <v>0.15031835305353636</v>
      </c>
      <c r="R96" s="1">
        <f t="shared" si="32"/>
        <v>0.18199101278949187</v>
      </c>
      <c r="S96" s="1">
        <f t="shared" si="32"/>
        <v>0.3</v>
      </c>
      <c r="T96" s="1">
        <f t="shared" si="32"/>
        <v>0.16105317148230466</v>
      </c>
      <c r="U96" s="1">
        <f t="shared" si="32"/>
        <v>0.13588850174216027</v>
      </c>
      <c r="V96" s="1">
        <f t="shared" si="32"/>
        <v>0.27774130006565989</v>
      </c>
      <c r="W96" s="1">
        <f t="shared" si="31"/>
        <v>0.19999999999999998</v>
      </c>
      <c r="X96" s="54">
        <f t="shared" si="32"/>
        <v>0.16347619642634012</v>
      </c>
      <c r="Y96" s="58">
        <f t="shared" si="32"/>
        <v>0.2785348136834504</v>
      </c>
      <c r="Z96" s="1">
        <f t="shared" si="32"/>
        <v>0.18417193333983883</v>
      </c>
      <c r="AA96" s="1">
        <f t="shared" si="32"/>
        <v>0.13665547316265528</v>
      </c>
    </row>
    <row r="97" spans="1:27" x14ac:dyDescent="0.25">
      <c r="A97" s="15" t="s">
        <v>51</v>
      </c>
      <c r="B97" s="16" t="s">
        <v>52</v>
      </c>
      <c r="C97" s="2"/>
      <c r="F97" s="1">
        <f t="shared" ref="F97:AA97" si="33">IF(F7&gt;0,F52/F7,0)</f>
        <v>0</v>
      </c>
      <c r="G97" s="1">
        <f t="shared" si="33"/>
        <v>0</v>
      </c>
      <c r="H97" s="1">
        <f t="shared" si="33"/>
        <v>0</v>
      </c>
      <c r="I97" s="1">
        <f t="shared" si="33"/>
        <v>0</v>
      </c>
      <c r="J97" s="1">
        <f t="shared" si="33"/>
        <v>0</v>
      </c>
      <c r="K97" s="1">
        <f t="shared" si="33"/>
        <v>0</v>
      </c>
      <c r="L97" s="52">
        <f t="shared" si="33"/>
        <v>0</v>
      </c>
      <c r="M97" s="1">
        <f t="shared" si="33"/>
        <v>0</v>
      </c>
      <c r="N97" s="1">
        <f t="shared" si="33"/>
        <v>0</v>
      </c>
      <c r="O97" s="1">
        <f t="shared" si="33"/>
        <v>0</v>
      </c>
      <c r="P97" s="1">
        <f t="shared" si="33"/>
        <v>0</v>
      </c>
      <c r="Q97" s="1">
        <f t="shared" si="33"/>
        <v>0</v>
      </c>
      <c r="R97" s="1">
        <f t="shared" si="33"/>
        <v>0</v>
      </c>
      <c r="S97" s="1">
        <f t="shared" si="33"/>
        <v>0</v>
      </c>
      <c r="T97" s="1">
        <f t="shared" si="33"/>
        <v>0</v>
      </c>
      <c r="U97" s="1">
        <f t="shared" si="33"/>
        <v>0</v>
      </c>
      <c r="V97" s="1">
        <f t="shared" si="33"/>
        <v>0</v>
      </c>
      <c r="W97" s="1">
        <f t="shared" si="31"/>
        <v>0</v>
      </c>
      <c r="X97" s="54">
        <f t="shared" si="33"/>
        <v>0</v>
      </c>
      <c r="Y97" s="58">
        <f t="shared" si="33"/>
        <v>0</v>
      </c>
      <c r="Z97" s="1">
        <f t="shared" si="33"/>
        <v>0</v>
      </c>
      <c r="AA97" s="1">
        <f t="shared" si="33"/>
        <v>0</v>
      </c>
    </row>
    <row r="98" spans="1:27" x14ac:dyDescent="0.25">
      <c r="A98" s="15" t="s">
        <v>51</v>
      </c>
      <c r="B98" s="16" t="s">
        <v>56</v>
      </c>
      <c r="C98" s="2"/>
      <c r="F98" s="1">
        <f t="shared" ref="F98:AA98" si="34">IF(F8&gt;0,F53/F8,0)</f>
        <v>0</v>
      </c>
      <c r="G98" s="1">
        <f t="shared" si="34"/>
        <v>0</v>
      </c>
      <c r="H98" s="1">
        <f t="shared" si="34"/>
        <v>0</v>
      </c>
      <c r="I98" s="1">
        <f t="shared" si="34"/>
        <v>0</v>
      </c>
      <c r="J98" s="1">
        <f t="shared" si="34"/>
        <v>0</v>
      </c>
      <c r="K98" s="1">
        <f t="shared" si="34"/>
        <v>0</v>
      </c>
      <c r="L98" s="52">
        <f t="shared" si="34"/>
        <v>0</v>
      </c>
      <c r="M98" s="1">
        <f t="shared" si="34"/>
        <v>0</v>
      </c>
      <c r="N98" s="1">
        <f t="shared" si="34"/>
        <v>0</v>
      </c>
      <c r="O98" s="1">
        <f t="shared" si="34"/>
        <v>0</v>
      </c>
      <c r="P98" s="1">
        <f t="shared" si="34"/>
        <v>0</v>
      </c>
      <c r="Q98" s="1">
        <f t="shared" si="34"/>
        <v>0</v>
      </c>
      <c r="R98" s="1">
        <f t="shared" si="34"/>
        <v>0</v>
      </c>
      <c r="S98" s="1">
        <f t="shared" si="34"/>
        <v>0</v>
      </c>
      <c r="T98" s="1">
        <f t="shared" si="34"/>
        <v>0</v>
      </c>
      <c r="U98" s="1">
        <f t="shared" si="34"/>
        <v>0</v>
      </c>
      <c r="V98" s="1">
        <f t="shared" si="34"/>
        <v>0</v>
      </c>
      <c r="W98" s="1">
        <f t="shared" si="31"/>
        <v>0</v>
      </c>
      <c r="X98" s="54">
        <f t="shared" si="34"/>
        <v>0</v>
      </c>
      <c r="Y98" s="58">
        <f t="shared" si="34"/>
        <v>0</v>
      </c>
      <c r="Z98" s="1">
        <f t="shared" si="34"/>
        <v>0</v>
      </c>
      <c r="AA98" s="1">
        <f t="shared" si="34"/>
        <v>0</v>
      </c>
    </row>
    <row r="99" spans="1:27" x14ac:dyDescent="0.25">
      <c r="A99" s="15" t="s">
        <v>51</v>
      </c>
      <c r="B99" s="16" t="s">
        <v>9</v>
      </c>
      <c r="C99" s="2"/>
      <c r="F99" s="1">
        <f t="shared" ref="F99:AA99" si="35">IF(F9&gt;0,F54/F9,0)</f>
        <v>0</v>
      </c>
      <c r="G99" s="1">
        <f t="shared" si="35"/>
        <v>0</v>
      </c>
      <c r="H99" s="1">
        <f t="shared" si="35"/>
        <v>0</v>
      </c>
      <c r="I99" s="1">
        <f t="shared" si="35"/>
        <v>0</v>
      </c>
      <c r="J99" s="1">
        <f t="shared" si="35"/>
        <v>0</v>
      </c>
      <c r="K99" s="1">
        <f t="shared" si="35"/>
        <v>0</v>
      </c>
      <c r="L99" s="52">
        <f t="shared" si="35"/>
        <v>0</v>
      </c>
      <c r="M99" s="1">
        <f t="shared" si="35"/>
        <v>0</v>
      </c>
      <c r="N99" s="1">
        <f t="shared" si="35"/>
        <v>0</v>
      </c>
      <c r="O99" s="1">
        <f t="shared" si="35"/>
        <v>0</v>
      </c>
      <c r="P99" s="1">
        <f t="shared" si="35"/>
        <v>0</v>
      </c>
      <c r="Q99" s="1">
        <f t="shared" si="35"/>
        <v>0</v>
      </c>
      <c r="R99" s="1">
        <f t="shared" si="35"/>
        <v>0</v>
      </c>
      <c r="S99" s="1">
        <f t="shared" si="35"/>
        <v>0</v>
      </c>
      <c r="T99" s="1">
        <f t="shared" si="35"/>
        <v>0</v>
      </c>
      <c r="U99" s="1">
        <f t="shared" si="35"/>
        <v>0</v>
      </c>
      <c r="V99" s="1">
        <f t="shared" si="35"/>
        <v>0</v>
      </c>
      <c r="W99" s="1">
        <f t="shared" si="31"/>
        <v>0</v>
      </c>
      <c r="X99" s="54">
        <f t="shared" si="35"/>
        <v>0</v>
      </c>
      <c r="Y99" s="58">
        <f t="shared" si="35"/>
        <v>0</v>
      </c>
      <c r="Z99" s="1">
        <f t="shared" si="35"/>
        <v>0</v>
      </c>
      <c r="AA99" s="1">
        <f t="shared" si="35"/>
        <v>0</v>
      </c>
    </row>
    <row r="100" spans="1:27" x14ac:dyDescent="0.25">
      <c r="A100" s="30" t="s">
        <v>60</v>
      </c>
      <c r="B100" s="32" t="s">
        <v>13</v>
      </c>
      <c r="C100" s="2"/>
      <c r="F100" s="51">
        <f t="shared" ref="F100:Z100" si="36">IF(F10&gt;0,F55/F10,0)</f>
        <v>0.20692798541476753</v>
      </c>
      <c r="G100" s="51">
        <f t="shared" si="36"/>
        <v>0.34693877551020408</v>
      </c>
      <c r="H100" s="51">
        <f t="shared" si="36"/>
        <v>0.41939890710382521</v>
      </c>
      <c r="I100" s="51">
        <f t="shared" si="36"/>
        <v>0.28911564625850339</v>
      </c>
      <c r="J100" s="51">
        <f t="shared" si="36"/>
        <v>0.39416058394160586</v>
      </c>
      <c r="K100" s="51">
        <f t="shared" si="36"/>
        <v>0.3</v>
      </c>
      <c r="L100" s="52">
        <f t="shared" si="36"/>
        <v>0</v>
      </c>
      <c r="M100" s="51">
        <f t="shared" si="36"/>
        <v>0.43171114599686028</v>
      </c>
      <c r="N100" s="51">
        <f t="shared" si="36"/>
        <v>0.67567567567567566</v>
      </c>
      <c r="O100" s="51">
        <f t="shared" si="36"/>
        <v>0.52568697729988056</v>
      </c>
      <c r="P100" s="51">
        <f t="shared" si="36"/>
        <v>0.40552995391705071</v>
      </c>
      <c r="Q100" s="51">
        <f t="shared" si="36"/>
        <v>0.55000000000000004</v>
      </c>
      <c r="R100" s="51">
        <f t="shared" si="36"/>
        <v>0.5</v>
      </c>
      <c r="S100" s="51">
        <f t="shared" si="36"/>
        <v>0</v>
      </c>
      <c r="T100" s="51">
        <f t="shared" si="36"/>
        <v>0.5</v>
      </c>
      <c r="U100" s="51">
        <f t="shared" si="36"/>
        <v>0.5</v>
      </c>
      <c r="V100" s="51">
        <f t="shared" si="36"/>
        <v>1.2</v>
      </c>
      <c r="W100" s="51">
        <f t="shared" si="31"/>
        <v>0.6</v>
      </c>
      <c r="X100" s="55">
        <f t="shared" si="36"/>
        <v>0.5</v>
      </c>
      <c r="Y100" s="59">
        <f t="shared" si="36"/>
        <v>0.30336648814078043</v>
      </c>
      <c r="Z100" s="51">
        <f t="shared" si="36"/>
        <v>0.48399606387261257</v>
      </c>
      <c r="AA100" s="51">
        <f>IF(AA10&gt;0,AB55/AA10,0)</f>
        <v>0.45592705167173253</v>
      </c>
    </row>
    <row r="101" spans="1:27" x14ac:dyDescent="0.25">
      <c r="A101" s="30" t="s">
        <v>60</v>
      </c>
      <c r="B101" s="31" t="s">
        <v>23</v>
      </c>
      <c r="C101" s="2"/>
      <c r="F101" s="51">
        <f t="shared" ref="F101:AA101" si="37">IF(F11&gt;0,F56/F11,0)</f>
        <v>0.32</v>
      </c>
      <c r="G101" s="51">
        <f t="shared" si="37"/>
        <v>0</v>
      </c>
      <c r="H101" s="51">
        <f t="shared" si="37"/>
        <v>0</v>
      </c>
      <c r="I101" s="51">
        <f t="shared" si="37"/>
        <v>0</v>
      </c>
      <c r="J101" s="51">
        <f t="shared" si="37"/>
        <v>0.30480323229278994</v>
      </c>
      <c r="K101" s="51">
        <f t="shared" si="37"/>
        <v>0.22222222222222221</v>
      </c>
      <c r="L101" s="52">
        <f t="shared" si="37"/>
        <v>0</v>
      </c>
      <c r="M101" s="51">
        <f t="shared" si="37"/>
        <v>0</v>
      </c>
      <c r="N101" s="51">
        <f t="shared" si="37"/>
        <v>0.77536231884057971</v>
      </c>
      <c r="O101" s="51">
        <f t="shared" si="37"/>
        <v>0</v>
      </c>
      <c r="P101" s="51">
        <f t="shared" si="37"/>
        <v>0</v>
      </c>
      <c r="Q101" s="51">
        <f t="shared" si="37"/>
        <v>0</v>
      </c>
      <c r="R101" s="51">
        <f t="shared" si="37"/>
        <v>0</v>
      </c>
      <c r="S101" s="51">
        <f t="shared" si="37"/>
        <v>0.3</v>
      </c>
      <c r="T101" s="51">
        <f t="shared" si="37"/>
        <v>0.4</v>
      </c>
      <c r="U101" s="51">
        <f t="shared" si="37"/>
        <v>0</v>
      </c>
      <c r="V101" s="51">
        <f t="shared" si="37"/>
        <v>0.9</v>
      </c>
      <c r="W101" s="51">
        <f t="shared" si="31"/>
        <v>0</v>
      </c>
      <c r="X101" s="55">
        <f t="shared" si="37"/>
        <v>0.9</v>
      </c>
      <c r="Y101" s="59">
        <f t="shared" si="37"/>
        <v>0.25672940432848795</v>
      </c>
      <c r="Z101" s="51">
        <f t="shared" si="37"/>
        <v>0.64474226804123713</v>
      </c>
      <c r="AA101" s="51">
        <f t="shared" si="37"/>
        <v>0.39084865528614676</v>
      </c>
    </row>
    <row r="102" spans="1:27" x14ac:dyDescent="0.25">
      <c r="A102" s="30" t="s">
        <v>60</v>
      </c>
      <c r="B102" s="31" t="s">
        <v>65</v>
      </c>
      <c r="C102" s="46"/>
      <c r="F102" s="51">
        <f t="shared" ref="F102:Z102" si="38">IF(F12&gt;0,F57/F12,0)</f>
        <v>0</v>
      </c>
      <c r="G102" s="51">
        <f t="shared" si="38"/>
        <v>0</v>
      </c>
      <c r="H102" s="51">
        <f t="shared" si="38"/>
        <v>0</v>
      </c>
      <c r="I102" s="51">
        <f t="shared" si="38"/>
        <v>0</v>
      </c>
      <c r="J102" s="51">
        <f t="shared" si="38"/>
        <v>0.12</v>
      </c>
      <c r="K102" s="51">
        <f t="shared" si="38"/>
        <v>0</v>
      </c>
      <c r="L102" s="52">
        <f t="shared" si="38"/>
        <v>0.09</v>
      </c>
      <c r="M102" s="51">
        <f t="shared" si="38"/>
        <v>0.11999999999999998</v>
      </c>
      <c r="N102" s="51">
        <f t="shared" si="38"/>
        <v>0</v>
      </c>
      <c r="O102" s="51">
        <f t="shared" si="38"/>
        <v>0</v>
      </c>
      <c r="P102" s="51">
        <f t="shared" si="38"/>
        <v>0</v>
      </c>
      <c r="Q102" s="51">
        <f t="shared" si="38"/>
        <v>0.15</v>
      </c>
      <c r="R102" s="51">
        <f t="shared" si="38"/>
        <v>0.18</v>
      </c>
      <c r="S102" s="51">
        <f t="shared" si="38"/>
        <v>0</v>
      </c>
      <c r="T102" s="51">
        <f t="shared" si="38"/>
        <v>0.15</v>
      </c>
      <c r="U102" s="51">
        <f t="shared" si="38"/>
        <v>0.12</v>
      </c>
      <c r="V102" s="51">
        <f t="shared" si="38"/>
        <v>0.12</v>
      </c>
      <c r="W102" s="51">
        <f t="shared" si="31"/>
        <v>0.11999999999999998</v>
      </c>
      <c r="X102" s="55">
        <f t="shared" si="38"/>
        <v>0.12</v>
      </c>
      <c r="Y102" s="59">
        <f t="shared" si="38"/>
        <v>0.12</v>
      </c>
      <c r="Z102" s="51">
        <f t="shared" si="38"/>
        <v>0.13910453567390799</v>
      </c>
      <c r="AA102" s="51">
        <f>IF(AB12&gt;0,AA57/AB12,0)</f>
        <v>9.9531250000000002E-2</v>
      </c>
    </row>
    <row r="103" spans="1:27" ht="15.75" thickBot="1" x14ac:dyDescent="0.3">
      <c r="A103" s="48" t="s">
        <v>60</v>
      </c>
      <c r="B103" s="49" t="s">
        <v>9</v>
      </c>
      <c r="C103" s="50"/>
      <c r="D103" s="50"/>
      <c r="E103" s="50"/>
      <c r="F103" s="53">
        <f t="shared" ref="F103:AA103" si="39">IF(F13&gt;0,F58/F13,0)</f>
        <v>0</v>
      </c>
      <c r="G103" s="53">
        <f t="shared" si="39"/>
        <v>0</v>
      </c>
      <c r="H103" s="53">
        <f t="shared" si="39"/>
        <v>0</v>
      </c>
      <c r="I103" s="53">
        <f t="shared" si="39"/>
        <v>0</v>
      </c>
      <c r="J103" s="53">
        <f t="shared" si="39"/>
        <v>0</v>
      </c>
      <c r="K103" s="53">
        <f t="shared" si="39"/>
        <v>0</v>
      </c>
      <c r="L103" s="62">
        <f t="shared" si="39"/>
        <v>0</v>
      </c>
      <c r="M103" s="53">
        <f t="shared" si="39"/>
        <v>0</v>
      </c>
      <c r="N103" s="53">
        <f t="shared" si="39"/>
        <v>0</v>
      </c>
      <c r="O103" s="53">
        <f t="shared" si="39"/>
        <v>0</v>
      </c>
      <c r="P103" s="53">
        <f t="shared" si="39"/>
        <v>0</v>
      </c>
      <c r="Q103" s="53">
        <f t="shared" si="39"/>
        <v>0</v>
      </c>
      <c r="R103" s="53">
        <f t="shared" si="39"/>
        <v>0</v>
      </c>
      <c r="S103" s="53">
        <f t="shared" si="39"/>
        <v>0</v>
      </c>
      <c r="T103" s="53">
        <f t="shared" si="39"/>
        <v>0</v>
      </c>
      <c r="U103" s="53">
        <f t="shared" si="39"/>
        <v>0</v>
      </c>
      <c r="V103" s="53">
        <f t="shared" si="39"/>
        <v>1</v>
      </c>
      <c r="W103" s="53">
        <f t="shared" si="31"/>
        <v>0</v>
      </c>
      <c r="X103" s="56">
        <f t="shared" si="39"/>
        <v>0.42</v>
      </c>
      <c r="Y103" s="60">
        <f t="shared" si="39"/>
        <v>0</v>
      </c>
      <c r="Z103" s="53">
        <f t="shared" si="39"/>
        <v>0.61607710230883284</v>
      </c>
      <c r="AA103" s="53">
        <f t="shared" si="39"/>
        <v>0.41666666666666669</v>
      </c>
    </row>
    <row r="104" spans="1:27" ht="15.75" thickTop="1" x14ac:dyDescent="0.25">
      <c r="A104" s="15" t="s">
        <v>51</v>
      </c>
      <c r="B104" s="16" t="s">
        <v>52</v>
      </c>
      <c r="C104" s="16" t="s">
        <v>53</v>
      </c>
      <c r="D104" s="2"/>
      <c r="E104" s="2"/>
      <c r="F104" s="47">
        <f t="shared" ref="F104:AA104" si="40">IF(F14&gt;0,F59/F14,0)</f>
        <v>0</v>
      </c>
      <c r="G104" s="47">
        <f t="shared" si="40"/>
        <v>0</v>
      </c>
      <c r="H104" s="47">
        <f t="shared" si="40"/>
        <v>0</v>
      </c>
      <c r="I104" s="47">
        <f t="shared" si="40"/>
        <v>0</v>
      </c>
      <c r="J104" s="47">
        <f t="shared" si="40"/>
        <v>0</v>
      </c>
      <c r="K104" s="47">
        <f t="shared" si="40"/>
        <v>0</v>
      </c>
      <c r="L104" s="63">
        <f t="shared" si="40"/>
        <v>0</v>
      </c>
      <c r="M104" s="47">
        <f t="shared" si="40"/>
        <v>0</v>
      </c>
      <c r="N104" s="47">
        <f t="shared" si="40"/>
        <v>0</v>
      </c>
      <c r="O104" s="47">
        <f t="shared" si="40"/>
        <v>0</v>
      </c>
      <c r="P104" s="47">
        <f t="shared" si="40"/>
        <v>0</v>
      </c>
      <c r="Q104" s="47">
        <f t="shared" si="40"/>
        <v>0</v>
      </c>
      <c r="R104" s="47">
        <f t="shared" si="40"/>
        <v>0</v>
      </c>
      <c r="S104" s="47">
        <f t="shared" si="40"/>
        <v>0</v>
      </c>
      <c r="T104" s="47">
        <f t="shared" si="40"/>
        <v>0</v>
      </c>
      <c r="U104" s="47">
        <f t="shared" si="40"/>
        <v>0</v>
      </c>
      <c r="V104" s="47">
        <f t="shared" si="40"/>
        <v>0</v>
      </c>
      <c r="W104" s="47">
        <f t="shared" si="31"/>
        <v>0</v>
      </c>
      <c r="X104" s="57">
        <f t="shared" si="40"/>
        <v>0</v>
      </c>
      <c r="Y104" s="61">
        <f t="shared" si="40"/>
        <v>0</v>
      </c>
      <c r="Z104" s="47">
        <f t="shared" si="40"/>
        <v>0</v>
      </c>
      <c r="AA104" s="47">
        <f t="shared" si="40"/>
        <v>0</v>
      </c>
    </row>
    <row r="105" spans="1:27" x14ac:dyDescent="0.25">
      <c r="A105" s="15" t="s">
        <v>51</v>
      </c>
      <c r="B105" s="16" t="s">
        <v>52</v>
      </c>
      <c r="C105" s="16" t="s">
        <v>54</v>
      </c>
      <c r="D105" s="2"/>
      <c r="E105" s="2"/>
      <c r="F105" s="1">
        <f t="shared" ref="F105:AA105" si="41">IF(F15&gt;0,F60/F15,0)</f>
        <v>0</v>
      </c>
      <c r="G105" s="1">
        <f t="shared" si="41"/>
        <v>0</v>
      </c>
      <c r="H105" s="1">
        <f t="shared" si="41"/>
        <v>0</v>
      </c>
      <c r="I105" s="1">
        <f t="shared" si="41"/>
        <v>0</v>
      </c>
      <c r="J105" s="1">
        <f t="shared" si="41"/>
        <v>0</v>
      </c>
      <c r="K105" s="1">
        <f t="shared" si="41"/>
        <v>0</v>
      </c>
      <c r="L105" s="52">
        <f t="shared" si="41"/>
        <v>0</v>
      </c>
      <c r="M105" s="1">
        <f t="shared" si="41"/>
        <v>0</v>
      </c>
      <c r="N105" s="1">
        <f t="shared" si="41"/>
        <v>0</v>
      </c>
      <c r="O105" s="1">
        <f t="shared" si="41"/>
        <v>0</v>
      </c>
      <c r="P105" s="1">
        <f t="shared" si="41"/>
        <v>0</v>
      </c>
      <c r="Q105" s="1">
        <f t="shared" si="41"/>
        <v>0</v>
      </c>
      <c r="R105" s="1">
        <f t="shared" si="41"/>
        <v>0</v>
      </c>
      <c r="S105" s="1">
        <f t="shared" si="41"/>
        <v>0</v>
      </c>
      <c r="T105" s="1">
        <f t="shared" si="41"/>
        <v>0</v>
      </c>
      <c r="U105" s="1">
        <f t="shared" si="41"/>
        <v>0</v>
      </c>
      <c r="V105" s="1">
        <f t="shared" si="41"/>
        <v>0</v>
      </c>
      <c r="W105" s="1">
        <f t="shared" si="31"/>
        <v>0</v>
      </c>
      <c r="X105" s="54">
        <f t="shared" si="41"/>
        <v>0</v>
      </c>
      <c r="Y105" s="58">
        <f t="shared" si="41"/>
        <v>0</v>
      </c>
      <c r="Z105" s="1">
        <f t="shared" si="41"/>
        <v>0</v>
      </c>
      <c r="AA105" s="1">
        <f t="shared" si="41"/>
        <v>0</v>
      </c>
    </row>
    <row r="106" spans="1:27" x14ac:dyDescent="0.25">
      <c r="A106" s="15" t="s">
        <v>51</v>
      </c>
      <c r="B106" s="16" t="s">
        <v>52</v>
      </c>
      <c r="C106" s="16" t="s">
        <v>55</v>
      </c>
      <c r="D106" s="2"/>
      <c r="E106" s="2"/>
      <c r="F106" s="1">
        <f t="shared" ref="F106:AA106" si="42">IF(F16&gt;0,F61/F16,0)</f>
        <v>0</v>
      </c>
      <c r="G106" s="1">
        <f t="shared" si="42"/>
        <v>0</v>
      </c>
      <c r="H106" s="1">
        <f t="shared" si="42"/>
        <v>0</v>
      </c>
      <c r="I106" s="1">
        <f t="shared" si="42"/>
        <v>0</v>
      </c>
      <c r="J106" s="1">
        <f t="shared" si="42"/>
        <v>0</v>
      </c>
      <c r="K106" s="1">
        <f t="shared" si="42"/>
        <v>0</v>
      </c>
      <c r="L106" s="52">
        <f t="shared" si="42"/>
        <v>0</v>
      </c>
      <c r="M106" s="1">
        <f t="shared" si="42"/>
        <v>0</v>
      </c>
      <c r="N106" s="1">
        <f t="shared" si="42"/>
        <v>0</v>
      </c>
      <c r="O106" s="1">
        <f t="shared" si="42"/>
        <v>0</v>
      </c>
      <c r="P106" s="1">
        <f t="shared" si="42"/>
        <v>0</v>
      </c>
      <c r="Q106" s="1">
        <f t="shared" si="42"/>
        <v>0</v>
      </c>
      <c r="R106" s="1">
        <f t="shared" si="42"/>
        <v>0</v>
      </c>
      <c r="S106" s="1">
        <f t="shared" si="42"/>
        <v>0</v>
      </c>
      <c r="T106" s="1">
        <f t="shared" si="42"/>
        <v>0</v>
      </c>
      <c r="U106" s="1">
        <f t="shared" si="42"/>
        <v>0</v>
      </c>
      <c r="V106" s="1">
        <f t="shared" si="42"/>
        <v>0</v>
      </c>
      <c r="W106" s="1">
        <f t="shared" si="31"/>
        <v>0</v>
      </c>
      <c r="X106" s="54">
        <f t="shared" si="42"/>
        <v>0</v>
      </c>
      <c r="Y106" s="58">
        <f t="shared" si="42"/>
        <v>0</v>
      </c>
      <c r="Z106" s="1">
        <f t="shared" si="42"/>
        <v>0</v>
      </c>
      <c r="AA106" s="1">
        <f t="shared" si="42"/>
        <v>0</v>
      </c>
    </row>
    <row r="107" spans="1:27" x14ac:dyDescent="0.25">
      <c r="A107" s="25" t="s">
        <v>51</v>
      </c>
      <c r="B107" s="26" t="s">
        <v>56</v>
      </c>
      <c r="C107" s="26" t="s">
        <v>57</v>
      </c>
      <c r="D107" s="2"/>
      <c r="E107" s="2"/>
      <c r="F107" s="1">
        <f t="shared" ref="F107:AA107" si="43">IF(F17&gt;0,F62/F17,0)</f>
        <v>0</v>
      </c>
      <c r="G107" s="1">
        <f t="shared" si="43"/>
        <v>0</v>
      </c>
      <c r="H107" s="1">
        <f t="shared" si="43"/>
        <v>0</v>
      </c>
      <c r="I107" s="1">
        <f t="shared" si="43"/>
        <v>0</v>
      </c>
      <c r="J107" s="1">
        <f t="shared" si="43"/>
        <v>0</v>
      </c>
      <c r="K107" s="1">
        <f t="shared" si="43"/>
        <v>0</v>
      </c>
      <c r="L107" s="52">
        <f t="shared" si="43"/>
        <v>0</v>
      </c>
      <c r="M107" s="1">
        <f t="shared" si="43"/>
        <v>0</v>
      </c>
      <c r="N107" s="1">
        <f t="shared" si="43"/>
        <v>0</v>
      </c>
      <c r="O107" s="1">
        <f t="shared" si="43"/>
        <v>0</v>
      </c>
      <c r="P107" s="1">
        <f t="shared" si="43"/>
        <v>0</v>
      </c>
      <c r="Q107" s="1">
        <f t="shared" si="43"/>
        <v>0</v>
      </c>
      <c r="R107" s="1">
        <f t="shared" si="43"/>
        <v>0</v>
      </c>
      <c r="S107" s="1">
        <f t="shared" si="43"/>
        <v>0</v>
      </c>
      <c r="T107" s="1">
        <f t="shared" si="43"/>
        <v>0</v>
      </c>
      <c r="U107" s="1">
        <f t="shared" si="43"/>
        <v>0</v>
      </c>
      <c r="V107" s="1">
        <f t="shared" si="43"/>
        <v>0</v>
      </c>
      <c r="W107" s="1">
        <f t="shared" si="31"/>
        <v>0</v>
      </c>
      <c r="X107" s="54">
        <f t="shared" si="43"/>
        <v>0</v>
      </c>
      <c r="Y107" s="58">
        <f t="shared" si="43"/>
        <v>0</v>
      </c>
      <c r="Z107" s="1">
        <f t="shared" si="43"/>
        <v>0</v>
      </c>
      <c r="AA107" s="1">
        <f t="shared" si="43"/>
        <v>0</v>
      </c>
    </row>
    <row r="108" spans="1:27" x14ac:dyDescent="0.25">
      <c r="A108" s="15" t="s">
        <v>51</v>
      </c>
      <c r="B108" s="16" t="s">
        <v>56</v>
      </c>
      <c r="C108" s="27" t="s">
        <v>58</v>
      </c>
      <c r="D108" s="2"/>
      <c r="E108" s="2"/>
      <c r="F108" s="1">
        <f t="shared" ref="F108:AA108" si="44">IF(F18&gt;0,F63/F18,0)</f>
        <v>0</v>
      </c>
      <c r="G108" s="1">
        <f t="shared" si="44"/>
        <v>0</v>
      </c>
      <c r="H108" s="1">
        <f t="shared" si="44"/>
        <v>0</v>
      </c>
      <c r="I108" s="1">
        <f t="shared" si="44"/>
        <v>0</v>
      </c>
      <c r="J108" s="1">
        <f t="shared" si="44"/>
        <v>0</v>
      </c>
      <c r="K108" s="1">
        <f t="shared" si="44"/>
        <v>0</v>
      </c>
      <c r="L108" s="52">
        <f t="shared" si="44"/>
        <v>0</v>
      </c>
      <c r="M108" s="1">
        <f t="shared" si="44"/>
        <v>0</v>
      </c>
      <c r="N108" s="1">
        <f t="shared" si="44"/>
        <v>0</v>
      </c>
      <c r="O108" s="1">
        <f t="shared" si="44"/>
        <v>0</v>
      </c>
      <c r="P108" s="1">
        <f t="shared" si="44"/>
        <v>0</v>
      </c>
      <c r="Q108" s="1">
        <f t="shared" si="44"/>
        <v>0</v>
      </c>
      <c r="R108" s="1">
        <f t="shared" si="44"/>
        <v>0</v>
      </c>
      <c r="S108" s="1">
        <f t="shared" si="44"/>
        <v>0</v>
      </c>
      <c r="T108" s="1">
        <f t="shared" si="44"/>
        <v>0</v>
      </c>
      <c r="U108" s="1">
        <f t="shared" si="44"/>
        <v>0</v>
      </c>
      <c r="V108" s="1">
        <f t="shared" si="44"/>
        <v>0</v>
      </c>
      <c r="W108" s="1">
        <f t="shared" si="31"/>
        <v>0</v>
      </c>
      <c r="X108" s="54">
        <f t="shared" si="44"/>
        <v>0</v>
      </c>
      <c r="Y108" s="58">
        <f t="shared" si="44"/>
        <v>0</v>
      </c>
      <c r="Z108" s="1">
        <f t="shared" si="44"/>
        <v>0</v>
      </c>
      <c r="AA108" s="1">
        <f t="shared" si="44"/>
        <v>0</v>
      </c>
    </row>
    <row r="109" spans="1:27" x14ac:dyDescent="0.25">
      <c r="A109" s="15" t="s">
        <v>51</v>
      </c>
      <c r="B109" s="16" t="s">
        <v>9</v>
      </c>
      <c r="C109" s="27" t="s">
        <v>59</v>
      </c>
      <c r="D109" s="2"/>
      <c r="E109" s="2"/>
      <c r="F109" s="1">
        <f t="shared" ref="F109:AA109" si="45">IF(F19&gt;0,F64/F19,0)</f>
        <v>0</v>
      </c>
      <c r="G109" s="1">
        <f t="shared" si="45"/>
        <v>0</v>
      </c>
      <c r="H109" s="1">
        <f t="shared" si="45"/>
        <v>0</v>
      </c>
      <c r="I109" s="1">
        <f t="shared" si="45"/>
        <v>0</v>
      </c>
      <c r="J109" s="1">
        <f t="shared" si="45"/>
        <v>0</v>
      </c>
      <c r="K109" s="1">
        <f t="shared" si="45"/>
        <v>0</v>
      </c>
      <c r="L109" s="52">
        <f t="shared" si="45"/>
        <v>0</v>
      </c>
      <c r="M109" s="1">
        <f t="shared" si="45"/>
        <v>0</v>
      </c>
      <c r="N109" s="1">
        <f t="shared" si="45"/>
        <v>0</v>
      </c>
      <c r="O109" s="1">
        <f t="shared" si="45"/>
        <v>0</v>
      </c>
      <c r="P109" s="1">
        <f t="shared" si="45"/>
        <v>0</v>
      </c>
      <c r="Q109" s="1">
        <f t="shared" si="45"/>
        <v>0</v>
      </c>
      <c r="R109" s="1">
        <f t="shared" si="45"/>
        <v>0</v>
      </c>
      <c r="S109" s="1">
        <f t="shared" si="45"/>
        <v>0</v>
      </c>
      <c r="T109" s="1">
        <f t="shared" si="45"/>
        <v>0</v>
      </c>
      <c r="U109" s="1">
        <f t="shared" si="45"/>
        <v>0</v>
      </c>
      <c r="V109" s="1">
        <f t="shared" si="45"/>
        <v>0</v>
      </c>
      <c r="W109" s="1">
        <f t="shared" si="31"/>
        <v>0</v>
      </c>
      <c r="X109" s="54">
        <f t="shared" si="45"/>
        <v>0</v>
      </c>
      <c r="Y109" s="58">
        <f t="shared" si="45"/>
        <v>0</v>
      </c>
      <c r="Z109" s="1">
        <f t="shared" si="45"/>
        <v>0</v>
      </c>
      <c r="AA109" s="1">
        <f t="shared" si="45"/>
        <v>0</v>
      </c>
    </row>
    <row r="110" spans="1:27" x14ac:dyDescent="0.25">
      <c r="A110" s="15" t="s">
        <v>51</v>
      </c>
      <c r="B110" s="16" t="s">
        <v>9</v>
      </c>
      <c r="C110" s="27" t="s">
        <v>9</v>
      </c>
      <c r="D110" s="2"/>
      <c r="E110" s="2"/>
      <c r="F110" s="1">
        <f t="shared" ref="F110:AA110" si="46">IF(F20&gt;0,F65/F20,0)</f>
        <v>0</v>
      </c>
      <c r="G110" s="1">
        <f t="shared" si="46"/>
        <v>0</v>
      </c>
      <c r="H110" s="1">
        <f t="shared" si="46"/>
        <v>0</v>
      </c>
      <c r="I110" s="1">
        <f t="shared" si="46"/>
        <v>0</v>
      </c>
      <c r="J110" s="1">
        <f t="shared" si="46"/>
        <v>0</v>
      </c>
      <c r="K110" s="1">
        <f t="shared" si="46"/>
        <v>0</v>
      </c>
      <c r="L110" s="52">
        <f t="shared" si="46"/>
        <v>0</v>
      </c>
      <c r="M110" s="1">
        <f t="shared" si="46"/>
        <v>0</v>
      </c>
      <c r="N110" s="1">
        <f t="shared" si="46"/>
        <v>0</v>
      </c>
      <c r="O110" s="1">
        <f t="shared" si="46"/>
        <v>0</v>
      </c>
      <c r="P110" s="1">
        <f t="shared" si="46"/>
        <v>0</v>
      </c>
      <c r="Q110" s="1">
        <f t="shared" si="46"/>
        <v>0</v>
      </c>
      <c r="R110" s="1">
        <f t="shared" si="46"/>
        <v>0</v>
      </c>
      <c r="S110" s="1">
        <f t="shared" si="46"/>
        <v>0</v>
      </c>
      <c r="T110" s="1">
        <f t="shared" si="46"/>
        <v>0</v>
      </c>
      <c r="U110" s="1">
        <f t="shared" si="46"/>
        <v>0</v>
      </c>
      <c r="V110" s="1">
        <f t="shared" si="46"/>
        <v>0</v>
      </c>
      <c r="W110" s="1">
        <f t="shared" si="31"/>
        <v>0</v>
      </c>
      <c r="X110" s="54">
        <f t="shared" si="46"/>
        <v>0</v>
      </c>
      <c r="Y110" s="58">
        <f t="shared" si="46"/>
        <v>0</v>
      </c>
      <c r="Z110" s="1">
        <f t="shared" si="46"/>
        <v>0</v>
      </c>
      <c r="AA110" s="1">
        <f t="shared" si="46"/>
        <v>0</v>
      </c>
    </row>
    <row r="111" spans="1:27" x14ac:dyDescent="0.25">
      <c r="A111" s="28" t="s">
        <v>60</v>
      </c>
      <c r="B111" s="29" t="s">
        <v>13</v>
      </c>
      <c r="C111" s="29" t="s">
        <v>61</v>
      </c>
      <c r="D111" s="2"/>
      <c r="F111" s="51">
        <f t="shared" ref="F111:AA111" si="47">IF(F21&gt;0,F66/F21,0)</f>
        <v>0.20692798541476753</v>
      </c>
      <c r="G111" s="51">
        <f t="shared" si="47"/>
        <v>0</v>
      </c>
      <c r="H111" s="51">
        <f t="shared" si="47"/>
        <v>0.41939890710382516</v>
      </c>
      <c r="I111" s="51">
        <f t="shared" si="47"/>
        <v>0.28911564625850339</v>
      </c>
      <c r="J111" s="51">
        <f t="shared" si="47"/>
        <v>0.39416058394160586</v>
      </c>
      <c r="K111" s="51">
        <f t="shared" si="47"/>
        <v>0.3</v>
      </c>
      <c r="L111" s="52">
        <f t="shared" si="47"/>
        <v>0</v>
      </c>
      <c r="M111" s="51">
        <f t="shared" si="47"/>
        <v>0.43171114599686028</v>
      </c>
      <c r="N111" s="51">
        <f t="shared" si="47"/>
        <v>0.67567567567567566</v>
      </c>
      <c r="O111" s="51">
        <f t="shared" si="47"/>
        <v>0.52568697729988056</v>
      </c>
      <c r="P111" s="51">
        <f t="shared" si="47"/>
        <v>0.40552995391705071</v>
      </c>
      <c r="Q111" s="69">
        <v>0.55000000000000004</v>
      </c>
      <c r="R111" s="69">
        <v>0.5</v>
      </c>
      <c r="S111" s="51">
        <f t="shared" si="47"/>
        <v>0</v>
      </c>
      <c r="T111" s="69">
        <v>0.5</v>
      </c>
      <c r="U111" s="69">
        <v>0.5</v>
      </c>
      <c r="V111" s="77">
        <v>1.2</v>
      </c>
      <c r="W111" s="69">
        <v>0.6</v>
      </c>
      <c r="X111" s="76">
        <v>0.5</v>
      </c>
      <c r="Y111" s="59">
        <f t="shared" si="47"/>
        <v>0.28939880867091072</v>
      </c>
      <c r="Z111" s="51">
        <f t="shared" si="47"/>
        <v>0.48399606387261257</v>
      </c>
      <c r="AA111" s="51">
        <f t="shared" si="47"/>
        <v>0.33949625853379484</v>
      </c>
    </row>
    <row r="112" spans="1:27" x14ac:dyDescent="0.25">
      <c r="A112" s="36" t="s">
        <v>60</v>
      </c>
      <c r="B112" s="37" t="s">
        <v>13</v>
      </c>
      <c r="C112" s="29" t="s">
        <v>62</v>
      </c>
      <c r="D112" s="2"/>
      <c r="E112" s="2"/>
      <c r="F112" s="51">
        <f t="shared" ref="F112:AA112" si="48">IF(F22&gt;0,F67/F22,0)</f>
        <v>0.20692798541476756</v>
      </c>
      <c r="G112" s="51">
        <f t="shared" si="48"/>
        <v>0.34693877551020408</v>
      </c>
      <c r="H112" s="51">
        <f t="shared" si="48"/>
        <v>0.4193989071038251</v>
      </c>
      <c r="I112" s="51">
        <f t="shared" si="48"/>
        <v>0</v>
      </c>
      <c r="J112" s="51">
        <f t="shared" si="48"/>
        <v>0</v>
      </c>
      <c r="K112" s="51">
        <f t="shared" si="48"/>
        <v>0</v>
      </c>
      <c r="L112" s="52">
        <f t="shared" si="48"/>
        <v>0</v>
      </c>
      <c r="M112" s="51">
        <f t="shared" si="48"/>
        <v>0</v>
      </c>
      <c r="N112" s="51">
        <f t="shared" si="48"/>
        <v>0</v>
      </c>
      <c r="O112" s="51">
        <f t="shared" si="48"/>
        <v>0</v>
      </c>
      <c r="P112" s="51">
        <f t="shared" si="48"/>
        <v>0</v>
      </c>
      <c r="Q112" s="51">
        <f t="shared" si="48"/>
        <v>0</v>
      </c>
      <c r="R112" s="51">
        <f t="shared" si="48"/>
        <v>0</v>
      </c>
      <c r="S112" s="51">
        <f t="shared" si="48"/>
        <v>0</v>
      </c>
      <c r="T112" s="51">
        <f t="shared" si="48"/>
        <v>0</v>
      </c>
      <c r="U112" s="51">
        <f t="shared" si="48"/>
        <v>0</v>
      </c>
      <c r="V112" s="51">
        <f t="shared" si="48"/>
        <v>0</v>
      </c>
      <c r="W112" s="51">
        <f t="shared" ref="W112:W117" si="49">IF(W22&gt;0,W67/W22,0)</f>
        <v>0</v>
      </c>
      <c r="X112" s="55">
        <f t="shared" si="48"/>
        <v>0</v>
      </c>
      <c r="Y112" s="59">
        <f t="shared" si="48"/>
        <v>0.3447293447293448</v>
      </c>
      <c r="Z112" s="51">
        <f t="shared" si="48"/>
        <v>0</v>
      </c>
      <c r="AA112" s="51">
        <f t="shared" si="48"/>
        <v>0.3447293447293448</v>
      </c>
    </row>
    <row r="113" spans="1:27" x14ac:dyDescent="0.25">
      <c r="A113" s="30" t="s">
        <v>60</v>
      </c>
      <c r="B113" s="31" t="s">
        <v>13</v>
      </c>
      <c r="C113" s="32" t="s">
        <v>63</v>
      </c>
      <c r="D113" s="2"/>
      <c r="E113" s="2"/>
      <c r="F113" s="51">
        <f t="shared" ref="F113:AA113" si="50">IF(F23&gt;0,F68/F23,0)</f>
        <v>0</v>
      </c>
      <c r="G113" s="51">
        <f t="shared" si="50"/>
        <v>0</v>
      </c>
      <c r="H113" s="51">
        <f t="shared" si="50"/>
        <v>0</v>
      </c>
      <c r="I113" s="51">
        <f t="shared" si="50"/>
        <v>0</v>
      </c>
      <c r="J113" s="51">
        <f t="shared" si="50"/>
        <v>0</v>
      </c>
      <c r="K113" s="51">
        <f t="shared" si="50"/>
        <v>0</v>
      </c>
      <c r="L113" s="52">
        <f t="shared" si="50"/>
        <v>0</v>
      </c>
      <c r="M113" s="51">
        <f t="shared" si="50"/>
        <v>0</v>
      </c>
      <c r="N113" s="51">
        <f t="shared" si="50"/>
        <v>0</v>
      </c>
      <c r="O113" s="51">
        <f t="shared" si="50"/>
        <v>0</v>
      </c>
      <c r="P113" s="51">
        <f t="shared" si="50"/>
        <v>0</v>
      </c>
      <c r="Q113" s="51">
        <f t="shared" si="50"/>
        <v>0</v>
      </c>
      <c r="R113" s="51">
        <f t="shared" si="50"/>
        <v>0</v>
      </c>
      <c r="S113" s="51">
        <f t="shared" si="50"/>
        <v>0</v>
      </c>
      <c r="T113" s="51">
        <f t="shared" si="50"/>
        <v>0</v>
      </c>
      <c r="U113" s="51">
        <f t="shared" si="50"/>
        <v>0</v>
      </c>
      <c r="V113" s="51">
        <f t="shared" si="50"/>
        <v>0</v>
      </c>
      <c r="W113" s="51">
        <f t="shared" si="49"/>
        <v>0</v>
      </c>
      <c r="X113" s="55">
        <f t="shared" si="50"/>
        <v>0</v>
      </c>
      <c r="Y113" s="59">
        <f t="shared" si="50"/>
        <v>0</v>
      </c>
      <c r="Z113" s="51">
        <f t="shared" si="50"/>
        <v>0</v>
      </c>
      <c r="AA113" s="51">
        <f t="shared" si="50"/>
        <v>0</v>
      </c>
    </row>
    <row r="114" spans="1:27" x14ac:dyDescent="0.25">
      <c r="A114" s="30" t="s">
        <v>60</v>
      </c>
      <c r="B114" s="32" t="s">
        <v>23</v>
      </c>
      <c r="C114" s="31" t="s">
        <v>50</v>
      </c>
      <c r="D114" s="2"/>
      <c r="E114" s="2"/>
      <c r="F114" s="77">
        <v>0.32</v>
      </c>
      <c r="G114" s="51">
        <f t="shared" ref="G114:AA114" si="51">IF(G24&gt;0,G69/G24,0)</f>
        <v>0</v>
      </c>
      <c r="H114" s="51">
        <f t="shared" si="51"/>
        <v>0</v>
      </c>
      <c r="I114" s="51">
        <f t="shared" si="51"/>
        <v>0</v>
      </c>
      <c r="J114" s="77">
        <v>0.3</v>
      </c>
      <c r="K114" s="51">
        <f t="shared" si="51"/>
        <v>0.25</v>
      </c>
      <c r="L114" s="52">
        <f t="shared" si="51"/>
        <v>0</v>
      </c>
      <c r="M114" s="51">
        <f t="shared" si="51"/>
        <v>0</v>
      </c>
      <c r="N114" s="51">
        <f t="shared" si="51"/>
        <v>0.77536231884057971</v>
      </c>
      <c r="O114" s="51">
        <f t="shared" si="51"/>
        <v>0</v>
      </c>
      <c r="P114" s="51">
        <f t="shared" si="51"/>
        <v>0</v>
      </c>
      <c r="Q114" s="51">
        <f t="shared" si="51"/>
        <v>0</v>
      </c>
      <c r="R114" s="51">
        <f t="shared" si="51"/>
        <v>0</v>
      </c>
      <c r="S114" s="51">
        <f t="shared" si="51"/>
        <v>0</v>
      </c>
      <c r="T114" s="51">
        <f t="shared" si="51"/>
        <v>0</v>
      </c>
      <c r="U114" s="51">
        <f t="shared" si="51"/>
        <v>0</v>
      </c>
      <c r="V114" s="51">
        <f t="shared" si="51"/>
        <v>0</v>
      </c>
      <c r="W114" s="51">
        <f t="shared" si="49"/>
        <v>0</v>
      </c>
      <c r="X114" s="55">
        <f t="shared" si="51"/>
        <v>0</v>
      </c>
      <c r="Y114" s="59">
        <f t="shared" si="51"/>
        <v>0.25531793011265991</v>
      </c>
      <c r="Z114" s="51">
        <f t="shared" si="51"/>
        <v>0.77536231884057971</v>
      </c>
      <c r="AA114" s="51">
        <f t="shared" si="51"/>
        <v>0.44210526315789472</v>
      </c>
    </row>
    <row r="115" spans="1:27" x14ac:dyDescent="0.25">
      <c r="A115" s="30" t="s">
        <v>60</v>
      </c>
      <c r="B115" s="32" t="s">
        <v>23</v>
      </c>
      <c r="C115" s="31" t="s">
        <v>49</v>
      </c>
      <c r="D115" s="2"/>
      <c r="E115" s="2"/>
      <c r="F115" s="51">
        <f t="shared" ref="F115:AA115" si="52">IF(F25&gt;0,F70/F25,0)</f>
        <v>0</v>
      </c>
      <c r="G115" s="51">
        <f t="shared" si="52"/>
        <v>0</v>
      </c>
      <c r="H115" s="51">
        <f t="shared" si="52"/>
        <v>0</v>
      </c>
      <c r="I115" s="51">
        <f t="shared" si="52"/>
        <v>0</v>
      </c>
      <c r="J115" s="77">
        <v>0.30499999999999999</v>
      </c>
      <c r="K115" s="51">
        <f t="shared" si="52"/>
        <v>0</v>
      </c>
      <c r="L115" s="52">
        <f t="shared" si="52"/>
        <v>0</v>
      </c>
      <c r="M115" s="51">
        <f t="shared" si="52"/>
        <v>0</v>
      </c>
      <c r="N115" s="51">
        <f t="shared" si="52"/>
        <v>0</v>
      </c>
      <c r="O115" s="51">
        <f t="shared" si="52"/>
        <v>0</v>
      </c>
      <c r="P115" s="51">
        <f t="shared" si="52"/>
        <v>0</v>
      </c>
      <c r="Q115" s="51">
        <f t="shared" si="52"/>
        <v>0</v>
      </c>
      <c r="R115" s="51">
        <f t="shared" si="52"/>
        <v>0</v>
      </c>
      <c r="S115" s="77">
        <v>0.3</v>
      </c>
      <c r="T115" s="77">
        <v>0.4</v>
      </c>
      <c r="U115" s="51">
        <f t="shared" si="52"/>
        <v>0</v>
      </c>
      <c r="V115" s="77">
        <v>0.9</v>
      </c>
      <c r="W115" s="51">
        <f t="shared" si="49"/>
        <v>0</v>
      </c>
      <c r="X115" s="77">
        <v>0.9</v>
      </c>
      <c r="Y115" s="59">
        <f t="shared" si="52"/>
        <v>0.25860349127182042</v>
      </c>
      <c r="Z115" s="51">
        <f t="shared" si="52"/>
        <v>0.4722488038277512</v>
      </c>
      <c r="AA115" s="51">
        <f t="shared" si="52"/>
        <v>0.46</v>
      </c>
    </row>
    <row r="116" spans="1:27" x14ac:dyDescent="0.25">
      <c r="A116" s="30" t="s">
        <v>60</v>
      </c>
      <c r="B116" s="32" t="s">
        <v>23</v>
      </c>
      <c r="C116" s="31" t="s">
        <v>64</v>
      </c>
      <c r="D116" s="2"/>
      <c r="E116" s="2"/>
      <c r="F116" s="51">
        <f t="shared" ref="F116:AA116" si="53">IF(F26&gt;0,F71/F26,0)</f>
        <v>0</v>
      </c>
      <c r="G116" s="51">
        <f t="shared" si="53"/>
        <v>0</v>
      </c>
      <c r="H116" s="51">
        <f t="shared" si="53"/>
        <v>0</v>
      </c>
      <c r="I116" s="51">
        <f t="shared" si="53"/>
        <v>0</v>
      </c>
      <c r="J116" s="51">
        <f t="shared" si="53"/>
        <v>0</v>
      </c>
      <c r="K116" s="51">
        <f t="shared" si="53"/>
        <v>0</v>
      </c>
      <c r="L116" s="52">
        <f t="shared" si="53"/>
        <v>0</v>
      </c>
      <c r="M116" s="51">
        <f t="shared" si="53"/>
        <v>0</v>
      </c>
      <c r="N116" s="51">
        <f t="shared" si="53"/>
        <v>0</v>
      </c>
      <c r="O116" s="51">
        <f t="shared" si="53"/>
        <v>0</v>
      </c>
      <c r="P116" s="51">
        <f t="shared" si="53"/>
        <v>0</v>
      </c>
      <c r="Q116" s="51">
        <f t="shared" si="53"/>
        <v>0</v>
      </c>
      <c r="R116" s="51">
        <f t="shared" si="53"/>
        <v>0</v>
      </c>
      <c r="S116" s="51">
        <f t="shared" si="53"/>
        <v>0</v>
      </c>
      <c r="T116" s="51">
        <f t="shared" si="53"/>
        <v>0</v>
      </c>
      <c r="U116" s="51">
        <f t="shared" si="53"/>
        <v>0</v>
      </c>
      <c r="V116" s="51">
        <f t="shared" si="53"/>
        <v>0</v>
      </c>
      <c r="W116" s="51">
        <f t="shared" si="49"/>
        <v>0</v>
      </c>
      <c r="X116" s="55">
        <f t="shared" si="53"/>
        <v>0</v>
      </c>
      <c r="Y116" s="59">
        <f t="shared" si="53"/>
        <v>0</v>
      </c>
      <c r="Z116" s="51">
        <f t="shared" si="53"/>
        <v>0</v>
      </c>
      <c r="AA116" s="51">
        <f t="shared" si="53"/>
        <v>0</v>
      </c>
    </row>
    <row r="117" spans="1:27" x14ac:dyDescent="0.25">
      <c r="A117" s="30" t="s">
        <v>60</v>
      </c>
      <c r="B117" s="32" t="s">
        <v>65</v>
      </c>
      <c r="C117" s="31" t="s">
        <v>66</v>
      </c>
      <c r="D117" s="2"/>
      <c r="E117" s="2"/>
      <c r="F117" s="51">
        <f t="shared" ref="F117:AA117" si="54">IF(F27&gt;0,F72/F27,0)</f>
        <v>0</v>
      </c>
      <c r="G117" s="51">
        <f t="shared" si="54"/>
        <v>0</v>
      </c>
      <c r="H117" s="51">
        <f t="shared" si="54"/>
        <v>0</v>
      </c>
      <c r="I117" s="51">
        <f t="shared" si="54"/>
        <v>0</v>
      </c>
      <c r="J117" s="77">
        <v>0.12</v>
      </c>
      <c r="K117" s="51">
        <f t="shared" si="54"/>
        <v>0</v>
      </c>
      <c r="L117" s="52">
        <f t="shared" si="54"/>
        <v>0</v>
      </c>
      <c r="M117" s="77">
        <v>0.12</v>
      </c>
      <c r="N117" s="51">
        <f t="shared" si="54"/>
        <v>0</v>
      </c>
      <c r="O117" s="51">
        <f t="shared" si="54"/>
        <v>0</v>
      </c>
      <c r="P117" s="51">
        <f t="shared" si="54"/>
        <v>0</v>
      </c>
      <c r="Q117" s="51">
        <f t="shared" si="54"/>
        <v>0</v>
      </c>
      <c r="R117" s="51">
        <f t="shared" si="54"/>
        <v>0</v>
      </c>
      <c r="S117" s="51">
        <f t="shared" si="54"/>
        <v>0</v>
      </c>
      <c r="T117" s="51">
        <f t="shared" si="54"/>
        <v>0</v>
      </c>
      <c r="U117" s="51">
        <f t="shared" si="54"/>
        <v>0</v>
      </c>
      <c r="V117" s="51">
        <f t="shared" si="54"/>
        <v>0</v>
      </c>
      <c r="W117" s="51">
        <f t="shared" si="49"/>
        <v>0</v>
      </c>
      <c r="X117" s="55">
        <f t="shared" si="54"/>
        <v>0</v>
      </c>
      <c r="Y117" s="59">
        <f t="shared" si="54"/>
        <v>0.12</v>
      </c>
      <c r="Z117" s="51">
        <f t="shared" si="54"/>
        <v>0.11999999999999998</v>
      </c>
      <c r="AA117" s="51">
        <f t="shared" si="54"/>
        <v>0.11999999999999998</v>
      </c>
    </row>
    <row r="118" spans="1:27" x14ac:dyDescent="0.25">
      <c r="A118" s="30" t="s">
        <v>60</v>
      </c>
      <c r="B118" s="32" t="s">
        <v>65</v>
      </c>
      <c r="C118" s="31" t="s">
        <v>67</v>
      </c>
      <c r="D118" s="2"/>
      <c r="E118" s="2"/>
      <c r="F118" s="51">
        <f t="shared" ref="F118:AA118" si="55">IF(F28&gt;0,F73/F28,0)</f>
        <v>0</v>
      </c>
      <c r="G118" s="51">
        <f t="shared" si="55"/>
        <v>0</v>
      </c>
      <c r="H118" s="51">
        <f t="shared" si="55"/>
        <v>0</v>
      </c>
      <c r="I118" s="51">
        <f t="shared" si="55"/>
        <v>0</v>
      </c>
      <c r="J118" s="51">
        <f t="shared" si="55"/>
        <v>0</v>
      </c>
      <c r="K118" s="51">
        <f t="shared" si="55"/>
        <v>0</v>
      </c>
      <c r="L118" s="52">
        <f t="shared" si="55"/>
        <v>0</v>
      </c>
      <c r="M118" s="51">
        <f t="shared" si="55"/>
        <v>0</v>
      </c>
      <c r="N118" s="51">
        <f t="shared" si="55"/>
        <v>0</v>
      </c>
      <c r="O118" s="51">
        <f t="shared" si="55"/>
        <v>0</v>
      </c>
      <c r="P118" s="51">
        <f t="shared" si="55"/>
        <v>0</v>
      </c>
      <c r="Q118" s="77">
        <v>0.15</v>
      </c>
      <c r="R118" s="77">
        <v>0.18</v>
      </c>
      <c r="S118" s="51">
        <f t="shared" si="55"/>
        <v>0</v>
      </c>
      <c r="T118" s="77">
        <v>0.15</v>
      </c>
      <c r="U118" s="77">
        <v>0.12</v>
      </c>
      <c r="V118" s="77">
        <v>0.12</v>
      </c>
      <c r="W118" s="77">
        <v>0.12</v>
      </c>
      <c r="X118" s="77">
        <v>0.12</v>
      </c>
      <c r="Y118" s="59">
        <f t="shared" si="55"/>
        <v>0</v>
      </c>
      <c r="Z118" s="51">
        <f t="shared" si="55"/>
        <v>0.14142962336706028</v>
      </c>
      <c r="AA118" s="51">
        <f t="shared" si="55"/>
        <v>0.14142962336706028</v>
      </c>
    </row>
    <row r="119" spans="1:27" x14ac:dyDescent="0.25">
      <c r="A119" s="30" t="s">
        <v>60</v>
      </c>
      <c r="B119" s="32" t="s">
        <v>65</v>
      </c>
      <c r="C119" s="31" t="s">
        <v>68</v>
      </c>
      <c r="D119" s="2"/>
      <c r="E119" s="2"/>
      <c r="F119" s="51">
        <f t="shared" ref="F119:AA119" si="56">IF(F29&gt;0,F74/F29,0)</f>
        <v>0</v>
      </c>
      <c r="G119" s="51">
        <f t="shared" si="56"/>
        <v>0</v>
      </c>
      <c r="H119" s="51">
        <f t="shared" si="56"/>
        <v>0</v>
      </c>
      <c r="I119" s="51">
        <f t="shared" si="56"/>
        <v>0</v>
      </c>
      <c r="J119" s="51">
        <f t="shared" si="56"/>
        <v>0</v>
      </c>
      <c r="K119" s="51">
        <f t="shared" si="56"/>
        <v>0</v>
      </c>
      <c r="L119" s="77">
        <v>0.09</v>
      </c>
      <c r="M119" s="51">
        <f t="shared" si="56"/>
        <v>0</v>
      </c>
      <c r="N119" s="51">
        <f t="shared" si="56"/>
        <v>0</v>
      </c>
      <c r="O119" s="51">
        <f t="shared" si="56"/>
        <v>0</v>
      </c>
      <c r="P119" s="51">
        <f t="shared" si="56"/>
        <v>0</v>
      </c>
      <c r="Q119" s="51">
        <f t="shared" si="56"/>
        <v>0</v>
      </c>
      <c r="R119" s="51">
        <f t="shared" si="56"/>
        <v>0</v>
      </c>
      <c r="S119" s="51">
        <f t="shared" si="56"/>
        <v>0</v>
      </c>
      <c r="T119" s="51">
        <f t="shared" si="56"/>
        <v>0</v>
      </c>
      <c r="U119" s="51">
        <f t="shared" si="56"/>
        <v>0</v>
      </c>
      <c r="V119" s="51">
        <f t="shared" si="56"/>
        <v>0</v>
      </c>
      <c r="W119" s="51">
        <f t="shared" ref="W119:W135" si="57">IF(W29&gt;0,W74/W29,0)</f>
        <v>0</v>
      </c>
      <c r="X119" s="55">
        <f t="shared" si="56"/>
        <v>0</v>
      </c>
      <c r="Y119" s="59">
        <f t="shared" si="56"/>
        <v>0</v>
      </c>
      <c r="Z119" s="51">
        <f t="shared" si="56"/>
        <v>0</v>
      </c>
      <c r="AA119" s="51">
        <f t="shared" si="56"/>
        <v>0.09</v>
      </c>
    </row>
    <row r="120" spans="1:27" x14ac:dyDescent="0.25">
      <c r="A120" s="30" t="s">
        <v>60</v>
      </c>
      <c r="B120" s="32" t="s">
        <v>9</v>
      </c>
      <c r="C120" s="31" t="s">
        <v>69</v>
      </c>
      <c r="D120" s="2"/>
      <c r="E120" s="2"/>
      <c r="F120" s="51">
        <f t="shared" ref="F120:AA120" si="58">IF(F30&gt;0,F75/F30,0)</f>
        <v>0</v>
      </c>
      <c r="G120" s="51">
        <f t="shared" si="58"/>
        <v>0</v>
      </c>
      <c r="H120" s="51">
        <f t="shared" si="58"/>
        <v>0</v>
      </c>
      <c r="I120" s="51">
        <f t="shared" si="58"/>
        <v>0</v>
      </c>
      <c r="J120" s="51">
        <f t="shared" si="58"/>
        <v>0</v>
      </c>
      <c r="K120" s="51">
        <f t="shared" si="58"/>
        <v>0</v>
      </c>
      <c r="L120" s="52">
        <f t="shared" si="58"/>
        <v>0</v>
      </c>
      <c r="M120" s="51">
        <f t="shared" si="58"/>
        <v>0</v>
      </c>
      <c r="N120" s="51">
        <f t="shared" si="58"/>
        <v>0</v>
      </c>
      <c r="O120" s="51">
        <f t="shared" si="58"/>
        <v>0</v>
      </c>
      <c r="P120" s="51">
        <f t="shared" si="58"/>
        <v>0</v>
      </c>
      <c r="Q120" s="51">
        <f t="shared" si="58"/>
        <v>0</v>
      </c>
      <c r="R120" s="51">
        <f t="shared" si="58"/>
        <v>0</v>
      </c>
      <c r="S120" s="51">
        <f t="shared" si="58"/>
        <v>0</v>
      </c>
      <c r="T120" s="51">
        <f t="shared" si="58"/>
        <v>0</v>
      </c>
      <c r="U120" s="51">
        <f t="shared" si="58"/>
        <v>0</v>
      </c>
      <c r="V120" s="51">
        <f t="shared" si="58"/>
        <v>1</v>
      </c>
      <c r="W120" s="51">
        <f t="shared" si="57"/>
        <v>0</v>
      </c>
      <c r="X120" s="79">
        <v>0.42</v>
      </c>
      <c r="Y120" s="59">
        <f t="shared" si="58"/>
        <v>0</v>
      </c>
      <c r="Z120" s="51">
        <f t="shared" si="58"/>
        <v>0.61607710230883284</v>
      </c>
      <c r="AA120" s="51">
        <f t="shared" si="58"/>
        <v>0.61607710230883284</v>
      </c>
    </row>
    <row r="121" spans="1:27" x14ac:dyDescent="0.25">
      <c r="A121" s="15" t="s">
        <v>51</v>
      </c>
      <c r="B121" s="16" t="s">
        <v>56</v>
      </c>
      <c r="C121" s="27" t="s">
        <v>57</v>
      </c>
      <c r="D121" s="16" t="s">
        <v>70</v>
      </c>
      <c r="E121" s="16"/>
      <c r="F121" s="1">
        <f t="shared" ref="F121:AA121" si="59">IF(F31&gt;0,F76/F31,0)</f>
        <v>0</v>
      </c>
      <c r="G121" s="1">
        <f t="shared" si="59"/>
        <v>0</v>
      </c>
      <c r="H121" s="1">
        <f t="shared" si="59"/>
        <v>0</v>
      </c>
      <c r="I121" s="1">
        <f t="shared" si="59"/>
        <v>0</v>
      </c>
      <c r="J121" s="1">
        <f t="shared" si="59"/>
        <v>0</v>
      </c>
      <c r="K121" s="1">
        <f t="shared" si="59"/>
        <v>0</v>
      </c>
      <c r="L121" s="52">
        <f t="shared" si="59"/>
        <v>0</v>
      </c>
      <c r="M121" s="1">
        <f t="shared" si="59"/>
        <v>0</v>
      </c>
      <c r="N121" s="1">
        <f t="shared" si="59"/>
        <v>0</v>
      </c>
      <c r="O121" s="1">
        <f t="shared" si="59"/>
        <v>0</v>
      </c>
      <c r="P121" s="1">
        <f t="shared" si="59"/>
        <v>0</v>
      </c>
      <c r="Q121" s="1">
        <f t="shared" si="59"/>
        <v>0</v>
      </c>
      <c r="R121" s="1">
        <f t="shared" si="59"/>
        <v>0</v>
      </c>
      <c r="S121" s="1">
        <f t="shared" si="59"/>
        <v>0</v>
      </c>
      <c r="T121" s="1">
        <f t="shared" si="59"/>
        <v>0</v>
      </c>
      <c r="U121" s="1">
        <f t="shared" si="59"/>
        <v>0</v>
      </c>
      <c r="V121" s="1">
        <f t="shared" si="59"/>
        <v>0</v>
      </c>
      <c r="W121" s="1">
        <f t="shared" si="57"/>
        <v>0</v>
      </c>
      <c r="X121" s="54">
        <f t="shared" si="59"/>
        <v>0</v>
      </c>
      <c r="Y121" s="58">
        <f t="shared" si="59"/>
        <v>0</v>
      </c>
      <c r="Z121" s="1">
        <f t="shared" si="59"/>
        <v>0</v>
      </c>
      <c r="AA121" s="1">
        <f t="shared" si="59"/>
        <v>0</v>
      </c>
    </row>
    <row r="122" spans="1:27" x14ac:dyDescent="0.25">
      <c r="A122" s="15" t="s">
        <v>51</v>
      </c>
      <c r="B122" s="16" t="s">
        <v>56</v>
      </c>
      <c r="C122" s="27" t="s">
        <v>57</v>
      </c>
      <c r="D122" s="16" t="s">
        <v>71</v>
      </c>
      <c r="E122" s="16"/>
      <c r="F122" s="1">
        <f t="shared" ref="F122:AA122" si="60">IF(F32&gt;0,F77/F32,0)</f>
        <v>0</v>
      </c>
      <c r="G122" s="1">
        <f t="shared" si="60"/>
        <v>0</v>
      </c>
      <c r="H122" s="1">
        <f t="shared" si="60"/>
        <v>0</v>
      </c>
      <c r="I122" s="1">
        <f t="shared" si="60"/>
        <v>0</v>
      </c>
      <c r="J122" s="1">
        <f t="shared" si="60"/>
        <v>0</v>
      </c>
      <c r="K122" s="1">
        <f t="shared" si="60"/>
        <v>0</v>
      </c>
      <c r="L122" s="52">
        <f t="shared" si="60"/>
        <v>0</v>
      </c>
      <c r="M122" s="1">
        <f t="shared" si="60"/>
        <v>0</v>
      </c>
      <c r="N122" s="1">
        <f t="shared" si="60"/>
        <v>0</v>
      </c>
      <c r="O122" s="1">
        <f t="shared" si="60"/>
        <v>0</v>
      </c>
      <c r="P122" s="1">
        <f t="shared" si="60"/>
        <v>0</v>
      </c>
      <c r="Q122" s="1">
        <f t="shared" si="60"/>
        <v>0</v>
      </c>
      <c r="R122" s="1">
        <f t="shared" si="60"/>
        <v>0</v>
      </c>
      <c r="S122" s="1">
        <f t="shared" si="60"/>
        <v>0</v>
      </c>
      <c r="T122" s="1">
        <f t="shared" si="60"/>
        <v>0</v>
      </c>
      <c r="U122" s="1">
        <f t="shared" si="60"/>
        <v>0</v>
      </c>
      <c r="V122" s="1">
        <f t="shared" si="60"/>
        <v>0</v>
      </c>
      <c r="W122" s="1">
        <f t="shared" si="57"/>
        <v>0</v>
      </c>
      <c r="X122" s="54">
        <f t="shared" si="60"/>
        <v>0</v>
      </c>
      <c r="Y122" s="58">
        <f t="shared" si="60"/>
        <v>0</v>
      </c>
      <c r="Z122" s="1">
        <f t="shared" si="60"/>
        <v>0</v>
      </c>
      <c r="AA122" s="1">
        <f t="shared" si="60"/>
        <v>0</v>
      </c>
    </row>
    <row r="123" spans="1:27" x14ac:dyDescent="0.25">
      <c r="A123" s="15" t="s">
        <v>51</v>
      </c>
      <c r="B123" s="16" t="s">
        <v>56</v>
      </c>
      <c r="C123" s="27" t="s">
        <v>27</v>
      </c>
      <c r="D123" s="16" t="s">
        <v>72</v>
      </c>
      <c r="E123" s="16"/>
      <c r="F123" s="1">
        <f t="shared" ref="F123:AA123" si="61">IF(F33&gt;0,F78/F33,0)</f>
        <v>0</v>
      </c>
      <c r="G123" s="1">
        <f t="shared" si="61"/>
        <v>0</v>
      </c>
      <c r="H123" s="1">
        <f t="shared" si="61"/>
        <v>0</v>
      </c>
      <c r="I123" s="1">
        <f t="shared" si="61"/>
        <v>0</v>
      </c>
      <c r="J123" s="1">
        <f t="shared" si="61"/>
        <v>0</v>
      </c>
      <c r="K123" s="1">
        <f t="shared" si="61"/>
        <v>0</v>
      </c>
      <c r="L123" s="52">
        <f t="shared" si="61"/>
        <v>0</v>
      </c>
      <c r="M123" s="1">
        <f t="shared" si="61"/>
        <v>0</v>
      </c>
      <c r="N123" s="1">
        <f t="shared" si="61"/>
        <v>0</v>
      </c>
      <c r="O123" s="1">
        <f t="shared" si="61"/>
        <v>0</v>
      </c>
      <c r="P123" s="1">
        <f t="shared" si="61"/>
        <v>0</v>
      </c>
      <c r="Q123" s="1">
        <f t="shared" si="61"/>
        <v>0</v>
      </c>
      <c r="R123" s="1">
        <f t="shared" si="61"/>
        <v>0</v>
      </c>
      <c r="S123" s="1">
        <f t="shared" si="61"/>
        <v>0</v>
      </c>
      <c r="T123" s="1">
        <f t="shared" si="61"/>
        <v>0</v>
      </c>
      <c r="U123" s="1">
        <f t="shared" si="61"/>
        <v>0</v>
      </c>
      <c r="V123" s="1">
        <f t="shared" si="61"/>
        <v>0</v>
      </c>
      <c r="W123" s="1">
        <f t="shared" si="57"/>
        <v>0</v>
      </c>
      <c r="X123" s="54">
        <f t="shared" si="61"/>
        <v>0</v>
      </c>
      <c r="Y123" s="58">
        <f t="shared" si="61"/>
        <v>0</v>
      </c>
      <c r="Z123" s="1">
        <f t="shared" si="61"/>
        <v>0</v>
      </c>
      <c r="AA123" s="1">
        <f t="shared" si="61"/>
        <v>0</v>
      </c>
    </row>
    <row r="124" spans="1:27" x14ac:dyDescent="0.25">
      <c r="A124" s="15" t="s">
        <v>51</v>
      </c>
      <c r="B124" s="16" t="s">
        <v>56</v>
      </c>
      <c r="C124" s="27" t="s">
        <v>57</v>
      </c>
      <c r="D124" s="16" t="s">
        <v>73</v>
      </c>
      <c r="E124" s="16"/>
      <c r="F124" s="1">
        <f t="shared" ref="F124:AA124" si="62">IF(F34&gt;0,F79/F34,0)</f>
        <v>0</v>
      </c>
      <c r="G124" s="1">
        <f t="shared" si="62"/>
        <v>0</v>
      </c>
      <c r="H124" s="1">
        <f t="shared" si="62"/>
        <v>0</v>
      </c>
      <c r="I124" s="1">
        <f t="shared" si="62"/>
        <v>0</v>
      </c>
      <c r="J124" s="1">
        <f t="shared" si="62"/>
        <v>0</v>
      </c>
      <c r="K124" s="1">
        <f t="shared" si="62"/>
        <v>0</v>
      </c>
      <c r="L124" s="52">
        <f t="shared" si="62"/>
        <v>0</v>
      </c>
      <c r="M124" s="1">
        <f t="shared" si="62"/>
        <v>0</v>
      </c>
      <c r="N124" s="1">
        <f t="shared" si="62"/>
        <v>0</v>
      </c>
      <c r="O124" s="1">
        <f t="shared" si="62"/>
        <v>0</v>
      </c>
      <c r="P124" s="1">
        <f t="shared" si="62"/>
        <v>0</v>
      </c>
      <c r="Q124" s="1">
        <f t="shared" si="62"/>
        <v>0</v>
      </c>
      <c r="R124" s="1">
        <f t="shared" si="62"/>
        <v>0</v>
      </c>
      <c r="S124" s="1">
        <f t="shared" si="62"/>
        <v>0</v>
      </c>
      <c r="T124" s="1">
        <f t="shared" si="62"/>
        <v>0</v>
      </c>
      <c r="U124" s="1">
        <f t="shared" si="62"/>
        <v>0</v>
      </c>
      <c r="V124" s="1">
        <f t="shared" si="62"/>
        <v>0</v>
      </c>
      <c r="W124" s="1">
        <f t="shared" si="57"/>
        <v>0</v>
      </c>
      <c r="X124" s="54">
        <f t="shared" si="62"/>
        <v>0</v>
      </c>
      <c r="Y124" s="58">
        <f t="shared" si="62"/>
        <v>0</v>
      </c>
      <c r="Z124" s="1">
        <f t="shared" si="62"/>
        <v>0</v>
      </c>
      <c r="AA124" s="1">
        <f t="shared" si="62"/>
        <v>0</v>
      </c>
    </row>
    <row r="125" spans="1:27" x14ac:dyDescent="0.25">
      <c r="A125" s="15" t="s">
        <v>51</v>
      </c>
      <c r="B125" s="16" t="s">
        <v>56</v>
      </c>
      <c r="C125" s="27" t="s">
        <v>57</v>
      </c>
      <c r="D125" s="16" t="s">
        <v>74</v>
      </c>
      <c r="E125" s="16"/>
      <c r="F125" s="1">
        <f t="shared" ref="F125:AA125" si="63">IF(F35&gt;0,F80/F35,0)</f>
        <v>0</v>
      </c>
      <c r="G125" s="1">
        <f t="shared" si="63"/>
        <v>0</v>
      </c>
      <c r="H125" s="1">
        <f t="shared" si="63"/>
        <v>0</v>
      </c>
      <c r="I125" s="1">
        <f t="shared" si="63"/>
        <v>0</v>
      </c>
      <c r="J125" s="1">
        <f t="shared" si="63"/>
        <v>0</v>
      </c>
      <c r="K125" s="1">
        <f t="shared" si="63"/>
        <v>0</v>
      </c>
      <c r="L125" s="52">
        <f t="shared" si="63"/>
        <v>0</v>
      </c>
      <c r="M125" s="1">
        <f t="shared" si="63"/>
        <v>0</v>
      </c>
      <c r="N125" s="1">
        <f t="shared" si="63"/>
        <v>0</v>
      </c>
      <c r="O125" s="1">
        <f t="shared" si="63"/>
        <v>0</v>
      </c>
      <c r="P125" s="1">
        <f t="shared" si="63"/>
        <v>0</v>
      </c>
      <c r="Q125" s="1">
        <f t="shared" si="63"/>
        <v>0</v>
      </c>
      <c r="R125" s="1">
        <f t="shared" si="63"/>
        <v>0</v>
      </c>
      <c r="S125" s="1">
        <f t="shared" si="63"/>
        <v>0</v>
      </c>
      <c r="T125" s="1">
        <f t="shared" si="63"/>
        <v>0</v>
      </c>
      <c r="U125" s="1">
        <f t="shared" si="63"/>
        <v>0</v>
      </c>
      <c r="V125" s="1">
        <f t="shared" si="63"/>
        <v>0</v>
      </c>
      <c r="W125" s="1">
        <f t="shared" si="57"/>
        <v>0</v>
      </c>
      <c r="X125" s="54">
        <f t="shared" si="63"/>
        <v>0</v>
      </c>
      <c r="Y125" s="58">
        <f t="shared" si="63"/>
        <v>0</v>
      </c>
      <c r="Z125" s="1">
        <f t="shared" si="63"/>
        <v>0</v>
      </c>
      <c r="AA125" s="1">
        <f t="shared" si="63"/>
        <v>0</v>
      </c>
    </row>
    <row r="126" spans="1:27" x14ac:dyDescent="0.25">
      <c r="A126" s="30" t="s">
        <v>60</v>
      </c>
      <c r="B126" s="31" t="s">
        <v>13</v>
      </c>
      <c r="C126" s="32" t="s">
        <v>61</v>
      </c>
      <c r="D126" s="31" t="s">
        <v>75</v>
      </c>
      <c r="E126" s="31"/>
      <c r="F126" s="51">
        <f t="shared" ref="F126:AA126" si="64">IF(F36&gt;0,F81/F36,0)</f>
        <v>0.20692798541476751</v>
      </c>
      <c r="G126" s="51">
        <f t="shared" si="64"/>
        <v>0</v>
      </c>
      <c r="H126" s="51">
        <f t="shared" si="64"/>
        <v>0.41939890710382516</v>
      </c>
      <c r="I126" s="51">
        <f t="shared" si="64"/>
        <v>0.28911564625850339</v>
      </c>
      <c r="J126" s="51">
        <f t="shared" si="64"/>
        <v>0</v>
      </c>
      <c r="K126" s="51">
        <f t="shared" si="64"/>
        <v>0</v>
      </c>
      <c r="L126" s="52">
        <f t="shared" si="64"/>
        <v>0</v>
      </c>
      <c r="M126" s="51">
        <f t="shared" si="64"/>
        <v>0.43171114599686028</v>
      </c>
      <c r="N126" s="51">
        <f t="shared" si="64"/>
        <v>0</v>
      </c>
      <c r="O126" s="51">
        <f t="shared" si="64"/>
        <v>0</v>
      </c>
      <c r="P126" s="51">
        <f t="shared" si="64"/>
        <v>0</v>
      </c>
      <c r="Q126" s="51">
        <f t="shared" si="64"/>
        <v>0</v>
      </c>
      <c r="R126" s="51">
        <f t="shared" si="64"/>
        <v>0</v>
      </c>
      <c r="S126" s="51">
        <f t="shared" si="64"/>
        <v>0</v>
      </c>
      <c r="T126" s="51">
        <f t="shared" si="64"/>
        <v>0</v>
      </c>
      <c r="U126" s="51">
        <f t="shared" si="64"/>
        <v>0</v>
      </c>
      <c r="V126" s="51">
        <f t="shared" si="64"/>
        <v>0</v>
      </c>
      <c r="W126" s="51">
        <f t="shared" si="57"/>
        <v>0.6</v>
      </c>
      <c r="X126" s="55">
        <f t="shared" si="64"/>
        <v>0</v>
      </c>
      <c r="Y126" s="59">
        <f t="shared" si="64"/>
        <v>0.2895071434713708</v>
      </c>
      <c r="Z126" s="51">
        <f t="shared" si="64"/>
        <v>0.58204455362626306</v>
      </c>
      <c r="AA126" s="51">
        <f t="shared" si="64"/>
        <v>0.3140742935752458</v>
      </c>
    </row>
    <row r="127" spans="1:27" x14ac:dyDescent="0.25">
      <c r="A127" s="30" t="s">
        <v>60</v>
      </c>
      <c r="B127" s="31" t="s">
        <v>13</v>
      </c>
      <c r="C127" s="32" t="s">
        <v>61</v>
      </c>
      <c r="D127" s="31" t="s">
        <v>76</v>
      </c>
      <c r="E127" s="31"/>
      <c r="F127" s="51">
        <f t="shared" ref="F127:AA127" si="65">IF(F37&gt;0,F82/F37,0)</f>
        <v>0.20692798541476751</v>
      </c>
      <c r="G127" s="51">
        <f t="shared" si="65"/>
        <v>0</v>
      </c>
      <c r="H127" s="51">
        <f t="shared" si="65"/>
        <v>0</v>
      </c>
      <c r="I127" s="51">
        <f t="shared" si="65"/>
        <v>0.28911564625850339</v>
      </c>
      <c r="J127" s="51">
        <f t="shared" si="65"/>
        <v>0.39416058394160586</v>
      </c>
      <c r="K127" s="51">
        <f t="shared" si="65"/>
        <v>0.4</v>
      </c>
      <c r="L127" s="52">
        <f t="shared" si="65"/>
        <v>0</v>
      </c>
      <c r="M127" s="51">
        <f t="shared" si="65"/>
        <v>0.43171114599686028</v>
      </c>
      <c r="N127" s="51">
        <f t="shared" si="65"/>
        <v>0.67567567567567566</v>
      </c>
      <c r="O127" s="51">
        <f t="shared" si="65"/>
        <v>0.52568697729988045</v>
      </c>
      <c r="P127" s="51">
        <f t="shared" si="65"/>
        <v>0.40552995391705071</v>
      </c>
      <c r="Q127" s="51">
        <f t="shared" si="65"/>
        <v>0</v>
      </c>
      <c r="R127" s="51">
        <f t="shared" si="65"/>
        <v>0.5</v>
      </c>
      <c r="S127" s="51">
        <f t="shared" si="65"/>
        <v>0</v>
      </c>
      <c r="T127" s="51">
        <f t="shared" si="65"/>
        <v>0</v>
      </c>
      <c r="U127" s="51">
        <f t="shared" si="65"/>
        <v>0</v>
      </c>
      <c r="V127" s="51">
        <f t="shared" si="65"/>
        <v>0</v>
      </c>
      <c r="W127" s="51">
        <f t="shared" si="57"/>
        <v>0</v>
      </c>
      <c r="X127" s="55">
        <f t="shared" si="65"/>
        <v>0</v>
      </c>
      <c r="Y127" s="59">
        <f t="shared" si="65"/>
        <v>0.28823650325213995</v>
      </c>
      <c r="Z127" s="51">
        <f t="shared" si="65"/>
        <v>0.50176180408738547</v>
      </c>
      <c r="AA127" s="51">
        <f t="shared" si="65"/>
        <v>0.33235484265520432</v>
      </c>
    </row>
    <row r="128" spans="1:27" x14ac:dyDescent="0.25">
      <c r="A128" s="30" t="s">
        <v>60</v>
      </c>
      <c r="B128" s="31" t="s">
        <v>13</v>
      </c>
      <c r="C128" s="32" t="s">
        <v>61</v>
      </c>
      <c r="D128" s="31" t="s">
        <v>77</v>
      </c>
      <c r="E128" s="31"/>
      <c r="F128" s="51">
        <f t="shared" ref="F128:AA128" si="66">IF(F38&gt;0,F83/F38,0)</f>
        <v>0</v>
      </c>
      <c r="G128" s="51">
        <f t="shared" si="66"/>
        <v>0</v>
      </c>
      <c r="H128" s="51">
        <f t="shared" si="66"/>
        <v>0</v>
      </c>
      <c r="I128" s="51">
        <f t="shared" si="66"/>
        <v>0</v>
      </c>
      <c r="J128" s="51">
        <f t="shared" si="66"/>
        <v>0</v>
      </c>
      <c r="K128" s="51">
        <f t="shared" si="66"/>
        <v>0.3</v>
      </c>
      <c r="L128" s="52">
        <f t="shared" si="66"/>
        <v>0</v>
      </c>
      <c r="M128" s="51">
        <f t="shared" si="66"/>
        <v>0.43171114599686028</v>
      </c>
      <c r="N128" s="51">
        <f t="shared" si="66"/>
        <v>0</v>
      </c>
      <c r="O128" s="51">
        <f t="shared" si="66"/>
        <v>0</v>
      </c>
      <c r="P128" s="51">
        <f t="shared" si="66"/>
        <v>0</v>
      </c>
      <c r="Q128" s="51">
        <f t="shared" si="66"/>
        <v>0</v>
      </c>
      <c r="R128" s="51">
        <f t="shared" si="66"/>
        <v>0</v>
      </c>
      <c r="S128" s="51">
        <f t="shared" si="66"/>
        <v>0</v>
      </c>
      <c r="T128" s="51">
        <f t="shared" si="66"/>
        <v>1</v>
      </c>
      <c r="U128" s="51">
        <f t="shared" si="66"/>
        <v>0.5</v>
      </c>
      <c r="V128" s="51">
        <f t="shared" si="66"/>
        <v>0</v>
      </c>
      <c r="W128" s="51">
        <f t="shared" si="57"/>
        <v>0</v>
      </c>
      <c r="X128" s="55">
        <f t="shared" si="66"/>
        <v>0</v>
      </c>
      <c r="Y128" s="59">
        <f t="shared" si="66"/>
        <v>0.3</v>
      </c>
      <c r="Z128" s="51">
        <f t="shared" si="66"/>
        <v>0.47219413549039435</v>
      </c>
      <c r="AA128" s="51">
        <f t="shared" si="66"/>
        <v>0.4385679414157852</v>
      </c>
    </row>
    <row r="129" spans="1:55" x14ac:dyDescent="0.25">
      <c r="A129" s="30" t="s">
        <v>60</v>
      </c>
      <c r="B129" s="31" t="s">
        <v>13</v>
      </c>
      <c r="C129" s="32" t="s">
        <v>61</v>
      </c>
      <c r="D129" s="31" t="s">
        <v>78</v>
      </c>
      <c r="E129" s="31"/>
      <c r="F129" s="51">
        <f t="shared" ref="F129:AA129" si="67">IF(F39&gt;0,F84/F39,0)</f>
        <v>0</v>
      </c>
      <c r="G129" s="51">
        <f t="shared" si="67"/>
        <v>0</v>
      </c>
      <c r="H129" s="51">
        <f t="shared" si="67"/>
        <v>0</v>
      </c>
      <c r="I129" s="51">
        <f t="shared" si="67"/>
        <v>0.28911564625850339</v>
      </c>
      <c r="J129" s="51">
        <f t="shared" si="67"/>
        <v>0</v>
      </c>
      <c r="K129" s="51">
        <f t="shared" si="67"/>
        <v>0.3</v>
      </c>
      <c r="L129" s="52">
        <f t="shared" si="67"/>
        <v>0</v>
      </c>
      <c r="M129" s="51">
        <f t="shared" si="67"/>
        <v>0.43171114599686028</v>
      </c>
      <c r="N129" s="51">
        <f t="shared" si="67"/>
        <v>0</v>
      </c>
      <c r="O129" s="51">
        <f t="shared" si="67"/>
        <v>0.52568697729988045</v>
      </c>
      <c r="P129" s="51">
        <f t="shared" si="67"/>
        <v>0.40552995391705071</v>
      </c>
      <c r="Q129" s="51">
        <f t="shared" si="67"/>
        <v>0.55000000000000004</v>
      </c>
      <c r="R129" s="51">
        <f t="shared" si="67"/>
        <v>0</v>
      </c>
      <c r="S129" s="51">
        <f t="shared" si="67"/>
        <v>0</v>
      </c>
      <c r="T129" s="51">
        <f t="shared" si="67"/>
        <v>0</v>
      </c>
      <c r="U129" s="51">
        <f t="shared" si="67"/>
        <v>0</v>
      </c>
      <c r="V129" s="51">
        <f t="shared" si="67"/>
        <v>0</v>
      </c>
      <c r="W129" s="51">
        <f t="shared" si="57"/>
        <v>0</v>
      </c>
      <c r="X129" s="55">
        <f t="shared" si="67"/>
        <v>0.5</v>
      </c>
      <c r="Y129" s="59">
        <f t="shared" si="67"/>
        <v>0.2922705314009662</v>
      </c>
      <c r="Z129" s="51">
        <f t="shared" si="67"/>
        <v>0.43516497738142162</v>
      </c>
      <c r="AA129" s="51">
        <f t="shared" si="67"/>
        <v>0.40497278838971296</v>
      </c>
    </row>
    <row r="130" spans="1:55" ht="15.75" thickBot="1" x14ac:dyDescent="0.3">
      <c r="A130" s="33" t="s">
        <v>60</v>
      </c>
      <c r="B130" s="34" t="s">
        <v>13</v>
      </c>
      <c r="C130" s="35" t="s">
        <v>61</v>
      </c>
      <c r="D130" s="34" t="s">
        <v>79</v>
      </c>
      <c r="E130" s="31"/>
      <c r="F130" s="51">
        <f t="shared" ref="F130:AA130" si="68">IF(F40&gt;0,F85/F40,0)</f>
        <v>0</v>
      </c>
      <c r="G130" s="51">
        <f t="shared" si="68"/>
        <v>0</v>
      </c>
      <c r="H130" s="51">
        <f t="shared" si="68"/>
        <v>0</v>
      </c>
      <c r="I130" s="51">
        <f t="shared" si="68"/>
        <v>0</v>
      </c>
      <c r="J130" s="51">
        <f t="shared" si="68"/>
        <v>0</v>
      </c>
      <c r="K130" s="51">
        <f t="shared" si="68"/>
        <v>0</v>
      </c>
      <c r="L130" s="52">
        <f t="shared" si="68"/>
        <v>0</v>
      </c>
      <c r="M130" s="51">
        <f t="shared" si="68"/>
        <v>0</v>
      </c>
      <c r="N130" s="51">
        <f t="shared" si="68"/>
        <v>0</v>
      </c>
      <c r="O130" s="51">
        <f t="shared" si="68"/>
        <v>0</v>
      </c>
      <c r="P130" s="51">
        <f t="shared" si="68"/>
        <v>0</v>
      </c>
      <c r="Q130" s="51">
        <f t="shared" si="68"/>
        <v>0</v>
      </c>
      <c r="R130" s="51">
        <f t="shared" si="68"/>
        <v>0</v>
      </c>
      <c r="S130" s="51">
        <f t="shared" si="68"/>
        <v>0</v>
      </c>
      <c r="T130" s="51">
        <f t="shared" si="68"/>
        <v>0</v>
      </c>
      <c r="U130" s="51">
        <f t="shared" si="68"/>
        <v>0</v>
      </c>
      <c r="V130" s="51">
        <f t="shared" si="68"/>
        <v>0</v>
      </c>
      <c r="W130" s="51">
        <f t="shared" si="57"/>
        <v>0</v>
      </c>
      <c r="X130" s="55">
        <f t="shared" si="68"/>
        <v>0</v>
      </c>
      <c r="Y130" s="59">
        <f t="shared" si="68"/>
        <v>0</v>
      </c>
      <c r="Z130" s="51">
        <f t="shared" si="68"/>
        <v>0</v>
      </c>
      <c r="AA130" s="51">
        <f t="shared" si="68"/>
        <v>0</v>
      </c>
    </row>
    <row r="131" spans="1:55" x14ac:dyDescent="0.25">
      <c r="A131" s="30" t="s">
        <v>60</v>
      </c>
      <c r="B131" s="31" t="s">
        <v>13</v>
      </c>
      <c r="C131" s="32" t="s">
        <v>62</v>
      </c>
      <c r="D131" s="31" t="s">
        <v>75</v>
      </c>
      <c r="E131" s="31"/>
      <c r="F131" s="51">
        <f t="shared" ref="F131:AA131" si="69">IF(F41&gt;0,F86/F41,0)</f>
        <v>0</v>
      </c>
      <c r="G131" s="51">
        <f t="shared" si="69"/>
        <v>0</v>
      </c>
      <c r="H131" s="51">
        <f t="shared" si="69"/>
        <v>0</v>
      </c>
      <c r="I131" s="51">
        <f t="shared" si="69"/>
        <v>0</v>
      </c>
      <c r="J131" s="51">
        <f t="shared" si="69"/>
        <v>0</v>
      </c>
      <c r="K131" s="51">
        <f t="shared" si="69"/>
        <v>0</v>
      </c>
      <c r="L131" s="52">
        <f t="shared" si="69"/>
        <v>0</v>
      </c>
      <c r="M131" s="51">
        <f t="shared" si="69"/>
        <v>0</v>
      </c>
      <c r="N131" s="51">
        <f t="shared" si="69"/>
        <v>0</v>
      </c>
      <c r="O131" s="51">
        <f t="shared" si="69"/>
        <v>0</v>
      </c>
      <c r="P131" s="51">
        <f t="shared" si="69"/>
        <v>0</v>
      </c>
      <c r="Q131" s="51">
        <f t="shared" si="69"/>
        <v>0</v>
      </c>
      <c r="R131" s="51">
        <f t="shared" si="69"/>
        <v>0</v>
      </c>
      <c r="S131" s="51">
        <f t="shared" si="69"/>
        <v>0</v>
      </c>
      <c r="T131" s="51">
        <f t="shared" si="69"/>
        <v>0</v>
      </c>
      <c r="U131" s="51">
        <f t="shared" si="69"/>
        <v>0</v>
      </c>
      <c r="V131" s="51">
        <f t="shared" si="69"/>
        <v>0</v>
      </c>
      <c r="W131" s="51">
        <f t="shared" si="57"/>
        <v>0</v>
      </c>
      <c r="X131" s="55">
        <f t="shared" si="69"/>
        <v>0</v>
      </c>
      <c r="Y131" s="59">
        <f t="shared" si="69"/>
        <v>0</v>
      </c>
      <c r="Z131" s="51">
        <f t="shared" si="69"/>
        <v>0</v>
      </c>
      <c r="AA131" s="51">
        <f t="shared" si="69"/>
        <v>0</v>
      </c>
    </row>
    <row r="132" spans="1:55" x14ac:dyDescent="0.25">
      <c r="A132" s="30" t="s">
        <v>60</v>
      </c>
      <c r="B132" s="31" t="s">
        <v>13</v>
      </c>
      <c r="C132" s="32" t="s">
        <v>62</v>
      </c>
      <c r="D132" s="31" t="s">
        <v>76</v>
      </c>
      <c r="E132" s="31"/>
      <c r="F132" s="51">
        <f t="shared" ref="F132:AA132" si="70">IF(F42&gt;0,F87/F42,0)</f>
        <v>0.20692798541476756</v>
      </c>
      <c r="G132" s="51">
        <f t="shared" si="70"/>
        <v>0.34693877551020408</v>
      </c>
      <c r="H132" s="51">
        <f t="shared" si="70"/>
        <v>0.4193989071038251</v>
      </c>
      <c r="I132" s="51">
        <f t="shared" si="70"/>
        <v>0</v>
      </c>
      <c r="J132" s="51">
        <f t="shared" si="70"/>
        <v>0</v>
      </c>
      <c r="K132" s="51">
        <f t="shared" si="70"/>
        <v>0</v>
      </c>
      <c r="L132" s="52">
        <f t="shared" si="70"/>
        <v>0</v>
      </c>
      <c r="M132" s="51">
        <f t="shared" si="70"/>
        <v>0</v>
      </c>
      <c r="N132" s="51">
        <f t="shared" si="70"/>
        <v>0</v>
      </c>
      <c r="O132" s="51">
        <f t="shared" si="70"/>
        <v>0</v>
      </c>
      <c r="P132" s="51">
        <f t="shared" si="70"/>
        <v>0</v>
      </c>
      <c r="Q132" s="51">
        <f t="shared" si="70"/>
        <v>0</v>
      </c>
      <c r="R132" s="51">
        <f t="shared" si="70"/>
        <v>0</v>
      </c>
      <c r="S132" s="51">
        <f t="shared" si="70"/>
        <v>0</v>
      </c>
      <c r="T132" s="51">
        <f t="shared" si="70"/>
        <v>0</v>
      </c>
      <c r="U132" s="51">
        <f t="shared" si="70"/>
        <v>0</v>
      </c>
      <c r="V132" s="51">
        <f t="shared" si="70"/>
        <v>0</v>
      </c>
      <c r="W132" s="51">
        <f t="shared" si="57"/>
        <v>0</v>
      </c>
      <c r="X132" s="55">
        <f t="shared" si="70"/>
        <v>0</v>
      </c>
      <c r="Y132" s="59">
        <f t="shared" si="70"/>
        <v>0.3447293447293448</v>
      </c>
      <c r="Z132" s="51">
        <f t="shared" si="70"/>
        <v>0</v>
      </c>
      <c r="AA132" s="51">
        <f t="shared" si="70"/>
        <v>0.3447293447293448</v>
      </c>
    </row>
    <row r="133" spans="1:55" x14ac:dyDescent="0.25">
      <c r="A133" s="30" t="s">
        <v>60</v>
      </c>
      <c r="B133" s="31" t="s">
        <v>13</v>
      </c>
      <c r="C133" s="32" t="s">
        <v>62</v>
      </c>
      <c r="D133" s="31" t="s">
        <v>77</v>
      </c>
      <c r="E133" s="31"/>
      <c r="F133" s="51">
        <f t="shared" ref="F133:AA133" si="71">IF(F43&gt;0,F88/F43,0)</f>
        <v>0</v>
      </c>
      <c r="G133" s="51">
        <f t="shared" si="71"/>
        <v>0</v>
      </c>
      <c r="H133" s="51">
        <f t="shared" si="71"/>
        <v>0</v>
      </c>
      <c r="I133" s="51">
        <f t="shared" si="71"/>
        <v>0</v>
      </c>
      <c r="J133" s="51">
        <f t="shared" si="71"/>
        <v>0</v>
      </c>
      <c r="K133" s="51">
        <f t="shared" si="71"/>
        <v>0</v>
      </c>
      <c r="L133" s="52">
        <f t="shared" si="71"/>
        <v>0</v>
      </c>
      <c r="M133" s="51">
        <f t="shared" si="71"/>
        <v>0</v>
      </c>
      <c r="N133" s="51">
        <f t="shared" si="71"/>
        <v>0</v>
      </c>
      <c r="O133" s="51">
        <f t="shared" si="71"/>
        <v>0</v>
      </c>
      <c r="P133" s="51">
        <f t="shared" si="71"/>
        <v>0</v>
      </c>
      <c r="Q133" s="51">
        <f t="shared" si="71"/>
        <v>0</v>
      </c>
      <c r="R133" s="51">
        <f t="shared" si="71"/>
        <v>0</v>
      </c>
      <c r="S133" s="51">
        <f t="shared" si="71"/>
        <v>0</v>
      </c>
      <c r="T133" s="51">
        <f t="shared" si="71"/>
        <v>0</v>
      </c>
      <c r="U133" s="51">
        <f t="shared" si="71"/>
        <v>0</v>
      </c>
      <c r="V133" s="51">
        <f t="shared" si="71"/>
        <v>0</v>
      </c>
      <c r="W133" s="51">
        <f t="shared" si="57"/>
        <v>0</v>
      </c>
      <c r="X133" s="55">
        <f t="shared" si="71"/>
        <v>0</v>
      </c>
      <c r="Y133" s="59">
        <f t="shared" si="71"/>
        <v>0</v>
      </c>
      <c r="Z133" s="51">
        <f t="shared" si="71"/>
        <v>0</v>
      </c>
      <c r="AA133" s="51">
        <f t="shared" si="71"/>
        <v>0</v>
      </c>
    </row>
    <row r="134" spans="1:55" x14ac:dyDescent="0.25">
      <c r="A134" s="30" t="s">
        <v>60</v>
      </c>
      <c r="B134" s="31" t="s">
        <v>13</v>
      </c>
      <c r="C134" s="32" t="s">
        <v>62</v>
      </c>
      <c r="D134" s="31" t="s">
        <v>78</v>
      </c>
      <c r="E134" s="31"/>
      <c r="F134" s="51">
        <f t="shared" ref="F134:AA134" si="72">IF(F44&gt;0,F89/F44,0)</f>
        <v>0</v>
      </c>
      <c r="G134" s="51">
        <f t="shared" si="72"/>
        <v>0</v>
      </c>
      <c r="H134" s="51">
        <f t="shared" si="72"/>
        <v>0</v>
      </c>
      <c r="I134" s="51">
        <f t="shared" si="72"/>
        <v>0</v>
      </c>
      <c r="J134" s="51">
        <f t="shared" si="72"/>
        <v>0</v>
      </c>
      <c r="K134" s="51">
        <f t="shared" si="72"/>
        <v>0</v>
      </c>
      <c r="L134" s="52">
        <f t="shared" si="72"/>
        <v>0</v>
      </c>
      <c r="M134" s="51">
        <f t="shared" si="72"/>
        <v>0</v>
      </c>
      <c r="N134" s="51">
        <f t="shared" si="72"/>
        <v>0</v>
      </c>
      <c r="O134" s="51">
        <f t="shared" si="72"/>
        <v>0</v>
      </c>
      <c r="P134" s="51">
        <f t="shared" si="72"/>
        <v>0</v>
      </c>
      <c r="Q134" s="51">
        <f t="shared" si="72"/>
        <v>0</v>
      </c>
      <c r="R134" s="51">
        <f t="shared" si="72"/>
        <v>0</v>
      </c>
      <c r="S134" s="51">
        <f t="shared" si="72"/>
        <v>0</v>
      </c>
      <c r="T134" s="51">
        <f t="shared" si="72"/>
        <v>0</v>
      </c>
      <c r="U134" s="51">
        <f t="shared" si="72"/>
        <v>0</v>
      </c>
      <c r="V134" s="51">
        <f t="shared" si="72"/>
        <v>0</v>
      </c>
      <c r="W134" s="51">
        <f t="shared" si="57"/>
        <v>0</v>
      </c>
      <c r="X134" s="55">
        <f t="shared" si="72"/>
        <v>0</v>
      </c>
      <c r="Y134" s="59">
        <f t="shared" si="72"/>
        <v>0</v>
      </c>
      <c r="Z134" s="51">
        <f t="shared" si="72"/>
        <v>0</v>
      </c>
      <c r="AA134" s="51">
        <f t="shared" si="72"/>
        <v>0</v>
      </c>
    </row>
    <row r="135" spans="1:55" ht="15.75" thickBot="1" x14ac:dyDescent="0.3">
      <c r="A135" s="33" t="s">
        <v>60</v>
      </c>
      <c r="B135" s="34" t="s">
        <v>13</v>
      </c>
      <c r="C135" s="32" t="s">
        <v>62</v>
      </c>
      <c r="D135" s="34" t="s">
        <v>79</v>
      </c>
      <c r="E135" s="31"/>
      <c r="F135" s="51">
        <f t="shared" ref="F135:AA135" si="73">IF(F45&gt;0,F90/F45,0)</f>
        <v>0</v>
      </c>
      <c r="G135" s="51">
        <f t="shared" si="73"/>
        <v>0</v>
      </c>
      <c r="H135" s="51">
        <f t="shared" si="73"/>
        <v>0</v>
      </c>
      <c r="I135" s="51">
        <f t="shared" si="73"/>
        <v>0</v>
      </c>
      <c r="J135" s="51">
        <f t="shared" si="73"/>
        <v>0</v>
      </c>
      <c r="K135" s="51">
        <f t="shared" si="73"/>
        <v>0</v>
      </c>
      <c r="L135" s="52">
        <f t="shared" si="73"/>
        <v>0</v>
      </c>
      <c r="M135" s="51">
        <f t="shared" si="73"/>
        <v>0</v>
      </c>
      <c r="N135" s="51">
        <f t="shared" si="73"/>
        <v>0</v>
      </c>
      <c r="O135" s="51">
        <f t="shared" si="73"/>
        <v>0</v>
      </c>
      <c r="P135" s="51">
        <f t="shared" si="73"/>
        <v>0</v>
      </c>
      <c r="Q135" s="51">
        <f t="shared" si="73"/>
        <v>0</v>
      </c>
      <c r="R135" s="51">
        <f t="shared" si="73"/>
        <v>0</v>
      </c>
      <c r="S135" s="51">
        <f t="shared" si="73"/>
        <v>0</v>
      </c>
      <c r="T135" s="51">
        <f t="shared" si="73"/>
        <v>0</v>
      </c>
      <c r="U135" s="51">
        <f t="shared" si="73"/>
        <v>0</v>
      </c>
      <c r="V135" s="51">
        <f t="shared" si="73"/>
        <v>0</v>
      </c>
      <c r="W135" s="51">
        <f t="shared" si="57"/>
        <v>0</v>
      </c>
      <c r="X135" s="55">
        <f t="shared" si="73"/>
        <v>0</v>
      </c>
      <c r="Y135" s="59">
        <f t="shared" si="73"/>
        <v>0</v>
      </c>
      <c r="Z135" s="51">
        <f t="shared" si="73"/>
        <v>0</v>
      </c>
      <c r="AA135" s="51">
        <f t="shared" si="73"/>
        <v>0</v>
      </c>
    </row>
    <row r="136" spans="1:5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55" x14ac:dyDescent="0.25">
      <c r="D137" s="41" t="s">
        <v>17</v>
      </c>
      <c r="E137" s="41"/>
      <c r="M137" s="24" t="s">
        <v>81</v>
      </c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AF137" s="41" t="s">
        <v>22</v>
      </c>
      <c r="AG137" s="41"/>
      <c r="AO137" s="24" t="s">
        <v>81</v>
      </c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</row>
    <row r="138" spans="1:55" x14ac:dyDescent="0.25">
      <c r="F138" s="23" t="s">
        <v>44</v>
      </c>
      <c r="G138" s="23"/>
      <c r="H138" s="23"/>
      <c r="I138" s="23"/>
      <c r="J138" s="23"/>
      <c r="K138" s="23"/>
      <c r="L138" s="7" t="s">
        <v>30</v>
      </c>
      <c r="M138" s="24" t="s">
        <v>46</v>
      </c>
      <c r="N138" s="24"/>
      <c r="O138" s="24"/>
      <c r="P138" s="24"/>
      <c r="Q138" s="24"/>
      <c r="R138" s="24" t="s">
        <v>47</v>
      </c>
      <c r="S138" s="24"/>
      <c r="T138" s="24"/>
      <c r="U138" s="24"/>
      <c r="V138" s="24"/>
      <c r="W138" s="24"/>
      <c r="X138" s="24"/>
      <c r="Y138" s="44" t="s">
        <v>85</v>
      </c>
      <c r="Z138" s="44" t="s">
        <v>48</v>
      </c>
      <c r="AA138" s="44" t="s">
        <v>3</v>
      </c>
      <c r="AH138" s="23" t="s">
        <v>44</v>
      </c>
      <c r="AI138" s="23"/>
      <c r="AJ138" s="23"/>
      <c r="AK138" s="23"/>
      <c r="AL138" s="23"/>
      <c r="AM138" s="23"/>
      <c r="AN138" s="7" t="s">
        <v>30</v>
      </c>
      <c r="AO138" s="24" t="s">
        <v>46</v>
      </c>
      <c r="AP138" s="24"/>
      <c r="AQ138" s="24"/>
      <c r="AR138" s="24"/>
      <c r="AS138" s="24"/>
      <c r="AT138" s="24" t="s">
        <v>47</v>
      </c>
      <c r="AU138" s="24"/>
      <c r="AV138" s="24"/>
      <c r="AW138" s="24"/>
      <c r="AX138" s="24"/>
      <c r="AY138" s="24"/>
      <c r="AZ138" s="24"/>
      <c r="BA138" s="44" t="s">
        <v>85</v>
      </c>
      <c r="BB138" s="44" t="s">
        <v>48</v>
      </c>
      <c r="BC138" s="44" t="s">
        <v>3</v>
      </c>
    </row>
    <row r="139" spans="1:55" ht="63" x14ac:dyDescent="0.25">
      <c r="F139" s="38" t="s">
        <v>36</v>
      </c>
      <c r="G139" s="38" t="s">
        <v>37</v>
      </c>
      <c r="H139" s="38" t="s">
        <v>38</v>
      </c>
      <c r="I139" s="38" t="s">
        <v>80</v>
      </c>
      <c r="J139" s="38" t="s">
        <v>39</v>
      </c>
      <c r="K139" s="38" t="s">
        <v>45</v>
      </c>
      <c r="L139" s="39" t="s">
        <v>16</v>
      </c>
      <c r="M139" s="40" t="s">
        <v>34</v>
      </c>
      <c r="N139" s="40" t="s">
        <v>5</v>
      </c>
      <c r="O139" s="40" t="s">
        <v>7</v>
      </c>
      <c r="P139" s="40" t="s">
        <v>8</v>
      </c>
      <c r="Q139" s="40" t="s">
        <v>40</v>
      </c>
      <c r="R139" s="40" t="s">
        <v>41</v>
      </c>
      <c r="S139" s="40" t="s">
        <v>42</v>
      </c>
      <c r="T139" s="40" t="s">
        <v>31</v>
      </c>
      <c r="U139" s="40" t="s">
        <v>43</v>
      </c>
      <c r="V139" s="40" t="s">
        <v>82</v>
      </c>
      <c r="W139" s="40" t="s">
        <v>87</v>
      </c>
      <c r="X139" s="40" t="s">
        <v>83</v>
      </c>
      <c r="Y139" s="45" t="s">
        <v>3</v>
      </c>
      <c r="Z139" s="45" t="s">
        <v>86</v>
      </c>
      <c r="AA139" s="45" t="s">
        <v>3</v>
      </c>
      <c r="AH139" s="38" t="s">
        <v>36</v>
      </c>
      <c r="AI139" s="38" t="s">
        <v>37</v>
      </c>
      <c r="AJ139" s="38" t="s">
        <v>38</v>
      </c>
      <c r="AK139" s="38" t="s">
        <v>80</v>
      </c>
      <c r="AL139" s="38" t="s">
        <v>39</v>
      </c>
      <c r="AM139" s="38" t="s">
        <v>45</v>
      </c>
      <c r="AN139" s="39" t="s">
        <v>16</v>
      </c>
      <c r="AO139" s="40" t="s">
        <v>34</v>
      </c>
      <c r="AP139" s="40" t="s">
        <v>5</v>
      </c>
      <c r="AQ139" s="40" t="s">
        <v>7</v>
      </c>
      <c r="AR139" s="40" t="s">
        <v>8</v>
      </c>
      <c r="AS139" s="40" t="s">
        <v>40</v>
      </c>
      <c r="AT139" s="40" t="s">
        <v>41</v>
      </c>
      <c r="AU139" s="40" t="s">
        <v>42</v>
      </c>
      <c r="AV139" s="40" t="s">
        <v>31</v>
      </c>
      <c r="AW139" s="40" t="s">
        <v>43</v>
      </c>
      <c r="AX139" s="40" t="s">
        <v>82</v>
      </c>
      <c r="AY139" s="40" t="s">
        <v>87</v>
      </c>
      <c r="AZ139" s="40" t="s">
        <v>83</v>
      </c>
      <c r="BA139" s="45" t="s">
        <v>3</v>
      </c>
      <c r="BB139" s="45" t="s">
        <v>86</v>
      </c>
      <c r="BC139" s="45" t="s">
        <v>3</v>
      </c>
    </row>
    <row r="140" spans="1:55" x14ac:dyDescent="0.25">
      <c r="A140" s="15" t="s">
        <v>51</v>
      </c>
      <c r="B140" s="2"/>
      <c r="C140" s="2"/>
      <c r="F140" s="1">
        <f t="shared" ref="F140:F158" si="74">IF(F185&gt;0,F5/F185,0)</f>
        <v>0</v>
      </c>
      <c r="G140" s="1">
        <f t="shared" ref="G140:AA152" si="75">IF(G185&gt;0,G5/G185,0)</f>
        <v>0</v>
      </c>
      <c r="H140" s="1">
        <f t="shared" si="75"/>
        <v>0</v>
      </c>
      <c r="I140" s="1">
        <f t="shared" si="75"/>
        <v>0</v>
      </c>
      <c r="J140" s="1">
        <f t="shared" si="75"/>
        <v>0</v>
      </c>
      <c r="K140" s="1">
        <f t="shared" si="75"/>
        <v>0</v>
      </c>
      <c r="L140" s="52">
        <f t="shared" si="75"/>
        <v>0</v>
      </c>
      <c r="M140" s="1">
        <f t="shared" si="75"/>
        <v>0</v>
      </c>
      <c r="N140" s="1">
        <f t="shared" si="75"/>
        <v>0</v>
      </c>
      <c r="O140" s="1">
        <f t="shared" si="75"/>
        <v>0</v>
      </c>
      <c r="P140" s="1">
        <f t="shared" si="75"/>
        <v>0</v>
      </c>
      <c r="Q140" s="1">
        <f t="shared" si="75"/>
        <v>0</v>
      </c>
      <c r="R140" s="1">
        <f t="shared" si="75"/>
        <v>0</v>
      </c>
      <c r="S140" s="1">
        <f t="shared" si="75"/>
        <v>0</v>
      </c>
      <c r="T140" s="1">
        <f t="shared" si="75"/>
        <v>0</v>
      </c>
      <c r="U140" s="1">
        <f t="shared" si="75"/>
        <v>0</v>
      </c>
      <c r="V140" s="1">
        <f t="shared" si="75"/>
        <v>0</v>
      </c>
      <c r="W140" s="1">
        <f t="shared" ref="W140:W162" si="76">IF(W185&gt;0,W5/W185,0)</f>
        <v>0</v>
      </c>
      <c r="X140" s="54">
        <f t="shared" si="75"/>
        <v>0</v>
      </c>
      <c r="Y140" s="58">
        <f t="shared" si="75"/>
        <v>0</v>
      </c>
      <c r="Z140" s="1">
        <f t="shared" si="75"/>
        <v>0</v>
      </c>
      <c r="AA140" s="1">
        <f t="shared" si="75"/>
        <v>0</v>
      </c>
      <c r="AC140" s="15" t="s">
        <v>51</v>
      </c>
      <c r="AD140" s="2"/>
      <c r="AE140" s="2"/>
      <c r="AH140" s="1" t="str">
        <f t="shared" ref="AH140:AH180" si="77">IF(F185&gt;0,F50/F185,"")</f>
        <v/>
      </c>
      <c r="AI140" s="1" t="str">
        <f t="shared" ref="AI140:AI180" si="78">IF(G185&gt;0,G50/G185,"")</f>
        <v/>
      </c>
      <c r="AJ140" s="1" t="str">
        <f t="shared" ref="AJ140:AJ180" si="79">IF(H185&gt;0,H50/H185,"")</f>
        <v/>
      </c>
      <c r="AK140" s="1" t="str">
        <f t="shared" ref="AK140:AK180" si="80">IF(I185&gt;0,I50/I185,"")</f>
        <v/>
      </c>
      <c r="AL140" s="1" t="str">
        <f t="shared" ref="AL140:AL180" si="81">IF(J185&gt;0,J50/J185,"")</f>
        <v/>
      </c>
      <c r="AM140" s="1" t="str">
        <f t="shared" ref="AM140:AM180" si="82">IF(K185&gt;0,K50/K185,"")</f>
        <v/>
      </c>
      <c r="AN140" s="52" t="str">
        <f t="shared" ref="AN140:AN180" si="83">IF(L185&gt;0,L50/L185,"")</f>
        <v/>
      </c>
      <c r="AO140" s="1" t="str">
        <f t="shared" ref="AO140:AO180" si="84">IF(M185&gt;0,M50/M185,"")</f>
        <v/>
      </c>
      <c r="AP140" s="1" t="str">
        <f t="shared" ref="AP140:AP180" si="85">IF(N185&gt;0,N50/N185,"")</f>
        <v/>
      </c>
      <c r="AQ140" s="1" t="str">
        <f t="shared" ref="AQ140:AQ180" si="86">IF(O185&gt;0,O50/O185,"")</f>
        <v/>
      </c>
      <c r="AR140" s="1" t="str">
        <f t="shared" ref="AR140:AR180" si="87">IF(P185&gt;0,P50/P185,"")</f>
        <v/>
      </c>
      <c r="AS140" s="1" t="str">
        <f t="shared" ref="AS140:AS180" si="88">IF(Q185&gt;0,Q50/Q185,"")</f>
        <v/>
      </c>
      <c r="AT140" s="1" t="str">
        <f t="shared" ref="AT140:AT180" si="89">IF(R185&gt;0,R50/R185,"")</f>
        <v/>
      </c>
      <c r="AU140" s="1" t="str">
        <f t="shared" ref="AU140:AU180" si="90">IF(S185&gt;0,S50/S185,"")</f>
        <v/>
      </c>
      <c r="AV140" s="1" t="str">
        <f t="shared" ref="AV140:AV180" si="91">IF(T185&gt;0,T50/T185,"")</f>
        <v/>
      </c>
      <c r="AW140" s="1" t="str">
        <f t="shared" ref="AW140:AW180" si="92">IF(U185&gt;0,U50/U185,"")</f>
        <v/>
      </c>
      <c r="AX140" s="1" t="str">
        <f t="shared" ref="AX140:BC140" si="93">IF(V185&gt;0,V50/V185,"")</f>
        <v/>
      </c>
      <c r="AY140" s="1" t="str">
        <f t="shared" si="93"/>
        <v/>
      </c>
      <c r="AZ140" s="1" t="str">
        <f t="shared" si="93"/>
        <v/>
      </c>
      <c r="BA140" s="1" t="str">
        <f t="shared" si="93"/>
        <v/>
      </c>
      <c r="BB140" s="1" t="str">
        <f t="shared" si="93"/>
        <v/>
      </c>
      <c r="BC140" s="1" t="str">
        <f t="shared" si="93"/>
        <v/>
      </c>
    </row>
    <row r="141" spans="1:55" x14ac:dyDescent="0.25">
      <c r="A141" s="30" t="s">
        <v>60</v>
      </c>
      <c r="B141" s="2"/>
      <c r="C141" s="2"/>
      <c r="F141" s="1">
        <f t="shared" si="74"/>
        <v>54.046172539489675</v>
      </c>
      <c r="G141" s="1">
        <f t="shared" ref="G141:T141" si="94">IF(G186&gt;0,G6/G186,0)</f>
        <v>24.5</v>
      </c>
      <c r="H141" s="1">
        <f t="shared" si="94"/>
        <v>4.5750000000000002</v>
      </c>
      <c r="I141" s="1">
        <f t="shared" si="94"/>
        <v>29</v>
      </c>
      <c r="J141" s="1">
        <f t="shared" si="94"/>
        <v>50.481780582575347</v>
      </c>
      <c r="K141" s="1">
        <f t="shared" si="94"/>
        <v>2.9686971235194592</v>
      </c>
      <c r="L141" s="52">
        <f t="shared" si="94"/>
        <v>750</v>
      </c>
      <c r="M141" s="1">
        <f t="shared" si="94"/>
        <v>308.788496619809</v>
      </c>
      <c r="N141" s="1">
        <f t="shared" si="94"/>
        <v>988.99817017383361</v>
      </c>
      <c r="O141" s="1">
        <f t="shared" si="94"/>
        <v>10000</v>
      </c>
      <c r="P141" s="1">
        <f t="shared" si="94"/>
        <v>28000</v>
      </c>
      <c r="Q141" s="1">
        <f t="shared" si="94"/>
        <v>940.00000000000023</v>
      </c>
      <c r="R141" s="1">
        <f t="shared" si="94"/>
        <v>426.00000000000006</v>
      </c>
      <c r="S141" s="1">
        <f t="shared" si="94"/>
        <v>99.999999999999986</v>
      </c>
      <c r="T141" s="1">
        <f t="shared" si="94"/>
        <v>425.1942649485498</v>
      </c>
      <c r="U141" s="1">
        <f t="shared" si="75"/>
        <v>426</v>
      </c>
      <c r="V141" s="1">
        <f t="shared" si="75"/>
        <v>500.43123278302329</v>
      </c>
      <c r="W141" s="1">
        <f t="shared" si="76"/>
        <v>426</v>
      </c>
      <c r="X141" s="54">
        <f t="shared" si="75"/>
        <v>418.83433743820569</v>
      </c>
      <c r="Y141" s="58">
        <f t="shared" si="75"/>
        <v>10.428667803809537</v>
      </c>
      <c r="Z141" s="1">
        <f t="shared" si="75"/>
        <v>480.324121658622</v>
      </c>
      <c r="AA141" s="1">
        <f t="shared" si="75"/>
        <v>91.862396799087676</v>
      </c>
      <c r="AC141" s="30" t="s">
        <v>60</v>
      </c>
      <c r="AD141" s="2"/>
      <c r="AE141" s="2"/>
      <c r="AH141" s="1">
        <f t="shared" si="77"/>
        <v>11.266099635479952</v>
      </c>
      <c r="AI141" s="1">
        <f t="shared" si="78"/>
        <v>8.5</v>
      </c>
      <c r="AJ141" s="1">
        <f t="shared" si="79"/>
        <v>1.9187500000000002</v>
      </c>
      <c r="AK141" s="1">
        <f t="shared" si="80"/>
        <v>8.3843537414965983</v>
      </c>
      <c r="AL141" s="1">
        <f t="shared" si="81"/>
        <v>11.359246634891857</v>
      </c>
      <c r="AM141" s="1">
        <f t="shared" si="82"/>
        <v>0.70169204737732671</v>
      </c>
      <c r="AN141" s="52">
        <f t="shared" si="83"/>
        <v>67.5</v>
      </c>
      <c r="AO141" s="1">
        <f t="shared" si="84"/>
        <v>48.012509006177851</v>
      </c>
      <c r="AP141" s="1">
        <f t="shared" si="85"/>
        <v>759.49222323879246</v>
      </c>
      <c r="AQ141" s="1">
        <f t="shared" si="86"/>
        <v>5256.8697729988053</v>
      </c>
      <c r="AR141" s="1">
        <f t="shared" si="87"/>
        <v>11354.838709677419</v>
      </c>
      <c r="AS141" s="1">
        <f t="shared" si="88"/>
        <v>141.29925187032421</v>
      </c>
      <c r="AT141" s="1">
        <f t="shared" si="89"/>
        <v>77.528171448323548</v>
      </c>
      <c r="AU141" s="1">
        <f t="shared" si="90"/>
        <v>29.999999999999996</v>
      </c>
      <c r="AV141" s="1">
        <f t="shared" si="91"/>
        <v>68.478884866051274</v>
      </c>
      <c r="AW141" s="1">
        <f t="shared" si="92"/>
        <v>57.888501742160273</v>
      </c>
      <c r="AX141" s="1">
        <f t="shared" ref="AX141:BC141" si="95">IF(V186&gt;0,V51/V186,"")</f>
        <v>138.99042118661777</v>
      </c>
      <c r="AY141" s="1">
        <f t="shared" si="95"/>
        <v>85.199999999999989</v>
      </c>
      <c r="AZ141" s="1">
        <f t="shared" si="95"/>
        <v>68.469444417144132</v>
      </c>
      <c r="BA141" s="1">
        <f t="shared" si="95"/>
        <v>2.904747043700687</v>
      </c>
      <c r="BB141" s="1">
        <f t="shared" si="95"/>
        <v>88.462222115628364</v>
      </c>
      <c r="BC141" s="1">
        <f t="shared" si="95"/>
        <v>12.553499300434915</v>
      </c>
    </row>
    <row r="142" spans="1:55" x14ac:dyDescent="0.25">
      <c r="A142" s="15" t="s">
        <v>51</v>
      </c>
      <c r="B142" s="16" t="s">
        <v>52</v>
      </c>
      <c r="C142" s="2"/>
      <c r="F142" s="1">
        <f t="shared" si="74"/>
        <v>0</v>
      </c>
      <c r="G142" s="1">
        <f t="shared" si="75"/>
        <v>0</v>
      </c>
      <c r="H142" s="1">
        <f t="shared" si="75"/>
        <v>0</v>
      </c>
      <c r="I142" s="1">
        <f t="shared" si="75"/>
        <v>0</v>
      </c>
      <c r="J142" s="1">
        <f t="shared" si="75"/>
        <v>0</v>
      </c>
      <c r="K142" s="1">
        <f t="shared" si="75"/>
        <v>0</v>
      </c>
      <c r="L142" s="52">
        <f t="shared" si="75"/>
        <v>0</v>
      </c>
      <c r="M142" s="1">
        <f t="shared" si="75"/>
        <v>0</v>
      </c>
      <c r="N142" s="1">
        <f t="shared" si="75"/>
        <v>0</v>
      </c>
      <c r="O142" s="1">
        <f t="shared" si="75"/>
        <v>0</v>
      </c>
      <c r="P142" s="1">
        <f t="shared" si="75"/>
        <v>0</v>
      </c>
      <c r="Q142" s="1">
        <f t="shared" si="75"/>
        <v>0</v>
      </c>
      <c r="R142" s="1">
        <f t="shared" si="75"/>
        <v>0</v>
      </c>
      <c r="S142" s="1">
        <f t="shared" si="75"/>
        <v>0</v>
      </c>
      <c r="T142" s="1">
        <f t="shared" si="75"/>
        <v>0</v>
      </c>
      <c r="U142" s="1">
        <f t="shared" si="75"/>
        <v>0</v>
      </c>
      <c r="V142" s="1">
        <f t="shared" si="75"/>
        <v>0</v>
      </c>
      <c r="W142" s="1">
        <f t="shared" si="76"/>
        <v>0</v>
      </c>
      <c r="X142" s="54">
        <f t="shared" si="75"/>
        <v>0</v>
      </c>
      <c r="Y142" s="58">
        <f t="shared" si="75"/>
        <v>0</v>
      </c>
      <c r="Z142" s="1">
        <f t="shared" si="75"/>
        <v>0</v>
      </c>
      <c r="AA142" s="1">
        <f t="shared" si="75"/>
        <v>0</v>
      </c>
      <c r="AC142" s="15" t="s">
        <v>51</v>
      </c>
      <c r="AD142" s="16" t="s">
        <v>52</v>
      </c>
      <c r="AE142" s="2"/>
      <c r="AH142" s="1" t="str">
        <f t="shared" si="77"/>
        <v/>
      </c>
      <c r="AI142" s="1" t="str">
        <f t="shared" si="78"/>
        <v/>
      </c>
      <c r="AJ142" s="1" t="str">
        <f t="shared" si="79"/>
        <v/>
      </c>
      <c r="AK142" s="1" t="str">
        <f t="shared" si="80"/>
        <v/>
      </c>
      <c r="AL142" s="1" t="str">
        <f t="shared" si="81"/>
        <v/>
      </c>
      <c r="AM142" s="1" t="str">
        <f t="shared" si="82"/>
        <v/>
      </c>
      <c r="AN142" s="52" t="str">
        <f t="shared" si="83"/>
        <v/>
      </c>
      <c r="AO142" s="1" t="str">
        <f t="shared" si="84"/>
        <v/>
      </c>
      <c r="AP142" s="1" t="str">
        <f t="shared" si="85"/>
        <v/>
      </c>
      <c r="AQ142" s="1" t="str">
        <f t="shared" si="86"/>
        <v/>
      </c>
      <c r="AR142" s="1" t="str">
        <f t="shared" si="87"/>
        <v/>
      </c>
      <c r="AS142" s="1" t="str">
        <f t="shared" si="88"/>
        <v/>
      </c>
      <c r="AT142" s="1" t="str">
        <f t="shared" si="89"/>
        <v/>
      </c>
      <c r="AU142" s="1" t="str">
        <f t="shared" si="90"/>
        <v/>
      </c>
      <c r="AV142" s="1" t="str">
        <f t="shared" si="91"/>
        <v/>
      </c>
      <c r="AW142" s="1" t="str">
        <f t="shared" si="92"/>
        <v/>
      </c>
      <c r="AX142" s="1" t="str">
        <f t="shared" ref="AX142:BC142" si="96">IF(V187&gt;0,V52/V187,"")</f>
        <v/>
      </c>
      <c r="AY142" s="1" t="str">
        <f t="shared" si="96"/>
        <v/>
      </c>
      <c r="AZ142" s="1" t="str">
        <f t="shared" si="96"/>
        <v/>
      </c>
      <c r="BA142" s="1" t="str">
        <f t="shared" si="96"/>
        <v/>
      </c>
      <c r="BB142" s="1" t="str">
        <f t="shared" si="96"/>
        <v/>
      </c>
      <c r="BC142" s="1" t="str">
        <f t="shared" si="96"/>
        <v/>
      </c>
    </row>
    <row r="143" spans="1:55" x14ac:dyDescent="0.25">
      <c r="A143" s="15" t="s">
        <v>51</v>
      </c>
      <c r="B143" s="16" t="s">
        <v>56</v>
      </c>
      <c r="C143" s="2"/>
      <c r="F143" s="1">
        <f t="shared" si="74"/>
        <v>0</v>
      </c>
      <c r="G143" s="1">
        <f t="shared" si="75"/>
        <v>0</v>
      </c>
      <c r="H143" s="1">
        <f t="shared" si="75"/>
        <v>0</v>
      </c>
      <c r="I143" s="1">
        <f t="shared" si="75"/>
        <v>0</v>
      </c>
      <c r="J143" s="1">
        <f t="shared" si="75"/>
        <v>0</v>
      </c>
      <c r="K143" s="1">
        <f t="shared" si="75"/>
        <v>0</v>
      </c>
      <c r="L143" s="52">
        <f t="shared" si="75"/>
        <v>0</v>
      </c>
      <c r="M143" s="1">
        <f t="shared" si="75"/>
        <v>0</v>
      </c>
      <c r="N143" s="1">
        <f t="shared" si="75"/>
        <v>0</v>
      </c>
      <c r="O143" s="1">
        <f t="shared" si="75"/>
        <v>0</v>
      </c>
      <c r="P143" s="1">
        <f t="shared" si="75"/>
        <v>0</v>
      </c>
      <c r="Q143" s="1">
        <f t="shared" si="75"/>
        <v>0</v>
      </c>
      <c r="R143" s="1">
        <f t="shared" si="75"/>
        <v>0</v>
      </c>
      <c r="S143" s="1">
        <f t="shared" si="75"/>
        <v>0</v>
      </c>
      <c r="T143" s="1">
        <f t="shared" si="75"/>
        <v>0</v>
      </c>
      <c r="U143" s="1">
        <f t="shared" si="75"/>
        <v>0</v>
      </c>
      <c r="V143" s="1">
        <f t="shared" si="75"/>
        <v>0</v>
      </c>
      <c r="W143" s="1">
        <f t="shared" si="76"/>
        <v>0</v>
      </c>
      <c r="X143" s="54">
        <f t="shared" si="75"/>
        <v>0</v>
      </c>
      <c r="Y143" s="58">
        <f t="shared" si="75"/>
        <v>0</v>
      </c>
      <c r="Z143" s="1">
        <f t="shared" si="75"/>
        <v>0</v>
      </c>
      <c r="AA143" s="1">
        <f t="shared" si="75"/>
        <v>0</v>
      </c>
      <c r="AC143" s="15" t="s">
        <v>51</v>
      </c>
      <c r="AD143" s="16" t="s">
        <v>56</v>
      </c>
      <c r="AE143" s="2"/>
      <c r="AH143" s="1" t="str">
        <f t="shared" si="77"/>
        <v/>
      </c>
      <c r="AI143" s="1" t="str">
        <f t="shared" si="78"/>
        <v/>
      </c>
      <c r="AJ143" s="1" t="str">
        <f t="shared" si="79"/>
        <v/>
      </c>
      <c r="AK143" s="1" t="str">
        <f t="shared" si="80"/>
        <v/>
      </c>
      <c r="AL143" s="1" t="str">
        <f t="shared" si="81"/>
        <v/>
      </c>
      <c r="AM143" s="1" t="str">
        <f t="shared" si="82"/>
        <v/>
      </c>
      <c r="AN143" s="52" t="str">
        <f t="shared" si="83"/>
        <v/>
      </c>
      <c r="AO143" s="1" t="str">
        <f t="shared" si="84"/>
        <v/>
      </c>
      <c r="AP143" s="1" t="str">
        <f t="shared" si="85"/>
        <v/>
      </c>
      <c r="AQ143" s="1" t="str">
        <f t="shared" si="86"/>
        <v/>
      </c>
      <c r="AR143" s="1" t="str">
        <f t="shared" si="87"/>
        <v/>
      </c>
      <c r="AS143" s="1" t="str">
        <f t="shared" si="88"/>
        <v/>
      </c>
      <c r="AT143" s="1" t="str">
        <f t="shared" si="89"/>
        <v/>
      </c>
      <c r="AU143" s="1" t="str">
        <f t="shared" si="90"/>
        <v/>
      </c>
      <c r="AV143" s="1" t="str">
        <f t="shared" si="91"/>
        <v/>
      </c>
      <c r="AW143" s="1" t="str">
        <f t="shared" si="92"/>
        <v/>
      </c>
      <c r="AX143" s="1" t="str">
        <f t="shared" ref="AX143:BC143" si="97">IF(V188&gt;0,V53/V188,"")</f>
        <v/>
      </c>
      <c r="AY143" s="1" t="str">
        <f t="shared" si="97"/>
        <v/>
      </c>
      <c r="AZ143" s="1" t="str">
        <f t="shared" si="97"/>
        <v/>
      </c>
      <c r="BA143" s="1" t="str">
        <f t="shared" si="97"/>
        <v/>
      </c>
      <c r="BB143" s="1" t="str">
        <f t="shared" si="97"/>
        <v/>
      </c>
      <c r="BC143" s="1" t="str">
        <f t="shared" si="97"/>
        <v/>
      </c>
    </row>
    <row r="144" spans="1:55" x14ac:dyDescent="0.25">
      <c r="A144" s="15" t="s">
        <v>51</v>
      </c>
      <c r="B144" s="16" t="s">
        <v>9</v>
      </c>
      <c r="C144" s="2"/>
      <c r="F144" s="1">
        <f t="shared" si="74"/>
        <v>0</v>
      </c>
      <c r="G144" s="1">
        <f t="shared" si="75"/>
        <v>0</v>
      </c>
      <c r="H144" s="1">
        <f t="shared" si="75"/>
        <v>0</v>
      </c>
      <c r="I144" s="1">
        <f t="shared" si="75"/>
        <v>0</v>
      </c>
      <c r="J144" s="1">
        <f t="shared" si="75"/>
        <v>0</v>
      </c>
      <c r="K144" s="1">
        <f t="shared" si="75"/>
        <v>0</v>
      </c>
      <c r="L144" s="52">
        <f t="shared" si="75"/>
        <v>0</v>
      </c>
      <c r="M144" s="1">
        <f t="shared" si="75"/>
        <v>0</v>
      </c>
      <c r="N144" s="1">
        <f t="shared" si="75"/>
        <v>0</v>
      </c>
      <c r="O144" s="1">
        <f t="shared" si="75"/>
        <v>0</v>
      </c>
      <c r="P144" s="1">
        <f t="shared" si="75"/>
        <v>0</v>
      </c>
      <c r="Q144" s="1">
        <f t="shared" si="75"/>
        <v>0</v>
      </c>
      <c r="R144" s="1">
        <f t="shared" si="75"/>
        <v>0</v>
      </c>
      <c r="S144" s="1">
        <f t="shared" si="75"/>
        <v>0</v>
      </c>
      <c r="T144" s="1">
        <f t="shared" si="75"/>
        <v>0</v>
      </c>
      <c r="U144" s="1">
        <f t="shared" si="75"/>
        <v>0</v>
      </c>
      <c r="V144" s="1">
        <f t="shared" si="75"/>
        <v>0</v>
      </c>
      <c r="W144" s="1">
        <f t="shared" si="76"/>
        <v>0</v>
      </c>
      <c r="X144" s="54">
        <f t="shared" si="75"/>
        <v>0</v>
      </c>
      <c r="Y144" s="58">
        <f t="shared" si="75"/>
        <v>0</v>
      </c>
      <c r="Z144" s="1">
        <f t="shared" si="75"/>
        <v>0</v>
      </c>
      <c r="AA144" s="1">
        <f t="shared" si="75"/>
        <v>0</v>
      </c>
      <c r="AC144" s="15" t="s">
        <v>51</v>
      </c>
      <c r="AD144" s="16" t="s">
        <v>9</v>
      </c>
      <c r="AE144" s="2"/>
      <c r="AH144" s="1" t="str">
        <f t="shared" si="77"/>
        <v/>
      </c>
      <c r="AI144" s="1" t="str">
        <f t="shared" si="78"/>
        <v/>
      </c>
      <c r="AJ144" s="1" t="str">
        <f t="shared" si="79"/>
        <v/>
      </c>
      <c r="AK144" s="1" t="str">
        <f t="shared" si="80"/>
        <v/>
      </c>
      <c r="AL144" s="1" t="str">
        <f t="shared" si="81"/>
        <v/>
      </c>
      <c r="AM144" s="1" t="str">
        <f t="shared" si="82"/>
        <v/>
      </c>
      <c r="AN144" s="52" t="str">
        <f t="shared" si="83"/>
        <v/>
      </c>
      <c r="AO144" s="1" t="str">
        <f t="shared" si="84"/>
        <v/>
      </c>
      <c r="AP144" s="1" t="str">
        <f t="shared" si="85"/>
        <v/>
      </c>
      <c r="AQ144" s="1" t="str">
        <f t="shared" si="86"/>
        <v/>
      </c>
      <c r="AR144" s="1" t="str">
        <f t="shared" si="87"/>
        <v/>
      </c>
      <c r="AS144" s="1" t="str">
        <f t="shared" si="88"/>
        <v/>
      </c>
      <c r="AT144" s="1" t="str">
        <f t="shared" si="89"/>
        <v/>
      </c>
      <c r="AU144" s="1" t="str">
        <f t="shared" si="90"/>
        <v/>
      </c>
      <c r="AV144" s="1" t="str">
        <f t="shared" si="91"/>
        <v/>
      </c>
      <c r="AW144" s="1" t="str">
        <f t="shared" si="92"/>
        <v/>
      </c>
      <c r="AX144" s="1" t="str">
        <f t="shared" ref="AX144:BC144" si="98">IF(V189&gt;0,V54/V189,"")</f>
        <v/>
      </c>
      <c r="AY144" s="1" t="str">
        <f t="shared" si="98"/>
        <v/>
      </c>
      <c r="AZ144" s="1" t="str">
        <f t="shared" si="98"/>
        <v/>
      </c>
      <c r="BA144" s="1" t="str">
        <f t="shared" si="98"/>
        <v/>
      </c>
      <c r="BB144" s="1" t="str">
        <f t="shared" si="98"/>
        <v/>
      </c>
      <c r="BC144" s="1" t="str">
        <f t="shared" si="98"/>
        <v/>
      </c>
    </row>
    <row r="145" spans="1:55" x14ac:dyDescent="0.25">
      <c r="A145" s="30" t="s">
        <v>60</v>
      </c>
      <c r="B145" s="32" t="s">
        <v>13</v>
      </c>
      <c r="C145" s="2"/>
      <c r="F145" s="51">
        <f t="shared" si="74"/>
        <v>54.306930693069305</v>
      </c>
      <c r="G145" s="51">
        <f t="shared" si="75"/>
        <v>24.5</v>
      </c>
      <c r="H145" s="51">
        <f t="shared" si="75"/>
        <v>4.5750000000000002</v>
      </c>
      <c r="I145" s="51">
        <f t="shared" si="75"/>
        <v>29</v>
      </c>
      <c r="J145" s="51">
        <f t="shared" si="75"/>
        <v>55.241935483870968</v>
      </c>
      <c r="K145" s="51">
        <f t="shared" si="75"/>
        <v>29</v>
      </c>
      <c r="L145" s="52">
        <f t="shared" si="75"/>
        <v>0</v>
      </c>
      <c r="M145" s="51">
        <f t="shared" si="75"/>
        <v>400</v>
      </c>
      <c r="N145" s="51">
        <f t="shared" si="75"/>
        <v>870</v>
      </c>
      <c r="O145" s="51">
        <f t="shared" si="75"/>
        <v>10000</v>
      </c>
      <c r="P145" s="51">
        <f t="shared" si="75"/>
        <v>28000</v>
      </c>
      <c r="Q145" s="51">
        <f t="shared" si="75"/>
        <v>940</v>
      </c>
      <c r="R145" s="51">
        <f t="shared" si="75"/>
        <v>426</v>
      </c>
      <c r="S145" s="51">
        <f t="shared" si="75"/>
        <v>0</v>
      </c>
      <c r="T145" s="51">
        <f t="shared" si="75"/>
        <v>426</v>
      </c>
      <c r="U145" s="51">
        <f t="shared" si="75"/>
        <v>426</v>
      </c>
      <c r="V145" s="51">
        <f t="shared" si="75"/>
        <v>426</v>
      </c>
      <c r="W145" s="51">
        <f t="shared" si="76"/>
        <v>426</v>
      </c>
      <c r="X145" s="55">
        <f t="shared" si="75"/>
        <v>426</v>
      </c>
      <c r="Y145" s="59">
        <f t="shared" si="75"/>
        <v>12.63492296307161</v>
      </c>
      <c r="Z145" s="51">
        <f t="shared" si="75"/>
        <v>749.09956991345928</v>
      </c>
      <c r="AA145" s="51">
        <f t="shared" si="75"/>
        <v>15.833194515651295</v>
      </c>
      <c r="AC145" s="30" t="s">
        <v>60</v>
      </c>
      <c r="AD145" s="32" t="s">
        <v>13</v>
      </c>
      <c r="AE145" s="2"/>
      <c r="AH145" s="1">
        <f t="shared" si="77"/>
        <v>11.237623762376238</v>
      </c>
      <c r="AI145" s="1">
        <f t="shared" si="78"/>
        <v>8.5</v>
      </c>
      <c r="AJ145" s="1">
        <f t="shared" si="79"/>
        <v>1.9187500000000002</v>
      </c>
      <c r="AK145" s="1">
        <f t="shared" si="80"/>
        <v>8.3843537414965983</v>
      </c>
      <c r="AL145" s="1">
        <f t="shared" si="81"/>
        <v>21.774193548387096</v>
      </c>
      <c r="AM145" s="1">
        <f t="shared" si="82"/>
        <v>8.6999999999999993</v>
      </c>
      <c r="AN145" s="52" t="str">
        <f t="shared" si="83"/>
        <v/>
      </c>
      <c r="AO145" s="1">
        <f t="shared" si="84"/>
        <v>172.68445839874411</v>
      </c>
      <c r="AP145" s="1">
        <f t="shared" si="85"/>
        <v>587.83783783783781</v>
      </c>
      <c r="AQ145" s="1">
        <f t="shared" si="86"/>
        <v>5256.8697729988053</v>
      </c>
      <c r="AR145" s="1">
        <f t="shared" si="87"/>
        <v>11354.838709677419</v>
      </c>
      <c r="AS145" s="1">
        <f t="shared" si="88"/>
        <v>517</v>
      </c>
      <c r="AT145" s="1">
        <f t="shared" si="89"/>
        <v>213</v>
      </c>
      <c r="AU145" s="1" t="str">
        <f t="shared" si="90"/>
        <v/>
      </c>
      <c r="AV145" s="1">
        <f t="shared" si="91"/>
        <v>213</v>
      </c>
      <c r="AW145" s="1">
        <f t="shared" si="92"/>
        <v>213</v>
      </c>
      <c r="AX145" s="1">
        <f t="shared" ref="AX145:BC145" si="99">IF(V190&gt;0,V55/V190,"")</f>
        <v>511.2</v>
      </c>
      <c r="AY145" s="1">
        <f t="shared" si="99"/>
        <v>255.6</v>
      </c>
      <c r="AZ145" s="1">
        <f t="shared" si="99"/>
        <v>213</v>
      </c>
      <c r="BA145" s="1">
        <f t="shared" si="99"/>
        <v>3.8330122072363375</v>
      </c>
      <c r="BB145" s="1">
        <f t="shared" si="99"/>
        <v>362.56124328678129</v>
      </c>
      <c r="BC145" s="1">
        <f t="shared" si="99"/>
        <v>5.3943549339190078</v>
      </c>
    </row>
    <row r="146" spans="1:55" x14ac:dyDescent="0.25">
      <c r="A146" s="30" t="s">
        <v>60</v>
      </c>
      <c r="B146" s="31" t="s">
        <v>23</v>
      </c>
      <c r="C146" s="2"/>
      <c r="F146" s="51">
        <f t="shared" si="74"/>
        <v>40</v>
      </c>
      <c r="G146" s="51">
        <f t="shared" si="75"/>
        <v>0</v>
      </c>
      <c r="H146" s="51">
        <f t="shared" si="75"/>
        <v>0</v>
      </c>
      <c r="I146" s="51">
        <f t="shared" si="75"/>
        <v>0</v>
      </c>
      <c r="J146" s="51">
        <f t="shared" si="75"/>
        <v>40.175672778181848</v>
      </c>
      <c r="K146" s="51">
        <f t="shared" si="75"/>
        <v>2.4750000000000005</v>
      </c>
      <c r="L146" s="52">
        <f t="shared" si="75"/>
        <v>0</v>
      </c>
      <c r="M146" s="51">
        <f t="shared" si="75"/>
        <v>0</v>
      </c>
      <c r="N146" s="51">
        <f t="shared" si="75"/>
        <v>1000.0000000000001</v>
      </c>
      <c r="O146" s="51">
        <f t="shared" si="75"/>
        <v>0</v>
      </c>
      <c r="P146" s="51">
        <f t="shared" si="75"/>
        <v>0</v>
      </c>
      <c r="Q146" s="51">
        <f t="shared" si="75"/>
        <v>0</v>
      </c>
      <c r="R146" s="51">
        <f t="shared" si="75"/>
        <v>0</v>
      </c>
      <c r="S146" s="51">
        <f t="shared" si="75"/>
        <v>99.999999999999986</v>
      </c>
      <c r="T146" s="51">
        <f t="shared" si="75"/>
        <v>406</v>
      </c>
      <c r="U146" s="51">
        <f t="shared" si="75"/>
        <v>0</v>
      </c>
      <c r="V146" s="51">
        <f t="shared" si="75"/>
        <v>406</v>
      </c>
      <c r="W146" s="51">
        <f t="shared" si="76"/>
        <v>0</v>
      </c>
      <c r="X146" s="55">
        <f t="shared" si="75"/>
        <v>100</v>
      </c>
      <c r="Y146" s="59">
        <f t="shared" si="75"/>
        <v>4.0340011460082748</v>
      </c>
      <c r="Z146" s="51">
        <f t="shared" si="75"/>
        <v>369.99526490240441</v>
      </c>
      <c r="AA146" s="51">
        <f t="shared" si="75"/>
        <v>6.1296581453980616</v>
      </c>
      <c r="AC146" s="30" t="s">
        <v>60</v>
      </c>
      <c r="AD146" s="31" t="s">
        <v>23</v>
      </c>
      <c r="AE146" s="2"/>
      <c r="AH146" s="1">
        <f t="shared" si="77"/>
        <v>12.8</v>
      </c>
      <c r="AI146" s="1" t="str">
        <f t="shared" si="78"/>
        <v/>
      </c>
      <c r="AJ146" s="1" t="str">
        <f t="shared" si="79"/>
        <v/>
      </c>
      <c r="AK146" s="1" t="str">
        <f t="shared" si="80"/>
        <v/>
      </c>
      <c r="AL146" s="1">
        <f t="shared" si="81"/>
        <v>12.24567492232728</v>
      </c>
      <c r="AM146" s="1">
        <f t="shared" si="82"/>
        <v>0.55000000000000004</v>
      </c>
      <c r="AN146" s="52" t="str">
        <f t="shared" si="83"/>
        <v/>
      </c>
      <c r="AO146" s="1" t="str">
        <f t="shared" si="84"/>
        <v/>
      </c>
      <c r="AP146" s="1">
        <f t="shared" si="85"/>
        <v>775.36231884057975</v>
      </c>
      <c r="AQ146" s="1" t="str">
        <f t="shared" si="86"/>
        <v/>
      </c>
      <c r="AR146" s="1" t="str">
        <f t="shared" si="87"/>
        <v/>
      </c>
      <c r="AS146" s="1" t="str">
        <f t="shared" si="88"/>
        <v/>
      </c>
      <c r="AT146" s="1" t="str">
        <f t="shared" si="89"/>
        <v/>
      </c>
      <c r="AU146" s="1">
        <f t="shared" si="90"/>
        <v>29.999999999999996</v>
      </c>
      <c r="AV146" s="1">
        <f t="shared" si="91"/>
        <v>162.4</v>
      </c>
      <c r="AW146" s="1" t="str">
        <f t="shared" si="92"/>
        <v/>
      </c>
      <c r="AX146" s="1">
        <f t="shared" ref="AX146:BC146" si="100">IF(V191&gt;0,V56/V191,"")</f>
        <v>365.4</v>
      </c>
      <c r="AY146" s="1" t="str">
        <f t="shared" si="100"/>
        <v/>
      </c>
      <c r="AZ146" s="1">
        <f t="shared" si="100"/>
        <v>90</v>
      </c>
      <c r="BA146" s="1">
        <f t="shared" si="100"/>
        <v>1.0356467112751424</v>
      </c>
      <c r="BB146" s="1">
        <f t="shared" si="100"/>
        <v>238.55158625769454</v>
      </c>
      <c r="BC146" s="1">
        <f t="shared" si="100"/>
        <v>2.3957686434926084</v>
      </c>
    </row>
    <row r="147" spans="1:55" x14ac:dyDescent="0.25">
      <c r="A147" s="30" t="s">
        <v>60</v>
      </c>
      <c r="B147" s="31" t="s">
        <v>65</v>
      </c>
      <c r="C147" s="46"/>
      <c r="F147" s="51">
        <f t="shared" si="74"/>
        <v>0</v>
      </c>
      <c r="G147" s="51">
        <f t="shared" si="75"/>
        <v>0</v>
      </c>
      <c r="H147" s="51">
        <f t="shared" si="75"/>
        <v>0</v>
      </c>
      <c r="I147" s="51">
        <f t="shared" si="75"/>
        <v>0</v>
      </c>
      <c r="J147" s="51">
        <f t="shared" si="75"/>
        <v>56</v>
      </c>
      <c r="K147" s="51">
        <f t="shared" si="75"/>
        <v>0</v>
      </c>
      <c r="L147" s="52">
        <f t="shared" si="75"/>
        <v>750</v>
      </c>
      <c r="M147" s="51">
        <f t="shared" si="75"/>
        <v>300</v>
      </c>
      <c r="N147" s="51">
        <f t="shared" si="75"/>
        <v>0</v>
      </c>
      <c r="O147" s="51">
        <f t="shared" si="75"/>
        <v>0</v>
      </c>
      <c r="P147" s="51">
        <f t="shared" si="75"/>
        <v>0</v>
      </c>
      <c r="Q147" s="51">
        <f t="shared" si="75"/>
        <v>940.00000000000011</v>
      </c>
      <c r="R147" s="51">
        <f t="shared" si="75"/>
        <v>426</v>
      </c>
      <c r="S147" s="51">
        <f t="shared" si="75"/>
        <v>0</v>
      </c>
      <c r="T147" s="51">
        <f t="shared" si="75"/>
        <v>426</v>
      </c>
      <c r="U147" s="51">
        <f t="shared" si="75"/>
        <v>426</v>
      </c>
      <c r="V147" s="51">
        <f t="shared" si="75"/>
        <v>426</v>
      </c>
      <c r="W147" s="51">
        <f t="shared" si="76"/>
        <v>426</v>
      </c>
      <c r="X147" s="55">
        <f t="shared" si="75"/>
        <v>426</v>
      </c>
      <c r="Y147" s="59">
        <f t="shared" si="75"/>
        <v>56</v>
      </c>
      <c r="Z147" s="51">
        <f t="shared" si="75"/>
        <v>468.64413858101591</v>
      </c>
      <c r="AA147" s="51">
        <f>IF(AA192&gt;0,AB12/AA192,0)</f>
        <v>601.13095837514334</v>
      </c>
      <c r="AC147" s="30" t="s">
        <v>60</v>
      </c>
      <c r="AD147" s="31" t="s">
        <v>65</v>
      </c>
      <c r="AE147" s="46"/>
      <c r="AH147" s="1" t="str">
        <f t="shared" si="77"/>
        <v/>
      </c>
      <c r="AI147" s="1" t="str">
        <f t="shared" si="78"/>
        <v/>
      </c>
      <c r="AJ147" s="1" t="str">
        <f t="shared" si="79"/>
        <v/>
      </c>
      <c r="AK147" s="1" t="str">
        <f t="shared" si="80"/>
        <v/>
      </c>
      <c r="AL147" s="1">
        <f t="shared" si="81"/>
        <v>6.72</v>
      </c>
      <c r="AM147" s="1" t="str">
        <f t="shared" si="82"/>
        <v/>
      </c>
      <c r="AN147" s="52">
        <f t="shared" si="83"/>
        <v>67.5</v>
      </c>
      <c r="AO147" s="1">
        <f t="shared" si="84"/>
        <v>36</v>
      </c>
      <c r="AP147" s="1" t="str">
        <f t="shared" si="85"/>
        <v/>
      </c>
      <c r="AQ147" s="1" t="str">
        <f t="shared" si="86"/>
        <v/>
      </c>
      <c r="AR147" s="1" t="str">
        <f t="shared" si="87"/>
        <v/>
      </c>
      <c r="AS147" s="1">
        <f t="shared" si="88"/>
        <v>141</v>
      </c>
      <c r="AT147" s="1">
        <f t="shared" si="89"/>
        <v>76.679999999999993</v>
      </c>
      <c r="AU147" s="1" t="str">
        <f t="shared" si="90"/>
        <v/>
      </c>
      <c r="AV147" s="1">
        <f t="shared" si="91"/>
        <v>63.9</v>
      </c>
      <c r="AW147" s="1">
        <f t="shared" si="92"/>
        <v>51.12</v>
      </c>
      <c r="AX147" s="1">
        <f t="shared" ref="AX147:BC147" si="101">IF(V192&gt;0,V57/V192,"")</f>
        <v>51.11999999999999</v>
      </c>
      <c r="AY147" s="1">
        <f t="shared" si="101"/>
        <v>51.12</v>
      </c>
      <c r="AZ147" s="1">
        <f t="shared" si="101"/>
        <v>51.11999999999999</v>
      </c>
      <c r="BA147" s="1">
        <f t="shared" si="101"/>
        <v>6.72</v>
      </c>
      <c r="BB147" s="1">
        <f t="shared" si="101"/>
        <v>65.190525293610804</v>
      </c>
      <c r="BC147" s="1">
        <f t="shared" si="101"/>
        <v>59.831315700775981</v>
      </c>
    </row>
    <row r="148" spans="1:55" ht="15.75" thickBot="1" x14ac:dyDescent="0.3">
      <c r="A148" s="48" t="s">
        <v>60</v>
      </c>
      <c r="B148" s="49" t="s">
        <v>9</v>
      </c>
      <c r="C148" s="50"/>
      <c r="D148" s="50"/>
      <c r="E148" s="50"/>
      <c r="F148" s="53">
        <f t="shared" si="74"/>
        <v>0</v>
      </c>
      <c r="G148" s="53">
        <f t="shared" si="75"/>
        <v>0</v>
      </c>
      <c r="H148" s="53">
        <f t="shared" si="75"/>
        <v>0</v>
      </c>
      <c r="I148" s="53">
        <f t="shared" si="75"/>
        <v>0</v>
      </c>
      <c r="J148" s="53">
        <f t="shared" si="75"/>
        <v>0</v>
      </c>
      <c r="K148" s="53">
        <f t="shared" si="75"/>
        <v>0</v>
      </c>
      <c r="L148" s="62">
        <f t="shared" si="75"/>
        <v>0</v>
      </c>
      <c r="M148" s="53">
        <f t="shared" si="75"/>
        <v>0</v>
      </c>
      <c r="N148" s="53">
        <f t="shared" si="75"/>
        <v>0</v>
      </c>
      <c r="O148" s="53">
        <f t="shared" si="75"/>
        <v>0</v>
      </c>
      <c r="P148" s="53">
        <f t="shared" si="75"/>
        <v>0</v>
      </c>
      <c r="Q148" s="53">
        <f t="shared" si="75"/>
        <v>0</v>
      </c>
      <c r="R148" s="53">
        <f t="shared" si="75"/>
        <v>0</v>
      </c>
      <c r="S148" s="53">
        <f t="shared" si="75"/>
        <v>0</v>
      </c>
      <c r="T148" s="53">
        <f t="shared" si="75"/>
        <v>0</v>
      </c>
      <c r="U148" s="53">
        <f t="shared" si="75"/>
        <v>0</v>
      </c>
      <c r="V148" s="53">
        <f t="shared" si="75"/>
        <v>0</v>
      </c>
      <c r="W148" s="53">
        <f t="shared" si="76"/>
        <v>0</v>
      </c>
      <c r="X148" s="56">
        <f t="shared" si="75"/>
        <v>426</v>
      </c>
      <c r="Y148" s="60">
        <f t="shared" si="75"/>
        <v>0</v>
      </c>
      <c r="Z148" s="53">
        <f t="shared" si="75"/>
        <v>643.56672000000003</v>
      </c>
      <c r="AA148" s="53">
        <f t="shared" si="75"/>
        <v>429.40800000000002</v>
      </c>
      <c r="AC148" s="48" t="s">
        <v>60</v>
      </c>
      <c r="AD148" s="49" t="s">
        <v>9</v>
      </c>
      <c r="AE148" s="50"/>
      <c r="AF148" s="50"/>
      <c r="AG148" s="50"/>
      <c r="AH148" s="1" t="str">
        <f t="shared" si="77"/>
        <v/>
      </c>
      <c r="AI148" s="1" t="str">
        <f t="shared" si="78"/>
        <v/>
      </c>
      <c r="AJ148" s="1" t="str">
        <f t="shared" si="79"/>
        <v/>
      </c>
      <c r="AK148" s="1" t="str">
        <f t="shared" si="80"/>
        <v/>
      </c>
      <c r="AL148" s="1" t="str">
        <f t="shared" si="81"/>
        <v/>
      </c>
      <c r="AM148" s="1" t="str">
        <f t="shared" si="82"/>
        <v/>
      </c>
      <c r="AN148" s="52" t="str">
        <f t="shared" si="83"/>
        <v/>
      </c>
      <c r="AO148" s="1" t="str">
        <f t="shared" si="84"/>
        <v/>
      </c>
      <c r="AP148" s="1" t="str">
        <f t="shared" si="85"/>
        <v/>
      </c>
      <c r="AQ148" s="1" t="str">
        <f t="shared" si="86"/>
        <v/>
      </c>
      <c r="AR148" s="1" t="str">
        <f t="shared" si="87"/>
        <v/>
      </c>
      <c r="AS148" s="1" t="str">
        <f t="shared" si="88"/>
        <v/>
      </c>
      <c r="AT148" s="1" t="str">
        <f t="shared" si="89"/>
        <v/>
      </c>
      <c r="AU148" s="1" t="str">
        <f t="shared" si="90"/>
        <v/>
      </c>
      <c r="AV148" s="1" t="str">
        <f t="shared" si="91"/>
        <v/>
      </c>
      <c r="AW148" s="1" t="str">
        <f t="shared" si="92"/>
        <v/>
      </c>
      <c r="AX148" s="1" t="str">
        <f t="shared" ref="AX148:BC148" si="102">IF(V193&gt;0,V58/V193,"")</f>
        <v/>
      </c>
      <c r="AY148" s="1" t="str">
        <f t="shared" si="102"/>
        <v/>
      </c>
      <c r="AZ148" s="1">
        <f t="shared" si="102"/>
        <v>178.92000000000002</v>
      </c>
      <c r="BA148" s="1" t="str">
        <f t="shared" si="102"/>
        <v/>
      </c>
      <c r="BB148" s="1">
        <f t="shared" si="102"/>
        <v>396.48671999999999</v>
      </c>
      <c r="BC148" s="1">
        <f t="shared" si="102"/>
        <v>178.92000000000002</v>
      </c>
    </row>
    <row r="149" spans="1:55" ht="15.75" thickTop="1" x14ac:dyDescent="0.25">
      <c r="A149" s="15" t="s">
        <v>51</v>
      </c>
      <c r="B149" s="16" t="s">
        <v>52</v>
      </c>
      <c r="C149" s="16" t="s">
        <v>53</v>
      </c>
      <c r="D149" s="2"/>
      <c r="E149" s="2"/>
      <c r="F149" s="47">
        <f t="shared" si="74"/>
        <v>0</v>
      </c>
      <c r="G149" s="47">
        <f t="shared" si="75"/>
        <v>0</v>
      </c>
      <c r="H149" s="47">
        <f t="shared" si="75"/>
        <v>0</v>
      </c>
      <c r="I149" s="47">
        <f t="shared" si="75"/>
        <v>0</v>
      </c>
      <c r="J149" s="47">
        <f t="shared" si="75"/>
        <v>0</v>
      </c>
      <c r="K149" s="47">
        <f t="shared" si="75"/>
        <v>0</v>
      </c>
      <c r="L149" s="63">
        <f t="shared" si="75"/>
        <v>0</v>
      </c>
      <c r="M149" s="47">
        <f t="shared" si="75"/>
        <v>0</v>
      </c>
      <c r="N149" s="47">
        <f t="shared" si="75"/>
        <v>0</v>
      </c>
      <c r="O149" s="47">
        <f t="shared" si="75"/>
        <v>0</v>
      </c>
      <c r="P149" s="47">
        <f t="shared" si="75"/>
        <v>0</v>
      </c>
      <c r="Q149" s="47">
        <f t="shared" si="75"/>
        <v>0</v>
      </c>
      <c r="R149" s="47">
        <f t="shared" si="75"/>
        <v>0</v>
      </c>
      <c r="S149" s="47">
        <f t="shared" si="75"/>
        <v>0</v>
      </c>
      <c r="T149" s="47">
        <f t="shared" si="75"/>
        <v>0</v>
      </c>
      <c r="U149" s="47">
        <f t="shared" si="75"/>
        <v>0</v>
      </c>
      <c r="V149" s="47">
        <f t="shared" si="75"/>
        <v>0</v>
      </c>
      <c r="W149" s="47">
        <f t="shared" si="76"/>
        <v>0</v>
      </c>
      <c r="X149" s="57">
        <f t="shared" si="75"/>
        <v>0</v>
      </c>
      <c r="Y149" s="61">
        <f t="shared" si="75"/>
        <v>0</v>
      </c>
      <c r="Z149" s="47">
        <f t="shared" si="75"/>
        <v>0</v>
      </c>
      <c r="AA149" s="47">
        <f t="shared" si="75"/>
        <v>0</v>
      </c>
      <c r="AC149" s="15" t="s">
        <v>51</v>
      </c>
      <c r="AD149" s="16" t="s">
        <v>52</v>
      </c>
      <c r="AE149" s="16" t="s">
        <v>53</v>
      </c>
      <c r="AF149" s="2"/>
      <c r="AG149" s="2"/>
      <c r="AH149" s="90" t="str">
        <f t="shared" si="77"/>
        <v/>
      </c>
      <c r="AI149" s="90" t="str">
        <f t="shared" si="78"/>
        <v/>
      </c>
      <c r="AJ149" s="90" t="str">
        <f t="shared" si="79"/>
        <v/>
      </c>
      <c r="AK149" s="90" t="str">
        <f t="shared" si="80"/>
        <v/>
      </c>
      <c r="AL149" s="90" t="str">
        <f t="shared" si="81"/>
        <v/>
      </c>
      <c r="AM149" s="90" t="str">
        <f t="shared" si="82"/>
        <v/>
      </c>
      <c r="AN149" s="90" t="str">
        <f t="shared" si="83"/>
        <v/>
      </c>
      <c r="AO149" s="90" t="str">
        <f t="shared" si="84"/>
        <v/>
      </c>
      <c r="AP149" s="90" t="str">
        <f t="shared" si="85"/>
        <v/>
      </c>
      <c r="AQ149" s="90" t="str">
        <f t="shared" si="86"/>
        <v/>
      </c>
      <c r="AR149" s="90" t="str">
        <f t="shared" si="87"/>
        <v/>
      </c>
      <c r="AS149" s="90" t="str">
        <f t="shared" si="88"/>
        <v/>
      </c>
      <c r="AT149" s="90" t="str">
        <f t="shared" si="89"/>
        <v/>
      </c>
      <c r="AU149" s="90" t="str">
        <f t="shared" si="90"/>
        <v/>
      </c>
      <c r="AV149" s="90" t="str">
        <f t="shared" si="91"/>
        <v/>
      </c>
      <c r="AW149" s="90" t="str">
        <f t="shared" si="92"/>
        <v/>
      </c>
      <c r="AX149" s="90" t="str">
        <f t="shared" ref="AX149:BC149" si="103">IF(V194&gt;0,V59/V194,"")</f>
        <v/>
      </c>
      <c r="AY149" s="90" t="str">
        <f t="shared" si="103"/>
        <v/>
      </c>
      <c r="AZ149" s="90" t="str">
        <f t="shared" si="103"/>
        <v/>
      </c>
      <c r="BA149" s="90" t="str">
        <f t="shared" si="103"/>
        <v/>
      </c>
      <c r="BB149" s="90" t="str">
        <f t="shared" si="103"/>
        <v/>
      </c>
      <c r="BC149" s="90" t="str">
        <f t="shared" si="103"/>
        <v/>
      </c>
    </row>
    <row r="150" spans="1:55" x14ac:dyDescent="0.25">
      <c r="A150" s="15" t="s">
        <v>51</v>
      </c>
      <c r="B150" s="16" t="s">
        <v>52</v>
      </c>
      <c r="C150" s="16" t="s">
        <v>54</v>
      </c>
      <c r="D150" s="2"/>
      <c r="E150" s="2"/>
      <c r="F150" s="1">
        <f t="shared" si="74"/>
        <v>0</v>
      </c>
      <c r="G150" s="1">
        <f t="shared" si="75"/>
        <v>0</v>
      </c>
      <c r="H150" s="1">
        <f t="shared" si="75"/>
        <v>0</v>
      </c>
      <c r="I150" s="1">
        <f t="shared" si="75"/>
        <v>0</v>
      </c>
      <c r="J150" s="1">
        <f t="shared" si="75"/>
        <v>0</v>
      </c>
      <c r="K150" s="1">
        <f t="shared" si="75"/>
        <v>0</v>
      </c>
      <c r="L150" s="52">
        <f t="shared" si="75"/>
        <v>0</v>
      </c>
      <c r="M150" s="1">
        <f t="shared" si="75"/>
        <v>0</v>
      </c>
      <c r="N150" s="1">
        <f t="shared" si="75"/>
        <v>0</v>
      </c>
      <c r="O150" s="1">
        <f t="shared" si="75"/>
        <v>0</v>
      </c>
      <c r="P150" s="1">
        <f t="shared" si="75"/>
        <v>0</v>
      </c>
      <c r="Q150" s="1">
        <f t="shared" si="75"/>
        <v>0</v>
      </c>
      <c r="R150" s="1">
        <f t="shared" si="75"/>
        <v>0</v>
      </c>
      <c r="S150" s="1">
        <f t="shared" si="75"/>
        <v>0</v>
      </c>
      <c r="T150" s="1">
        <f t="shared" si="75"/>
        <v>0</v>
      </c>
      <c r="U150" s="1">
        <f t="shared" si="75"/>
        <v>0</v>
      </c>
      <c r="V150" s="1">
        <f t="shared" si="75"/>
        <v>0</v>
      </c>
      <c r="W150" s="1">
        <f t="shared" si="76"/>
        <v>0</v>
      </c>
      <c r="X150" s="54">
        <f t="shared" si="75"/>
        <v>0</v>
      </c>
      <c r="Y150" s="58">
        <f t="shared" si="75"/>
        <v>0</v>
      </c>
      <c r="Z150" s="1">
        <f t="shared" si="75"/>
        <v>0</v>
      </c>
      <c r="AA150" s="1">
        <f t="shared" si="75"/>
        <v>0</v>
      </c>
      <c r="AC150" s="15" t="s">
        <v>51</v>
      </c>
      <c r="AD150" s="16" t="s">
        <v>52</v>
      </c>
      <c r="AE150" s="16" t="s">
        <v>54</v>
      </c>
      <c r="AF150" s="2"/>
      <c r="AG150" s="2"/>
      <c r="AH150" s="90" t="str">
        <f t="shared" si="77"/>
        <v/>
      </c>
      <c r="AI150" s="90" t="str">
        <f t="shared" si="78"/>
        <v/>
      </c>
      <c r="AJ150" s="90" t="str">
        <f t="shared" si="79"/>
        <v/>
      </c>
      <c r="AK150" s="90" t="str">
        <f t="shared" si="80"/>
        <v/>
      </c>
      <c r="AL150" s="90" t="str">
        <f t="shared" si="81"/>
        <v/>
      </c>
      <c r="AM150" s="90" t="str">
        <f t="shared" si="82"/>
        <v/>
      </c>
      <c r="AN150" s="90" t="str">
        <f t="shared" si="83"/>
        <v/>
      </c>
      <c r="AO150" s="90" t="str">
        <f t="shared" si="84"/>
        <v/>
      </c>
      <c r="AP150" s="90" t="str">
        <f t="shared" si="85"/>
        <v/>
      </c>
      <c r="AQ150" s="90" t="str">
        <f t="shared" si="86"/>
        <v/>
      </c>
      <c r="AR150" s="90" t="str">
        <f t="shared" si="87"/>
        <v/>
      </c>
      <c r="AS150" s="90" t="str">
        <f t="shared" si="88"/>
        <v/>
      </c>
      <c r="AT150" s="90" t="str">
        <f t="shared" si="89"/>
        <v/>
      </c>
      <c r="AU150" s="90" t="str">
        <f t="shared" si="90"/>
        <v/>
      </c>
      <c r="AV150" s="90" t="str">
        <f t="shared" si="91"/>
        <v/>
      </c>
      <c r="AW150" s="90" t="str">
        <f t="shared" si="92"/>
        <v/>
      </c>
      <c r="AX150" s="90" t="str">
        <f t="shared" ref="AX150:BC150" si="104">IF(V195&gt;0,V60/V195,"")</f>
        <v/>
      </c>
      <c r="AY150" s="90" t="str">
        <f t="shared" si="104"/>
        <v/>
      </c>
      <c r="AZ150" s="90" t="str">
        <f t="shared" si="104"/>
        <v/>
      </c>
      <c r="BA150" s="90" t="str">
        <f t="shared" si="104"/>
        <v/>
      </c>
      <c r="BB150" s="90" t="str">
        <f t="shared" si="104"/>
        <v/>
      </c>
      <c r="BC150" s="90" t="str">
        <f t="shared" si="104"/>
        <v/>
      </c>
    </row>
    <row r="151" spans="1:55" x14ac:dyDescent="0.25">
      <c r="A151" s="15" t="s">
        <v>51</v>
      </c>
      <c r="B151" s="16" t="s">
        <v>52</v>
      </c>
      <c r="C151" s="16" t="s">
        <v>55</v>
      </c>
      <c r="D151" s="2"/>
      <c r="E151" s="2"/>
      <c r="F151" s="1">
        <f t="shared" si="74"/>
        <v>0</v>
      </c>
      <c r="G151" s="1">
        <f t="shared" si="75"/>
        <v>0</v>
      </c>
      <c r="H151" s="1">
        <f t="shared" si="75"/>
        <v>0</v>
      </c>
      <c r="I151" s="1">
        <f t="shared" si="75"/>
        <v>0</v>
      </c>
      <c r="J151" s="1">
        <f t="shared" si="75"/>
        <v>0</v>
      </c>
      <c r="K151" s="1">
        <f t="shared" si="75"/>
        <v>0</v>
      </c>
      <c r="L151" s="52">
        <f t="shared" si="75"/>
        <v>0</v>
      </c>
      <c r="M151" s="1">
        <f t="shared" si="75"/>
        <v>0</v>
      </c>
      <c r="N151" s="1">
        <f t="shared" si="75"/>
        <v>0</v>
      </c>
      <c r="O151" s="1">
        <f t="shared" si="75"/>
        <v>0</v>
      </c>
      <c r="P151" s="1">
        <f t="shared" si="75"/>
        <v>0</v>
      </c>
      <c r="Q151" s="1">
        <f t="shared" si="75"/>
        <v>0</v>
      </c>
      <c r="R151" s="1">
        <f t="shared" si="75"/>
        <v>0</v>
      </c>
      <c r="S151" s="1">
        <f t="shared" si="75"/>
        <v>0</v>
      </c>
      <c r="T151" s="1">
        <f t="shared" si="75"/>
        <v>0</v>
      </c>
      <c r="U151" s="1">
        <f t="shared" si="75"/>
        <v>0</v>
      </c>
      <c r="V151" s="1">
        <f t="shared" si="75"/>
        <v>0</v>
      </c>
      <c r="W151" s="1">
        <f t="shared" si="76"/>
        <v>0</v>
      </c>
      <c r="X151" s="54">
        <f t="shared" si="75"/>
        <v>0</v>
      </c>
      <c r="Y151" s="58">
        <f t="shared" si="75"/>
        <v>0</v>
      </c>
      <c r="Z151" s="1">
        <f t="shared" si="75"/>
        <v>0</v>
      </c>
      <c r="AA151" s="1">
        <f t="shared" si="75"/>
        <v>0</v>
      </c>
      <c r="AC151" s="15" t="s">
        <v>51</v>
      </c>
      <c r="AD151" s="16" t="s">
        <v>52</v>
      </c>
      <c r="AE151" s="16" t="s">
        <v>55</v>
      </c>
      <c r="AF151" s="2"/>
      <c r="AG151" s="2"/>
      <c r="AH151" s="90" t="str">
        <f t="shared" si="77"/>
        <v/>
      </c>
      <c r="AI151" s="90" t="str">
        <f t="shared" si="78"/>
        <v/>
      </c>
      <c r="AJ151" s="90" t="str">
        <f t="shared" si="79"/>
        <v/>
      </c>
      <c r="AK151" s="90" t="str">
        <f t="shared" si="80"/>
        <v/>
      </c>
      <c r="AL151" s="90" t="str">
        <f t="shared" si="81"/>
        <v/>
      </c>
      <c r="AM151" s="90" t="str">
        <f t="shared" si="82"/>
        <v/>
      </c>
      <c r="AN151" s="90" t="str">
        <f t="shared" si="83"/>
        <v/>
      </c>
      <c r="AO151" s="90" t="str">
        <f t="shared" si="84"/>
        <v/>
      </c>
      <c r="AP151" s="90" t="str">
        <f t="shared" si="85"/>
        <v/>
      </c>
      <c r="AQ151" s="90" t="str">
        <f t="shared" si="86"/>
        <v/>
      </c>
      <c r="AR151" s="90" t="str">
        <f t="shared" si="87"/>
        <v/>
      </c>
      <c r="AS151" s="90" t="str">
        <f t="shared" si="88"/>
        <v/>
      </c>
      <c r="AT151" s="90" t="str">
        <f t="shared" si="89"/>
        <v/>
      </c>
      <c r="AU151" s="90" t="str">
        <f t="shared" si="90"/>
        <v/>
      </c>
      <c r="AV151" s="90" t="str">
        <f t="shared" si="91"/>
        <v/>
      </c>
      <c r="AW151" s="90" t="str">
        <f t="shared" si="92"/>
        <v/>
      </c>
      <c r="AX151" s="90" t="str">
        <f t="shared" ref="AX151:BC151" si="105">IF(V196&gt;0,V61/V196,"")</f>
        <v/>
      </c>
      <c r="AY151" s="90" t="str">
        <f t="shared" si="105"/>
        <v/>
      </c>
      <c r="AZ151" s="90" t="str">
        <f t="shared" si="105"/>
        <v/>
      </c>
      <c r="BA151" s="90" t="str">
        <f t="shared" si="105"/>
        <v/>
      </c>
      <c r="BB151" s="90" t="str">
        <f t="shared" si="105"/>
        <v/>
      </c>
      <c r="BC151" s="90" t="str">
        <f t="shared" si="105"/>
        <v/>
      </c>
    </row>
    <row r="152" spans="1:55" x14ac:dyDescent="0.25">
      <c r="A152" s="25" t="s">
        <v>51</v>
      </c>
      <c r="B152" s="26" t="s">
        <v>56</v>
      </c>
      <c r="C152" s="26" t="s">
        <v>57</v>
      </c>
      <c r="D152" s="2"/>
      <c r="E152" s="2"/>
      <c r="F152" s="1">
        <f t="shared" si="74"/>
        <v>0</v>
      </c>
      <c r="G152" s="1">
        <f t="shared" si="75"/>
        <v>0</v>
      </c>
      <c r="H152" s="1">
        <f t="shared" si="75"/>
        <v>0</v>
      </c>
      <c r="I152" s="1">
        <f t="shared" si="75"/>
        <v>0</v>
      </c>
      <c r="J152" s="1">
        <f t="shared" si="75"/>
        <v>0</v>
      </c>
      <c r="K152" s="1">
        <f t="shared" si="75"/>
        <v>0</v>
      </c>
      <c r="L152" s="52">
        <f t="shared" ref="G152:AA163" si="106">IF(L197&gt;0,L17/L197,0)</f>
        <v>0</v>
      </c>
      <c r="M152" s="1">
        <f t="shared" si="106"/>
        <v>0</v>
      </c>
      <c r="N152" s="1">
        <f t="shared" si="106"/>
        <v>0</v>
      </c>
      <c r="O152" s="1">
        <f t="shared" si="106"/>
        <v>0</v>
      </c>
      <c r="P152" s="1">
        <f t="shared" si="106"/>
        <v>0</v>
      </c>
      <c r="Q152" s="1">
        <f t="shared" si="106"/>
        <v>0</v>
      </c>
      <c r="R152" s="1">
        <f t="shared" si="106"/>
        <v>0</v>
      </c>
      <c r="S152" s="1">
        <f t="shared" si="106"/>
        <v>0</v>
      </c>
      <c r="T152" s="1">
        <f t="shared" si="106"/>
        <v>0</v>
      </c>
      <c r="U152" s="1">
        <f t="shared" si="106"/>
        <v>0</v>
      </c>
      <c r="V152" s="1">
        <f t="shared" si="106"/>
        <v>0</v>
      </c>
      <c r="W152" s="1">
        <f t="shared" si="76"/>
        <v>0</v>
      </c>
      <c r="X152" s="54">
        <f t="shared" si="106"/>
        <v>0</v>
      </c>
      <c r="Y152" s="58">
        <f t="shared" si="106"/>
        <v>0</v>
      </c>
      <c r="Z152" s="1">
        <f t="shared" si="106"/>
        <v>0</v>
      </c>
      <c r="AA152" s="1">
        <f t="shared" si="106"/>
        <v>0</v>
      </c>
      <c r="AC152" s="25" t="s">
        <v>51</v>
      </c>
      <c r="AD152" s="26" t="s">
        <v>56</v>
      </c>
      <c r="AE152" s="26" t="s">
        <v>57</v>
      </c>
      <c r="AF152" s="2"/>
      <c r="AG152" s="2"/>
      <c r="AH152" s="90" t="str">
        <f t="shared" si="77"/>
        <v/>
      </c>
      <c r="AI152" s="90" t="str">
        <f t="shared" si="78"/>
        <v/>
      </c>
      <c r="AJ152" s="90" t="str">
        <f t="shared" si="79"/>
        <v/>
      </c>
      <c r="AK152" s="90" t="str">
        <f t="shared" si="80"/>
        <v/>
      </c>
      <c r="AL152" s="90" t="str">
        <f t="shared" si="81"/>
        <v/>
      </c>
      <c r="AM152" s="90" t="str">
        <f t="shared" si="82"/>
        <v/>
      </c>
      <c r="AN152" s="90" t="str">
        <f t="shared" si="83"/>
        <v/>
      </c>
      <c r="AO152" s="90" t="str">
        <f t="shared" si="84"/>
        <v/>
      </c>
      <c r="AP152" s="90" t="str">
        <f t="shared" si="85"/>
        <v/>
      </c>
      <c r="AQ152" s="90" t="str">
        <f t="shared" si="86"/>
        <v/>
      </c>
      <c r="AR152" s="90" t="str">
        <f t="shared" si="87"/>
        <v/>
      </c>
      <c r="AS152" s="90" t="str">
        <f t="shared" si="88"/>
        <v/>
      </c>
      <c r="AT152" s="90" t="str">
        <f t="shared" si="89"/>
        <v/>
      </c>
      <c r="AU152" s="90" t="str">
        <f t="shared" si="90"/>
        <v/>
      </c>
      <c r="AV152" s="90" t="str">
        <f t="shared" si="91"/>
        <v/>
      </c>
      <c r="AW152" s="90" t="str">
        <f t="shared" si="92"/>
        <v/>
      </c>
      <c r="AX152" s="90" t="str">
        <f t="shared" ref="AX152:BC152" si="107">IF(V197&gt;0,V62/V197,"")</f>
        <v/>
      </c>
      <c r="AY152" s="90" t="str">
        <f t="shared" si="107"/>
        <v/>
      </c>
      <c r="AZ152" s="90" t="str">
        <f t="shared" si="107"/>
        <v/>
      </c>
      <c r="BA152" s="90" t="str">
        <f t="shared" si="107"/>
        <v/>
      </c>
      <c r="BB152" s="90" t="str">
        <f t="shared" si="107"/>
        <v/>
      </c>
      <c r="BC152" s="90" t="str">
        <f t="shared" si="107"/>
        <v/>
      </c>
    </row>
    <row r="153" spans="1:55" x14ac:dyDescent="0.25">
      <c r="A153" s="15" t="s">
        <v>51</v>
      </c>
      <c r="B153" s="16" t="s">
        <v>56</v>
      </c>
      <c r="C153" s="27" t="s">
        <v>58</v>
      </c>
      <c r="D153" s="2"/>
      <c r="E153" s="2"/>
      <c r="F153" s="1">
        <f t="shared" si="74"/>
        <v>0</v>
      </c>
      <c r="G153" s="1">
        <f t="shared" si="106"/>
        <v>0</v>
      </c>
      <c r="H153" s="1">
        <f t="shared" si="106"/>
        <v>0</v>
      </c>
      <c r="I153" s="1">
        <f t="shared" si="106"/>
        <v>0</v>
      </c>
      <c r="J153" s="1">
        <f t="shared" si="106"/>
        <v>0</v>
      </c>
      <c r="K153" s="1">
        <f t="shared" si="106"/>
        <v>0</v>
      </c>
      <c r="L153" s="52">
        <f t="shared" si="106"/>
        <v>0</v>
      </c>
      <c r="M153" s="1">
        <f t="shared" si="106"/>
        <v>0</v>
      </c>
      <c r="N153" s="1">
        <f t="shared" si="106"/>
        <v>0</v>
      </c>
      <c r="O153" s="1">
        <f t="shared" si="106"/>
        <v>0</v>
      </c>
      <c r="P153" s="1">
        <f t="shared" si="106"/>
        <v>0</v>
      </c>
      <c r="Q153" s="1">
        <f t="shared" si="106"/>
        <v>0</v>
      </c>
      <c r="R153" s="1">
        <f t="shared" si="106"/>
        <v>0</v>
      </c>
      <c r="S153" s="1">
        <f t="shared" si="106"/>
        <v>0</v>
      </c>
      <c r="T153" s="1">
        <f t="shared" si="106"/>
        <v>0</v>
      </c>
      <c r="U153" s="1">
        <f t="shared" si="106"/>
        <v>0</v>
      </c>
      <c r="V153" s="1">
        <f t="shared" si="106"/>
        <v>0</v>
      </c>
      <c r="W153" s="1">
        <f t="shared" si="76"/>
        <v>0</v>
      </c>
      <c r="X153" s="54">
        <f t="shared" si="106"/>
        <v>0</v>
      </c>
      <c r="Y153" s="58">
        <f t="shared" si="106"/>
        <v>0</v>
      </c>
      <c r="Z153" s="1">
        <f t="shared" si="106"/>
        <v>0</v>
      </c>
      <c r="AA153" s="1">
        <f t="shared" si="106"/>
        <v>0</v>
      </c>
      <c r="AC153" s="15" t="s">
        <v>51</v>
      </c>
      <c r="AD153" s="16" t="s">
        <v>56</v>
      </c>
      <c r="AE153" s="27" t="s">
        <v>58</v>
      </c>
      <c r="AF153" s="2"/>
      <c r="AG153" s="2"/>
      <c r="AH153" s="90" t="str">
        <f t="shared" si="77"/>
        <v/>
      </c>
      <c r="AI153" s="90" t="str">
        <f t="shared" si="78"/>
        <v/>
      </c>
      <c r="AJ153" s="90" t="str">
        <f t="shared" si="79"/>
        <v/>
      </c>
      <c r="AK153" s="90" t="str">
        <f t="shared" si="80"/>
        <v/>
      </c>
      <c r="AL153" s="90" t="str">
        <f t="shared" si="81"/>
        <v/>
      </c>
      <c r="AM153" s="90" t="str">
        <f t="shared" si="82"/>
        <v/>
      </c>
      <c r="AN153" s="90" t="str">
        <f t="shared" si="83"/>
        <v/>
      </c>
      <c r="AO153" s="90" t="str">
        <f t="shared" si="84"/>
        <v/>
      </c>
      <c r="AP153" s="90" t="str">
        <f t="shared" si="85"/>
        <v/>
      </c>
      <c r="AQ153" s="90" t="str">
        <f t="shared" si="86"/>
        <v/>
      </c>
      <c r="AR153" s="90" t="str">
        <f t="shared" si="87"/>
        <v/>
      </c>
      <c r="AS153" s="90" t="str">
        <f t="shared" si="88"/>
        <v/>
      </c>
      <c r="AT153" s="90" t="str">
        <f t="shared" si="89"/>
        <v/>
      </c>
      <c r="AU153" s="90" t="str">
        <f t="shared" si="90"/>
        <v/>
      </c>
      <c r="AV153" s="90" t="str">
        <f t="shared" si="91"/>
        <v/>
      </c>
      <c r="AW153" s="90" t="str">
        <f t="shared" si="92"/>
        <v/>
      </c>
      <c r="AX153" s="90" t="str">
        <f t="shared" ref="AX153:BC153" si="108">IF(V198&gt;0,V63/V198,"")</f>
        <v/>
      </c>
      <c r="AY153" s="90" t="str">
        <f t="shared" si="108"/>
        <v/>
      </c>
      <c r="AZ153" s="90" t="str">
        <f t="shared" si="108"/>
        <v/>
      </c>
      <c r="BA153" s="90" t="str">
        <f t="shared" si="108"/>
        <v/>
      </c>
      <c r="BB153" s="90" t="str">
        <f t="shared" si="108"/>
        <v/>
      </c>
      <c r="BC153" s="90" t="str">
        <f t="shared" si="108"/>
        <v/>
      </c>
    </row>
    <row r="154" spans="1:55" x14ac:dyDescent="0.25">
      <c r="A154" s="15" t="s">
        <v>51</v>
      </c>
      <c r="B154" s="16" t="s">
        <v>9</v>
      </c>
      <c r="C154" s="27" t="s">
        <v>59</v>
      </c>
      <c r="D154" s="2"/>
      <c r="E154" s="2"/>
      <c r="F154" s="1">
        <f t="shared" si="74"/>
        <v>0</v>
      </c>
      <c r="G154" s="1">
        <f t="shared" si="106"/>
        <v>0</v>
      </c>
      <c r="H154" s="1">
        <f t="shared" si="106"/>
        <v>0</v>
      </c>
      <c r="I154" s="1">
        <f t="shared" si="106"/>
        <v>0</v>
      </c>
      <c r="J154" s="1">
        <f t="shared" si="106"/>
        <v>0</v>
      </c>
      <c r="K154" s="1">
        <f t="shared" si="106"/>
        <v>0</v>
      </c>
      <c r="L154" s="52">
        <f t="shared" si="106"/>
        <v>0</v>
      </c>
      <c r="M154" s="1">
        <f t="shared" si="106"/>
        <v>0</v>
      </c>
      <c r="N154" s="1">
        <f t="shared" si="106"/>
        <v>0</v>
      </c>
      <c r="O154" s="1">
        <f t="shared" si="106"/>
        <v>0</v>
      </c>
      <c r="P154" s="1">
        <f t="shared" si="106"/>
        <v>0</v>
      </c>
      <c r="Q154" s="1">
        <f t="shared" si="106"/>
        <v>0</v>
      </c>
      <c r="R154" s="1">
        <f t="shared" si="106"/>
        <v>0</v>
      </c>
      <c r="S154" s="1">
        <f t="shared" si="106"/>
        <v>0</v>
      </c>
      <c r="T154" s="1">
        <f t="shared" si="106"/>
        <v>0</v>
      </c>
      <c r="U154" s="1">
        <f t="shared" si="106"/>
        <v>0</v>
      </c>
      <c r="V154" s="1">
        <f t="shared" si="106"/>
        <v>0</v>
      </c>
      <c r="W154" s="1">
        <f t="shared" si="76"/>
        <v>0</v>
      </c>
      <c r="X154" s="54">
        <f t="shared" si="106"/>
        <v>0</v>
      </c>
      <c r="Y154" s="58">
        <f t="shared" si="106"/>
        <v>0</v>
      </c>
      <c r="Z154" s="1">
        <f t="shared" si="106"/>
        <v>0</v>
      </c>
      <c r="AA154" s="1">
        <f t="shared" si="106"/>
        <v>0</v>
      </c>
      <c r="AC154" s="15" t="s">
        <v>51</v>
      </c>
      <c r="AD154" s="16" t="s">
        <v>9</v>
      </c>
      <c r="AE154" s="27" t="s">
        <v>59</v>
      </c>
      <c r="AF154" s="2"/>
      <c r="AG154" s="2"/>
      <c r="AH154" s="90" t="str">
        <f t="shared" si="77"/>
        <v/>
      </c>
      <c r="AI154" s="90" t="str">
        <f t="shared" si="78"/>
        <v/>
      </c>
      <c r="AJ154" s="90" t="str">
        <f t="shared" si="79"/>
        <v/>
      </c>
      <c r="AK154" s="90" t="str">
        <f t="shared" si="80"/>
        <v/>
      </c>
      <c r="AL154" s="90" t="str">
        <f t="shared" si="81"/>
        <v/>
      </c>
      <c r="AM154" s="90" t="str">
        <f t="shared" si="82"/>
        <v/>
      </c>
      <c r="AN154" s="90" t="str">
        <f t="shared" si="83"/>
        <v/>
      </c>
      <c r="AO154" s="90" t="str">
        <f t="shared" si="84"/>
        <v/>
      </c>
      <c r="AP154" s="90" t="str">
        <f t="shared" si="85"/>
        <v/>
      </c>
      <c r="AQ154" s="90" t="str">
        <f t="shared" si="86"/>
        <v/>
      </c>
      <c r="AR154" s="90" t="str">
        <f t="shared" si="87"/>
        <v/>
      </c>
      <c r="AS154" s="90" t="str">
        <f t="shared" si="88"/>
        <v/>
      </c>
      <c r="AT154" s="90" t="str">
        <f t="shared" si="89"/>
        <v/>
      </c>
      <c r="AU154" s="90" t="str">
        <f t="shared" si="90"/>
        <v/>
      </c>
      <c r="AV154" s="90" t="str">
        <f t="shared" si="91"/>
        <v/>
      </c>
      <c r="AW154" s="90" t="str">
        <f t="shared" si="92"/>
        <v/>
      </c>
      <c r="AX154" s="90" t="str">
        <f t="shared" ref="AX154:BC154" si="109">IF(V199&gt;0,V64/V199,"")</f>
        <v/>
      </c>
      <c r="AY154" s="90" t="str">
        <f t="shared" si="109"/>
        <v/>
      </c>
      <c r="AZ154" s="90" t="str">
        <f t="shared" si="109"/>
        <v/>
      </c>
      <c r="BA154" s="90" t="str">
        <f t="shared" si="109"/>
        <v/>
      </c>
      <c r="BB154" s="90" t="str">
        <f t="shared" si="109"/>
        <v/>
      </c>
      <c r="BC154" s="90" t="str">
        <f t="shared" si="109"/>
        <v/>
      </c>
    </row>
    <row r="155" spans="1:55" x14ac:dyDescent="0.25">
      <c r="A155" s="15" t="s">
        <v>51</v>
      </c>
      <c r="B155" s="16" t="s">
        <v>9</v>
      </c>
      <c r="C155" s="27" t="s">
        <v>9</v>
      </c>
      <c r="D155" s="2"/>
      <c r="E155" s="2"/>
      <c r="F155" s="1">
        <f t="shared" si="74"/>
        <v>0</v>
      </c>
      <c r="G155" s="1">
        <f t="shared" si="106"/>
        <v>0</v>
      </c>
      <c r="H155" s="1">
        <f t="shared" si="106"/>
        <v>0</v>
      </c>
      <c r="I155" s="1">
        <f t="shared" si="106"/>
        <v>0</v>
      </c>
      <c r="J155" s="1">
        <f t="shared" si="106"/>
        <v>0</v>
      </c>
      <c r="K155" s="1">
        <f t="shared" si="106"/>
        <v>0</v>
      </c>
      <c r="L155" s="52">
        <f t="shared" si="106"/>
        <v>0</v>
      </c>
      <c r="M155" s="1">
        <f t="shared" si="106"/>
        <v>0</v>
      </c>
      <c r="N155" s="1">
        <f t="shared" si="106"/>
        <v>0</v>
      </c>
      <c r="O155" s="1">
        <f t="shared" si="106"/>
        <v>0</v>
      </c>
      <c r="P155" s="1">
        <f t="shared" si="106"/>
        <v>0</v>
      </c>
      <c r="Q155" s="1">
        <f t="shared" si="106"/>
        <v>0</v>
      </c>
      <c r="R155" s="1">
        <f t="shared" si="106"/>
        <v>0</v>
      </c>
      <c r="S155" s="1">
        <f t="shared" si="106"/>
        <v>0</v>
      </c>
      <c r="T155" s="1">
        <f t="shared" si="106"/>
        <v>0</v>
      </c>
      <c r="U155" s="1">
        <f t="shared" si="106"/>
        <v>0</v>
      </c>
      <c r="V155" s="1">
        <f t="shared" si="106"/>
        <v>0</v>
      </c>
      <c r="W155" s="1">
        <f t="shared" si="76"/>
        <v>0</v>
      </c>
      <c r="X155" s="54">
        <f t="shared" si="106"/>
        <v>0</v>
      </c>
      <c r="Y155" s="58">
        <f t="shared" si="106"/>
        <v>0</v>
      </c>
      <c r="Z155" s="1">
        <f t="shared" si="106"/>
        <v>0</v>
      </c>
      <c r="AA155" s="1">
        <f t="shared" si="106"/>
        <v>0</v>
      </c>
      <c r="AC155" s="15" t="s">
        <v>51</v>
      </c>
      <c r="AD155" s="16" t="s">
        <v>9</v>
      </c>
      <c r="AE155" s="27" t="s">
        <v>9</v>
      </c>
      <c r="AF155" s="2"/>
      <c r="AG155" s="2"/>
      <c r="AH155" s="90" t="str">
        <f t="shared" si="77"/>
        <v/>
      </c>
      <c r="AI155" s="90" t="str">
        <f t="shared" si="78"/>
        <v/>
      </c>
      <c r="AJ155" s="90" t="str">
        <f t="shared" si="79"/>
        <v/>
      </c>
      <c r="AK155" s="90" t="str">
        <f t="shared" si="80"/>
        <v/>
      </c>
      <c r="AL155" s="90" t="str">
        <f t="shared" si="81"/>
        <v/>
      </c>
      <c r="AM155" s="90" t="str">
        <f t="shared" si="82"/>
        <v/>
      </c>
      <c r="AN155" s="90" t="str">
        <f t="shared" si="83"/>
        <v/>
      </c>
      <c r="AO155" s="90" t="str">
        <f t="shared" si="84"/>
        <v/>
      </c>
      <c r="AP155" s="90" t="str">
        <f t="shared" si="85"/>
        <v/>
      </c>
      <c r="AQ155" s="90" t="str">
        <f t="shared" si="86"/>
        <v/>
      </c>
      <c r="AR155" s="90" t="str">
        <f t="shared" si="87"/>
        <v/>
      </c>
      <c r="AS155" s="90" t="str">
        <f t="shared" si="88"/>
        <v/>
      </c>
      <c r="AT155" s="90" t="str">
        <f t="shared" si="89"/>
        <v/>
      </c>
      <c r="AU155" s="90" t="str">
        <f t="shared" si="90"/>
        <v/>
      </c>
      <c r="AV155" s="90" t="str">
        <f t="shared" si="91"/>
        <v/>
      </c>
      <c r="AW155" s="90" t="str">
        <f t="shared" si="92"/>
        <v/>
      </c>
      <c r="AX155" s="90" t="str">
        <f t="shared" ref="AX155:BC155" si="110">IF(V200&gt;0,V65/V200,"")</f>
        <v/>
      </c>
      <c r="AY155" s="90" t="str">
        <f t="shared" si="110"/>
        <v/>
      </c>
      <c r="AZ155" s="90" t="str">
        <f t="shared" si="110"/>
        <v/>
      </c>
      <c r="BA155" s="90" t="str">
        <f t="shared" si="110"/>
        <v/>
      </c>
      <c r="BB155" s="90" t="str">
        <f t="shared" si="110"/>
        <v/>
      </c>
      <c r="BC155" s="90" t="str">
        <f t="shared" si="110"/>
        <v/>
      </c>
    </row>
    <row r="156" spans="1:55" x14ac:dyDescent="0.25">
      <c r="A156" s="28" t="s">
        <v>60</v>
      </c>
      <c r="B156" s="29" t="s">
        <v>13</v>
      </c>
      <c r="C156" s="29" t="s">
        <v>61</v>
      </c>
      <c r="D156" s="2"/>
      <c r="E156" s="2"/>
      <c r="F156" s="51">
        <f t="shared" si="74"/>
        <v>54.306930693069312</v>
      </c>
      <c r="G156" s="51">
        <f t="shared" si="106"/>
        <v>0</v>
      </c>
      <c r="H156" s="51">
        <f t="shared" si="106"/>
        <v>4.5750000000000002</v>
      </c>
      <c r="I156" s="91">
        <v>29</v>
      </c>
      <c r="J156" s="51">
        <f t="shared" si="106"/>
        <v>55.241935483870968</v>
      </c>
      <c r="K156" s="91">
        <v>29</v>
      </c>
      <c r="L156" s="52">
        <f t="shared" si="106"/>
        <v>0</v>
      </c>
      <c r="M156" s="64">
        <v>400</v>
      </c>
      <c r="N156" s="64">
        <v>870</v>
      </c>
      <c r="O156" s="64">
        <v>10000</v>
      </c>
      <c r="P156" s="64">
        <v>28000</v>
      </c>
      <c r="Q156" s="77">
        <v>940</v>
      </c>
      <c r="R156" s="77">
        <v>426</v>
      </c>
      <c r="S156" s="51">
        <f t="shared" si="106"/>
        <v>0</v>
      </c>
      <c r="T156" s="77">
        <v>426</v>
      </c>
      <c r="U156" s="77">
        <v>426</v>
      </c>
      <c r="V156" s="77">
        <v>426</v>
      </c>
      <c r="W156" s="77">
        <v>426</v>
      </c>
      <c r="X156" s="79">
        <v>426</v>
      </c>
      <c r="Y156" s="59">
        <f t="shared" si="106"/>
        <v>13.8332148617984</v>
      </c>
      <c r="Z156" s="51">
        <f t="shared" si="106"/>
        <v>749.09956991345928</v>
      </c>
      <c r="AA156" s="51">
        <f t="shared" si="106"/>
        <v>18.510620460161057</v>
      </c>
      <c r="AC156" s="28" t="s">
        <v>60</v>
      </c>
      <c r="AD156" s="29" t="s">
        <v>13</v>
      </c>
      <c r="AE156" s="29" t="s">
        <v>61</v>
      </c>
      <c r="AF156" s="2"/>
      <c r="AG156" s="2"/>
      <c r="AH156" s="1">
        <f t="shared" si="77"/>
        <v>11.237623762376238</v>
      </c>
      <c r="AI156" s="1" t="str">
        <f t="shared" si="78"/>
        <v/>
      </c>
      <c r="AJ156" s="1">
        <f t="shared" si="79"/>
        <v>1.9187500000000004</v>
      </c>
      <c r="AK156" s="1">
        <f t="shared" si="80"/>
        <v>8.3843537414965983</v>
      </c>
      <c r="AL156" s="1">
        <f t="shared" si="81"/>
        <v>21.774193548387096</v>
      </c>
      <c r="AM156" s="1">
        <f t="shared" si="82"/>
        <v>8.6999999999999993</v>
      </c>
      <c r="AN156" s="52" t="str">
        <f t="shared" si="83"/>
        <v/>
      </c>
      <c r="AO156" s="1">
        <f t="shared" si="84"/>
        <v>172.68445839874411</v>
      </c>
      <c r="AP156" s="1">
        <f t="shared" si="85"/>
        <v>587.83783783783781</v>
      </c>
      <c r="AQ156" s="1">
        <f t="shared" si="86"/>
        <v>5256.8697729988053</v>
      </c>
      <c r="AR156" s="1">
        <f t="shared" si="87"/>
        <v>11354.838709677419</v>
      </c>
      <c r="AS156" s="1">
        <f t="shared" si="88"/>
        <v>517</v>
      </c>
      <c r="AT156" s="1">
        <f t="shared" si="89"/>
        <v>213</v>
      </c>
      <c r="AU156" s="1" t="str">
        <f t="shared" si="90"/>
        <v/>
      </c>
      <c r="AV156" s="1">
        <f t="shared" si="91"/>
        <v>213</v>
      </c>
      <c r="AW156" s="1">
        <f t="shared" si="92"/>
        <v>213</v>
      </c>
      <c r="AX156" s="1">
        <f t="shared" ref="AX156:BC156" si="111">IF(V201&gt;0,V66/V201,"")</f>
        <v>511.2</v>
      </c>
      <c r="AY156" s="1">
        <f t="shared" si="111"/>
        <v>255.6</v>
      </c>
      <c r="AZ156" s="1">
        <f t="shared" si="111"/>
        <v>213</v>
      </c>
      <c r="BA156" s="1">
        <f t="shared" si="111"/>
        <v>4.0033159010931936</v>
      </c>
      <c r="BB156" s="1">
        <f t="shared" si="111"/>
        <v>362.56124328678129</v>
      </c>
      <c r="BC156" s="1">
        <f t="shared" si="111"/>
        <v>6.2842863893637899</v>
      </c>
    </row>
    <row r="157" spans="1:55" x14ac:dyDescent="0.25">
      <c r="A157" s="36" t="s">
        <v>60</v>
      </c>
      <c r="B157" s="37" t="s">
        <v>13</v>
      </c>
      <c r="C157" s="29" t="s">
        <v>62</v>
      </c>
      <c r="D157" s="2"/>
      <c r="E157" s="2"/>
      <c r="F157" s="51">
        <f t="shared" si="74"/>
        <v>54.306930693069305</v>
      </c>
      <c r="G157" s="51">
        <f t="shared" si="106"/>
        <v>24.5</v>
      </c>
      <c r="H157" s="51">
        <f t="shared" si="106"/>
        <v>4.5750000000000002</v>
      </c>
      <c r="I157" s="77">
        <v>20</v>
      </c>
      <c r="J157" s="51">
        <f t="shared" si="106"/>
        <v>0</v>
      </c>
      <c r="K157" s="51">
        <f t="shared" si="106"/>
        <v>0</v>
      </c>
      <c r="L157" s="52">
        <f t="shared" si="106"/>
        <v>0</v>
      </c>
      <c r="M157" s="51">
        <f t="shared" si="106"/>
        <v>0</v>
      </c>
      <c r="N157" s="51">
        <f t="shared" si="106"/>
        <v>0</v>
      </c>
      <c r="O157" s="51">
        <f t="shared" si="106"/>
        <v>0</v>
      </c>
      <c r="P157" s="51">
        <f t="shared" si="106"/>
        <v>0</v>
      </c>
      <c r="Q157" s="51">
        <f t="shared" si="106"/>
        <v>0</v>
      </c>
      <c r="R157" s="51">
        <f t="shared" si="106"/>
        <v>0</v>
      </c>
      <c r="S157" s="51">
        <f t="shared" si="106"/>
        <v>0</v>
      </c>
      <c r="T157" s="51">
        <f t="shared" si="106"/>
        <v>0</v>
      </c>
      <c r="U157" s="51">
        <f t="shared" si="106"/>
        <v>0</v>
      </c>
      <c r="V157" s="51">
        <f t="shared" si="106"/>
        <v>0</v>
      </c>
      <c r="W157" s="51">
        <f t="shared" si="76"/>
        <v>0</v>
      </c>
      <c r="X157" s="55">
        <f t="shared" si="106"/>
        <v>0</v>
      </c>
      <c r="Y157" s="59">
        <f t="shared" si="106"/>
        <v>10.055467511885894</v>
      </c>
      <c r="Z157" s="51">
        <f t="shared" si="106"/>
        <v>0</v>
      </c>
      <c r="AA157" s="51">
        <f t="shared" si="106"/>
        <v>10.055467511885894</v>
      </c>
      <c r="AB157" s="14">
        <f>0.74*55</f>
        <v>40.700000000000003</v>
      </c>
      <c r="AC157" s="36" t="s">
        <v>60</v>
      </c>
      <c r="AD157" s="37" t="s">
        <v>13</v>
      </c>
      <c r="AE157" s="29" t="s">
        <v>62</v>
      </c>
      <c r="AF157" s="2"/>
      <c r="AG157" s="2"/>
      <c r="AH157" s="1">
        <f t="shared" si="77"/>
        <v>11.237623762376238</v>
      </c>
      <c r="AI157" s="1">
        <f t="shared" si="78"/>
        <v>8.5</v>
      </c>
      <c r="AJ157" s="1">
        <f t="shared" si="79"/>
        <v>1.91875</v>
      </c>
      <c r="AK157" s="1" t="str">
        <f t="shared" si="80"/>
        <v/>
      </c>
      <c r="AL157" s="1" t="str">
        <f t="shared" si="81"/>
        <v/>
      </c>
      <c r="AM157" s="1" t="str">
        <f t="shared" si="82"/>
        <v/>
      </c>
      <c r="AN157" s="52" t="str">
        <f t="shared" si="83"/>
        <v/>
      </c>
      <c r="AO157" s="1" t="str">
        <f t="shared" si="84"/>
        <v/>
      </c>
      <c r="AP157" s="1" t="str">
        <f t="shared" si="85"/>
        <v/>
      </c>
      <c r="AQ157" s="1" t="str">
        <f t="shared" si="86"/>
        <v/>
      </c>
      <c r="AR157" s="1" t="str">
        <f t="shared" si="87"/>
        <v/>
      </c>
      <c r="AS157" s="1" t="str">
        <f t="shared" si="88"/>
        <v/>
      </c>
      <c r="AT157" s="1" t="str">
        <f t="shared" si="89"/>
        <v/>
      </c>
      <c r="AU157" s="1" t="str">
        <f t="shared" si="90"/>
        <v/>
      </c>
      <c r="AV157" s="1" t="str">
        <f t="shared" si="91"/>
        <v/>
      </c>
      <c r="AW157" s="1" t="str">
        <f t="shared" si="92"/>
        <v/>
      </c>
      <c r="AX157" s="1" t="str">
        <f t="shared" ref="AX157:BC157" si="112">IF(V202&gt;0,V67/V202,"")</f>
        <v/>
      </c>
      <c r="AY157" s="1" t="str">
        <f t="shared" si="112"/>
        <v/>
      </c>
      <c r="AZ157" s="1" t="str">
        <f t="shared" si="112"/>
        <v/>
      </c>
      <c r="BA157" s="1">
        <f t="shared" si="112"/>
        <v>3.4664147263196394</v>
      </c>
      <c r="BB157" s="1" t="str">
        <f t="shared" si="112"/>
        <v/>
      </c>
      <c r="BC157" s="1">
        <f t="shared" si="112"/>
        <v>3.4664147263196394</v>
      </c>
    </row>
    <row r="158" spans="1:55" x14ac:dyDescent="0.25">
      <c r="A158" s="30" t="s">
        <v>60</v>
      </c>
      <c r="B158" s="31" t="s">
        <v>13</v>
      </c>
      <c r="C158" s="32" t="s">
        <v>63</v>
      </c>
      <c r="D158" s="2"/>
      <c r="E158" s="2"/>
      <c r="F158" s="51">
        <f t="shared" si="74"/>
        <v>0</v>
      </c>
      <c r="G158" s="51">
        <f t="shared" si="106"/>
        <v>0</v>
      </c>
      <c r="H158" s="51">
        <f t="shared" si="106"/>
        <v>0</v>
      </c>
      <c r="I158" s="51">
        <f t="shared" si="106"/>
        <v>0</v>
      </c>
      <c r="J158" s="51">
        <f t="shared" si="106"/>
        <v>0</v>
      </c>
      <c r="K158" s="51">
        <f t="shared" si="106"/>
        <v>0</v>
      </c>
      <c r="L158" s="52">
        <f t="shared" si="106"/>
        <v>0</v>
      </c>
      <c r="M158" s="51">
        <f t="shared" si="106"/>
        <v>0</v>
      </c>
      <c r="N158" s="51">
        <f t="shared" si="106"/>
        <v>0</v>
      </c>
      <c r="O158" s="51">
        <f t="shared" si="106"/>
        <v>0</v>
      </c>
      <c r="P158" s="51">
        <f t="shared" si="106"/>
        <v>0</v>
      </c>
      <c r="Q158" s="51">
        <f t="shared" si="106"/>
        <v>0</v>
      </c>
      <c r="R158" s="51">
        <f t="shared" si="106"/>
        <v>0</v>
      </c>
      <c r="S158" s="51">
        <f t="shared" si="106"/>
        <v>0</v>
      </c>
      <c r="T158" s="51">
        <f t="shared" si="106"/>
        <v>0</v>
      </c>
      <c r="U158" s="51">
        <f t="shared" si="106"/>
        <v>0</v>
      </c>
      <c r="V158" s="51">
        <f t="shared" si="106"/>
        <v>0</v>
      </c>
      <c r="W158" s="51">
        <f t="shared" si="76"/>
        <v>0</v>
      </c>
      <c r="X158" s="55">
        <f t="shared" si="106"/>
        <v>0</v>
      </c>
      <c r="Y158" s="59">
        <f t="shared" si="106"/>
        <v>0</v>
      </c>
      <c r="Z158" s="51">
        <f t="shared" si="106"/>
        <v>0</v>
      </c>
      <c r="AA158" s="51">
        <f t="shared" si="106"/>
        <v>0</v>
      </c>
      <c r="AB158" s="14">
        <f>0.75*70</f>
        <v>52.5</v>
      </c>
      <c r="AC158" s="30" t="s">
        <v>60</v>
      </c>
      <c r="AD158" s="31" t="s">
        <v>13</v>
      </c>
      <c r="AE158" s="32" t="s">
        <v>63</v>
      </c>
      <c r="AF158" s="2"/>
      <c r="AG158" s="2"/>
      <c r="AH158" s="1" t="str">
        <f t="shared" si="77"/>
        <v/>
      </c>
      <c r="AI158" s="1" t="str">
        <f t="shared" si="78"/>
        <v/>
      </c>
      <c r="AJ158" s="1" t="str">
        <f t="shared" si="79"/>
        <v/>
      </c>
      <c r="AK158" s="1" t="str">
        <f t="shared" si="80"/>
        <v/>
      </c>
      <c r="AL158" s="1" t="str">
        <f t="shared" si="81"/>
        <v/>
      </c>
      <c r="AM158" s="1" t="str">
        <f t="shared" si="82"/>
        <v/>
      </c>
      <c r="AN158" s="52" t="str">
        <f t="shared" si="83"/>
        <v/>
      </c>
      <c r="AO158" s="1" t="str">
        <f t="shared" si="84"/>
        <v/>
      </c>
      <c r="AP158" s="1" t="str">
        <f t="shared" si="85"/>
        <v/>
      </c>
      <c r="AQ158" s="1" t="str">
        <f t="shared" si="86"/>
        <v/>
      </c>
      <c r="AR158" s="1" t="str">
        <f t="shared" si="87"/>
        <v/>
      </c>
      <c r="AS158" s="1" t="str">
        <f t="shared" si="88"/>
        <v/>
      </c>
      <c r="AT158" s="1" t="str">
        <f t="shared" si="89"/>
        <v/>
      </c>
      <c r="AU158" s="1" t="str">
        <f t="shared" si="90"/>
        <v/>
      </c>
      <c r="AV158" s="1" t="str">
        <f t="shared" si="91"/>
        <v/>
      </c>
      <c r="AW158" s="1" t="str">
        <f t="shared" si="92"/>
        <v/>
      </c>
      <c r="AX158" s="1" t="str">
        <f t="shared" ref="AX158:BC158" si="113">IF(V203&gt;0,V68/V203,"")</f>
        <v/>
      </c>
      <c r="AY158" s="1" t="str">
        <f t="shared" si="113"/>
        <v/>
      </c>
      <c r="AZ158" s="1" t="str">
        <f t="shared" si="113"/>
        <v/>
      </c>
      <c r="BA158" s="1" t="str">
        <f t="shared" si="113"/>
        <v/>
      </c>
      <c r="BB158" s="1" t="str">
        <f t="shared" si="113"/>
        <v/>
      </c>
      <c r="BC158" s="1" t="str">
        <f t="shared" si="113"/>
        <v/>
      </c>
    </row>
    <row r="159" spans="1:55" x14ac:dyDescent="0.25">
      <c r="A159" s="30" t="s">
        <v>60</v>
      </c>
      <c r="B159" s="32" t="s">
        <v>23</v>
      </c>
      <c r="C159" s="31" t="s">
        <v>50</v>
      </c>
      <c r="D159" s="2"/>
      <c r="E159" s="2"/>
      <c r="F159" s="77">
        <v>40</v>
      </c>
      <c r="G159" s="51">
        <f t="shared" si="106"/>
        <v>0</v>
      </c>
      <c r="H159" s="51">
        <f t="shared" si="106"/>
        <v>0</v>
      </c>
      <c r="I159" s="51">
        <f t="shared" si="106"/>
        <v>0</v>
      </c>
      <c r="J159" s="77">
        <v>45</v>
      </c>
      <c r="K159" s="77">
        <v>2.2000000000000002</v>
      </c>
      <c r="L159" s="52">
        <f t="shared" si="106"/>
        <v>0</v>
      </c>
      <c r="M159" s="51">
        <f t="shared" si="106"/>
        <v>0</v>
      </c>
      <c r="N159" s="77">
        <v>1000</v>
      </c>
      <c r="O159" s="51">
        <f t="shared" si="106"/>
        <v>0</v>
      </c>
      <c r="P159" s="51">
        <f t="shared" si="106"/>
        <v>0</v>
      </c>
      <c r="Q159" s="51">
        <f t="shared" si="106"/>
        <v>0</v>
      </c>
      <c r="R159" s="51">
        <f t="shared" si="106"/>
        <v>0</v>
      </c>
      <c r="S159" s="51">
        <f t="shared" si="106"/>
        <v>0</v>
      </c>
      <c r="T159" s="51">
        <f t="shared" si="106"/>
        <v>0</v>
      </c>
      <c r="U159" s="51">
        <f t="shared" si="106"/>
        <v>0</v>
      </c>
      <c r="V159" s="77">
        <v>426</v>
      </c>
      <c r="W159" s="51">
        <f t="shared" si="76"/>
        <v>0</v>
      </c>
      <c r="X159" s="55">
        <f t="shared" si="106"/>
        <v>0</v>
      </c>
      <c r="Y159" s="59">
        <f t="shared" si="106"/>
        <v>2.3887471612885691</v>
      </c>
      <c r="Z159" s="51">
        <f t="shared" si="106"/>
        <v>1000.0000000000001</v>
      </c>
      <c r="AA159" s="51">
        <f t="shared" si="106"/>
        <v>3.4622211575212156</v>
      </c>
      <c r="AC159" s="30" t="s">
        <v>60</v>
      </c>
      <c r="AD159" s="32" t="s">
        <v>23</v>
      </c>
      <c r="AE159" s="31" t="s">
        <v>50</v>
      </c>
      <c r="AF159" s="2"/>
      <c r="AG159" s="2"/>
      <c r="AH159" s="1">
        <f t="shared" si="77"/>
        <v>12.8</v>
      </c>
      <c r="AI159" s="1" t="str">
        <f t="shared" si="78"/>
        <v/>
      </c>
      <c r="AJ159" s="1" t="str">
        <f t="shared" si="79"/>
        <v/>
      </c>
      <c r="AK159" s="1" t="str">
        <f t="shared" si="80"/>
        <v/>
      </c>
      <c r="AL159" s="1">
        <f t="shared" si="81"/>
        <v>13.500000000000002</v>
      </c>
      <c r="AM159" s="1">
        <f t="shared" si="82"/>
        <v>0.55000000000000004</v>
      </c>
      <c r="AN159" s="52" t="str">
        <f t="shared" si="83"/>
        <v/>
      </c>
      <c r="AO159" s="1" t="str">
        <f t="shared" si="84"/>
        <v/>
      </c>
      <c r="AP159" s="1">
        <f t="shared" si="85"/>
        <v>775.36231884057975</v>
      </c>
      <c r="AQ159" s="1" t="str">
        <f t="shared" si="86"/>
        <v/>
      </c>
      <c r="AR159" s="1" t="str">
        <f t="shared" si="87"/>
        <v/>
      </c>
      <c r="AS159" s="1" t="str">
        <f t="shared" si="88"/>
        <v/>
      </c>
      <c r="AT159" s="1" t="str">
        <f t="shared" si="89"/>
        <v/>
      </c>
      <c r="AU159" s="1" t="str">
        <f t="shared" si="90"/>
        <v/>
      </c>
      <c r="AV159" s="1" t="str">
        <f t="shared" si="91"/>
        <v/>
      </c>
      <c r="AW159" s="1" t="str">
        <f t="shared" si="92"/>
        <v/>
      </c>
      <c r="AX159" s="1" t="str">
        <f t="shared" ref="AX159:BC159" si="114">IF(V204&gt;0,V69/V204,"")</f>
        <v/>
      </c>
      <c r="AY159" s="1" t="str">
        <f t="shared" si="114"/>
        <v/>
      </c>
      <c r="AZ159" s="1" t="str">
        <f t="shared" si="114"/>
        <v/>
      </c>
      <c r="BA159" s="1">
        <f t="shared" si="114"/>
        <v>0.60988998078268963</v>
      </c>
      <c r="BB159" s="1">
        <f t="shared" si="114"/>
        <v>775.36231884057975</v>
      </c>
      <c r="BC159" s="1">
        <f t="shared" si="114"/>
        <v>1.530666195956748</v>
      </c>
    </row>
    <row r="160" spans="1:55" x14ac:dyDescent="0.25">
      <c r="A160" s="30" t="s">
        <v>60</v>
      </c>
      <c r="B160" s="32" t="s">
        <v>23</v>
      </c>
      <c r="C160" s="31" t="s">
        <v>49</v>
      </c>
      <c r="D160" s="2"/>
      <c r="E160" s="2"/>
      <c r="F160" s="51">
        <f t="shared" ref="F160:F170" si="115">IF(F205&gt;0,F25/F205,0)</f>
        <v>0</v>
      </c>
      <c r="G160" s="51">
        <f t="shared" si="106"/>
        <v>0</v>
      </c>
      <c r="H160" s="51">
        <f t="shared" si="106"/>
        <v>0</v>
      </c>
      <c r="I160" s="51">
        <f t="shared" si="106"/>
        <v>0</v>
      </c>
      <c r="J160" s="77">
        <v>40</v>
      </c>
      <c r="K160" s="51">
        <f t="shared" si="106"/>
        <v>0</v>
      </c>
      <c r="L160" s="52">
        <f t="shared" si="106"/>
        <v>0</v>
      </c>
      <c r="M160" s="51">
        <f t="shared" si="106"/>
        <v>0</v>
      </c>
      <c r="N160" s="51">
        <f t="shared" si="106"/>
        <v>0</v>
      </c>
      <c r="O160" s="51">
        <f t="shared" si="106"/>
        <v>0</v>
      </c>
      <c r="P160" s="51">
        <f t="shared" si="106"/>
        <v>0</v>
      </c>
      <c r="Q160" s="51">
        <f t="shared" si="106"/>
        <v>0</v>
      </c>
      <c r="R160" s="51">
        <f t="shared" si="106"/>
        <v>0</v>
      </c>
      <c r="S160" s="77">
        <v>100</v>
      </c>
      <c r="T160" s="77">
        <v>406</v>
      </c>
      <c r="U160" s="51">
        <f t="shared" si="106"/>
        <v>0</v>
      </c>
      <c r="V160" s="77">
        <v>406</v>
      </c>
      <c r="W160" s="51">
        <f t="shared" si="76"/>
        <v>0</v>
      </c>
      <c r="X160" s="77">
        <v>100</v>
      </c>
      <c r="Y160" s="59">
        <f t="shared" si="106"/>
        <v>47.17647058823529</v>
      </c>
      <c r="Z160" s="51">
        <f t="shared" si="106"/>
        <v>201.96601132955681</v>
      </c>
      <c r="AA160" s="51">
        <f t="shared" si="106"/>
        <v>53.217060023669397</v>
      </c>
      <c r="AC160" s="30" t="s">
        <v>60</v>
      </c>
      <c r="AD160" s="32" t="s">
        <v>23</v>
      </c>
      <c r="AE160" s="31" t="s">
        <v>49</v>
      </c>
      <c r="AF160" s="2"/>
      <c r="AG160" s="2"/>
      <c r="AH160" s="1" t="str">
        <f t="shared" si="77"/>
        <v/>
      </c>
      <c r="AI160" s="1" t="str">
        <f t="shared" si="78"/>
        <v/>
      </c>
      <c r="AJ160" s="1" t="str">
        <f t="shared" si="79"/>
        <v/>
      </c>
      <c r="AK160" s="1" t="str">
        <f t="shared" si="80"/>
        <v/>
      </c>
      <c r="AL160" s="1">
        <f t="shared" si="81"/>
        <v>12.2</v>
      </c>
      <c r="AM160" s="1" t="str">
        <f t="shared" si="82"/>
        <v/>
      </c>
      <c r="AN160" s="52" t="str">
        <f t="shared" si="83"/>
        <v/>
      </c>
      <c r="AO160" s="1" t="str">
        <f t="shared" si="84"/>
        <v/>
      </c>
      <c r="AP160" s="1" t="str">
        <f t="shared" si="85"/>
        <v/>
      </c>
      <c r="AQ160" s="1" t="str">
        <f t="shared" si="86"/>
        <v/>
      </c>
      <c r="AR160" s="1" t="str">
        <f t="shared" si="87"/>
        <v/>
      </c>
      <c r="AS160" s="1" t="str">
        <f t="shared" si="88"/>
        <v/>
      </c>
      <c r="AT160" s="1" t="str">
        <f t="shared" si="89"/>
        <v/>
      </c>
      <c r="AU160" s="1">
        <f t="shared" si="90"/>
        <v>29.999999999999996</v>
      </c>
      <c r="AV160" s="1">
        <f t="shared" si="91"/>
        <v>162.4</v>
      </c>
      <c r="AW160" s="1" t="str">
        <f t="shared" si="92"/>
        <v/>
      </c>
      <c r="AX160" s="1">
        <f t="shared" ref="AX160:BC160" si="116">IF(V205&gt;0,V70/V205,"")</f>
        <v>365.4</v>
      </c>
      <c r="AY160" s="1" t="str">
        <f t="shared" si="116"/>
        <v/>
      </c>
      <c r="AZ160" s="1">
        <f t="shared" si="116"/>
        <v>90</v>
      </c>
      <c r="BA160" s="1">
        <f t="shared" si="116"/>
        <v>12.2</v>
      </c>
      <c r="BB160" s="1">
        <f t="shared" si="116"/>
        <v>95.378207264245248</v>
      </c>
      <c r="BC160" s="1">
        <f t="shared" si="116"/>
        <v>24.479847610887923</v>
      </c>
    </row>
    <row r="161" spans="1:55" x14ac:dyDescent="0.25">
      <c r="A161" s="30" t="s">
        <v>60</v>
      </c>
      <c r="B161" s="32" t="s">
        <v>23</v>
      </c>
      <c r="C161" s="31" t="s">
        <v>64</v>
      </c>
      <c r="D161" s="2"/>
      <c r="E161" s="2"/>
      <c r="F161" s="51">
        <f t="shared" si="115"/>
        <v>0</v>
      </c>
      <c r="G161" s="51">
        <f t="shared" si="106"/>
        <v>0</v>
      </c>
      <c r="H161" s="51">
        <f t="shared" si="106"/>
        <v>0</v>
      </c>
      <c r="I161" s="51">
        <f t="shared" si="106"/>
        <v>0</v>
      </c>
      <c r="J161" s="51">
        <f t="shared" si="106"/>
        <v>0</v>
      </c>
      <c r="K161" s="51">
        <f t="shared" si="106"/>
        <v>0</v>
      </c>
      <c r="L161" s="52">
        <f t="shared" si="106"/>
        <v>0</v>
      </c>
      <c r="M161" s="51">
        <f t="shared" si="106"/>
        <v>0</v>
      </c>
      <c r="N161" s="51">
        <f t="shared" si="106"/>
        <v>0</v>
      </c>
      <c r="O161" s="51">
        <f t="shared" si="106"/>
        <v>0</v>
      </c>
      <c r="P161" s="51">
        <f t="shared" si="106"/>
        <v>0</v>
      </c>
      <c r="Q161" s="51">
        <f t="shared" si="106"/>
        <v>0</v>
      </c>
      <c r="R161" s="51">
        <f t="shared" si="106"/>
        <v>0</v>
      </c>
      <c r="S161" s="51">
        <f t="shared" si="106"/>
        <v>0</v>
      </c>
      <c r="T161" s="51">
        <f t="shared" si="106"/>
        <v>0</v>
      </c>
      <c r="U161" s="51">
        <f t="shared" si="106"/>
        <v>0</v>
      </c>
      <c r="V161" s="51">
        <f t="shared" si="106"/>
        <v>0</v>
      </c>
      <c r="W161" s="51">
        <f t="shared" si="76"/>
        <v>0</v>
      </c>
      <c r="X161" s="55">
        <f t="shared" si="106"/>
        <v>0</v>
      </c>
      <c r="Y161" s="59">
        <f t="shared" si="106"/>
        <v>0</v>
      </c>
      <c r="Z161" s="51">
        <f t="shared" si="106"/>
        <v>0</v>
      </c>
      <c r="AA161" s="51">
        <f t="shared" si="106"/>
        <v>0</v>
      </c>
      <c r="AC161" s="30" t="s">
        <v>60</v>
      </c>
      <c r="AD161" s="32" t="s">
        <v>23</v>
      </c>
      <c r="AE161" s="31" t="s">
        <v>64</v>
      </c>
      <c r="AF161" s="2"/>
      <c r="AG161" s="2"/>
      <c r="AH161" s="1" t="str">
        <f t="shared" si="77"/>
        <v/>
      </c>
      <c r="AI161" s="1" t="str">
        <f t="shared" si="78"/>
        <v/>
      </c>
      <c r="AJ161" s="1" t="str">
        <f t="shared" si="79"/>
        <v/>
      </c>
      <c r="AK161" s="1" t="str">
        <f t="shared" si="80"/>
        <v/>
      </c>
      <c r="AL161" s="1" t="str">
        <f t="shared" si="81"/>
        <v/>
      </c>
      <c r="AM161" s="1" t="str">
        <f t="shared" si="82"/>
        <v/>
      </c>
      <c r="AN161" s="52" t="str">
        <f t="shared" si="83"/>
        <v/>
      </c>
      <c r="AO161" s="1" t="str">
        <f t="shared" si="84"/>
        <v/>
      </c>
      <c r="AP161" s="1" t="str">
        <f t="shared" si="85"/>
        <v/>
      </c>
      <c r="AQ161" s="1" t="str">
        <f t="shared" si="86"/>
        <v/>
      </c>
      <c r="AR161" s="1" t="str">
        <f t="shared" si="87"/>
        <v/>
      </c>
      <c r="AS161" s="1" t="str">
        <f t="shared" si="88"/>
        <v/>
      </c>
      <c r="AT161" s="1" t="str">
        <f t="shared" si="89"/>
        <v/>
      </c>
      <c r="AU161" s="1" t="str">
        <f t="shared" si="90"/>
        <v/>
      </c>
      <c r="AV161" s="1" t="str">
        <f t="shared" si="91"/>
        <v/>
      </c>
      <c r="AW161" s="1" t="str">
        <f t="shared" si="92"/>
        <v/>
      </c>
      <c r="AX161" s="1" t="str">
        <f t="shared" ref="AX161:BC161" si="117">IF(V206&gt;0,V71/V206,"")</f>
        <v/>
      </c>
      <c r="AY161" s="1" t="str">
        <f t="shared" si="117"/>
        <v/>
      </c>
      <c r="AZ161" s="1" t="str">
        <f t="shared" si="117"/>
        <v/>
      </c>
      <c r="BA161" s="1" t="str">
        <f t="shared" si="117"/>
        <v/>
      </c>
      <c r="BB161" s="1" t="str">
        <f t="shared" si="117"/>
        <v/>
      </c>
      <c r="BC161" s="1" t="str">
        <f t="shared" si="117"/>
        <v/>
      </c>
    </row>
    <row r="162" spans="1:55" x14ac:dyDescent="0.25">
      <c r="A162" s="30" t="s">
        <v>60</v>
      </c>
      <c r="B162" s="32" t="s">
        <v>65</v>
      </c>
      <c r="C162" s="31" t="s">
        <v>66</v>
      </c>
      <c r="D162" s="2"/>
      <c r="E162" s="2"/>
      <c r="F162" s="51">
        <f t="shared" si="115"/>
        <v>0</v>
      </c>
      <c r="G162" s="51">
        <f t="shared" si="106"/>
        <v>0</v>
      </c>
      <c r="H162" s="51">
        <f t="shared" si="106"/>
        <v>0</v>
      </c>
      <c r="I162" s="51">
        <f t="shared" si="106"/>
        <v>0</v>
      </c>
      <c r="J162" s="77">
        <v>56</v>
      </c>
      <c r="K162" s="51">
        <f t="shared" si="106"/>
        <v>0</v>
      </c>
      <c r="L162" s="52">
        <f t="shared" si="106"/>
        <v>0</v>
      </c>
      <c r="M162" s="77">
        <f>300</f>
        <v>300</v>
      </c>
      <c r="N162" s="51">
        <f t="shared" si="106"/>
        <v>0</v>
      </c>
      <c r="O162" s="51">
        <f t="shared" si="106"/>
        <v>0</v>
      </c>
      <c r="P162" s="51">
        <f t="shared" si="106"/>
        <v>0</v>
      </c>
      <c r="Q162" s="51">
        <f t="shared" si="106"/>
        <v>0</v>
      </c>
      <c r="R162" s="51">
        <f t="shared" si="106"/>
        <v>0</v>
      </c>
      <c r="S162" s="51">
        <f t="shared" si="106"/>
        <v>0</v>
      </c>
      <c r="T162" s="51">
        <f t="shared" si="106"/>
        <v>0</v>
      </c>
      <c r="U162" s="51">
        <f t="shared" si="106"/>
        <v>0</v>
      </c>
      <c r="V162" s="51">
        <f t="shared" si="106"/>
        <v>0</v>
      </c>
      <c r="W162" s="51">
        <f t="shared" si="76"/>
        <v>0</v>
      </c>
      <c r="X162" s="55">
        <f t="shared" si="106"/>
        <v>0</v>
      </c>
      <c r="Y162" s="59">
        <f t="shared" si="106"/>
        <v>56</v>
      </c>
      <c r="Z162" s="51">
        <f t="shared" si="106"/>
        <v>300</v>
      </c>
      <c r="AA162" s="51">
        <f t="shared" si="106"/>
        <v>143.12044577796829</v>
      </c>
      <c r="AC162" s="30" t="s">
        <v>60</v>
      </c>
      <c r="AD162" s="32" t="s">
        <v>65</v>
      </c>
      <c r="AE162" s="31" t="s">
        <v>66</v>
      </c>
      <c r="AF162" s="2"/>
      <c r="AG162" s="2"/>
      <c r="AH162" s="1" t="str">
        <f t="shared" si="77"/>
        <v/>
      </c>
      <c r="AI162" s="1" t="str">
        <f t="shared" si="78"/>
        <v/>
      </c>
      <c r="AJ162" s="1" t="str">
        <f t="shared" si="79"/>
        <v/>
      </c>
      <c r="AK162" s="1" t="str">
        <f t="shared" si="80"/>
        <v/>
      </c>
      <c r="AL162" s="1">
        <f t="shared" si="81"/>
        <v>6.72</v>
      </c>
      <c r="AM162" s="1" t="str">
        <f t="shared" si="82"/>
        <v/>
      </c>
      <c r="AN162" s="52" t="str">
        <f t="shared" si="83"/>
        <v/>
      </c>
      <c r="AO162" s="1">
        <f t="shared" si="84"/>
        <v>36</v>
      </c>
      <c r="AP162" s="1" t="str">
        <f t="shared" si="85"/>
        <v/>
      </c>
      <c r="AQ162" s="1" t="str">
        <f t="shared" si="86"/>
        <v/>
      </c>
      <c r="AR162" s="1" t="str">
        <f t="shared" si="87"/>
        <v/>
      </c>
      <c r="AS162" s="1" t="str">
        <f t="shared" si="88"/>
        <v/>
      </c>
      <c r="AT162" s="1" t="str">
        <f t="shared" si="89"/>
        <v/>
      </c>
      <c r="AU162" s="1" t="str">
        <f t="shared" si="90"/>
        <v/>
      </c>
      <c r="AV162" s="1" t="str">
        <f t="shared" si="91"/>
        <v/>
      </c>
      <c r="AW162" s="1" t="str">
        <f t="shared" si="92"/>
        <v/>
      </c>
      <c r="AX162" s="1" t="str">
        <f t="shared" ref="AX162:BC162" si="118">IF(V207&gt;0,V72/V207,"")</f>
        <v/>
      </c>
      <c r="AY162" s="1" t="str">
        <f t="shared" si="118"/>
        <v/>
      </c>
      <c r="AZ162" s="1" t="str">
        <f t="shared" si="118"/>
        <v/>
      </c>
      <c r="BA162" s="1">
        <f t="shared" si="118"/>
        <v>6.72</v>
      </c>
      <c r="BB162" s="1">
        <f t="shared" si="118"/>
        <v>36</v>
      </c>
      <c r="BC162" s="1">
        <f t="shared" si="118"/>
        <v>17.174453493356193</v>
      </c>
    </row>
    <row r="163" spans="1:55" x14ac:dyDescent="0.25">
      <c r="A163" s="30" t="s">
        <v>60</v>
      </c>
      <c r="B163" s="32" t="s">
        <v>65</v>
      </c>
      <c r="C163" s="31" t="s">
        <v>67</v>
      </c>
      <c r="D163" s="2"/>
      <c r="E163" s="2"/>
      <c r="F163" s="51">
        <f t="shared" si="115"/>
        <v>0</v>
      </c>
      <c r="G163" s="51">
        <f t="shared" si="106"/>
        <v>0</v>
      </c>
      <c r="H163" s="51">
        <f t="shared" si="106"/>
        <v>0</v>
      </c>
      <c r="I163" s="51">
        <f t="shared" si="106"/>
        <v>0</v>
      </c>
      <c r="J163" s="51">
        <f t="shared" si="106"/>
        <v>0</v>
      </c>
      <c r="K163" s="51">
        <f t="shared" si="106"/>
        <v>0</v>
      </c>
      <c r="L163" s="52">
        <f t="shared" si="106"/>
        <v>0</v>
      </c>
      <c r="M163" s="51">
        <f t="shared" si="106"/>
        <v>0</v>
      </c>
      <c r="N163" s="51">
        <f t="shared" si="106"/>
        <v>0</v>
      </c>
      <c r="O163" s="51">
        <f t="shared" si="106"/>
        <v>0</v>
      </c>
      <c r="P163" s="51">
        <f t="shared" si="106"/>
        <v>0</v>
      </c>
      <c r="Q163" s="77">
        <v>940</v>
      </c>
      <c r="R163" s="77">
        <v>426</v>
      </c>
      <c r="S163" s="51">
        <f t="shared" si="106"/>
        <v>0</v>
      </c>
      <c r="T163" s="77">
        <v>426</v>
      </c>
      <c r="U163" s="77">
        <v>426</v>
      </c>
      <c r="V163" s="77">
        <v>426</v>
      </c>
      <c r="W163" s="77">
        <v>426</v>
      </c>
      <c r="X163" s="79">
        <v>426</v>
      </c>
      <c r="Y163" s="59">
        <f t="shared" ref="G163:AA175" si="119">IF(Y208&gt;0,Y28/Y208,0)</f>
        <v>0</v>
      </c>
      <c r="Z163" s="51">
        <f t="shared" si="119"/>
        <v>503.0611900323882</v>
      </c>
      <c r="AA163" s="51">
        <f t="shared" si="119"/>
        <v>503.0611900323882</v>
      </c>
      <c r="AC163" s="30" t="s">
        <v>60</v>
      </c>
      <c r="AD163" s="32" t="s">
        <v>65</v>
      </c>
      <c r="AE163" s="31" t="s">
        <v>67</v>
      </c>
      <c r="AF163" s="2"/>
      <c r="AG163" s="2"/>
      <c r="AH163" s="1" t="str">
        <f t="shared" si="77"/>
        <v/>
      </c>
      <c r="AI163" s="1" t="str">
        <f t="shared" si="78"/>
        <v/>
      </c>
      <c r="AJ163" s="1" t="str">
        <f t="shared" si="79"/>
        <v/>
      </c>
      <c r="AK163" s="1" t="str">
        <f t="shared" si="80"/>
        <v/>
      </c>
      <c r="AL163" s="1" t="str">
        <f t="shared" si="81"/>
        <v/>
      </c>
      <c r="AM163" s="1" t="str">
        <f t="shared" si="82"/>
        <v/>
      </c>
      <c r="AN163" s="52" t="str">
        <f t="shared" si="83"/>
        <v/>
      </c>
      <c r="AO163" s="1" t="str">
        <f t="shared" si="84"/>
        <v/>
      </c>
      <c r="AP163" s="1" t="str">
        <f t="shared" si="85"/>
        <v/>
      </c>
      <c r="AQ163" s="1" t="str">
        <f t="shared" si="86"/>
        <v/>
      </c>
      <c r="AR163" s="1" t="str">
        <f t="shared" si="87"/>
        <v/>
      </c>
      <c r="AS163" s="1">
        <f t="shared" si="88"/>
        <v>141</v>
      </c>
      <c r="AT163" s="1">
        <f t="shared" si="89"/>
        <v>76.679999999999993</v>
      </c>
      <c r="AU163" s="1" t="str">
        <f t="shared" si="90"/>
        <v/>
      </c>
      <c r="AV163" s="1">
        <f t="shared" si="91"/>
        <v>63.9</v>
      </c>
      <c r="AW163" s="1">
        <f t="shared" si="92"/>
        <v>51.12</v>
      </c>
      <c r="AX163" s="1">
        <f t="shared" ref="AX163:BC163" si="120">IF(V208&gt;0,V73/V208,"")</f>
        <v>51.11999999999999</v>
      </c>
      <c r="AY163" s="1">
        <f t="shared" si="120"/>
        <v>51.12</v>
      </c>
      <c r="AZ163" s="1">
        <f t="shared" si="120"/>
        <v>51.11999999999999</v>
      </c>
      <c r="BA163" s="1" t="str">
        <f t="shared" si="120"/>
        <v/>
      </c>
      <c r="BB163" s="1">
        <f t="shared" si="120"/>
        <v>71.147754636865798</v>
      </c>
      <c r="BC163" s="1">
        <f t="shared" si="120"/>
        <v>71.147754636865798</v>
      </c>
    </row>
    <row r="164" spans="1:55" x14ac:dyDescent="0.25">
      <c r="A164" s="30" t="s">
        <v>60</v>
      </c>
      <c r="B164" s="32" t="s">
        <v>65</v>
      </c>
      <c r="C164" s="31" t="s">
        <v>68</v>
      </c>
      <c r="D164" s="2"/>
      <c r="E164" s="2"/>
      <c r="F164" s="51">
        <f t="shared" si="115"/>
        <v>0</v>
      </c>
      <c r="G164" s="51">
        <f t="shared" si="119"/>
        <v>0</v>
      </c>
      <c r="H164" s="51">
        <f t="shared" si="119"/>
        <v>0</v>
      </c>
      <c r="I164" s="51">
        <f t="shared" si="119"/>
        <v>0</v>
      </c>
      <c r="J164" s="51">
        <f t="shared" si="119"/>
        <v>0</v>
      </c>
      <c r="K164" s="51">
        <f t="shared" si="119"/>
        <v>0</v>
      </c>
      <c r="L164" s="77">
        <v>750</v>
      </c>
      <c r="M164" s="51">
        <f t="shared" si="119"/>
        <v>0</v>
      </c>
      <c r="N164" s="51">
        <f t="shared" si="119"/>
        <v>0</v>
      </c>
      <c r="O164" s="51">
        <f t="shared" si="119"/>
        <v>0</v>
      </c>
      <c r="P164" s="51">
        <f t="shared" si="119"/>
        <v>0</v>
      </c>
      <c r="Q164" s="51">
        <f t="shared" si="119"/>
        <v>0</v>
      </c>
      <c r="R164" s="51">
        <f t="shared" si="119"/>
        <v>0</v>
      </c>
      <c r="S164" s="51">
        <f t="shared" si="119"/>
        <v>0</v>
      </c>
      <c r="T164" s="51">
        <f t="shared" si="119"/>
        <v>0</v>
      </c>
      <c r="U164" s="51">
        <f t="shared" si="119"/>
        <v>0</v>
      </c>
      <c r="V164" s="51">
        <f t="shared" si="119"/>
        <v>0</v>
      </c>
      <c r="W164" s="51">
        <f t="shared" ref="W164:W180" si="121">IF(W209&gt;0,W29/W209,0)</f>
        <v>0</v>
      </c>
      <c r="X164" s="55">
        <f t="shared" si="119"/>
        <v>0</v>
      </c>
      <c r="Y164" s="59">
        <f t="shared" si="119"/>
        <v>0</v>
      </c>
      <c r="Z164" s="51">
        <f t="shared" si="119"/>
        <v>0</v>
      </c>
      <c r="AA164" s="51">
        <f t="shared" si="119"/>
        <v>750</v>
      </c>
      <c r="AC164" s="30" t="s">
        <v>60</v>
      </c>
      <c r="AD164" s="32" t="s">
        <v>65</v>
      </c>
      <c r="AE164" s="31" t="s">
        <v>68</v>
      </c>
      <c r="AF164" s="2"/>
      <c r="AG164" s="2"/>
      <c r="AH164" s="1" t="str">
        <f t="shared" si="77"/>
        <v/>
      </c>
      <c r="AI164" s="1" t="str">
        <f t="shared" si="78"/>
        <v/>
      </c>
      <c r="AJ164" s="1" t="str">
        <f t="shared" si="79"/>
        <v/>
      </c>
      <c r="AK164" s="1" t="str">
        <f t="shared" si="80"/>
        <v/>
      </c>
      <c r="AL164" s="1" t="str">
        <f t="shared" si="81"/>
        <v/>
      </c>
      <c r="AM164" s="1" t="str">
        <f t="shared" si="82"/>
        <v/>
      </c>
      <c r="AN164" s="52">
        <f t="shared" si="83"/>
        <v>67.5</v>
      </c>
      <c r="AO164" s="1" t="str">
        <f t="shared" si="84"/>
        <v/>
      </c>
      <c r="AP164" s="1" t="str">
        <f t="shared" si="85"/>
        <v/>
      </c>
      <c r="AQ164" s="1" t="str">
        <f t="shared" si="86"/>
        <v/>
      </c>
      <c r="AR164" s="1" t="str">
        <f t="shared" si="87"/>
        <v/>
      </c>
      <c r="AS164" s="1" t="str">
        <f t="shared" si="88"/>
        <v/>
      </c>
      <c r="AT164" s="1" t="str">
        <f t="shared" si="89"/>
        <v/>
      </c>
      <c r="AU164" s="1" t="str">
        <f t="shared" si="90"/>
        <v/>
      </c>
      <c r="AV164" s="1" t="str">
        <f t="shared" si="91"/>
        <v/>
      </c>
      <c r="AW164" s="1" t="str">
        <f t="shared" si="92"/>
        <v/>
      </c>
      <c r="AX164" s="1" t="str">
        <f t="shared" ref="AX164:BC164" si="122">IF(V209&gt;0,V74/V209,"")</f>
        <v/>
      </c>
      <c r="AY164" s="1" t="str">
        <f t="shared" si="122"/>
        <v/>
      </c>
      <c r="AZ164" s="1" t="str">
        <f t="shared" si="122"/>
        <v/>
      </c>
      <c r="BA164" s="1" t="str">
        <f t="shared" si="122"/>
        <v/>
      </c>
      <c r="BB164" s="1" t="str">
        <f t="shared" si="122"/>
        <v/>
      </c>
      <c r="BC164" s="1">
        <f t="shared" si="122"/>
        <v>67.5</v>
      </c>
    </row>
    <row r="165" spans="1:55" x14ac:dyDescent="0.25">
      <c r="A165" s="30" t="s">
        <v>60</v>
      </c>
      <c r="B165" s="32" t="s">
        <v>9</v>
      </c>
      <c r="C165" s="31" t="s">
        <v>69</v>
      </c>
      <c r="D165" s="2"/>
      <c r="E165" s="2"/>
      <c r="F165" s="51">
        <f t="shared" si="115"/>
        <v>0</v>
      </c>
      <c r="G165" s="51">
        <f t="shared" si="119"/>
        <v>0</v>
      </c>
      <c r="H165" s="51">
        <f t="shared" si="119"/>
        <v>0</v>
      </c>
      <c r="I165" s="51">
        <f t="shared" si="119"/>
        <v>0</v>
      </c>
      <c r="J165" s="51">
        <f t="shared" si="119"/>
        <v>0</v>
      </c>
      <c r="K165" s="51">
        <f t="shared" si="119"/>
        <v>0</v>
      </c>
      <c r="L165" s="52">
        <f t="shared" si="119"/>
        <v>0</v>
      </c>
      <c r="M165" s="51">
        <f t="shared" si="119"/>
        <v>0</v>
      </c>
      <c r="N165" s="51">
        <f t="shared" si="119"/>
        <v>0</v>
      </c>
      <c r="O165" s="51">
        <f t="shared" si="119"/>
        <v>0</v>
      </c>
      <c r="P165" s="51">
        <f t="shared" si="119"/>
        <v>0</v>
      </c>
      <c r="Q165" s="51">
        <f t="shared" si="119"/>
        <v>0</v>
      </c>
      <c r="R165" s="51">
        <f t="shared" si="119"/>
        <v>0</v>
      </c>
      <c r="S165" s="51">
        <f t="shared" si="119"/>
        <v>0</v>
      </c>
      <c r="T165" s="51">
        <f t="shared" si="119"/>
        <v>0</v>
      </c>
      <c r="U165" s="51">
        <f t="shared" si="119"/>
        <v>0</v>
      </c>
      <c r="V165" s="51">
        <f t="shared" si="119"/>
        <v>0</v>
      </c>
      <c r="W165" s="51">
        <f t="shared" si="121"/>
        <v>0</v>
      </c>
      <c r="X165" s="79">
        <v>426</v>
      </c>
      <c r="Y165" s="59">
        <f t="shared" si="119"/>
        <v>0</v>
      </c>
      <c r="Z165" s="51">
        <f t="shared" si="119"/>
        <v>643.56672000000003</v>
      </c>
      <c r="AA165" s="51">
        <f t="shared" si="119"/>
        <v>643.56672000000003</v>
      </c>
      <c r="AC165" s="30" t="s">
        <v>60</v>
      </c>
      <c r="AD165" s="32" t="s">
        <v>9</v>
      </c>
      <c r="AE165" s="31" t="s">
        <v>69</v>
      </c>
      <c r="AF165" s="2"/>
      <c r="AG165" s="2"/>
      <c r="AH165" s="1" t="str">
        <f t="shared" si="77"/>
        <v/>
      </c>
      <c r="AI165" s="1" t="str">
        <f t="shared" si="78"/>
        <v/>
      </c>
      <c r="AJ165" s="1" t="str">
        <f t="shared" si="79"/>
        <v/>
      </c>
      <c r="AK165" s="1" t="str">
        <f t="shared" si="80"/>
        <v/>
      </c>
      <c r="AL165" s="1" t="str">
        <f t="shared" si="81"/>
        <v/>
      </c>
      <c r="AM165" s="1" t="str">
        <f t="shared" si="82"/>
        <v/>
      </c>
      <c r="AN165" s="52" t="str">
        <f t="shared" si="83"/>
        <v/>
      </c>
      <c r="AO165" s="1" t="str">
        <f t="shared" si="84"/>
        <v/>
      </c>
      <c r="AP165" s="1" t="str">
        <f t="shared" si="85"/>
        <v/>
      </c>
      <c r="AQ165" s="1" t="str">
        <f t="shared" si="86"/>
        <v/>
      </c>
      <c r="AR165" s="1" t="str">
        <f t="shared" si="87"/>
        <v/>
      </c>
      <c r="AS165" s="1" t="str">
        <f t="shared" si="88"/>
        <v/>
      </c>
      <c r="AT165" s="1" t="str">
        <f t="shared" si="89"/>
        <v/>
      </c>
      <c r="AU165" s="1" t="str">
        <f t="shared" si="90"/>
        <v/>
      </c>
      <c r="AV165" s="1" t="str">
        <f t="shared" si="91"/>
        <v/>
      </c>
      <c r="AW165" s="1" t="str">
        <f t="shared" si="92"/>
        <v/>
      </c>
      <c r="AX165" s="1" t="str">
        <f t="shared" ref="AX165:BC165" si="123">IF(V210&gt;0,V75/V210,"")</f>
        <v/>
      </c>
      <c r="AY165" s="1" t="str">
        <f t="shared" si="123"/>
        <v/>
      </c>
      <c r="AZ165" s="1">
        <f t="shared" si="123"/>
        <v>178.92000000000002</v>
      </c>
      <c r="BA165" s="1" t="str">
        <f t="shared" si="123"/>
        <v/>
      </c>
      <c r="BB165" s="1">
        <f t="shared" si="123"/>
        <v>396.48671999999999</v>
      </c>
      <c r="BC165" s="1">
        <f t="shared" si="123"/>
        <v>396.48671999999999</v>
      </c>
    </row>
    <row r="166" spans="1:55" x14ac:dyDescent="0.25">
      <c r="A166" s="15" t="s">
        <v>51</v>
      </c>
      <c r="B166" s="16" t="s">
        <v>56</v>
      </c>
      <c r="C166" s="27" t="s">
        <v>57</v>
      </c>
      <c r="D166" s="16" t="s">
        <v>70</v>
      </c>
      <c r="E166" s="16"/>
      <c r="F166" s="1">
        <f t="shared" si="115"/>
        <v>0</v>
      </c>
      <c r="G166" s="1">
        <f t="shared" si="119"/>
        <v>0</v>
      </c>
      <c r="H166" s="1">
        <f t="shared" si="119"/>
        <v>0</v>
      </c>
      <c r="I166" s="1">
        <f t="shared" si="119"/>
        <v>0</v>
      </c>
      <c r="J166" s="1">
        <f t="shared" si="119"/>
        <v>0</v>
      </c>
      <c r="K166" s="1">
        <f t="shared" si="119"/>
        <v>0</v>
      </c>
      <c r="L166" s="52">
        <f t="shared" si="119"/>
        <v>0</v>
      </c>
      <c r="M166" s="1">
        <f t="shared" si="119"/>
        <v>0</v>
      </c>
      <c r="N166" s="1">
        <f t="shared" si="119"/>
        <v>0</v>
      </c>
      <c r="O166" s="1">
        <f t="shared" si="119"/>
        <v>0</v>
      </c>
      <c r="P166" s="1">
        <f t="shared" si="119"/>
        <v>0</v>
      </c>
      <c r="Q166" s="1">
        <f t="shared" si="119"/>
        <v>0</v>
      </c>
      <c r="R166" s="1">
        <f t="shared" si="119"/>
        <v>0</v>
      </c>
      <c r="S166" s="1">
        <f t="shared" si="119"/>
        <v>0</v>
      </c>
      <c r="T166" s="1">
        <f t="shared" si="119"/>
        <v>0</v>
      </c>
      <c r="U166" s="1">
        <f t="shared" si="119"/>
        <v>0</v>
      </c>
      <c r="V166" s="1">
        <f t="shared" si="119"/>
        <v>0</v>
      </c>
      <c r="W166" s="1">
        <f t="shared" si="121"/>
        <v>0</v>
      </c>
      <c r="X166" s="54">
        <f t="shared" si="119"/>
        <v>0</v>
      </c>
      <c r="Y166" s="58">
        <f t="shared" si="119"/>
        <v>0</v>
      </c>
      <c r="Z166" s="1">
        <f t="shared" si="119"/>
        <v>0</v>
      </c>
      <c r="AA166" s="1">
        <f t="shared" si="119"/>
        <v>0</v>
      </c>
      <c r="AC166" s="15" t="s">
        <v>51</v>
      </c>
      <c r="AD166" s="16" t="s">
        <v>56</v>
      </c>
      <c r="AE166" s="27" t="s">
        <v>57</v>
      </c>
      <c r="AF166" s="16" t="s">
        <v>70</v>
      </c>
      <c r="AG166" s="16"/>
      <c r="AH166" s="90" t="str">
        <f t="shared" si="77"/>
        <v/>
      </c>
      <c r="AI166" s="90" t="str">
        <f t="shared" si="78"/>
        <v/>
      </c>
      <c r="AJ166" s="90" t="str">
        <f t="shared" si="79"/>
        <v/>
      </c>
      <c r="AK166" s="90" t="str">
        <f t="shared" si="80"/>
        <v/>
      </c>
      <c r="AL166" s="90" t="str">
        <f t="shared" si="81"/>
        <v/>
      </c>
      <c r="AM166" s="90" t="str">
        <f t="shared" si="82"/>
        <v/>
      </c>
      <c r="AN166" s="90" t="str">
        <f t="shared" si="83"/>
        <v/>
      </c>
      <c r="AO166" s="90" t="str">
        <f t="shared" si="84"/>
        <v/>
      </c>
      <c r="AP166" s="90" t="str">
        <f t="shared" si="85"/>
        <v/>
      </c>
      <c r="AQ166" s="90" t="str">
        <f t="shared" si="86"/>
        <v/>
      </c>
      <c r="AR166" s="90" t="str">
        <f t="shared" si="87"/>
        <v/>
      </c>
      <c r="AS166" s="90" t="str">
        <f t="shared" si="88"/>
        <v/>
      </c>
      <c r="AT166" s="90" t="str">
        <f t="shared" si="89"/>
        <v/>
      </c>
      <c r="AU166" s="90" t="str">
        <f t="shared" si="90"/>
        <v/>
      </c>
      <c r="AV166" s="90" t="str">
        <f t="shared" si="91"/>
        <v/>
      </c>
      <c r="AW166" s="90" t="str">
        <f t="shared" si="92"/>
        <v/>
      </c>
      <c r="AX166" s="90" t="str">
        <f t="shared" ref="AX166:BC166" si="124">IF(V211&gt;0,V76/V211,"")</f>
        <v/>
      </c>
      <c r="AY166" s="90" t="str">
        <f t="shared" si="124"/>
        <v/>
      </c>
      <c r="AZ166" s="90" t="str">
        <f t="shared" si="124"/>
        <v/>
      </c>
      <c r="BA166" s="90" t="str">
        <f t="shared" si="124"/>
        <v/>
      </c>
      <c r="BB166" s="90" t="str">
        <f t="shared" si="124"/>
        <v/>
      </c>
      <c r="BC166" s="90" t="str">
        <f t="shared" si="124"/>
        <v/>
      </c>
    </row>
    <row r="167" spans="1:55" x14ac:dyDescent="0.25">
      <c r="A167" s="15" t="s">
        <v>51</v>
      </c>
      <c r="B167" s="16" t="s">
        <v>56</v>
      </c>
      <c r="C167" s="27" t="s">
        <v>57</v>
      </c>
      <c r="D167" s="16" t="s">
        <v>71</v>
      </c>
      <c r="E167" s="16"/>
      <c r="F167" s="1">
        <f t="shared" si="115"/>
        <v>0</v>
      </c>
      <c r="G167" s="1">
        <f t="shared" si="119"/>
        <v>0</v>
      </c>
      <c r="H167" s="1">
        <f t="shared" si="119"/>
        <v>0</v>
      </c>
      <c r="I167" s="1">
        <f t="shared" si="119"/>
        <v>0</v>
      </c>
      <c r="J167" s="1">
        <f t="shared" si="119"/>
        <v>0</v>
      </c>
      <c r="K167" s="1">
        <f t="shared" si="119"/>
        <v>0</v>
      </c>
      <c r="L167" s="52">
        <f t="shared" si="119"/>
        <v>0</v>
      </c>
      <c r="M167" s="1">
        <f t="shared" si="119"/>
        <v>0</v>
      </c>
      <c r="N167" s="1">
        <f t="shared" si="119"/>
        <v>0</v>
      </c>
      <c r="O167" s="1">
        <f t="shared" si="119"/>
        <v>0</v>
      </c>
      <c r="P167" s="1">
        <f t="shared" si="119"/>
        <v>0</v>
      </c>
      <c r="Q167" s="1">
        <f t="shared" si="119"/>
        <v>0</v>
      </c>
      <c r="R167" s="1">
        <f t="shared" si="119"/>
        <v>0</v>
      </c>
      <c r="S167" s="1">
        <f t="shared" si="119"/>
        <v>0</v>
      </c>
      <c r="T167" s="1">
        <f t="shared" si="119"/>
        <v>0</v>
      </c>
      <c r="U167" s="1">
        <f t="shared" si="119"/>
        <v>0</v>
      </c>
      <c r="V167" s="1">
        <f t="shared" si="119"/>
        <v>0</v>
      </c>
      <c r="W167" s="1">
        <f t="shared" si="121"/>
        <v>0</v>
      </c>
      <c r="X167" s="54">
        <f t="shared" si="119"/>
        <v>0</v>
      </c>
      <c r="Y167" s="58">
        <f t="shared" si="119"/>
        <v>0</v>
      </c>
      <c r="Z167" s="1">
        <f t="shared" si="119"/>
        <v>0</v>
      </c>
      <c r="AA167" s="1">
        <f t="shared" si="119"/>
        <v>0</v>
      </c>
      <c r="AC167" s="15" t="s">
        <v>51</v>
      </c>
      <c r="AD167" s="16" t="s">
        <v>56</v>
      </c>
      <c r="AE167" s="27" t="s">
        <v>57</v>
      </c>
      <c r="AF167" s="16" t="s">
        <v>71</v>
      </c>
      <c r="AG167" s="16"/>
      <c r="AH167" s="90" t="str">
        <f t="shared" si="77"/>
        <v/>
      </c>
      <c r="AI167" s="90" t="str">
        <f t="shared" si="78"/>
        <v/>
      </c>
      <c r="AJ167" s="90" t="str">
        <f t="shared" si="79"/>
        <v/>
      </c>
      <c r="AK167" s="90" t="str">
        <f t="shared" si="80"/>
        <v/>
      </c>
      <c r="AL167" s="90" t="str">
        <f t="shared" si="81"/>
        <v/>
      </c>
      <c r="AM167" s="90" t="str">
        <f t="shared" si="82"/>
        <v/>
      </c>
      <c r="AN167" s="90" t="str">
        <f t="shared" si="83"/>
        <v/>
      </c>
      <c r="AO167" s="90" t="str">
        <f t="shared" si="84"/>
        <v/>
      </c>
      <c r="AP167" s="90" t="str">
        <f t="shared" si="85"/>
        <v/>
      </c>
      <c r="AQ167" s="90" t="str">
        <f t="shared" si="86"/>
        <v/>
      </c>
      <c r="AR167" s="90" t="str">
        <f t="shared" si="87"/>
        <v/>
      </c>
      <c r="AS167" s="90" t="str">
        <f t="shared" si="88"/>
        <v/>
      </c>
      <c r="AT167" s="90" t="str">
        <f t="shared" si="89"/>
        <v/>
      </c>
      <c r="AU167" s="90" t="str">
        <f t="shared" si="90"/>
        <v/>
      </c>
      <c r="AV167" s="90" t="str">
        <f t="shared" si="91"/>
        <v/>
      </c>
      <c r="AW167" s="90" t="str">
        <f t="shared" si="92"/>
        <v/>
      </c>
      <c r="AX167" s="90" t="str">
        <f t="shared" ref="AX167:BC167" si="125">IF(V212&gt;0,V77/V212,"")</f>
        <v/>
      </c>
      <c r="AY167" s="90" t="str">
        <f t="shared" si="125"/>
        <v/>
      </c>
      <c r="AZ167" s="90" t="str">
        <f t="shared" si="125"/>
        <v/>
      </c>
      <c r="BA167" s="90" t="str">
        <f t="shared" si="125"/>
        <v/>
      </c>
      <c r="BB167" s="90" t="str">
        <f t="shared" si="125"/>
        <v/>
      </c>
      <c r="BC167" s="90" t="str">
        <f t="shared" si="125"/>
        <v/>
      </c>
    </row>
    <row r="168" spans="1:55" x14ac:dyDescent="0.25">
      <c r="A168" s="15" t="s">
        <v>51</v>
      </c>
      <c r="B168" s="16" t="s">
        <v>56</v>
      </c>
      <c r="C168" s="27" t="s">
        <v>27</v>
      </c>
      <c r="D168" s="16" t="s">
        <v>72</v>
      </c>
      <c r="E168" s="16"/>
      <c r="F168" s="1">
        <f t="shared" si="115"/>
        <v>0</v>
      </c>
      <c r="G168" s="1">
        <f t="shared" si="119"/>
        <v>0</v>
      </c>
      <c r="H168" s="1">
        <f t="shared" si="119"/>
        <v>0</v>
      </c>
      <c r="I168" s="1">
        <f t="shared" si="119"/>
        <v>0</v>
      </c>
      <c r="J168" s="1">
        <f t="shared" si="119"/>
        <v>0</v>
      </c>
      <c r="K168" s="1">
        <f t="shared" si="119"/>
        <v>0</v>
      </c>
      <c r="L168" s="52">
        <f t="shared" si="119"/>
        <v>0</v>
      </c>
      <c r="M168" s="1">
        <f t="shared" si="119"/>
        <v>0</v>
      </c>
      <c r="N168" s="1">
        <f t="shared" si="119"/>
        <v>0</v>
      </c>
      <c r="O168" s="1">
        <f t="shared" si="119"/>
        <v>0</v>
      </c>
      <c r="P168" s="1">
        <f t="shared" si="119"/>
        <v>0</v>
      </c>
      <c r="Q168" s="1">
        <f t="shared" si="119"/>
        <v>0</v>
      </c>
      <c r="R168" s="1">
        <f t="shared" si="119"/>
        <v>0</v>
      </c>
      <c r="S168" s="1">
        <f t="shared" si="119"/>
        <v>0</v>
      </c>
      <c r="T168" s="1">
        <f t="shared" si="119"/>
        <v>0</v>
      </c>
      <c r="U168" s="1">
        <f t="shared" si="119"/>
        <v>0</v>
      </c>
      <c r="V168" s="1">
        <f t="shared" si="119"/>
        <v>0</v>
      </c>
      <c r="W168" s="1">
        <f t="shared" si="121"/>
        <v>0</v>
      </c>
      <c r="X168" s="54">
        <f t="shared" si="119"/>
        <v>0</v>
      </c>
      <c r="Y168" s="58">
        <f t="shared" si="119"/>
        <v>0</v>
      </c>
      <c r="Z168" s="1">
        <f t="shared" si="119"/>
        <v>0</v>
      </c>
      <c r="AA168" s="1">
        <f t="shared" si="119"/>
        <v>0</v>
      </c>
      <c r="AC168" s="15" t="s">
        <v>51</v>
      </c>
      <c r="AD168" s="16" t="s">
        <v>56</v>
      </c>
      <c r="AE168" s="27" t="s">
        <v>27</v>
      </c>
      <c r="AF168" s="16" t="s">
        <v>72</v>
      </c>
      <c r="AG168" s="16"/>
      <c r="AH168" s="90" t="str">
        <f t="shared" si="77"/>
        <v/>
      </c>
      <c r="AI168" s="90" t="str">
        <f t="shared" si="78"/>
        <v/>
      </c>
      <c r="AJ168" s="90" t="str">
        <f t="shared" si="79"/>
        <v/>
      </c>
      <c r="AK168" s="90" t="str">
        <f t="shared" si="80"/>
        <v/>
      </c>
      <c r="AL168" s="90" t="str">
        <f t="shared" si="81"/>
        <v/>
      </c>
      <c r="AM168" s="90" t="str">
        <f t="shared" si="82"/>
        <v/>
      </c>
      <c r="AN168" s="90" t="str">
        <f t="shared" si="83"/>
        <v/>
      </c>
      <c r="AO168" s="90" t="str">
        <f t="shared" si="84"/>
        <v/>
      </c>
      <c r="AP168" s="90" t="str">
        <f t="shared" si="85"/>
        <v/>
      </c>
      <c r="AQ168" s="90" t="str">
        <f t="shared" si="86"/>
        <v/>
      </c>
      <c r="AR168" s="90" t="str">
        <f t="shared" si="87"/>
        <v/>
      </c>
      <c r="AS168" s="90" t="str">
        <f t="shared" si="88"/>
        <v/>
      </c>
      <c r="AT168" s="90" t="str">
        <f t="shared" si="89"/>
        <v/>
      </c>
      <c r="AU168" s="90" t="str">
        <f t="shared" si="90"/>
        <v/>
      </c>
      <c r="AV168" s="90" t="str">
        <f t="shared" si="91"/>
        <v/>
      </c>
      <c r="AW168" s="90" t="str">
        <f t="shared" si="92"/>
        <v/>
      </c>
      <c r="AX168" s="90" t="str">
        <f t="shared" ref="AX168:BC168" si="126">IF(V213&gt;0,V78/V213,"")</f>
        <v/>
      </c>
      <c r="AY168" s="90" t="str">
        <f t="shared" si="126"/>
        <v/>
      </c>
      <c r="AZ168" s="90" t="str">
        <f t="shared" si="126"/>
        <v/>
      </c>
      <c r="BA168" s="90" t="str">
        <f t="shared" si="126"/>
        <v/>
      </c>
      <c r="BB168" s="90" t="str">
        <f t="shared" si="126"/>
        <v/>
      </c>
      <c r="BC168" s="90" t="str">
        <f t="shared" si="126"/>
        <v/>
      </c>
    </row>
    <row r="169" spans="1:55" x14ac:dyDescent="0.25">
      <c r="A169" s="15" t="s">
        <v>51</v>
      </c>
      <c r="B169" s="16" t="s">
        <v>56</v>
      </c>
      <c r="C169" s="27" t="s">
        <v>57</v>
      </c>
      <c r="D169" s="16" t="s">
        <v>73</v>
      </c>
      <c r="E169" s="16"/>
      <c r="F169" s="1">
        <f t="shared" si="115"/>
        <v>0</v>
      </c>
      <c r="G169" s="1">
        <f t="shared" si="119"/>
        <v>0</v>
      </c>
      <c r="H169" s="1">
        <f t="shared" si="119"/>
        <v>0</v>
      </c>
      <c r="I169" s="1">
        <f t="shared" si="119"/>
        <v>0</v>
      </c>
      <c r="J169" s="1">
        <f t="shared" si="119"/>
        <v>0</v>
      </c>
      <c r="K169" s="1">
        <f t="shared" si="119"/>
        <v>0</v>
      </c>
      <c r="L169" s="52">
        <f t="shared" si="119"/>
        <v>0</v>
      </c>
      <c r="M169" s="1">
        <f t="shared" si="119"/>
        <v>0</v>
      </c>
      <c r="N169" s="1">
        <f t="shared" si="119"/>
        <v>0</v>
      </c>
      <c r="O169" s="1">
        <f t="shared" si="119"/>
        <v>0</v>
      </c>
      <c r="P169" s="1">
        <f t="shared" si="119"/>
        <v>0</v>
      </c>
      <c r="Q169" s="1">
        <f t="shared" si="119"/>
        <v>0</v>
      </c>
      <c r="R169" s="1">
        <f t="shared" si="119"/>
        <v>0</v>
      </c>
      <c r="S169" s="1">
        <f t="shared" si="119"/>
        <v>0</v>
      </c>
      <c r="T169" s="1">
        <f t="shared" si="119"/>
        <v>0</v>
      </c>
      <c r="U169" s="1">
        <f t="shared" si="119"/>
        <v>0</v>
      </c>
      <c r="V169" s="1">
        <f t="shared" si="119"/>
        <v>0</v>
      </c>
      <c r="W169" s="1">
        <f t="shared" si="121"/>
        <v>0</v>
      </c>
      <c r="X169" s="54">
        <f t="shared" si="119"/>
        <v>0</v>
      </c>
      <c r="Y169" s="58">
        <f t="shared" si="119"/>
        <v>0</v>
      </c>
      <c r="Z169" s="1">
        <f t="shared" si="119"/>
        <v>0</v>
      </c>
      <c r="AA169" s="1">
        <f t="shared" si="119"/>
        <v>0</v>
      </c>
      <c r="AC169" s="15" t="s">
        <v>51</v>
      </c>
      <c r="AD169" s="16" t="s">
        <v>56</v>
      </c>
      <c r="AE169" s="27" t="s">
        <v>57</v>
      </c>
      <c r="AF169" s="16" t="s">
        <v>73</v>
      </c>
      <c r="AG169" s="16"/>
      <c r="AH169" s="90" t="str">
        <f t="shared" si="77"/>
        <v/>
      </c>
      <c r="AI169" s="90" t="str">
        <f t="shared" si="78"/>
        <v/>
      </c>
      <c r="AJ169" s="90" t="str">
        <f t="shared" si="79"/>
        <v/>
      </c>
      <c r="AK169" s="90" t="str">
        <f t="shared" si="80"/>
        <v/>
      </c>
      <c r="AL169" s="90" t="str">
        <f t="shared" si="81"/>
        <v/>
      </c>
      <c r="AM169" s="90" t="str">
        <f t="shared" si="82"/>
        <v/>
      </c>
      <c r="AN169" s="90" t="str">
        <f t="shared" si="83"/>
        <v/>
      </c>
      <c r="AO169" s="90" t="str">
        <f t="shared" si="84"/>
        <v/>
      </c>
      <c r="AP169" s="90" t="str">
        <f t="shared" si="85"/>
        <v/>
      </c>
      <c r="AQ169" s="90" t="str">
        <f t="shared" si="86"/>
        <v/>
      </c>
      <c r="AR169" s="90" t="str">
        <f t="shared" si="87"/>
        <v/>
      </c>
      <c r="AS169" s="90" t="str">
        <f t="shared" si="88"/>
        <v/>
      </c>
      <c r="AT169" s="90" t="str">
        <f t="shared" si="89"/>
        <v/>
      </c>
      <c r="AU169" s="90" t="str">
        <f t="shared" si="90"/>
        <v/>
      </c>
      <c r="AV169" s="90" t="str">
        <f t="shared" si="91"/>
        <v/>
      </c>
      <c r="AW169" s="90" t="str">
        <f t="shared" si="92"/>
        <v/>
      </c>
      <c r="AX169" s="90" t="str">
        <f t="shared" ref="AX169:BC169" si="127">IF(V214&gt;0,V79/V214,"")</f>
        <v/>
      </c>
      <c r="AY169" s="90" t="str">
        <f t="shared" si="127"/>
        <v/>
      </c>
      <c r="AZ169" s="90" t="str">
        <f t="shared" si="127"/>
        <v/>
      </c>
      <c r="BA169" s="90" t="str">
        <f t="shared" si="127"/>
        <v/>
      </c>
      <c r="BB169" s="90" t="str">
        <f t="shared" si="127"/>
        <v/>
      </c>
      <c r="BC169" s="90" t="str">
        <f t="shared" si="127"/>
        <v/>
      </c>
    </row>
    <row r="170" spans="1:55" x14ac:dyDescent="0.25">
      <c r="A170" s="15" t="s">
        <v>51</v>
      </c>
      <c r="B170" s="16" t="s">
        <v>56</v>
      </c>
      <c r="C170" s="27" t="s">
        <v>57</v>
      </c>
      <c r="D170" s="16" t="s">
        <v>74</v>
      </c>
      <c r="E170" s="16"/>
      <c r="F170" s="1">
        <f t="shared" si="115"/>
        <v>0</v>
      </c>
      <c r="G170" s="1">
        <f t="shared" si="119"/>
        <v>0</v>
      </c>
      <c r="H170" s="1">
        <f t="shared" si="119"/>
        <v>0</v>
      </c>
      <c r="I170" s="1">
        <f t="shared" si="119"/>
        <v>0</v>
      </c>
      <c r="J170" s="1">
        <f t="shared" si="119"/>
        <v>0</v>
      </c>
      <c r="K170" s="1">
        <f t="shared" si="119"/>
        <v>0</v>
      </c>
      <c r="L170" s="52">
        <f t="shared" si="119"/>
        <v>0</v>
      </c>
      <c r="M170" s="1">
        <f t="shared" si="119"/>
        <v>0</v>
      </c>
      <c r="N170" s="1">
        <f t="shared" si="119"/>
        <v>0</v>
      </c>
      <c r="O170" s="1">
        <f t="shared" si="119"/>
        <v>0</v>
      </c>
      <c r="P170" s="1">
        <f t="shared" si="119"/>
        <v>0</v>
      </c>
      <c r="Q170" s="1">
        <f t="shared" si="119"/>
        <v>0</v>
      </c>
      <c r="R170" s="1">
        <f t="shared" si="119"/>
        <v>0</v>
      </c>
      <c r="S170" s="1">
        <f t="shared" si="119"/>
        <v>0</v>
      </c>
      <c r="T170" s="1">
        <f t="shared" si="119"/>
        <v>0</v>
      </c>
      <c r="U170" s="1">
        <f t="shared" si="119"/>
        <v>0</v>
      </c>
      <c r="V170" s="1">
        <f t="shared" si="119"/>
        <v>0</v>
      </c>
      <c r="W170" s="1">
        <f t="shared" si="121"/>
        <v>0</v>
      </c>
      <c r="X170" s="54">
        <f t="shared" si="119"/>
        <v>0</v>
      </c>
      <c r="Y170" s="58">
        <f t="shared" si="119"/>
        <v>0</v>
      </c>
      <c r="Z170" s="1">
        <f t="shared" si="119"/>
        <v>0</v>
      </c>
      <c r="AA170" s="1">
        <f t="shared" si="119"/>
        <v>0</v>
      </c>
      <c r="AC170" s="15" t="s">
        <v>51</v>
      </c>
      <c r="AD170" s="16" t="s">
        <v>56</v>
      </c>
      <c r="AE170" s="27" t="s">
        <v>57</v>
      </c>
      <c r="AF170" s="16" t="s">
        <v>74</v>
      </c>
      <c r="AG170" s="16"/>
      <c r="AH170" s="90" t="str">
        <f t="shared" si="77"/>
        <v/>
      </c>
      <c r="AI170" s="90" t="str">
        <f t="shared" si="78"/>
        <v/>
      </c>
      <c r="AJ170" s="90" t="str">
        <f t="shared" si="79"/>
        <v/>
      </c>
      <c r="AK170" s="90" t="str">
        <f t="shared" si="80"/>
        <v/>
      </c>
      <c r="AL170" s="90" t="str">
        <f t="shared" si="81"/>
        <v/>
      </c>
      <c r="AM170" s="90" t="str">
        <f t="shared" si="82"/>
        <v/>
      </c>
      <c r="AN170" s="90" t="str">
        <f t="shared" si="83"/>
        <v/>
      </c>
      <c r="AO170" s="90" t="str">
        <f t="shared" si="84"/>
        <v/>
      </c>
      <c r="AP170" s="90" t="str">
        <f t="shared" si="85"/>
        <v/>
      </c>
      <c r="AQ170" s="90" t="str">
        <f t="shared" si="86"/>
        <v/>
      </c>
      <c r="AR170" s="90" t="str">
        <f t="shared" si="87"/>
        <v/>
      </c>
      <c r="AS170" s="90" t="str">
        <f t="shared" si="88"/>
        <v/>
      </c>
      <c r="AT170" s="90" t="str">
        <f t="shared" si="89"/>
        <v/>
      </c>
      <c r="AU170" s="90" t="str">
        <f t="shared" si="90"/>
        <v/>
      </c>
      <c r="AV170" s="90" t="str">
        <f t="shared" si="91"/>
        <v/>
      </c>
      <c r="AW170" s="90" t="str">
        <f t="shared" si="92"/>
        <v/>
      </c>
      <c r="AX170" s="90" t="str">
        <f t="shared" ref="AX170:BC170" si="128">IF(V215&gt;0,V80/V215,"")</f>
        <v/>
      </c>
      <c r="AY170" s="90" t="str">
        <f t="shared" si="128"/>
        <v/>
      </c>
      <c r="AZ170" s="90" t="str">
        <f t="shared" si="128"/>
        <v/>
      </c>
      <c r="BA170" s="90" t="str">
        <f t="shared" si="128"/>
        <v/>
      </c>
      <c r="BB170" s="90" t="str">
        <f t="shared" si="128"/>
        <v/>
      </c>
      <c r="BC170" s="90" t="str">
        <f t="shared" si="128"/>
        <v/>
      </c>
    </row>
    <row r="171" spans="1:55" x14ac:dyDescent="0.25">
      <c r="A171" s="30" t="s">
        <v>60</v>
      </c>
      <c r="B171" s="31" t="s">
        <v>13</v>
      </c>
      <c r="C171" s="32" t="s">
        <v>61</v>
      </c>
      <c r="D171" s="31" t="s">
        <v>75</v>
      </c>
      <c r="E171" s="31"/>
      <c r="F171" s="51">
        <f t="shared" ref="F171:K171" si="129">F156</f>
        <v>54.306930693069312</v>
      </c>
      <c r="G171" s="51">
        <f t="shared" si="129"/>
        <v>0</v>
      </c>
      <c r="H171" s="51">
        <f t="shared" si="129"/>
        <v>4.5750000000000002</v>
      </c>
      <c r="I171" s="51">
        <f t="shared" si="129"/>
        <v>29</v>
      </c>
      <c r="J171" s="51">
        <f t="shared" si="129"/>
        <v>55.241935483870968</v>
      </c>
      <c r="K171" s="51">
        <f t="shared" si="129"/>
        <v>29</v>
      </c>
      <c r="L171" s="52">
        <f t="shared" si="119"/>
        <v>0</v>
      </c>
      <c r="M171" s="51">
        <f t="shared" si="119"/>
        <v>400</v>
      </c>
      <c r="N171" s="51">
        <f t="shared" si="119"/>
        <v>0</v>
      </c>
      <c r="O171" s="51">
        <f t="shared" si="119"/>
        <v>0</v>
      </c>
      <c r="P171" s="51">
        <f t="shared" si="119"/>
        <v>0</v>
      </c>
      <c r="Q171" s="51">
        <f t="shared" si="119"/>
        <v>0</v>
      </c>
      <c r="R171" s="51">
        <f t="shared" si="119"/>
        <v>0</v>
      </c>
      <c r="S171" s="51">
        <f t="shared" si="119"/>
        <v>0</v>
      </c>
      <c r="T171" s="51">
        <f t="shared" si="119"/>
        <v>0</v>
      </c>
      <c r="U171" s="51">
        <f t="shared" si="119"/>
        <v>0</v>
      </c>
      <c r="V171" s="51">
        <f t="shared" si="119"/>
        <v>0</v>
      </c>
      <c r="W171" s="51">
        <f t="shared" si="121"/>
        <v>426</v>
      </c>
      <c r="X171" s="55">
        <f t="shared" si="119"/>
        <v>0</v>
      </c>
      <c r="Y171" s="59">
        <f t="shared" si="119"/>
        <v>10.500683457829563</v>
      </c>
      <c r="Z171" s="51">
        <f t="shared" si="119"/>
        <v>423.06598507420074</v>
      </c>
      <c r="AA171" s="51">
        <f t="shared" si="119"/>
        <v>11.437346150407684</v>
      </c>
      <c r="AC171" s="30" t="s">
        <v>60</v>
      </c>
      <c r="AD171" s="31" t="s">
        <v>13</v>
      </c>
      <c r="AE171" s="32" t="s">
        <v>61</v>
      </c>
      <c r="AF171" s="31" t="s">
        <v>75</v>
      </c>
      <c r="AG171" s="31"/>
      <c r="AH171" s="1">
        <f t="shared" si="77"/>
        <v>11.237623762376238</v>
      </c>
      <c r="AI171" s="1" t="str">
        <f t="shared" si="78"/>
        <v/>
      </c>
      <c r="AJ171" s="1">
        <f t="shared" si="79"/>
        <v>1.9187500000000004</v>
      </c>
      <c r="AK171" s="1">
        <f t="shared" si="80"/>
        <v>8.3843537414965983</v>
      </c>
      <c r="AL171" s="1" t="str">
        <f t="shared" si="81"/>
        <v/>
      </c>
      <c r="AM171" s="1" t="str">
        <f t="shared" si="82"/>
        <v/>
      </c>
      <c r="AN171" s="52" t="str">
        <f t="shared" si="83"/>
        <v/>
      </c>
      <c r="AO171" s="1">
        <f t="shared" si="84"/>
        <v>172.68445839874411</v>
      </c>
      <c r="AP171" s="1" t="str">
        <f t="shared" si="85"/>
        <v/>
      </c>
      <c r="AQ171" s="1" t="str">
        <f t="shared" si="86"/>
        <v/>
      </c>
      <c r="AR171" s="1" t="str">
        <f t="shared" si="87"/>
        <v/>
      </c>
      <c r="AS171" s="1" t="str">
        <f t="shared" si="88"/>
        <v/>
      </c>
      <c r="AT171" s="1" t="str">
        <f t="shared" si="89"/>
        <v/>
      </c>
      <c r="AU171" s="1" t="str">
        <f t="shared" si="90"/>
        <v/>
      </c>
      <c r="AV171" s="1" t="str">
        <f t="shared" si="91"/>
        <v/>
      </c>
      <c r="AW171" s="1" t="str">
        <f t="shared" si="92"/>
        <v/>
      </c>
      <c r="AX171" s="1" t="str">
        <f t="shared" ref="AX171:BC171" si="130">IF(V216&gt;0,V81/V216,"")</f>
        <v/>
      </c>
      <c r="AY171" s="1">
        <f t="shared" si="130"/>
        <v>255.6</v>
      </c>
      <c r="AZ171" s="1" t="str">
        <f t="shared" si="130"/>
        <v/>
      </c>
      <c r="BA171" s="1">
        <f t="shared" si="130"/>
        <v>3.0400228723733136</v>
      </c>
      <c r="BB171" s="1">
        <f t="shared" si="130"/>
        <v>246.24325243696845</v>
      </c>
      <c r="BC171" s="1">
        <f t="shared" si="130"/>
        <v>3.5921764125648505</v>
      </c>
    </row>
    <row r="172" spans="1:55" x14ac:dyDescent="0.25">
      <c r="A172" s="30" t="s">
        <v>60</v>
      </c>
      <c r="B172" s="31" t="s">
        <v>13</v>
      </c>
      <c r="C172" s="32" t="s">
        <v>61</v>
      </c>
      <c r="D172" s="31" t="s">
        <v>76</v>
      </c>
      <c r="E172" s="31"/>
      <c r="F172" s="51">
        <f t="shared" ref="F172:K172" si="131">F156</f>
        <v>54.306930693069312</v>
      </c>
      <c r="G172" s="51">
        <f t="shared" si="131"/>
        <v>0</v>
      </c>
      <c r="H172" s="51">
        <f t="shared" si="131"/>
        <v>4.5750000000000002</v>
      </c>
      <c r="I172" s="51">
        <f t="shared" si="131"/>
        <v>29</v>
      </c>
      <c r="J172" s="51">
        <f t="shared" si="131"/>
        <v>55.241935483870968</v>
      </c>
      <c r="K172" s="51">
        <f t="shared" si="131"/>
        <v>29</v>
      </c>
      <c r="L172" s="52">
        <f t="shared" si="119"/>
        <v>0</v>
      </c>
      <c r="M172" s="51">
        <f t="shared" si="119"/>
        <v>400</v>
      </c>
      <c r="N172" s="51">
        <f t="shared" si="119"/>
        <v>870</v>
      </c>
      <c r="O172" s="51">
        <f>IF(O217&gt;0,O37/O217,0)</f>
        <v>10000.000000000002</v>
      </c>
      <c r="P172" s="51">
        <f t="shared" si="119"/>
        <v>28000</v>
      </c>
      <c r="Q172" s="51">
        <f t="shared" si="119"/>
        <v>0</v>
      </c>
      <c r="R172" s="51">
        <f>R156</f>
        <v>426</v>
      </c>
      <c r="S172" s="51">
        <f t="shared" si="119"/>
        <v>0</v>
      </c>
      <c r="T172" s="51">
        <f t="shared" si="119"/>
        <v>0</v>
      </c>
      <c r="U172" s="51">
        <f t="shared" si="119"/>
        <v>0</v>
      </c>
      <c r="V172" s="51">
        <f t="shared" si="119"/>
        <v>0</v>
      </c>
      <c r="W172" s="51">
        <f t="shared" si="121"/>
        <v>0</v>
      </c>
      <c r="X172" s="55">
        <f t="shared" si="119"/>
        <v>0</v>
      </c>
      <c r="Y172" s="59">
        <f t="shared" si="119"/>
        <v>40.225181558614004</v>
      </c>
      <c r="Z172" s="51">
        <f t="shared" si="119"/>
        <v>1081.1214829134947</v>
      </c>
      <c r="AA172" s="51">
        <f t="shared" si="119"/>
        <v>50.214387095656825</v>
      </c>
      <c r="AC172" s="30" t="s">
        <v>60</v>
      </c>
      <c r="AD172" s="31" t="s">
        <v>13</v>
      </c>
      <c r="AE172" s="32" t="s">
        <v>61</v>
      </c>
      <c r="AF172" s="31" t="s">
        <v>76</v>
      </c>
      <c r="AG172" s="31"/>
      <c r="AH172" s="1">
        <f t="shared" si="77"/>
        <v>11.237623762376238</v>
      </c>
      <c r="AI172" s="1" t="str">
        <f t="shared" si="78"/>
        <v/>
      </c>
      <c r="AJ172" s="1" t="str">
        <f t="shared" si="79"/>
        <v/>
      </c>
      <c r="AK172" s="1">
        <f t="shared" si="80"/>
        <v>8.3843537414966001</v>
      </c>
      <c r="AL172" s="1">
        <f t="shared" si="81"/>
        <v>21.774193548387096</v>
      </c>
      <c r="AM172" s="1">
        <f t="shared" si="82"/>
        <v>8.6999999999999993</v>
      </c>
      <c r="AN172" s="52" t="str">
        <f t="shared" si="83"/>
        <v/>
      </c>
      <c r="AO172" s="1">
        <f t="shared" si="84"/>
        <v>172.68445839874411</v>
      </c>
      <c r="AP172" s="1">
        <f t="shared" si="85"/>
        <v>587.83783783783781</v>
      </c>
      <c r="AQ172" s="1">
        <f t="shared" si="86"/>
        <v>5256.8697729988053</v>
      </c>
      <c r="AR172" s="1">
        <f t="shared" si="87"/>
        <v>11354.838709677419</v>
      </c>
      <c r="AS172" s="1" t="str">
        <f t="shared" si="88"/>
        <v/>
      </c>
      <c r="AT172" s="1">
        <f t="shared" si="89"/>
        <v>213</v>
      </c>
      <c r="AU172" s="1" t="str">
        <f t="shared" si="90"/>
        <v/>
      </c>
      <c r="AV172" s="1" t="str">
        <f t="shared" si="91"/>
        <v/>
      </c>
      <c r="AW172" s="1" t="str">
        <f t="shared" si="92"/>
        <v/>
      </c>
      <c r="AX172" s="1" t="str">
        <f t="shared" ref="AX172:BC172" si="132">IF(V217&gt;0,V82/V217,"")</f>
        <v/>
      </c>
      <c r="AY172" s="1" t="str">
        <f t="shared" si="132"/>
        <v/>
      </c>
      <c r="AZ172" s="1" t="str">
        <f t="shared" si="132"/>
        <v/>
      </c>
      <c r="BA172" s="1">
        <f t="shared" si="132"/>
        <v>11.594365675137366</v>
      </c>
      <c r="BB172" s="1">
        <f t="shared" si="132"/>
        <v>542.46546570430462</v>
      </c>
      <c r="BC172" s="1">
        <f t="shared" si="132"/>
        <v>16.688994722204548</v>
      </c>
    </row>
    <row r="173" spans="1:55" x14ac:dyDescent="0.25">
      <c r="A173" s="30" t="s">
        <v>60</v>
      </c>
      <c r="B173" s="31" t="s">
        <v>13</v>
      </c>
      <c r="C173" s="32" t="s">
        <v>61</v>
      </c>
      <c r="D173" s="31" t="s">
        <v>77</v>
      </c>
      <c r="E173" s="31"/>
      <c r="F173" s="51">
        <f t="shared" ref="F173:K173" si="133">F156</f>
        <v>54.306930693069312</v>
      </c>
      <c r="G173" s="51">
        <f t="shared" si="133"/>
        <v>0</v>
      </c>
      <c r="H173" s="51">
        <f t="shared" si="133"/>
        <v>4.5750000000000002</v>
      </c>
      <c r="I173" s="51">
        <f t="shared" si="133"/>
        <v>29</v>
      </c>
      <c r="J173" s="51">
        <f t="shared" si="133"/>
        <v>55.241935483870968</v>
      </c>
      <c r="K173" s="51">
        <f t="shared" si="133"/>
        <v>29</v>
      </c>
      <c r="L173" s="52">
        <f t="shared" si="119"/>
        <v>0</v>
      </c>
      <c r="M173" s="51">
        <f t="shared" si="119"/>
        <v>400</v>
      </c>
      <c r="N173" s="51">
        <f t="shared" si="119"/>
        <v>0</v>
      </c>
      <c r="O173" s="51">
        <f t="shared" si="119"/>
        <v>0</v>
      </c>
      <c r="P173" s="51">
        <f t="shared" si="119"/>
        <v>0</v>
      </c>
      <c r="Q173" s="51">
        <f t="shared" si="119"/>
        <v>0</v>
      </c>
      <c r="R173" s="51">
        <f t="shared" si="119"/>
        <v>0</v>
      </c>
      <c r="S173" s="51">
        <f t="shared" si="119"/>
        <v>0</v>
      </c>
      <c r="T173" s="51">
        <f t="shared" si="119"/>
        <v>213</v>
      </c>
      <c r="U173" s="51">
        <f t="shared" si="119"/>
        <v>426</v>
      </c>
      <c r="V173" s="51">
        <f t="shared" si="119"/>
        <v>0</v>
      </c>
      <c r="W173" s="51">
        <f t="shared" si="121"/>
        <v>0</v>
      </c>
      <c r="X173" s="55">
        <f t="shared" si="119"/>
        <v>0</v>
      </c>
      <c r="Y173" s="59">
        <f t="shared" si="119"/>
        <v>28.999999999999996</v>
      </c>
      <c r="Z173" s="51">
        <f t="shared" si="119"/>
        <v>396.56628122043855</v>
      </c>
      <c r="AA173" s="51">
        <f t="shared" si="119"/>
        <v>114.11570912819111</v>
      </c>
      <c r="AC173" s="30" t="s">
        <v>60</v>
      </c>
      <c r="AD173" s="31" t="s">
        <v>13</v>
      </c>
      <c r="AE173" s="32" t="s">
        <v>61</v>
      </c>
      <c r="AF173" s="31" t="s">
        <v>77</v>
      </c>
      <c r="AG173" s="31"/>
      <c r="AH173" s="1" t="str">
        <f t="shared" si="77"/>
        <v/>
      </c>
      <c r="AI173" s="1" t="str">
        <f t="shared" si="78"/>
        <v/>
      </c>
      <c r="AJ173" s="1" t="str">
        <f t="shared" si="79"/>
        <v/>
      </c>
      <c r="AK173" s="1" t="str">
        <f t="shared" si="80"/>
        <v/>
      </c>
      <c r="AL173" s="1" t="str">
        <f t="shared" si="81"/>
        <v/>
      </c>
      <c r="AM173" s="1">
        <f t="shared" si="82"/>
        <v>8.6999999999999993</v>
      </c>
      <c r="AN173" s="52" t="str">
        <f t="shared" si="83"/>
        <v/>
      </c>
      <c r="AO173" s="1">
        <f t="shared" si="84"/>
        <v>172.68445839874411</v>
      </c>
      <c r="AP173" s="1" t="str">
        <f t="shared" si="85"/>
        <v/>
      </c>
      <c r="AQ173" s="1" t="str">
        <f t="shared" si="86"/>
        <v/>
      </c>
      <c r="AR173" s="1" t="str">
        <f t="shared" si="87"/>
        <v/>
      </c>
      <c r="AS173" s="1" t="str">
        <f t="shared" si="88"/>
        <v/>
      </c>
      <c r="AT173" s="1" t="str">
        <f t="shared" si="89"/>
        <v/>
      </c>
      <c r="AU173" s="1" t="str">
        <f t="shared" si="90"/>
        <v/>
      </c>
      <c r="AV173" s="1">
        <f t="shared" si="91"/>
        <v>213</v>
      </c>
      <c r="AW173" s="1">
        <f t="shared" si="92"/>
        <v>213</v>
      </c>
      <c r="AX173" s="1" t="str">
        <f t="shared" ref="AX173:BC173" si="134">IF(V218&gt;0,V83/V218,"")</f>
        <v/>
      </c>
      <c r="AY173" s="1" t="str">
        <f t="shared" si="134"/>
        <v/>
      </c>
      <c r="AZ173" s="1" t="str">
        <f t="shared" si="134"/>
        <v/>
      </c>
      <c r="BA173" s="1">
        <f t="shared" si="134"/>
        <v>8.6999999999999993</v>
      </c>
      <c r="BB173" s="1">
        <f t="shared" si="134"/>
        <v>187.25627232552557</v>
      </c>
      <c r="BC173" s="1">
        <f t="shared" si="134"/>
        <v>50.0474916355533</v>
      </c>
    </row>
    <row r="174" spans="1:55" x14ac:dyDescent="0.25">
      <c r="A174" s="30" t="s">
        <v>60</v>
      </c>
      <c r="B174" s="31" t="s">
        <v>13</v>
      </c>
      <c r="C174" s="32" t="s">
        <v>61</v>
      </c>
      <c r="D174" s="31" t="s">
        <v>78</v>
      </c>
      <c r="E174" s="31"/>
      <c r="F174" s="51">
        <f t="shared" ref="F174:K174" si="135">F156</f>
        <v>54.306930693069312</v>
      </c>
      <c r="G174" s="51">
        <f t="shared" si="135"/>
        <v>0</v>
      </c>
      <c r="H174" s="51">
        <f t="shared" si="135"/>
        <v>4.5750000000000002</v>
      </c>
      <c r="I174" s="51">
        <f t="shared" si="135"/>
        <v>29</v>
      </c>
      <c r="J174" s="51">
        <f t="shared" si="135"/>
        <v>55.241935483870968</v>
      </c>
      <c r="K174" s="51">
        <f t="shared" si="135"/>
        <v>29</v>
      </c>
      <c r="L174" s="52">
        <f t="shared" si="119"/>
        <v>0</v>
      </c>
      <c r="M174" s="51">
        <f t="shared" si="119"/>
        <v>400</v>
      </c>
      <c r="N174" s="51">
        <f t="shared" si="119"/>
        <v>0</v>
      </c>
      <c r="O174" s="51">
        <f t="shared" si="119"/>
        <v>10000</v>
      </c>
      <c r="P174" s="51">
        <f t="shared" si="119"/>
        <v>28000</v>
      </c>
      <c r="Q174" s="51">
        <f t="shared" si="119"/>
        <v>940</v>
      </c>
      <c r="R174" s="51">
        <f t="shared" si="119"/>
        <v>0</v>
      </c>
      <c r="S174" s="51">
        <f t="shared" si="119"/>
        <v>0</v>
      </c>
      <c r="T174" s="51">
        <f t="shared" si="119"/>
        <v>0</v>
      </c>
      <c r="U174" s="51">
        <f t="shared" si="119"/>
        <v>0</v>
      </c>
      <c r="V174" s="51">
        <f t="shared" si="119"/>
        <v>0</v>
      </c>
      <c r="W174" s="51">
        <f t="shared" si="121"/>
        <v>0</v>
      </c>
      <c r="X174" s="55">
        <f t="shared" si="119"/>
        <v>426</v>
      </c>
      <c r="Y174" s="59">
        <f t="shared" si="119"/>
        <v>28.999999999999996</v>
      </c>
      <c r="Z174" s="51">
        <f t="shared" si="119"/>
        <v>1345.1214102593915</v>
      </c>
      <c r="AA174" s="51">
        <f t="shared" si="119"/>
        <v>127.02903954730972</v>
      </c>
      <c r="AC174" s="30" t="s">
        <v>60</v>
      </c>
      <c r="AD174" s="31" t="s">
        <v>13</v>
      </c>
      <c r="AE174" s="32" t="s">
        <v>61</v>
      </c>
      <c r="AF174" s="31" t="s">
        <v>78</v>
      </c>
      <c r="AG174" s="31"/>
      <c r="AH174" s="1" t="str">
        <f t="shared" si="77"/>
        <v/>
      </c>
      <c r="AI174" s="1" t="str">
        <f t="shared" si="78"/>
        <v/>
      </c>
      <c r="AJ174" s="1" t="str">
        <f t="shared" si="79"/>
        <v/>
      </c>
      <c r="AK174" s="1">
        <f t="shared" si="80"/>
        <v>8.3843537414965983</v>
      </c>
      <c r="AL174" s="1" t="str">
        <f t="shared" si="81"/>
        <v/>
      </c>
      <c r="AM174" s="1">
        <f t="shared" si="82"/>
        <v>8.6999999999999993</v>
      </c>
      <c r="AN174" s="52" t="str">
        <f t="shared" si="83"/>
        <v/>
      </c>
      <c r="AO174" s="1">
        <f t="shared" si="84"/>
        <v>172.68445839874411</v>
      </c>
      <c r="AP174" s="1" t="str">
        <f t="shared" si="85"/>
        <v/>
      </c>
      <c r="AQ174" s="1">
        <f t="shared" si="86"/>
        <v>5256.8697729988044</v>
      </c>
      <c r="AR174" s="1">
        <f t="shared" si="87"/>
        <v>11354.83870967742</v>
      </c>
      <c r="AS174" s="1">
        <f t="shared" si="88"/>
        <v>517</v>
      </c>
      <c r="AT174" s="1" t="str">
        <f t="shared" si="89"/>
        <v/>
      </c>
      <c r="AU174" s="1" t="str">
        <f t="shared" si="90"/>
        <v/>
      </c>
      <c r="AV174" s="1" t="str">
        <f t="shared" si="91"/>
        <v/>
      </c>
      <c r="AW174" s="1" t="str">
        <f t="shared" si="92"/>
        <v/>
      </c>
      <c r="AX174" s="1" t="str">
        <f t="shared" ref="AX174:BC174" si="136">IF(V219&gt;0,V84/V219,"")</f>
        <v/>
      </c>
      <c r="AY174" s="1" t="str">
        <f t="shared" si="136"/>
        <v/>
      </c>
      <c r="AZ174" s="1">
        <f t="shared" si="136"/>
        <v>213</v>
      </c>
      <c r="BA174" s="1">
        <f t="shared" si="136"/>
        <v>8.4758454106280183</v>
      </c>
      <c r="BB174" s="1">
        <f t="shared" si="136"/>
        <v>585.34972807079407</v>
      </c>
      <c r="BC174" s="1">
        <f t="shared" si="136"/>
        <v>51.443304351941144</v>
      </c>
    </row>
    <row r="175" spans="1:55" ht="15.75" thickBot="1" x14ac:dyDescent="0.3">
      <c r="A175" s="33" t="s">
        <v>60</v>
      </c>
      <c r="B175" s="34" t="s">
        <v>13</v>
      </c>
      <c r="C175" s="35" t="s">
        <v>61</v>
      </c>
      <c r="D175" s="34" t="s">
        <v>79</v>
      </c>
      <c r="E175" s="31"/>
      <c r="F175" s="51">
        <f t="shared" ref="F175:K176" si="137">F156</f>
        <v>54.306930693069312</v>
      </c>
      <c r="G175" s="51">
        <f t="shared" si="137"/>
        <v>0</v>
      </c>
      <c r="H175" s="51">
        <f t="shared" si="137"/>
        <v>4.5750000000000002</v>
      </c>
      <c r="I175" s="51">
        <f t="shared" si="137"/>
        <v>29</v>
      </c>
      <c r="J175" s="51">
        <f t="shared" si="137"/>
        <v>55.241935483870968</v>
      </c>
      <c r="K175" s="51">
        <f t="shared" si="137"/>
        <v>29</v>
      </c>
      <c r="L175" s="52">
        <f t="shared" si="119"/>
        <v>0</v>
      </c>
      <c r="M175" s="51">
        <f t="shared" si="119"/>
        <v>0</v>
      </c>
      <c r="N175" s="51">
        <f t="shared" si="119"/>
        <v>0</v>
      </c>
      <c r="O175" s="51">
        <f t="shared" si="119"/>
        <v>0</v>
      </c>
      <c r="P175" s="51">
        <f t="shared" ref="L175:AA180" si="138">IF(P220&gt;0,P40/P220,0)</f>
        <v>0</v>
      </c>
      <c r="Q175" s="51">
        <f t="shared" si="138"/>
        <v>0</v>
      </c>
      <c r="R175" s="51">
        <f t="shared" si="138"/>
        <v>0</v>
      </c>
      <c r="S175" s="51">
        <f t="shared" si="138"/>
        <v>0</v>
      </c>
      <c r="T175" s="51">
        <f t="shared" si="138"/>
        <v>0</v>
      </c>
      <c r="U175" s="51">
        <f t="shared" si="138"/>
        <v>0</v>
      </c>
      <c r="V175" s="51">
        <f t="shared" si="138"/>
        <v>0</v>
      </c>
      <c r="W175" s="51">
        <f t="shared" si="121"/>
        <v>0</v>
      </c>
      <c r="X175" s="55">
        <f t="shared" si="138"/>
        <v>0</v>
      </c>
      <c r="Y175" s="59">
        <f t="shared" si="138"/>
        <v>0</v>
      </c>
      <c r="Z175" s="51">
        <f t="shared" si="138"/>
        <v>0</v>
      </c>
      <c r="AA175" s="51">
        <f t="shared" si="138"/>
        <v>0</v>
      </c>
      <c r="AC175" s="33" t="s">
        <v>60</v>
      </c>
      <c r="AD175" s="34" t="s">
        <v>13</v>
      </c>
      <c r="AE175" s="35" t="s">
        <v>61</v>
      </c>
      <c r="AF175" s="34" t="s">
        <v>79</v>
      </c>
      <c r="AG175" s="31"/>
      <c r="AH175" s="1" t="str">
        <f t="shared" si="77"/>
        <v/>
      </c>
      <c r="AI175" s="1" t="str">
        <f t="shared" si="78"/>
        <v/>
      </c>
      <c r="AJ175" s="1" t="str">
        <f t="shared" si="79"/>
        <v/>
      </c>
      <c r="AK175" s="1" t="str">
        <f t="shared" si="80"/>
        <v/>
      </c>
      <c r="AL175" s="1" t="str">
        <f t="shared" si="81"/>
        <v/>
      </c>
      <c r="AM175" s="1" t="str">
        <f t="shared" si="82"/>
        <v/>
      </c>
      <c r="AN175" s="52" t="str">
        <f t="shared" si="83"/>
        <v/>
      </c>
      <c r="AO175" s="1" t="str">
        <f t="shared" si="84"/>
        <v/>
      </c>
      <c r="AP175" s="1" t="str">
        <f t="shared" si="85"/>
        <v/>
      </c>
      <c r="AQ175" s="1" t="str">
        <f t="shared" si="86"/>
        <v/>
      </c>
      <c r="AR175" s="1" t="str">
        <f t="shared" si="87"/>
        <v/>
      </c>
      <c r="AS175" s="1" t="str">
        <f t="shared" si="88"/>
        <v/>
      </c>
      <c r="AT175" s="1" t="str">
        <f t="shared" si="89"/>
        <v/>
      </c>
      <c r="AU175" s="1" t="str">
        <f t="shared" si="90"/>
        <v/>
      </c>
      <c r="AV175" s="1" t="str">
        <f t="shared" si="91"/>
        <v/>
      </c>
      <c r="AW175" s="1" t="str">
        <f t="shared" si="92"/>
        <v/>
      </c>
      <c r="AX175" s="1" t="str">
        <f t="shared" ref="AX175:BC175" si="139">IF(V220&gt;0,V85/V220,"")</f>
        <v/>
      </c>
      <c r="AY175" s="1" t="str">
        <f t="shared" si="139"/>
        <v/>
      </c>
      <c r="AZ175" s="1" t="str">
        <f t="shared" si="139"/>
        <v/>
      </c>
      <c r="BA175" s="1" t="str">
        <f t="shared" si="139"/>
        <v/>
      </c>
      <c r="BB175" s="1" t="str">
        <f t="shared" si="139"/>
        <v/>
      </c>
      <c r="BC175" s="1" t="str">
        <f t="shared" si="139"/>
        <v/>
      </c>
    </row>
    <row r="176" spans="1:55" x14ac:dyDescent="0.25">
      <c r="A176" s="30" t="s">
        <v>60</v>
      </c>
      <c r="B176" s="31" t="s">
        <v>13</v>
      </c>
      <c r="C176" s="32" t="s">
        <v>62</v>
      </c>
      <c r="D176" s="31" t="s">
        <v>75</v>
      </c>
      <c r="E176" s="31"/>
      <c r="F176" s="51">
        <f t="shared" si="137"/>
        <v>54.306930693069305</v>
      </c>
      <c r="G176" s="51">
        <f t="shared" si="137"/>
        <v>24.5</v>
      </c>
      <c r="H176" s="51">
        <f t="shared" si="137"/>
        <v>4.5750000000000002</v>
      </c>
      <c r="I176" s="51">
        <f t="shared" si="137"/>
        <v>20</v>
      </c>
      <c r="J176" s="51">
        <f t="shared" si="137"/>
        <v>0</v>
      </c>
      <c r="K176" s="51">
        <f t="shared" si="137"/>
        <v>0</v>
      </c>
      <c r="L176" s="52">
        <f t="shared" si="138"/>
        <v>0</v>
      </c>
      <c r="M176" s="51">
        <f t="shared" si="138"/>
        <v>0</v>
      </c>
      <c r="N176" s="51">
        <f t="shared" si="138"/>
        <v>0</v>
      </c>
      <c r="O176" s="51">
        <f t="shared" si="138"/>
        <v>0</v>
      </c>
      <c r="P176" s="51">
        <f t="shared" si="138"/>
        <v>0</v>
      </c>
      <c r="Q176" s="51">
        <f t="shared" si="138"/>
        <v>0</v>
      </c>
      <c r="R176" s="51">
        <f t="shared" si="138"/>
        <v>0</v>
      </c>
      <c r="S176" s="51">
        <f t="shared" si="138"/>
        <v>0</v>
      </c>
      <c r="T176" s="51">
        <f t="shared" si="138"/>
        <v>0</v>
      </c>
      <c r="U176" s="51">
        <f t="shared" si="138"/>
        <v>0</v>
      </c>
      <c r="V176" s="51">
        <f t="shared" si="138"/>
        <v>0</v>
      </c>
      <c r="W176" s="51">
        <f t="shared" si="121"/>
        <v>0</v>
      </c>
      <c r="X176" s="55">
        <f t="shared" si="138"/>
        <v>0</v>
      </c>
      <c r="Y176" s="59">
        <f t="shared" si="138"/>
        <v>0</v>
      </c>
      <c r="Z176" s="51">
        <f t="shared" si="138"/>
        <v>0</v>
      </c>
      <c r="AA176" s="51">
        <f t="shared" si="138"/>
        <v>0</v>
      </c>
      <c r="AC176" s="30" t="s">
        <v>60</v>
      </c>
      <c r="AD176" s="31" t="s">
        <v>13</v>
      </c>
      <c r="AE176" s="32" t="s">
        <v>62</v>
      </c>
      <c r="AF176" s="31" t="s">
        <v>75</v>
      </c>
      <c r="AG176" s="31"/>
      <c r="AH176" s="1" t="str">
        <f t="shared" si="77"/>
        <v/>
      </c>
      <c r="AI176" s="1" t="str">
        <f t="shared" si="78"/>
        <v/>
      </c>
      <c r="AJ176" s="1" t="str">
        <f t="shared" si="79"/>
        <v/>
      </c>
      <c r="AK176" s="1" t="str">
        <f t="shared" si="80"/>
        <v/>
      </c>
      <c r="AL176" s="1" t="str">
        <f t="shared" si="81"/>
        <v/>
      </c>
      <c r="AM176" s="1" t="str">
        <f t="shared" si="82"/>
        <v/>
      </c>
      <c r="AN176" s="52" t="str">
        <f t="shared" si="83"/>
        <v/>
      </c>
      <c r="AO176" s="1" t="str">
        <f t="shared" si="84"/>
        <v/>
      </c>
      <c r="AP176" s="1" t="str">
        <f t="shared" si="85"/>
        <v/>
      </c>
      <c r="AQ176" s="1" t="str">
        <f t="shared" si="86"/>
        <v/>
      </c>
      <c r="AR176" s="1" t="str">
        <f t="shared" si="87"/>
        <v/>
      </c>
      <c r="AS176" s="1" t="str">
        <f t="shared" si="88"/>
        <v/>
      </c>
      <c r="AT176" s="1" t="str">
        <f t="shared" si="89"/>
        <v/>
      </c>
      <c r="AU176" s="1" t="str">
        <f t="shared" si="90"/>
        <v/>
      </c>
      <c r="AV176" s="1" t="str">
        <f t="shared" si="91"/>
        <v/>
      </c>
      <c r="AW176" s="1" t="str">
        <f t="shared" si="92"/>
        <v/>
      </c>
      <c r="AX176" s="1" t="str">
        <f t="shared" ref="AX176:BC176" si="140">IF(V221&gt;0,V86/V221,"")</f>
        <v/>
      </c>
      <c r="AY176" s="1" t="str">
        <f t="shared" si="140"/>
        <v/>
      </c>
      <c r="AZ176" s="1" t="str">
        <f t="shared" si="140"/>
        <v/>
      </c>
      <c r="BA176" s="1" t="str">
        <f t="shared" si="140"/>
        <v/>
      </c>
      <c r="BB176" s="1" t="str">
        <f t="shared" si="140"/>
        <v/>
      </c>
      <c r="BC176" s="1" t="str">
        <f t="shared" si="140"/>
        <v/>
      </c>
    </row>
    <row r="177" spans="1:55" x14ac:dyDescent="0.25">
      <c r="A177" s="30" t="s">
        <v>60</v>
      </c>
      <c r="B177" s="31" t="s">
        <v>13</v>
      </c>
      <c r="C177" s="32" t="s">
        <v>62</v>
      </c>
      <c r="D177" s="31" t="s">
        <v>76</v>
      </c>
      <c r="E177" s="31"/>
      <c r="F177" s="51">
        <f t="shared" ref="F177:K177" si="141">F157</f>
        <v>54.306930693069305</v>
      </c>
      <c r="G177" s="51">
        <f t="shared" si="141"/>
        <v>24.5</v>
      </c>
      <c r="H177" s="51">
        <f t="shared" si="141"/>
        <v>4.5750000000000002</v>
      </c>
      <c r="I177" s="51">
        <f t="shared" si="141"/>
        <v>20</v>
      </c>
      <c r="J177" s="51">
        <f t="shared" si="141"/>
        <v>0</v>
      </c>
      <c r="K177" s="51">
        <f t="shared" si="141"/>
        <v>0</v>
      </c>
      <c r="L177" s="52">
        <f t="shared" si="138"/>
        <v>0</v>
      </c>
      <c r="M177" s="51">
        <f t="shared" si="138"/>
        <v>0</v>
      </c>
      <c r="N177" s="51">
        <f t="shared" si="138"/>
        <v>0</v>
      </c>
      <c r="O177" s="51">
        <f t="shared" si="138"/>
        <v>0</v>
      </c>
      <c r="P177" s="51">
        <f t="shared" si="138"/>
        <v>0</v>
      </c>
      <c r="Q177" s="51">
        <f t="shared" si="138"/>
        <v>0</v>
      </c>
      <c r="R177" s="51">
        <f t="shared" si="138"/>
        <v>0</v>
      </c>
      <c r="S177" s="51">
        <f t="shared" si="138"/>
        <v>0</v>
      </c>
      <c r="T177" s="51">
        <f t="shared" si="138"/>
        <v>0</v>
      </c>
      <c r="U177" s="51">
        <f t="shared" si="138"/>
        <v>0</v>
      </c>
      <c r="V177" s="51">
        <f t="shared" si="138"/>
        <v>0</v>
      </c>
      <c r="W177" s="51">
        <f t="shared" si="121"/>
        <v>0</v>
      </c>
      <c r="X177" s="55">
        <f t="shared" si="138"/>
        <v>0</v>
      </c>
      <c r="Y177" s="59">
        <f t="shared" si="138"/>
        <v>10.055467511885894</v>
      </c>
      <c r="Z177" s="51">
        <f t="shared" si="138"/>
        <v>0</v>
      </c>
      <c r="AA177" s="51">
        <f t="shared" si="138"/>
        <v>10.055467511885894</v>
      </c>
      <c r="AC177" s="30" t="s">
        <v>60</v>
      </c>
      <c r="AD177" s="31" t="s">
        <v>13</v>
      </c>
      <c r="AE177" s="32" t="s">
        <v>62</v>
      </c>
      <c r="AF177" s="31" t="s">
        <v>76</v>
      </c>
      <c r="AG177" s="31"/>
      <c r="AH177" s="1">
        <f t="shared" si="77"/>
        <v>11.237623762376238</v>
      </c>
      <c r="AI177" s="1">
        <f t="shared" si="78"/>
        <v>8.5</v>
      </c>
      <c r="AJ177" s="1">
        <f t="shared" si="79"/>
        <v>1.91875</v>
      </c>
      <c r="AK177" s="1" t="str">
        <f t="shared" si="80"/>
        <v/>
      </c>
      <c r="AL177" s="1" t="str">
        <f t="shared" si="81"/>
        <v/>
      </c>
      <c r="AM177" s="1" t="str">
        <f t="shared" si="82"/>
        <v/>
      </c>
      <c r="AN177" s="52" t="str">
        <f t="shared" si="83"/>
        <v/>
      </c>
      <c r="AO177" s="1" t="str">
        <f t="shared" si="84"/>
        <v/>
      </c>
      <c r="AP177" s="1" t="str">
        <f t="shared" si="85"/>
        <v/>
      </c>
      <c r="AQ177" s="1" t="str">
        <f t="shared" si="86"/>
        <v/>
      </c>
      <c r="AR177" s="1" t="str">
        <f t="shared" si="87"/>
        <v/>
      </c>
      <c r="AS177" s="1" t="str">
        <f t="shared" si="88"/>
        <v/>
      </c>
      <c r="AT177" s="1" t="str">
        <f t="shared" si="89"/>
        <v/>
      </c>
      <c r="AU177" s="1" t="str">
        <f t="shared" si="90"/>
        <v/>
      </c>
      <c r="AV177" s="1" t="str">
        <f t="shared" si="91"/>
        <v/>
      </c>
      <c r="AW177" s="1" t="str">
        <f t="shared" si="92"/>
        <v/>
      </c>
      <c r="AX177" s="1" t="str">
        <f t="shared" ref="AX177:BC177" si="142">IF(V222&gt;0,V87/V222,"")</f>
        <v/>
      </c>
      <c r="AY177" s="1" t="str">
        <f t="shared" si="142"/>
        <v/>
      </c>
      <c r="AZ177" s="1" t="str">
        <f t="shared" si="142"/>
        <v/>
      </c>
      <c r="BA177" s="1">
        <f t="shared" si="142"/>
        <v>3.4664147263196394</v>
      </c>
      <c r="BB177" s="1" t="str">
        <f t="shared" si="142"/>
        <v/>
      </c>
      <c r="BC177" s="1">
        <f t="shared" si="142"/>
        <v>3.4664147263196394</v>
      </c>
    </row>
    <row r="178" spans="1:55" x14ac:dyDescent="0.25">
      <c r="A178" s="30" t="s">
        <v>60</v>
      </c>
      <c r="B178" s="31" t="s">
        <v>13</v>
      </c>
      <c r="C178" s="32" t="s">
        <v>62</v>
      </c>
      <c r="D178" s="31" t="s">
        <v>77</v>
      </c>
      <c r="E178" s="31"/>
      <c r="F178" s="51">
        <f t="shared" ref="F178:K178" si="143">F157</f>
        <v>54.306930693069305</v>
      </c>
      <c r="G178" s="51">
        <f t="shared" si="143"/>
        <v>24.5</v>
      </c>
      <c r="H178" s="51">
        <f t="shared" si="143"/>
        <v>4.5750000000000002</v>
      </c>
      <c r="I178" s="51">
        <f t="shared" si="143"/>
        <v>20</v>
      </c>
      <c r="J178" s="51">
        <f t="shared" si="143"/>
        <v>0</v>
      </c>
      <c r="K178" s="51">
        <f t="shared" si="143"/>
        <v>0</v>
      </c>
      <c r="L178" s="52">
        <f t="shared" si="138"/>
        <v>0</v>
      </c>
      <c r="M178" s="51">
        <f t="shared" si="138"/>
        <v>0</v>
      </c>
      <c r="N178" s="51">
        <f t="shared" si="138"/>
        <v>0</v>
      </c>
      <c r="O178" s="51">
        <f t="shared" si="138"/>
        <v>0</v>
      </c>
      <c r="P178" s="51">
        <f t="shared" si="138"/>
        <v>0</v>
      </c>
      <c r="Q178" s="51">
        <f t="shared" si="138"/>
        <v>0</v>
      </c>
      <c r="R178" s="51">
        <f t="shared" si="138"/>
        <v>0</v>
      </c>
      <c r="S178" s="51">
        <f t="shared" si="138"/>
        <v>0</v>
      </c>
      <c r="T178" s="51">
        <f t="shared" si="138"/>
        <v>0</v>
      </c>
      <c r="U178" s="51">
        <f t="shared" si="138"/>
        <v>0</v>
      </c>
      <c r="V178" s="51">
        <f t="shared" si="138"/>
        <v>0</v>
      </c>
      <c r="W178" s="51">
        <f t="shared" si="121"/>
        <v>0</v>
      </c>
      <c r="X178" s="55">
        <f t="shared" si="138"/>
        <v>0</v>
      </c>
      <c r="Y178" s="59">
        <f t="shared" si="138"/>
        <v>0</v>
      </c>
      <c r="Z178" s="51">
        <f t="shared" si="138"/>
        <v>0</v>
      </c>
      <c r="AA178" s="51">
        <f t="shared" si="138"/>
        <v>0</v>
      </c>
      <c r="AC178" s="30" t="s">
        <v>60</v>
      </c>
      <c r="AD178" s="31" t="s">
        <v>13</v>
      </c>
      <c r="AE178" s="32" t="s">
        <v>62</v>
      </c>
      <c r="AF178" s="31" t="s">
        <v>77</v>
      </c>
      <c r="AG178" s="31"/>
      <c r="AH178" s="1" t="str">
        <f t="shared" si="77"/>
        <v/>
      </c>
      <c r="AI178" s="1" t="str">
        <f t="shared" si="78"/>
        <v/>
      </c>
      <c r="AJ178" s="1" t="str">
        <f t="shared" si="79"/>
        <v/>
      </c>
      <c r="AK178" s="1" t="str">
        <f t="shared" si="80"/>
        <v/>
      </c>
      <c r="AL178" s="1" t="str">
        <f t="shared" si="81"/>
        <v/>
      </c>
      <c r="AM178" s="1" t="str">
        <f t="shared" si="82"/>
        <v/>
      </c>
      <c r="AN178" s="52" t="str">
        <f t="shared" si="83"/>
        <v/>
      </c>
      <c r="AO178" s="1" t="str">
        <f t="shared" si="84"/>
        <v/>
      </c>
      <c r="AP178" s="1" t="str">
        <f t="shared" si="85"/>
        <v/>
      </c>
      <c r="AQ178" s="1" t="str">
        <f t="shared" si="86"/>
        <v/>
      </c>
      <c r="AR178" s="1" t="str">
        <f t="shared" si="87"/>
        <v/>
      </c>
      <c r="AS178" s="1" t="str">
        <f t="shared" si="88"/>
        <v/>
      </c>
      <c r="AT178" s="1" t="str">
        <f t="shared" si="89"/>
        <v/>
      </c>
      <c r="AU178" s="1" t="str">
        <f t="shared" si="90"/>
        <v/>
      </c>
      <c r="AV178" s="1" t="str">
        <f t="shared" si="91"/>
        <v/>
      </c>
      <c r="AW178" s="1" t="str">
        <f t="shared" si="92"/>
        <v/>
      </c>
      <c r="AX178" s="1" t="str">
        <f t="shared" ref="AX178:BC178" si="144">IF(V223&gt;0,V88/V223,"")</f>
        <v/>
      </c>
      <c r="AY178" s="1" t="str">
        <f t="shared" si="144"/>
        <v/>
      </c>
      <c r="AZ178" s="1" t="str">
        <f t="shared" si="144"/>
        <v/>
      </c>
      <c r="BA178" s="1" t="str">
        <f t="shared" si="144"/>
        <v/>
      </c>
      <c r="BB178" s="1" t="str">
        <f t="shared" si="144"/>
        <v/>
      </c>
      <c r="BC178" s="1" t="str">
        <f t="shared" si="144"/>
        <v/>
      </c>
    </row>
    <row r="179" spans="1:55" x14ac:dyDescent="0.25">
      <c r="A179" s="30" t="s">
        <v>60</v>
      </c>
      <c r="B179" s="31" t="s">
        <v>13</v>
      </c>
      <c r="C179" s="32" t="s">
        <v>62</v>
      </c>
      <c r="D179" s="31" t="s">
        <v>78</v>
      </c>
      <c r="E179" s="31"/>
      <c r="F179" s="51">
        <f t="shared" ref="F179:K179" si="145">F157</f>
        <v>54.306930693069305</v>
      </c>
      <c r="G179" s="51">
        <f t="shared" si="145"/>
        <v>24.5</v>
      </c>
      <c r="H179" s="51">
        <f t="shared" si="145"/>
        <v>4.5750000000000002</v>
      </c>
      <c r="I179" s="51">
        <f t="shared" si="145"/>
        <v>20</v>
      </c>
      <c r="J179" s="51">
        <f t="shared" si="145"/>
        <v>0</v>
      </c>
      <c r="K179" s="51">
        <f t="shared" si="145"/>
        <v>0</v>
      </c>
      <c r="L179" s="52">
        <f t="shared" si="138"/>
        <v>0</v>
      </c>
      <c r="M179" s="51">
        <f t="shared" si="138"/>
        <v>0</v>
      </c>
      <c r="N179" s="51">
        <f t="shared" si="138"/>
        <v>0</v>
      </c>
      <c r="O179" s="51">
        <f t="shared" si="138"/>
        <v>0</v>
      </c>
      <c r="P179" s="51">
        <f t="shared" si="138"/>
        <v>0</v>
      </c>
      <c r="Q179" s="51">
        <f t="shared" si="138"/>
        <v>0</v>
      </c>
      <c r="R179" s="51">
        <f t="shared" si="138"/>
        <v>0</v>
      </c>
      <c r="S179" s="51">
        <f t="shared" si="138"/>
        <v>0</v>
      </c>
      <c r="T179" s="51">
        <f t="shared" si="138"/>
        <v>0</v>
      </c>
      <c r="U179" s="51">
        <f t="shared" si="138"/>
        <v>0</v>
      </c>
      <c r="V179" s="51">
        <f t="shared" si="138"/>
        <v>0</v>
      </c>
      <c r="W179" s="51">
        <f t="shared" si="121"/>
        <v>0</v>
      </c>
      <c r="X179" s="55">
        <f t="shared" si="138"/>
        <v>0</v>
      </c>
      <c r="Y179" s="59">
        <f t="shared" si="138"/>
        <v>0</v>
      </c>
      <c r="Z179" s="51">
        <f t="shared" si="138"/>
        <v>0</v>
      </c>
      <c r="AA179" s="51">
        <f t="shared" si="138"/>
        <v>0</v>
      </c>
      <c r="AC179" s="30" t="s">
        <v>60</v>
      </c>
      <c r="AD179" s="31" t="s">
        <v>13</v>
      </c>
      <c r="AE179" s="32" t="s">
        <v>62</v>
      </c>
      <c r="AF179" s="31" t="s">
        <v>78</v>
      </c>
      <c r="AG179" s="31"/>
      <c r="AH179" s="1" t="str">
        <f t="shared" si="77"/>
        <v/>
      </c>
      <c r="AI179" s="1" t="str">
        <f t="shared" si="78"/>
        <v/>
      </c>
      <c r="AJ179" s="1" t="str">
        <f t="shared" si="79"/>
        <v/>
      </c>
      <c r="AK179" s="1" t="str">
        <f t="shared" si="80"/>
        <v/>
      </c>
      <c r="AL179" s="1" t="str">
        <f t="shared" si="81"/>
        <v/>
      </c>
      <c r="AM179" s="1" t="str">
        <f t="shared" si="82"/>
        <v/>
      </c>
      <c r="AN179" s="52" t="str">
        <f t="shared" si="83"/>
        <v/>
      </c>
      <c r="AO179" s="1" t="str">
        <f t="shared" si="84"/>
        <v/>
      </c>
      <c r="AP179" s="1" t="str">
        <f t="shared" si="85"/>
        <v/>
      </c>
      <c r="AQ179" s="1" t="str">
        <f t="shared" si="86"/>
        <v/>
      </c>
      <c r="AR179" s="1" t="str">
        <f t="shared" si="87"/>
        <v/>
      </c>
      <c r="AS179" s="1" t="str">
        <f t="shared" si="88"/>
        <v/>
      </c>
      <c r="AT179" s="1" t="str">
        <f t="shared" si="89"/>
        <v/>
      </c>
      <c r="AU179" s="1" t="str">
        <f t="shared" si="90"/>
        <v/>
      </c>
      <c r="AV179" s="1" t="str">
        <f t="shared" si="91"/>
        <v/>
      </c>
      <c r="AW179" s="1" t="str">
        <f t="shared" si="92"/>
        <v/>
      </c>
      <c r="AX179" s="1" t="str">
        <f t="shared" ref="AX179:BC179" si="146">IF(V224&gt;0,V89/V224,"")</f>
        <v/>
      </c>
      <c r="AY179" s="1" t="str">
        <f t="shared" si="146"/>
        <v/>
      </c>
      <c r="AZ179" s="1" t="str">
        <f t="shared" si="146"/>
        <v/>
      </c>
      <c r="BA179" s="1" t="str">
        <f t="shared" si="146"/>
        <v/>
      </c>
      <c r="BB179" s="1" t="str">
        <f t="shared" si="146"/>
        <v/>
      </c>
      <c r="BC179" s="1" t="str">
        <f t="shared" si="146"/>
        <v/>
      </c>
    </row>
    <row r="180" spans="1:55" ht="15.75" thickBot="1" x14ac:dyDescent="0.3">
      <c r="A180" s="33" t="s">
        <v>60</v>
      </c>
      <c r="B180" s="34" t="s">
        <v>13</v>
      </c>
      <c r="C180" s="32" t="s">
        <v>62</v>
      </c>
      <c r="D180" s="34" t="s">
        <v>79</v>
      </c>
      <c r="E180" s="31"/>
      <c r="F180" s="51">
        <f t="shared" ref="F180:K180" si="147">F157</f>
        <v>54.306930693069305</v>
      </c>
      <c r="G180" s="51">
        <f t="shared" si="147"/>
        <v>24.5</v>
      </c>
      <c r="H180" s="51">
        <f t="shared" si="147"/>
        <v>4.5750000000000002</v>
      </c>
      <c r="I180" s="51">
        <f t="shared" si="147"/>
        <v>20</v>
      </c>
      <c r="J180" s="51">
        <f t="shared" si="147"/>
        <v>0</v>
      </c>
      <c r="K180" s="51">
        <f t="shared" si="147"/>
        <v>0</v>
      </c>
      <c r="L180" s="52">
        <f t="shared" si="138"/>
        <v>0</v>
      </c>
      <c r="M180" s="51">
        <f t="shared" si="138"/>
        <v>0</v>
      </c>
      <c r="N180" s="51">
        <f t="shared" si="138"/>
        <v>0</v>
      </c>
      <c r="O180" s="51">
        <f t="shared" si="138"/>
        <v>0</v>
      </c>
      <c r="P180" s="51">
        <f t="shared" si="138"/>
        <v>0</v>
      </c>
      <c r="Q180" s="51">
        <f t="shared" si="138"/>
        <v>0</v>
      </c>
      <c r="R180" s="51">
        <f t="shared" si="138"/>
        <v>0</v>
      </c>
      <c r="S180" s="51">
        <f t="shared" si="138"/>
        <v>0</v>
      </c>
      <c r="T180" s="51">
        <f t="shared" si="138"/>
        <v>0</v>
      </c>
      <c r="U180" s="51">
        <f t="shared" si="138"/>
        <v>0</v>
      </c>
      <c r="V180" s="51">
        <f t="shared" si="138"/>
        <v>0</v>
      </c>
      <c r="W180" s="51">
        <f t="shared" si="121"/>
        <v>0</v>
      </c>
      <c r="X180" s="55">
        <f t="shared" si="138"/>
        <v>0</v>
      </c>
      <c r="Y180" s="59">
        <f t="shared" si="138"/>
        <v>0</v>
      </c>
      <c r="Z180" s="51">
        <f t="shared" si="138"/>
        <v>0</v>
      </c>
      <c r="AA180" s="51">
        <f t="shared" si="138"/>
        <v>0</v>
      </c>
      <c r="AC180" s="33" t="s">
        <v>60</v>
      </c>
      <c r="AD180" s="34" t="s">
        <v>13</v>
      </c>
      <c r="AE180" s="32" t="s">
        <v>62</v>
      </c>
      <c r="AF180" s="34" t="s">
        <v>79</v>
      </c>
      <c r="AG180" s="31"/>
      <c r="AH180" s="1" t="str">
        <f t="shared" si="77"/>
        <v/>
      </c>
      <c r="AI180" s="1" t="str">
        <f t="shared" si="78"/>
        <v/>
      </c>
      <c r="AJ180" s="1" t="str">
        <f t="shared" si="79"/>
        <v/>
      </c>
      <c r="AK180" s="1" t="str">
        <f t="shared" si="80"/>
        <v/>
      </c>
      <c r="AL180" s="1" t="str">
        <f t="shared" si="81"/>
        <v/>
      </c>
      <c r="AM180" s="1" t="str">
        <f t="shared" si="82"/>
        <v/>
      </c>
      <c r="AN180" s="52" t="str">
        <f t="shared" si="83"/>
        <v/>
      </c>
      <c r="AO180" s="1" t="str">
        <f t="shared" si="84"/>
        <v/>
      </c>
      <c r="AP180" s="1" t="str">
        <f t="shared" si="85"/>
        <v/>
      </c>
      <c r="AQ180" s="1" t="str">
        <f t="shared" si="86"/>
        <v/>
      </c>
      <c r="AR180" s="1" t="str">
        <f t="shared" si="87"/>
        <v/>
      </c>
      <c r="AS180" s="1" t="str">
        <f t="shared" si="88"/>
        <v/>
      </c>
      <c r="AT180" s="1" t="str">
        <f t="shared" si="89"/>
        <v/>
      </c>
      <c r="AU180" s="1" t="str">
        <f t="shared" si="90"/>
        <v/>
      </c>
      <c r="AV180" s="1" t="str">
        <f t="shared" si="91"/>
        <v/>
      </c>
      <c r="AW180" s="1" t="str">
        <f t="shared" si="92"/>
        <v/>
      </c>
      <c r="AX180" s="1" t="str">
        <f t="shared" ref="AX180:BC180" si="148">IF(V225&gt;0,V90/V225,"")</f>
        <v/>
      </c>
      <c r="AY180" s="1" t="str">
        <f t="shared" si="148"/>
        <v/>
      </c>
      <c r="AZ180" s="1" t="str">
        <f t="shared" si="148"/>
        <v/>
      </c>
      <c r="BA180" s="1" t="str">
        <f t="shared" si="148"/>
        <v/>
      </c>
      <c r="BB180" s="1" t="str">
        <f t="shared" si="148"/>
        <v/>
      </c>
      <c r="BC180" s="1" t="str">
        <f t="shared" si="148"/>
        <v/>
      </c>
    </row>
    <row r="182" spans="1:55" x14ac:dyDescent="0.25">
      <c r="D182" s="41" t="s">
        <v>35</v>
      </c>
      <c r="E182" s="41"/>
      <c r="M182" s="24" t="s">
        <v>81</v>
      </c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AF182" s="41" t="s">
        <v>101</v>
      </c>
      <c r="AG182" s="41"/>
      <c r="AO182" s="24" t="s">
        <v>81</v>
      </c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</row>
    <row r="183" spans="1:55" x14ac:dyDescent="0.25">
      <c r="F183" s="23" t="s">
        <v>44</v>
      </c>
      <c r="G183" s="23"/>
      <c r="H183" s="23"/>
      <c r="I183" s="23"/>
      <c r="J183" s="23"/>
      <c r="K183" s="23"/>
      <c r="L183" s="7" t="s">
        <v>30</v>
      </c>
      <c r="M183" s="24" t="s">
        <v>46</v>
      </c>
      <c r="N183" s="24"/>
      <c r="O183" s="24"/>
      <c r="P183" s="24"/>
      <c r="Q183" s="24"/>
      <c r="R183" s="24" t="s">
        <v>47</v>
      </c>
      <c r="S183" s="24"/>
      <c r="T183" s="24"/>
      <c r="U183" s="24"/>
      <c r="V183" s="24"/>
      <c r="W183" s="24"/>
      <c r="X183" s="24"/>
      <c r="Y183" s="44" t="s">
        <v>85</v>
      </c>
      <c r="Z183" s="44" t="s">
        <v>48</v>
      </c>
      <c r="AA183" s="44" t="s">
        <v>3</v>
      </c>
      <c r="AH183" s="23" t="s">
        <v>44</v>
      </c>
      <c r="AI183" s="23"/>
      <c r="AJ183" s="23"/>
      <c r="AK183" s="23"/>
      <c r="AL183" s="23"/>
      <c r="AM183" s="23"/>
      <c r="AN183" s="7" t="s">
        <v>30</v>
      </c>
      <c r="AO183" s="24" t="s">
        <v>46</v>
      </c>
      <c r="AP183" s="24"/>
      <c r="AQ183" s="24"/>
      <c r="AR183" s="24"/>
      <c r="AS183" s="24"/>
      <c r="AT183" s="24" t="s">
        <v>47</v>
      </c>
      <c r="AU183" s="24"/>
      <c r="AV183" s="24"/>
      <c r="AW183" s="24"/>
      <c r="AX183" s="24"/>
      <c r="AY183" s="24"/>
      <c r="AZ183" s="24"/>
      <c r="BA183" s="44" t="s">
        <v>85</v>
      </c>
      <c r="BB183" s="44" t="s">
        <v>48</v>
      </c>
      <c r="BC183" s="44" t="s">
        <v>3</v>
      </c>
    </row>
    <row r="184" spans="1:55" ht="63" x14ac:dyDescent="0.25">
      <c r="F184" s="38" t="s">
        <v>36</v>
      </c>
      <c r="G184" s="38" t="s">
        <v>37</v>
      </c>
      <c r="H184" s="38" t="s">
        <v>38</v>
      </c>
      <c r="I184" s="38" t="s">
        <v>80</v>
      </c>
      <c r="J184" s="38" t="s">
        <v>39</v>
      </c>
      <c r="K184" s="38" t="s">
        <v>45</v>
      </c>
      <c r="L184" s="39" t="s">
        <v>16</v>
      </c>
      <c r="M184" s="40" t="s">
        <v>34</v>
      </c>
      <c r="N184" s="40" t="s">
        <v>5</v>
      </c>
      <c r="O184" s="40" t="s">
        <v>7</v>
      </c>
      <c r="P184" s="40" t="s">
        <v>8</v>
      </c>
      <c r="Q184" s="40" t="s">
        <v>40</v>
      </c>
      <c r="R184" s="40" t="s">
        <v>41</v>
      </c>
      <c r="S184" s="40" t="s">
        <v>42</v>
      </c>
      <c r="T184" s="40" t="s">
        <v>31</v>
      </c>
      <c r="U184" s="40" t="s">
        <v>43</v>
      </c>
      <c r="V184" s="40" t="s">
        <v>82</v>
      </c>
      <c r="W184" s="40" t="s">
        <v>87</v>
      </c>
      <c r="X184" s="40" t="s">
        <v>83</v>
      </c>
      <c r="Y184" s="45" t="s">
        <v>3</v>
      </c>
      <c r="Z184" s="45" t="s">
        <v>86</v>
      </c>
      <c r="AA184" s="45" t="s">
        <v>3</v>
      </c>
      <c r="AH184" s="38" t="s">
        <v>36</v>
      </c>
      <c r="AI184" s="38" t="s">
        <v>37</v>
      </c>
      <c r="AJ184" s="38" t="s">
        <v>38</v>
      </c>
      <c r="AK184" s="38" t="s">
        <v>80</v>
      </c>
      <c r="AL184" s="38" t="s">
        <v>39</v>
      </c>
      <c r="AM184" s="38" t="s">
        <v>45</v>
      </c>
      <c r="AN184" s="39" t="s">
        <v>16</v>
      </c>
      <c r="AO184" s="40" t="s">
        <v>34</v>
      </c>
      <c r="AP184" s="40" t="s">
        <v>5</v>
      </c>
      <c r="AQ184" s="40" t="s">
        <v>7</v>
      </c>
      <c r="AR184" s="40" t="s">
        <v>8</v>
      </c>
      <c r="AS184" s="40" t="s">
        <v>40</v>
      </c>
      <c r="AT184" s="40" t="s">
        <v>41</v>
      </c>
      <c r="AU184" s="40" t="s">
        <v>42</v>
      </c>
      <c r="AV184" s="40" t="s">
        <v>31</v>
      </c>
      <c r="AW184" s="40" t="s">
        <v>43</v>
      </c>
      <c r="AX184" s="40" t="s">
        <v>82</v>
      </c>
      <c r="AY184" s="40" t="s">
        <v>87</v>
      </c>
      <c r="AZ184" s="40" t="s">
        <v>83</v>
      </c>
      <c r="BA184" s="45" t="s">
        <v>3</v>
      </c>
      <c r="BB184" s="45" t="s">
        <v>86</v>
      </c>
      <c r="BC184" s="45" t="s">
        <v>3</v>
      </c>
    </row>
    <row r="185" spans="1:55" x14ac:dyDescent="0.25">
      <c r="A185" s="15" t="s">
        <v>51</v>
      </c>
      <c r="B185" s="2"/>
      <c r="C185" s="2"/>
      <c r="F185" s="1">
        <f t="shared" ref="F185:M185" si="149">F187+F188+F189</f>
        <v>0</v>
      </c>
      <c r="G185" s="1">
        <f t="shared" si="149"/>
        <v>0</v>
      </c>
      <c r="H185" s="1">
        <f t="shared" si="149"/>
        <v>0</v>
      </c>
      <c r="I185" s="1">
        <f t="shared" si="149"/>
        <v>0</v>
      </c>
      <c r="J185" s="1">
        <f t="shared" si="149"/>
        <v>0</v>
      </c>
      <c r="K185" s="1">
        <f t="shared" si="149"/>
        <v>0</v>
      </c>
      <c r="L185" s="52">
        <f t="shared" si="149"/>
        <v>0</v>
      </c>
      <c r="M185" s="1">
        <f t="shared" si="149"/>
        <v>0</v>
      </c>
      <c r="N185" s="1">
        <f t="shared" ref="N185:X185" si="150">N187+N188+N189</f>
        <v>0</v>
      </c>
      <c r="O185" s="1">
        <f t="shared" si="150"/>
        <v>0</v>
      </c>
      <c r="P185" s="1">
        <f t="shared" si="150"/>
        <v>0</v>
      </c>
      <c r="Q185" s="1">
        <f t="shared" si="150"/>
        <v>0</v>
      </c>
      <c r="R185" s="1">
        <f t="shared" si="150"/>
        <v>0</v>
      </c>
      <c r="S185" s="1">
        <f t="shared" si="150"/>
        <v>0</v>
      </c>
      <c r="T185" s="1">
        <f t="shared" si="150"/>
        <v>0</v>
      </c>
      <c r="U185" s="1">
        <f t="shared" si="150"/>
        <v>0</v>
      </c>
      <c r="V185" s="1">
        <f t="shared" si="150"/>
        <v>0</v>
      </c>
      <c r="W185" s="1">
        <f>W187+W188+W189</f>
        <v>0</v>
      </c>
      <c r="X185" s="1">
        <f t="shared" si="150"/>
        <v>0</v>
      </c>
      <c r="Y185" s="58">
        <f t="shared" ref="Y185:Y225" si="151">SUM(F185:K185)</f>
        <v>0</v>
      </c>
      <c r="Z185" s="1">
        <f t="shared" ref="Z185:Z225" si="152">SUM(M185:X185)</f>
        <v>0</v>
      </c>
      <c r="AA185" s="1">
        <f t="shared" ref="AA185:AA225" si="153">L185+Y185+Z185</f>
        <v>0</v>
      </c>
      <c r="AC185" s="15" t="s">
        <v>51</v>
      </c>
      <c r="AD185" s="2"/>
      <c r="AE185" s="2"/>
      <c r="AH185" s="1" t="str">
        <f t="shared" ref="AH185:AH225" si="154">IF(F185&gt;0,F230/F185*1000,"")</f>
        <v/>
      </c>
      <c r="AI185" s="1" t="str">
        <f t="shared" ref="AI185:AI225" si="155">IF(G185&gt;0,G230/G185*1000,"")</f>
        <v/>
      </c>
      <c r="AJ185" s="1" t="str">
        <f t="shared" ref="AJ185:AJ225" si="156">IF(H185&gt;0,H230/H185*1000,"")</f>
        <v/>
      </c>
      <c r="AK185" s="1" t="str">
        <f t="shared" ref="AK185:AK225" si="157">IF(I185&gt;0,I230/I185*1000,"")</f>
        <v/>
      </c>
      <c r="AL185" s="1" t="str">
        <f t="shared" ref="AL185:AL225" si="158">IF(J185&gt;0,J230/J185*1000,"")</f>
        <v/>
      </c>
      <c r="AM185" s="1" t="str">
        <f t="shared" ref="AM185:AM225" si="159">IF(K185&gt;0,K230/K185*1000,"")</f>
        <v/>
      </c>
      <c r="AN185" s="52" t="str">
        <f t="shared" ref="AN185:AN225" si="160">IF(L185&gt;0,L230/L185*1000,"")</f>
        <v/>
      </c>
      <c r="AO185" s="1" t="str">
        <f t="shared" ref="AO185:AO225" si="161">IF(M185&gt;0,M230/M185*1000,"")</f>
        <v/>
      </c>
      <c r="AP185" s="1" t="str">
        <f t="shared" ref="AP185:AP225" si="162">IF(N185&gt;0,N230/N185*1000,"")</f>
        <v/>
      </c>
      <c r="AQ185" s="1" t="str">
        <f t="shared" ref="AQ185:AQ225" si="163">IF(O185&gt;0,O230/O185*1000,"")</f>
        <v/>
      </c>
      <c r="AR185" s="1" t="str">
        <f t="shared" ref="AR185:AR225" si="164">IF(P185&gt;0,P230/P185*1000,"")</f>
        <v/>
      </c>
      <c r="AS185" s="1" t="str">
        <f t="shared" ref="AS185:AS225" si="165">IF(Q185&gt;0,Q230/Q185*1000,"")</f>
        <v/>
      </c>
      <c r="AT185" s="1" t="str">
        <f t="shared" ref="AT185:AT225" si="166">IF(R185&gt;0,R230/R185*1000,"")</f>
        <v/>
      </c>
      <c r="AU185" s="1" t="str">
        <f t="shared" ref="AU185:AU225" si="167">IF(S185&gt;0,S230/S185*1000,"")</f>
        <v/>
      </c>
      <c r="AV185" s="1" t="str">
        <f t="shared" ref="AV185:AV225" si="168">IF(T185&gt;0,T230/T185*1000,"")</f>
        <v/>
      </c>
      <c r="AW185" s="1" t="str">
        <f t="shared" ref="AW185:AW225" si="169">IF(U185&gt;0,U230/U185*1000,"")</f>
        <v/>
      </c>
      <c r="AX185" s="1" t="str">
        <f t="shared" ref="AX185:BC185" si="170">IF(V185&gt;0,V230/V185*1000,"")</f>
        <v/>
      </c>
      <c r="AY185" s="1" t="str">
        <f t="shared" si="170"/>
        <v/>
      </c>
      <c r="AZ185" s="1" t="str">
        <f t="shared" si="170"/>
        <v/>
      </c>
      <c r="BA185" s="1" t="str">
        <f t="shared" si="170"/>
        <v/>
      </c>
      <c r="BB185" s="1" t="str">
        <f t="shared" si="170"/>
        <v/>
      </c>
      <c r="BC185" s="1" t="str">
        <f t="shared" si="170"/>
        <v/>
      </c>
    </row>
    <row r="186" spans="1:55" x14ac:dyDescent="0.25">
      <c r="A186" s="30" t="s">
        <v>60</v>
      </c>
      <c r="B186" s="2"/>
      <c r="C186" s="2"/>
      <c r="F186" s="1">
        <f>F190+F191+F192+F193</f>
        <v>205.75</v>
      </c>
      <c r="G186" s="1">
        <f t="shared" ref="G186:X186" si="171">G190+G191+G192+G193</f>
        <v>120</v>
      </c>
      <c r="H186" s="1">
        <f t="shared" si="171"/>
        <v>1600</v>
      </c>
      <c r="I186" s="1">
        <f t="shared" si="171"/>
        <v>101.37931034482759</v>
      </c>
      <c r="J186" s="1">
        <f t="shared" si="171"/>
        <v>127.64931043455633</v>
      </c>
      <c r="K186" s="1">
        <f t="shared" si="171"/>
        <v>1111.5987460815045</v>
      </c>
      <c r="L186" s="52">
        <f t="shared" si="171"/>
        <v>277.77777777777777</v>
      </c>
      <c r="M186" s="1">
        <f t="shared" si="171"/>
        <v>36.240555555555559</v>
      </c>
      <c r="N186" s="1">
        <f t="shared" si="171"/>
        <v>1.5075862068965515</v>
      </c>
      <c r="O186" s="1">
        <f t="shared" si="171"/>
        <v>8.3699999999999997E-2</v>
      </c>
      <c r="P186" s="1">
        <f t="shared" si="171"/>
        <v>7.7499999999999999E-2</v>
      </c>
      <c r="Q186" s="1">
        <f t="shared" si="171"/>
        <v>24.303030303030301</v>
      </c>
      <c r="R186" s="1">
        <f t="shared" si="171"/>
        <v>24.146061554512258</v>
      </c>
      <c r="S186" s="1">
        <f t="shared" si="171"/>
        <v>2.4500000000000002</v>
      </c>
      <c r="T186" s="1">
        <f t="shared" si="171"/>
        <v>36.682840337041405</v>
      </c>
      <c r="U186" s="1">
        <f t="shared" si="171"/>
        <v>17.965571205007826</v>
      </c>
      <c r="V186" s="1">
        <f t="shared" si="171"/>
        <v>10.144583978969605</v>
      </c>
      <c r="W186" s="1">
        <f>W190+W191+W192+W193</f>
        <v>15.023474178403758</v>
      </c>
      <c r="X186" s="54">
        <f t="shared" si="171"/>
        <v>45.494746255309643</v>
      </c>
      <c r="Y186" s="58">
        <f t="shared" si="151"/>
        <v>3266.3773668608883</v>
      </c>
      <c r="Z186" s="1">
        <f t="shared" si="152"/>
        <v>214.11964957472688</v>
      </c>
      <c r="AA186" s="1">
        <f t="shared" si="153"/>
        <v>3758.2747942133929</v>
      </c>
      <c r="AC186" s="30" t="s">
        <v>60</v>
      </c>
      <c r="AD186" s="2"/>
      <c r="AE186" s="2"/>
      <c r="AH186" s="1">
        <f t="shared" si="154"/>
        <v>307.42229284149084</v>
      </c>
      <c r="AI186" s="1">
        <f t="shared" si="155"/>
        <v>136.11111111111109</v>
      </c>
      <c r="AJ186" s="1">
        <f t="shared" si="156"/>
        <v>26.911764705882355</v>
      </c>
      <c r="AK186" s="1">
        <f t="shared" si="157"/>
        <v>170.58823529411762</v>
      </c>
      <c r="AL186" s="1">
        <f t="shared" si="158"/>
        <v>1015.3166712827053</v>
      </c>
      <c r="AM186" s="1">
        <f t="shared" si="159"/>
        <v>34.018683615578219</v>
      </c>
      <c r="AN186" s="52">
        <f t="shared" si="160"/>
        <v>18750.000000000004</v>
      </c>
      <c r="AO186" s="1">
        <f t="shared" si="161"/>
        <v>7036.1626783989695</v>
      </c>
      <c r="AP186" s="1">
        <f t="shared" si="162"/>
        <v>14542.796379055531</v>
      </c>
      <c r="AQ186" s="1">
        <f t="shared" si="163"/>
        <v>55555.555555555562</v>
      </c>
      <c r="AR186" s="1">
        <f t="shared" si="164"/>
        <v>155555.55555555553</v>
      </c>
      <c r="AS186" s="1">
        <f t="shared" si="165"/>
        <v>26839.923999524999</v>
      </c>
      <c r="AT186" s="1">
        <f t="shared" si="166"/>
        <v>12110.424176583872</v>
      </c>
      <c r="AU186" s="1">
        <f t="shared" si="167"/>
        <v>2222.2222222222222</v>
      </c>
      <c r="AV186" s="1">
        <f t="shared" si="168"/>
        <v>12108.252122357404</v>
      </c>
      <c r="AW186" s="1">
        <f t="shared" si="169"/>
        <v>11761.47336983574</v>
      </c>
      <c r="AX186" s="1">
        <f t="shared" ref="AX186:BC186" si="172">IF(V186&gt;0,V231/V186*1000,"")</f>
        <v>11981.528202595131</v>
      </c>
      <c r="AY186" s="1">
        <f t="shared" si="172"/>
        <v>10537.301587301588</v>
      </c>
      <c r="AZ186" s="1">
        <f t="shared" si="172"/>
        <v>11158.623180571798</v>
      </c>
      <c r="BA186" s="1">
        <f t="shared" si="172"/>
        <v>94.097520204681643</v>
      </c>
      <c r="BB186" s="1">
        <f t="shared" si="172"/>
        <v>12547.934750976576</v>
      </c>
      <c r="BC186" s="1">
        <f t="shared" si="172"/>
        <v>2182.5042564749597</v>
      </c>
    </row>
    <row r="187" spans="1:55" x14ac:dyDescent="0.25">
      <c r="A187" s="15" t="s">
        <v>51</v>
      </c>
      <c r="B187" s="16" t="s">
        <v>52</v>
      </c>
      <c r="C187" s="2"/>
      <c r="F187" s="1">
        <f>F194+F195+F196</f>
        <v>0</v>
      </c>
      <c r="G187" s="1">
        <f t="shared" ref="G187:X187" si="173">G194+G195+G196</f>
        <v>0</v>
      </c>
      <c r="H187" s="1">
        <f t="shared" si="173"/>
        <v>0</v>
      </c>
      <c r="I187" s="1">
        <f t="shared" si="173"/>
        <v>0</v>
      </c>
      <c r="J187" s="1">
        <f t="shared" si="173"/>
        <v>0</v>
      </c>
      <c r="K187" s="1">
        <f t="shared" si="173"/>
        <v>0</v>
      </c>
      <c r="L187" s="52">
        <f t="shared" si="173"/>
        <v>0</v>
      </c>
      <c r="M187" s="1">
        <f t="shared" si="173"/>
        <v>0</v>
      </c>
      <c r="N187" s="1">
        <f t="shared" si="173"/>
        <v>0</v>
      </c>
      <c r="O187" s="1">
        <f t="shared" si="173"/>
        <v>0</v>
      </c>
      <c r="P187" s="1">
        <f t="shared" si="173"/>
        <v>0</v>
      </c>
      <c r="Q187" s="1">
        <f t="shared" si="173"/>
        <v>0</v>
      </c>
      <c r="R187" s="1">
        <f t="shared" si="173"/>
        <v>0</v>
      </c>
      <c r="S187" s="1">
        <f t="shared" si="173"/>
        <v>0</v>
      </c>
      <c r="T187" s="1">
        <f t="shared" si="173"/>
        <v>0</v>
      </c>
      <c r="U187" s="1">
        <f t="shared" si="173"/>
        <v>0</v>
      </c>
      <c r="V187" s="1">
        <f t="shared" si="173"/>
        <v>0</v>
      </c>
      <c r="W187" s="1">
        <f>W194+W195+W196</f>
        <v>0</v>
      </c>
      <c r="X187" s="54">
        <f t="shared" si="173"/>
        <v>0</v>
      </c>
      <c r="Y187" s="58">
        <f t="shared" si="151"/>
        <v>0</v>
      </c>
      <c r="Z187" s="1">
        <f t="shared" si="152"/>
        <v>0</v>
      </c>
      <c r="AA187" s="1">
        <f t="shared" si="153"/>
        <v>0</v>
      </c>
      <c r="AC187" s="15" t="s">
        <v>51</v>
      </c>
      <c r="AD187" s="16" t="s">
        <v>52</v>
      </c>
      <c r="AE187" s="2"/>
      <c r="AH187" s="1" t="str">
        <f t="shared" si="154"/>
        <v/>
      </c>
      <c r="AI187" s="1" t="str">
        <f t="shared" si="155"/>
        <v/>
      </c>
      <c r="AJ187" s="1" t="str">
        <f t="shared" si="156"/>
        <v/>
      </c>
      <c r="AK187" s="1" t="str">
        <f t="shared" si="157"/>
        <v/>
      </c>
      <c r="AL187" s="1" t="str">
        <f t="shared" si="158"/>
        <v/>
      </c>
      <c r="AM187" s="1" t="str">
        <f t="shared" si="159"/>
        <v/>
      </c>
      <c r="AN187" s="52" t="str">
        <f t="shared" si="160"/>
        <v/>
      </c>
      <c r="AO187" s="1" t="str">
        <f t="shared" si="161"/>
        <v/>
      </c>
      <c r="AP187" s="1" t="str">
        <f t="shared" si="162"/>
        <v/>
      </c>
      <c r="AQ187" s="1" t="str">
        <f t="shared" si="163"/>
        <v/>
      </c>
      <c r="AR187" s="1" t="str">
        <f t="shared" si="164"/>
        <v/>
      </c>
      <c r="AS187" s="1" t="str">
        <f t="shared" si="165"/>
        <v/>
      </c>
      <c r="AT187" s="1" t="str">
        <f t="shared" si="166"/>
        <v/>
      </c>
      <c r="AU187" s="1" t="str">
        <f t="shared" si="167"/>
        <v/>
      </c>
      <c r="AV187" s="1" t="str">
        <f t="shared" si="168"/>
        <v/>
      </c>
      <c r="AW187" s="1" t="str">
        <f t="shared" si="169"/>
        <v/>
      </c>
      <c r="AX187" s="1" t="str">
        <f t="shared" ref="AX187:BC187" si="174">IF(V187&gt;0,V232/V187*1000,"")</f>
        <v/>
      </c>
      <c r="AY187" s="1" t="str">
        <f t="shared" si="174"/>
        <v/>
      </c>
      <c r="AZ187" s="1" t="str">
        <f t="shared" si="174"/>
        <v/>
      </c>
      <c r="BA187" s="1" t="str">
        <f t="shared" si="174"/>
        <v/>
      </c>
      <c r="BB187" s="1" t="str">
        <f t="shared" si="174"/>
        <v/>
      </c>
      <c r="BC187" s="1" t="str">
        <f t="shared" si="174"/>
        <v/>
      </c>
    </row>
    <row r="188" spans="1:55" x14ac:dyDescent="0.25">
      <c r="A188" s="15" t="s">
        <v>51</v>
      </c>
      <c r="B188" s="16" t="s">
        <v>56</v>
      </c>
      <c r="C188" s="2"/>
      <c r="F188" s="1">
        <f>F197+F198+F199</f>
        <v>0</v>
      </c>
      <c r="G188" s="1">
        <f t="shared" ref="G188:X188" si="175">G197+G198+G199</f>
        <v>0</v>
      </c>
      <c r="H188" s="1">
        <f t="shared" si="175"/>
        <v>0</v>
      </c>
      <c r="I188" s="1">
        <f t="shared" si="175"/>
        <v>0</v>
      </c>
      <c r="J188" s="1">
        <f t="shared" si="175"/>
        <v>0</v>
      </c>
      <c r="K188" s="1">
        <f t="shared" si="175"/>
        <v>0</v>
      </c>
      <c r="L188" s="52">
        <f t="shared" si="175"/>
        <v>0</v>
      </c>
      <c r="M188" s="1">
        <f t="shared" si="175"/>
        <v>0</v>
      </c>
      <c r="N188" s="1">
        <f t="shared" si="175"/>
        <v>0</v>
      </c>
      <c r="O188" s="1">
        <f t="shared" si="175"/>
        <v>0</v>
      </c>
      <c r="P188" s="1">
        <f t="shared" si="175"/>
        <v>0</v>
      </c>
      <c r="Q188" s="1">
        <f t="shared" si="175"/>
        <v>0</v>
      </c>
      <c r="R188" s="1">
        <f t="shared" si="175"/>
        <v>0</v>
      </c>
      <c r="S188" s="1">
        <f t="shared" si="175"/>
        <v>0</v>
      </c>
      <c r="T188" s="1">
        <f t="shared" si="175"/>
        <v>0</v>
      </c>
      <c r="U188" s="1">
        <f t="shared" si="175"/>
        <v>0</v>
      </c>
      <c r="V188" s="1">
        <f t="shared" si="175"/>
        <v>0</v>
      </c>
      <c r="W188" s="1">
        <f>W197+W198+W199</f>
        <v>0</v>
      </c>
      <c r="X188" s="54">
        <f t="shared" si="175"/>
        <v>0</v>
      </c>
      <c r="Y188" s="58">
        <f t="shared" si="151"/>
        <v>0</v>
      </c>
      <c r="Z188" s="1">
        <f t="shared" si="152"/>
        <v>0</v>
      </c>
      <c r="AA188" s="1">
        <f t="shared" si="153"/>
        <v>0</v>
      </c>
      <c r="AC188" s="15" t="s">
        <v>51</v>
      </c>
      <c r="AD188" s="16" t="s">
        <v>56</v>
      </c>
      <c r="AE188" s="2"/>
      <c r="AH188" s="1" t="str">
        <f t="shared" si="154"/>
        <v/>
      </c>
      <c r="AI188" s="1" t="str">
        <f t="shared" si="155"/>
        <v/>
      </c>
      <c r="AJ188" s="1" t="str">
        <f t="shared" si="156"/>
        <v/>
      </c>
      <c r="AK188" s="1" t="str">
        <f t="shared" si="157"/>
        <v/>
      </c>
      <c r="AL188" s="1" t="str">
        <f t="shared" si="158"/>
        <v/>
      </c>
      <c r="AM188" s="1" t="str">
        <f t="shared" si="159"/>
        <v/>
      </c>
      <c r="AN188" s="52" t="str">
        <f t="shared" si="160"/>
        <v/>
      </c>
      <c r="AO188" s="1" t="str">
        <f t="shared" si="161"/>
        <v/>
      </c>
      <c r="AP188" s="1" t="str">
        <f t="shared" si="162"/>
        <v/>
      </c>
      <c r="AQ188" s="1" t="str">
        <f t="shared" si="163"/>
        <v/>
      </c>
      <c r="AR188" s="1" t="str">
        <f t="shared" si="164"/>
        <v/>
      </c>
      <c r="AS188" s="1" t="str">
        <f t="shared" si="165"/>
        <v/>
      </c>
      <c r="AT188" s="1" t="str">
        <f t="shared" si="166"/>
        <v/>
      </c>
      <c r="AU188" s="1" t="str">
        <f t="shared" si="167"/>
        <v/>
      </c>
      <c r="AV188" s="1" t="str">
        <f t="shared" si="168"/>
        <v/>
      </c>
      <c r="AW188" s="1" t="str">
        <f t="shared" si="169"/>
        <v/>
      </c>
      <c r="AX188" s="1" t="str">
        <f t="shared" ref="AX188:BC188" si="176">IF(V188&gt;0,V233/V188*1000,"")</f>
        <v/>
      </c>
      <c r="AY188" s="1" t="str">
        <f t="shared" si="176"/>
        <v/>
      </c>
      <c r="AZ188" s="1" t="str">
        <f t="shared" si="176"/>
        <v/>
      </c>
      <c r="BA188" s="1" t="str">
        <f t="shared" si="176"/>
        <v/>
      </c>
      <c r="BB188" s="1" t="str">
        <f t="shared" si="176"/>
        <v/>
      </c>
      <c r="BC188" s="1" t="str">
        <f t="shared" si="176"/>
        <v/>
      </c>
    </row>
    <row r="189" spans="1:55" x14ac:dyDescent="0.25">
      <c r="A189" s="15" t="s">
        <v>51</v>
      </c>
      <c r="B189" s="16" t="s">
        <v>9</v>
      </c>
      <c r="C189" s="2"/>
      <c r="F189" s="1">
        <f>F200</f>
        <v>0</v>
      </c>
      <c r="G189" s="1">
        <f t="shared" ref="G189:X189" si="177">G200</f>
        <v>0</v>
      </c>
      <c r="H189" s="1">
        <f t="shared" si="177"/>
        <v>0</v>
      </c>
      <c r="I189" s="1">
        <f t="shared" si="177"/>
        <v>0</v>
      </c>
      <c r="J189" s="1">
        <f t="shared" si="177"/>
        <v>0</v>
      </c>
      <c r="K189" s="1">
        <f t="shared" si="177"/>
        <v>0</v>
      </c>
      <c r="L189" s="52">
        <f t="shared" si="177"/>
        <v>0</v>
      </c>
      <c r="M189" s="1">
        <f t="shared" si="177"/>
        <v>0</v>
      </c>
      <c r="N189" s="1">
        <f t="shared" si="177"/>
        <v>0</v>
      </c>
      <c r="O189" s="1">
        <f t="shared" si="177"/>
        <v>0</v>
      </c>
      <c r="P189" s="1">
        <f t="shared" si="177"/>
        <v>0</v>
      </c>
      <c r="Q189" s="1">
        <f t="shared" si="177"/>
        <v>0</v>
      </c>
      <c r="R189" s="1">
        <f t="shared" si="177"/>
        <v>0</v>
      </c>
      <c r="S189" s="1">
        <f t="shared" si="177"/>
        <v>0</v>
      </c>
      <c r="T189" s="1">
        <f t="shared" si="177"/>
        <v>0</v>
      </c>
      <c r="U189" s="1">
        <f t="shared" si="177"/>
        <v>0</v>
      </c>
      <c r="V189" s="1">
        <f t="shared" si="177"/>
        <v>0</v>
      </c>
      <c r="W189" s="1">
        <f>W200</f>
        <v>0</v>
      </c>
      <c r="X189" s="54">
        <f t="shared" si="177"/>
        <v>0</v>
      </c>
      <c r="Y189" s="58">
        <f t="shared" si="151"/>
        <v>0</v>
      </c>
      <c r="Z189" s="1">
        <f t="shared" si="152"/>
        <v>0</v>
      </c>
      <c r="AA189" s="1">
        <f t="shared" si="153"/>
        <v>0</v>
      </c>
      <c r="AC189" s="15" t="s">
        <v>51</v>
      </c>
      <c r="AD189" s="16" t="s">
        <v>9</v>
      </c>
      <c r="AE189" s="2"/>
      <c r="AH189" s="1" t="str">
        <f t="shared" si="154"/>
        <v/>
      </c>
      <c r="AI189" s="1" t="str">
        <f t="shared" si="155"/>
        <v/>
      </c>
      <c r="AJ189" s="1" t="str">
        <f t="shared" si="156"/>
        <v/>
      </c>
      <c r="AK189" s="1" t="str">
        <f t="shared" si="157"/>
        <v/>
      </c>
      <c r="AL189" s="1" t="str">
        <f t="shared" si="158"/>
        <v/>
      </c>
      <c r="AM189" s="1" t="str">
        <f t="shared" si="159"/>
        <v/>
      </c>
      <c r="AN189" s="52" t="str">
        <f t="shared" si="160"/>
        <v/>
      </c>
      <c r="AO189" s="1" t="str">
        <f t="shared" si="161"/>
        <v/>
      </c>
      <c r="AP189" s="1" t="str">
        <f t="shared" si="162"/>
        <v/>
      </c>
      <c r="AQ189" s="1" t="str">
        <f t="shared" si="163"/>
        <v/>
      </c>
      <c r="AR189" s="1" t="str">
        <f t="shared" si="164"/>
        <v/>
      </c>
      <c r="AS189" s="1" t="str">
        <f t="shared" si="165"/>
        <v/>
      </c>
      <c r="AT189" s="1" t="str">
        <f t="shared" si="166"/>
        <v/>
      </c>
      <c r="AU189" s="1" t="str">
        <f t="shared" si="167"/>
        <v/>
      </c>
      <c r="AV189" s="1" t="str">
        <f t="shared" si="168"/>
        <v/>
      </c>
      <c r="AW189" s="1" t="str">
        <f t="shared" si="169"/>
        <v/>
      </c>
      <c r="AX189" s="1" t="str">
        <f t="shared" ref="AX189:BC189" si="178">IF(V189&gt;0,V234/V189*1000,"")</f>
        <v/>
      </c>
      <c r="AY189" s="1" t="str">
        <f t="shared" si="178"/>
        <v/>
      </c>
      <c r="AZ189" s="1" t="str">
        <f t="shared" si="178"/>
        <v/>
      </c>
      <c r="BA189" s="1" t="str">
        <f t="shared" si="178"/>
        <v/>
      </c>
      <c r="BB189" s="1" t="str">
        <f t="shared" si="178"/>
        <v/>
      </c>
      <c r="BC189" s="1" t="str">
        <f t="shared" si="178"/>
        <v/>
      </c>
    </row>
    <row r="190" spans="1:55" x14ac:dyDescent="0.25">
      <c r="A190" s="30" t="s">
        <v>60</v>
      </c>
      <c r="B190" s="32" t="s">
        <v>13</v>
      </c>
      <c r="C190" s="2"/>
      <c r="F190" s="51">
        <f>F201+F202+F203</f>
        <v>202</v>
      </c>
      <c r="G190" s="51">
        <f t="shared" ref="G190:X190" si="179">G201+G202+G203</f>
        <v>120</v>
      </c>
      <c r="H190" s="51">
        <f t="shared" si="179"/>
        <v>1600</v>
      </c>
      <c r="I190" s="51">
        <f t="shared" si="179"/>
        <v>101.37931034482759</v>
      </c>
      <c r="J190" s="51">
        <f t="shared" si="179"/>
        <v>24.8</v>
      </c>
      <c r="K190" s="51">
        <f t="shared" si="179"/>
        <v>20.689655172413794</v>
      </c>
      <c r="L190" s="52">
        <f t="shared" si="179"/>
        <v>0</v>
      </c>
      <c r="M190" s="51">
        <f t="shared" si="179"/>
        <v>3.1850000000000001</v>
      </c>
      <c r="N190" s="51">
        <f t="shared" si="179"/>
        <v>0.12758620689655173</v>
      </c>
      <c r="O190" s="51">
        <f t="shared" si="179"/>
        <v>8.3699999999999997E-2</v>
      </c>
      <c r="P190" s="51">
        <f t="shared" si="179"/>
        <v>7.7499999999999999E-2</v>
      </c>
      <c r="Q190" s="51">
        <f t="shared" si="179"/>
        <v>1.9342359767891681E-2</v>
      </c>
      <c r="R190" s="51">
        <f t="shared" si="179"/>
        <v>0.15023474178403756</v>
      </c>
      <c r="S190" s="51">
        <f t="shared" si="179"/>
        <v>0</v>
      </c>
      <c r="T190" s="51">
        <f t="shared" si="179"/>
        <v>0.15023474178403756</v>
      </c>
      <c r="U190" s="51">
        <f t="shared" si="179"/>
        <v>0.75117370892018775</v>
      </c>
      <c r="V190" s="51">
        <f t="shared" si="179"/>
        <v>0.11737089201877934</v>
      </c>
      <c r="W190" s="51">
        <f>W201+W202+W203</f>
        <v>2.5039123630672928</v>
      </c>
      <c r="X190" s="55">
        <f t="shared" si="179"/>
        <v>1.8779342723004695</v>
      </c>
      <c r="Y190" s="59">
        <f t="shared" si="151"/>
        <v>2068.8689655172416</v>
      </c>
      <c r="Z190" s="51">
        <f t="shared" si="152"/>
        <v>9.0439892865392491</v>
      </c>
      <c r="AA190" s="51">
        <f t="shared" si="153"/>
        <v>2077.9129548037808</v>
      </c>
      <c r="AC190" s="30" t="s">
        <v>60</v>
      </c>
      <c r="AD190" s="32" t="s">
        <v>13</v>
      </c>
      <c r="AE190" s="2"/>
      <c r="AH190" s="1">
        <f t="shared" si="154"/>
        <v>301.70517051705173</v>
      </c>
      <c r="AI190" s="1">
        <f t="shared" si="155"/>
        <v>136.11111111111109</v>
      </c>
      <c r="AJ190" s="1">
        <f t="shared" si="156"/>
        <v>26.911764705882355</v>
      </c>
      <c r="AK190" s="1">
        <f t="shared" si="157"/>
        <v>170.58823529411762</v>
      </c>
      <c r="AL190" s="1">
        <f t="shared" si="158"/>
        <v>324.95256166982921</v>
      </c>
      <c r="AM190" s="1">
        <f t="shared" si="159"/>
        <v>170.58823529411765</v>
      </c>
      <c r="AN190" s="52" t="str">
        <f t="shared" si="160"/>
        <v/>
      </c>
      <c r="AO190" s="1">
        <f t="shared" si="161"/>
        <v>2222.2222222222217</v>
      </c>
      <c r="AP190" s="1">
        <f t="shared" si="162"/>
        <v>5437.5</v>
      </c>
      <c r="AQ190" s="1">
        <f t="shared" si="163"/>
        <v>55555.555555555562</v>
      </c>
      <c r="AR190" s="1">
        <f t="shared" si="164"/>
        <v>155555.55555555553</v>
      </c>
      <c r="AS190" s="1">
        <f t="shared" si="165"/>
        <v>5222.2222222222226</v>
      </c>
      <c r="AT190" s="1">
        <f t="shared" si="166"/>
        <v>2366.6666666666665</v>
      </c>
      <c r="AU190" s="1" t="str">
        <f t="shared" si="167"/>
        <v/>
      </c>
      <c r="AV190" s="1">
        <f t="shared" si="168"/>
        <v>2366.6666666666665</v>
      </c>
      <c r="AW190" s="1">
        <f t="shared" si="169"/>
        <v>2366.6666666666665</v>
      </c>
      <c r="AX190" s="1">
        <f t="shared" ref="AX190:BC190" si="180">IF(V190&gt;0,V235/V190*1000,"")</f>
        <v>2366.6666666666665</v>
      </c>
      <c r="AY190" s="1">
        <f t="shared" si="180"/>
        <v>2366.6666666666665</v>
      </c>
      <c r="AZ190" s="1">
        <f t="shared" si="180"/>
        <v>2366.6666666666665</v>
      </c>
      <c r="BA190" s="1">
        <f t="shared" si="180"/>
        <v>72.125860426863468</v>
      </c>
      <c r="BB190" s="1">
        <f t="shared" si="180"/>
        <v>4170.1874334940139</v>
      </c>
      <c r="BC190" s="1">
        <f t="shared" si="180"/>
        <v>89.962423251458489</v>
      </c>
    </row>
    <row r="191" spans="1:55" x14ac:dyDescent="0.25">
      <c r="A191" s="30" t="s">
        <v>60</v>
      </c>
      <c r="B191" s="31" t="s">
        <v>23</v>
      </c>
      <c r="C191" s="2"/>
      <c r="F191" s="51">
        <f>F204+F205+F206</f>
        <v>3.75</v>
      </c>
      <c r="G191" s="51">
        <f t="shared" ref="G191:X191" si="181">G204+G205+G206</f>
        <v>0</v>
      </c>
      <c r="H191" s="51">
        <f t="shared" si="181"/>
        <v>0</v>
      </c>
      <c r="I191" s="51">
        <f t="shared" si="181"/>
        <v>0</v>
      </c>
      <c r="J191" s="51">
        <f t="shared" si="181"/>
        <v>43.325500910746811</v>
      </c>
      <c r="K191" s="51">
        <f t="shared" si="181"/>
        <v>1090.9090909090908</v>
      </c>
      <c r="L191" s="52">
        <f t="shared" si="181"/>
        <v>0</v>
      </c>
      <c r="M191" s="51">
        <f t="shared" si="181"/>
        <v>0</v>
      </c>
      <c r="N191" s="51">
        <f t="shared" si="181"/>
        <v>1.38</v>
      </c>
      <c r="O191" s="51">
        <f t="shared" si="181"/>
        <v>0</v>
      </c>
      <c r="P191" s="51">
        <f t="shared" si="181"/>
        <v>0</v>
      </c>
      <c r="Q191" s="51">
        <f t="shared" si="181"/>
        <v>0</v>
      </c>
      <c r="R191" s="51">
        <f t="shared" si="181"/>
        <v>0</v>
      </c>
      <c r="S191" s="51">
        <f t="shared" si="181"/>
        <v>2.4500000000000002</v>
      </c>
      <c r="T191" s="51">
        <f t="shared" si="181"/>
        <v>1.4778325123152709</v>
      </c>
      <c r="U191" s="51">
        <f t="shared" si="181"/>
        <v>0</v>
      </c>
      <c r="V191" s="51">
        <f t="shared" si="181"/>
        <v>0.24630541871921183</v>
      </c>
      <c r="W191" s="51">
        <f>W204+W205+W206</f>
        <v>0</v>
      </c>
      <c r="X191" s="55">
        <f t="shared" si="181"/>
        <v>1</v>
      </c>
      <c r="Y191" s="59">
        <f t="shared" si="151"/>
        <v>1137.9845918198375</v>
      </c>
      <c r="Z191" s="51">
        <f t="shared" si="152"/>
        <v>6.5541379310344823</v>
      </c>
      <c r="AA191" s="51">
        <f t="shared" si="153"/>
        <v>1144.5387297508721</v>
      </c>
      <c r="AC191" s="30" t="s">
        <v>60</v>
      </c>
      <c r="AD191" s="31" t="s">
        <v>23</v>
      </c>
      <c r="AE191" s="2"/>
      <c r="AH191" s="1">
        <f t="shared" si="154"/>
        <v>615.38461538461536</v>
      </c>
      <c r="AI191" s="1" t="str">
        <f t="shared" si="155"/>
        <v/>
      </c>
      <c r="AJ191" s="1" t="str">
        <f t="shared" si="156"/>
        <v/>
      </c>
      <c r="AK191" s="1" t="str">
        <f t="shared" si="157"/>
        <v/>
      </c>
      <c r="AL191" s="1">
        <f t="shared" si="158"/>
        <v>881.98209590054273</v>
      </c>
      <c r="AM191" s="1">
        <f t="shared" si="159"/>
        <v>31.428571428571431</v>
      </c>
      <c r="AN191" s="52" t="str">
        <f t="shared" si="160"/>
        <v/>
      </c>
      <c r="AO191" s="1" t="str">
        <f t="shared" si="161"/>
        <v/>
      </c>
      <c r="AP191" s="1">
        <f t="shared" si="162"/>
        <v>15384.615384615385</v>
      </c>
      <c r="AQ191" s="1" t="str">
        <f t="shared" si="163"/>
        <v/>
      </c>
      <c r="AR191" s="1" t="str">
        <f t="shared" si="164"/>
        <v/>
      </c>
      <c r="AS191" s="1" t="str">
        <f t="shared" si="165"/>
        <v/>
      </c>
      <c r="AT191" s="1" t="str">
        <f t="shared" si="166"/>
        <v/>
      </c>
      <c r="AU191" s="1">
        <f t="shared" si="167"/>
        <v>2222.2222222222222</v>
      </c>
      <c r="AV191" s="1">
        <f t="shared" si="168"/>
        <v>11600</v>
      </c>
      <c r="AW191" s="1" t="str">
        <f t="shared" si="169"/>
        <v/>
      </c>
      <c r="AX191" s="1">
        <f t="shared" ref="AX191:BC191" si="182">IF(V191&gt;0,V236/V191*1000,"")</f>
        <v>9022.2222222222226</v>
      </c>
      <c r="AY191" s="1" t="str">
        <f t="shared" si="182"/>
        <v/>
      </c>
      <c r="AZ191" s="1">
        <f t="shared" si="182"/>
        <v>2222.2222222222222</v>
      </c>
      <c r="BA191" s="1">
        <f t="shared" si="182"/>
        <v>65.735268500411252</v>
      </c>
      <c r="BB191" s="1">
        <f t="shared" si="182"/>
        <v>7363.6709770765656</v>
      </c>
      <c r="BC191" s="1">
        <f t="shared" si="182"/>
        <v>107.52649495916232</v>
      </c>
    </row>
    <row r="192" spans="1:55" x14ac:dyDescent="0.25">
      <c r="A192" s="30" t="s">
        <v>60</v>
      </c>
      <c r="B192" s="31" t="s">
        <v>65</v>
      </c>
      <c r="C192" s="46"/>
      <c r="F192" s="51">
        <f>F207+F208+F209</f>
        <v>0</v>
      </c>
      <c r="G192" s="51">
        <f t="shared" ref="G192:X192" si="183">G207+G208+G209</f>
        <v>0</v>
      </c>
      <c r="H192" s="51">
        <f t="shared" si="183"/>
        <v>0</v>
      </c>
      <c r="I192" s="51">
        <f t="shared" si="183"/>
        <v>0</v>
      </c>
      <c r="J192" s="51">
        <f t="shared" si="183"/>
        <v>59.523809523809526</v>
      </c>
      <c r="K192" s="51">
        <f t="shared" si="183"/>
        <v>0</v>
      </c>
      <c r="L192" s="52">
        <f t="shared" si="183"/>
        <v>277.77777777777777</v>
      </c>
      <c r="M192" s="51">
        <f t="shared" si="183"/>
        <v>33.055555555555557</v>
      </c>
      <c r="N192" s="51">
        <f t="shared" si="183"/>
        <v>0</v>
      </c>
      <c r="O192" s="51">
        <f t="shared" si="183"/>
        <v>0</v>
      </c>
      <c r="P192" s="51">
        <f t="shared" si="183"/>
        <v>0</v>
      </c>
      <c r="Q192" s="51">
        <f t="shared" si="183"/>
        <v>24.283687943262411</v>
      </c>
      <c r="R192" s="51">
        <f t="shared" si="183"/>
        <v>23.995826812728222</v>
      </c>
      <c r="S192" s="51">
        <f t="shared" si="183"/>
        <v>0</v>
      </c>
      <c r="T192" s="51">
        <f t="shared" si="183"/>
        <v>35.054773082942098</v>
      </c>
      <c r="U192" s="51">
        <f t="shared" si="183"/>
        <v>17.214397496087638</v>
      </c>
      <c r="V192" s="51">
        <f t="shared" si="183"/>
        <v>9.7809076682316132</v>
      </c>
      <c r="W192" s="51">
        <f>W207+W208+W209</f>
        <v>12.519561815336465</v>
      </c>
      <c r="X192" s="55">
        <f t="shared" si="183"/>
        <v>39.123630672926453</v>
      </c>
      <c r="Y192" s="59">
        <f t="shared" si="151"/>
        <v>59.523809523809526</v>
      </c>
      <c r="Z192" s="51">
        <f t="shared" si="152"/>
        <v>195.02834104707043</v>
      </c>
      <c r="AA192" s="51">
        <f t="shared" si="153"/>
        <v>532.32992834865775</v>
      </c>
      <c r="AC192" s="30" t="s">
        <v>60</v>
      </c>
      <c r="AD192" s="31" t="s">
        <v>65</v>
      </c>
      <c r="AE192" s="46"/>
      <c r="AH192" s="1" t="str">
        <f t="shared" si="154"/>
        <v/>
      </c>
      <c r="AI192" s="1" t="str">
        <f t="shared" si="155"/>
        <v/>
      </c>
      <c r="AJ192" s="1" t="str">
        <f t="shared" si="156"/>
        <v/>
      </c>
      <c r="AK192" s="1" t="str">
        <f t="shared" si="157"/>
        <v/>
      </c>
      <c r="AL192" s="1">
        <f t="shared" si="158"/>
        <v>1400.0000000000002</v>
      </c>
      <c r="AM192" s="1" t="str">
        <f t="shared" si="159"/>
        <v/>
      </c>
      <c r="AN192" s="52">
        <f t="shared" si="160"/>
        <v>18750.000000000004</v>
      </c>
      <c r="AO192" s="1">
        <f t="shared" si="161"/>
        <v>7500</v>
      </c>
      <c r="AP192" s="1" t="str">
        <f t="shared" si="162"/>
        <v/>
      </c>
      <c r="AQ192" s="1" t="str">
        <f t="shared" si="163"/>
        <v/>
      </c>
      <c r="AR192" s="1" t="str">
        <f t="shared" si="164"/>
        <v/>
      </c>
      <c r="AS192" s="1">
        <f t="shared" si="165"/>
        <v>26857.142857142862</v>
      </c>
      <c r="AT192" s="1">
        <f t="shared" si="166"/>
        <v>12171.428571428571</v>
      </c>
      <c r="AU192" s="1" t="str">
        <f t="shared" si="167"/>
        <v/>
      </c>
      <c r="AV192" s="1">
        <f t="shared" si="168"/>
        <v>12171.428571428571</v>
      </c>
      <c r="AW192" s="1">
        <f t="shared" si="169"/>
        <v>12171.428571428571</v>
      </c>
      <c r="AX192" s="1">
        <f t="shared" ref="AX192:BC192" si="184">IF(V192&gt;0,V237/V192*1000,"")</f>
        <v>12171.428571428571</v>
      </c>
      <c r="AY192" s="1">
        <f t="shared" si="184"/>
        <v>12171.428571428572</v>
      </c>
      <c r="AZ192" s="1">
        <f t="shared" si="184"/>
        <v>12171.428571428571</v>
      </c>
      <c r="BA192" s="1">
        <f t="shared" si="184"/>
        <v>1400.0000000000002</v>
      </c>
      <c r="BB192" s="1">
        <f t="shared" si="184"/>
        <v>13208.234992412932</v>
      </c>
      <c r="BC192" s="1">
        <f t="shared" si="184"/>
        <v>14779.643988462336</v>
      </c>
    </row>
    <row r="193" spans="1:55" ht="15.75" thickBot="1" x14ac:dyDescent="0.3">
      <c r="A193" s="48" t="s">
        <v>60</v>
      </c>
      <c r="B193" s="49" t="s">
        <v>9</v>
      </c>
      <c r="C193" s="50"/>
      <c r="D193" s="50"/>
      <c r="E193" s="50"/>
      <c r="F193" s="53">
        <f>F210</f>
        <v>0</v>
      </c>
      <c r="G193" s="53">
        <f t="shared" ref="G193:X193" si="185">G210</f>
        <v>0</v>
      </c>
      <c r="H193" s="53">
        <f t="shared" si="185"/>
        <v>0</v>
      </c>
      <c r="I193" s="53">
        <f t="shared" si="185"/>
        <v>0</v>
      </c>
      <c r="J193" s="53">
        <f t="shared" si="185"/>
        <v>0</v>
      </c>
      <c r="K193" s="53">
        <f t="shared" si="185"/>
        <v>0</v>
      </c>
      <c r="L193" s="62">
        <f t="shared" si="185"/>
        <v>0</v>
      </c>
      <c r="M193" s="53">
        <f t="shared" si="185"/>
        <v>0</v>
      </c>
      <c r="N193" s="53">
        <f t="shared" si="185"/>
        <v>0</v>
      </c>
      <c r="O193" s="53">
        <f t="shared" si="185"/>
        <v>0</v>
      </c>
      <c r="P193" s="53">
        <f t="shared" si="185"/>
        <v>0</v>
      </c>
      <c r="Q193" s="53">
        <f t="shared" si="185"/>
        <v>0</v>
      </c>
      <c r="R193" s="53">
        <f t="shared" si="185"/>
        <v>0</v>
      </c>
      <c r="S193" s="53">
        <f t="shared" si="185"/>
        <v>0</v>
      </c>
      <c r="T193" s="53">
        <f t="shared" si="185"/>
        <v>0</v>
      </c>
      <c r="U193" s="53">
        <f t="shared" si="185"/>
        <v>0</v>
      </c>
      <c r="V193" s="53">
        <f t="shared" si="185"/>
        <v>0</v>
      </c>
      <c r="W193" s="53">
        <f>W210</f>
        <v>0</v>
      </c>
      <c r="X193" s="56">
        <f t="shared" si="185"/>
        <v>3.4931813100827185</v>
      </c>
      <c r="Y193" s="60">
        <f t="shared" si="151"/>
        <v>0</v>
      </c>
      <c r="Z193" s="53">
        <f t="shared" si="152"/>
        <v>3.4931813100827185</v>
      </c>
      <c r="AA193" s="53">
        <f t="shared" si="153"/>
        <v>3.4931813100827185</v>
      </c>
      <c r="AC193" s="48" t="s">
        <v>60</v>
      </c>
      <c r="AD193" s="49" t="s">
        <v>9</v>
      </c>
      <c r="AE193" s="50"/>
      <c r="AF193" s="50"/>
      <c r="AG193" s="50"/>
      <c r="AH193" s="1" t="str">
        <f t="shared" si="154"/>
        <v/>
      </c>
      <c r="AI193" s="1" t="str">
        <f t="shared" si="155"/>
        <v/>
      </c>
      <c r="AJ193" s="1" t="str">
        <f t="shared" si="156"/>
        <v/>
      </c>
      <c r="AK193" s="1" t="str">
        <f t="shared" si="157"/>
        <v/>
      </c>
      <c r="AL193" s="1" t="str">
        <f t="shared" si="158"/>
        <v/>
      </c>
      <c r="AM193" s="1" t="str">
        <f t="shared" si="159"/>
        <v/>
      </c>
      <c r="AN193" s="52" t="str">
        <f t="shared" si="160"/>
        <v/>
      </c>
      <c r="AO193" s="1" t="str">
        <f t="shared" si="161"/>
        <v/>
      </c>
      <c r="AP193" s="1" t="str">
        <f t="shared" si="162"/>
        <v/>
      </c>
      <c r="AQ193" s="1" t="str">
        <f t="shared" si="163"/>
        <v/>
      </c>
      <c r="AR193" s="1" t="str">
        <f t="shared" si="164"/>
        <v/>
      </c>
      <c r="AS193" s="1" t="str">
        <f t="shared" si="165"/>
        <v/>
      </c>
      <c r="AT193" s="1" t="str">
        <f t="shared" si="166"/>
        <v/>
      </c>
      <c r="AU193" s="1" t="str">
        <f t="shared" si="167"/>
        <v/>
      </c>
      <c r="AV193" s="1" t="str">
        <f t="shared" si="168"/>
        <v/>
      </c>
      <c r="AW193" s="1" t="str">
        <f t="shared" si="169"/>
        <v/>
      </c>
      <c r="AX193" s="1" t="str">
        <f t="shared" ref="AX193:BC193" si="186">IF(V193&gt;0,V238/V193*1000,"")</f>
        <v/>
      </c>
      <c r="AY193" s="1" t="str">
        <f t="shared" si="186"/>
        <v/>
      </c>
      <c r="AZ193" s="1">
        <f t="shared" si="186"/>
        <v>7100</v>
      </c>
      <c r="BA193" s="1" t="str">
        <f t="shared" si="186"/>
        <v/>
      </c>
      <c r="BB193" s="1">
        <f t="shared" si="186"/>
        <v>7100</v>
      </c>
      <c r="BC193" s="1">
        <f t="shared" si="186"/>
        <v>7100</v>
      </c>
    </row>
    <row r="194" spans="1:55" ht="15.75" thickTop="1" x14ac:dyDescent="0.25">
      <c r="A194" s="15" t="s">
        <v>51</v>
      </c>
      <c r="B194" s="16" t="s">
        <v>52</v>
      </c>
      <c r="C194" s="16" t="s">
        <v>53</v>
      </c>
      <c r="D194" s="2"/>
      <c r="E194" s="2"/>
      <c r="F194" s="47">
        <v>0</v>
      </c>
      <c r="G194" s="47">
        <v>0</v>
      </c>
      <c r="H194" s="47">
        <v>0</v>
      </c>
      <c r="I194" s="47">
        <v>0</v>
      </c>
      <c r="J194" s="47">
        <v>0</v>
      </c>
      <c r="K194" s="47">
        <v>0</v>
      </c>
      <c r="L194" s="63">
        <v>0</v>
      </c>
      <c r="M194" s="47">
        <v>0</v>
      </c>
      <c r="N194" s="47">
        <v>0</v>
      </c>
      <c r="O194" s="47">
        <v>0</v>
      </c>
      <c r="P194" s="47">
        <v>0</v>
      </c>
      <c r="Q194" s="47">
        <v>0</v>
      </c>
      <c r="R194" s="47">
        <v>0</v>
      </c>
      <c r="S194" s="47">
        <v>0</v>
      </c>
      <c r="T194" s="47">
        <v>0</v>
      </c>
      <c r="U194" s="47">
        <v>0</v>
      </c>
      <c r="V194" s="47">
        <v>0</v>
      </c>
      <c r="W194" s="47">
        <v>0</v>
      </c>
      <c r="X194" s="57">
        <v>0</v>
      </c>
      <c r="Y194" s="61">
        <f t="shared" si="151"/>
        <v>0</v>
      </c>
      <c r="Z194" s="47">
        <f t="shared" si="152"/>
        <v>0</v>
      </c>
      <c r="AA194" s="47">
        <f t="shared" si="153"/>
        <v>0</v>
      </c>
      <c r="AC194" s="15" t="s">
        <v>51</v>
      </c>
      <c r="AD194" s="16" t="s">
        <v>52</v>
      </c>
      <c r="AE194" s="16" t="s">
        <v>53</v>
      </c>
      <c r="AF194" s="2"/>
      <c r="AG194" s="2"/>
      <c r="AH194" s="90" t="str">
        <f t="shared" si="154"/>
        <v/>
      </c>
      <c r="AI194" s="90" t="str">
        <f t="shared" si="155"/>
        <v/>
      </c>
      <c r="AJ194" s="90" t="str">
        <f t="shared" si="156"/>
        <v/>
      </c>
      <c r="AK194" s="90" t="str">
        <f t="shared" si="157"/>
        <v/>
      </c>
      <c r="AL194" s="90" t="str">
        <f t="shared" si="158"/>
        <v/>
      </c>
      <c r="AM194" s="90" t="str">
        <f t="shared" si="159"/>
        <v/>
      </c>
      <c r="AN194" s="90" t="str">
        <f t="shared" si="160"/>
        <v/>
      </c>
      <c r="AO194" s="90" t="str">
        <f t="shared" si="161"/>
        <v/>
      </c>
      <c r="AP194" s="90" t="str">
        <f t="shared" si="162"/>
        <v/>
      </c>
      <c r="AQ194" s="90" t="str">
        <f t="shared" si="163"/>
        <v/>
      </c>
      <c r="AR194" s="90" t="str">
        <f t="shared" si="164"/>
        <v/>
      </c>
      <c r="AS194" s="90" t="str">
        <f t="shared" si="165"/>
        <v/>
      </c>
      <c r="AT194" s="90" t="str">
        <f t="shared" si="166"/>
        <v/>
      </c>
      <c r="AU194" s="90" t="str">
        <f t="shared" si="167"/>
        <v/>
      </c>
      <c r="AV194" s="90" t="str">
        <f t="shared" si="168"/>
        <v/>
      </c>
      <c r="AW194" s="90" t="str">
        <f t="shared" si="169"/>
        <v/>
      </c>
      <c r="AX194" s="90" t="str">
        <f t="shared" ref="AX194:BC194" si="187">IF(V194&gt;0,V239/V194*1000,"")</f>
        <v/>
      </c>
      <c r="AY194" s="90" t="str">
        <f t="shared" si="187"/>
        <v/>
      </c>
      <c r="AZ194" s="90" t="str">
        <f t="shared" si="187"/>
        <v/>
      </c>
      <c r="BA194" s="90" t="str">
        <f t="shared" si="187"/>
        <v/>
      </c>
      <c r="BB194" s="90" t="str">
        <f t="shared" si="187"/>
        <v/>
      </c>
      <c r="BC194" s="90" t="str">
        <f t="shared" si="187"/>
        <v/>
      </c>
    </row>
    <row r="195" spans="1:55" x14ac:dyDescent="0.25">
      <c r="A195" s="15" t="s">
        <v>51</v>
      </c>
      <c r="B195" s="16" t="s">
        <v>52</v>
      </c>
      <c r="C195" s="16" t="s">
        <v>54</v>
      </c>
      <c r="D195" s="2"/>
      <c r="E195" s="2"/>
      <c r="F195" s="47">
        <v>0</v>
      </c>
      <c r="G195" s="47">
        <v>0</v>
      </c>
      <c r="H195" s="1">
        <v>0</v>
      </c>
      <c r="I195" s="1">
        <v>0</v>
      </c>
      <c r="J195" s="1">
        <v>0</v>
      </c>
      <c r="K195" s="1">
        <v>0</v>
      </c>
      <c r="L195" s="52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54">
        <v>0</v>
      </c>
      <c r="Y195" s="58">
        <f t="shared" si="151"/>
        <v>0</v>
      </c>
      <c r="Z195" s="1">
        <f t="shared" si="152"/>
        <v>0</v>
      </c>
      <c r="AA195" s="1">
        <f t="shared" si="153"/>
        <v>0</v>
      </c>
      <c r="AC195" s="15" t="s">
        <v>51</v>
      </c>
      <c r="AD195" s="16" t="s">
        <v>52</v>
      </c>
      <c r="AE195" s="16" t="s">
        <v>54</v>
      </c>
      <c r="AF195" s="2"/>
      <c r="AG195" s="2"/>
      <c r="AH195" s="90" t="str">
        <f t="shared" si="154"/>
        <v/>
      </c>
      <c r="AI195" s="90" t="str">
        <f t="shared" si="155"/>
        <v/>
      </c>
      <c r="AJ195" s="90" t="str">
        <f t="shared" si="156"/>
        <v/>
      </c>
      <c r="AK195" s="90" t="str">
        <f t="shared" si="157"/>
        <v/>
      </c>
      <c r="AL195" s="90" t="str">
        <f t="shared" si="158"/>
        <v/>
      </c>
      <c r="AM195" s="90" t="str">
        <f t="shared" si="159"/>
        <v/>
      </c>
      <c r="AN195" s="90" t="str">
        <f t="shared" si="160"/>
        <v/>
      </c>
      <c r="AO195" s="90" t="str">
        <f t="shared" si="161"/>
        <v/>
      </c>
      <c r="AP195" s="90" t="str">
        <f t="shared" si="162"/>
        <v/>
      </c>
      <c r="AQ195" s="90" t="str">
        <f t="shared" si="163"/>
        <v/>
      </c>
      <c r="AR195" s="90" t="str">
        <f t="shared" si="164"/>
        <v/>
      </c>
      <c r="AS195" s="90" t="str">
        <f t="shared" si="165"/>
        <v/>
      </c>
      <c r="AT195" s="90" t="str">
        <f t="shared" si="166"/>
        <v/>
      </c>
      <c r="AU195" s="90" t="str">
        <f t="shared" si="167"/>
        <v/>
      </c>
      <c r="AV195" s="90" t="str">
        <f t="shared" si="168"/>
        <v/>
      </c>
      <c r="AW195" s="90" t="str">
        <f t="shared" si="169"/>
        <v/>
      </c>
      <c r="AX195" s="90" t="str">
        <f t="shared" ref="AX195:BC195" si="188">IF(V195&gt;0,V240/V195*1000,"")</f>
        <v/>
      </c>
      <c r="AY195" s="90" t="str">
        <f t="shared" si="188"/>
        <v/>
      </c>
      <c r="AZ195" s="90" t="str">
        <f t="shared" si="188"/>
        <v/>
      </c>
      <c r="BA195" s="90" t="str">
        <f t="shared" si="188"/>
        <v/>
      </c>
      <c r="BB195" s="90" t="str">
        <f t="shared" si="188"/>
        <v/>
      </c>
      <c r="BC195" s="90" t="str">
        <f t="shared" si="188"/>
        <v/>
      </c>
    </row>
    <row r="196" spans="1:55" x14ac:dyDescent="0.25">
      <c r="A196" s="15" t="s">
        <v>51</v>
      </c>
      <c r="B196" s="16" t="s">
        <v>52</v>
      </c>
      <c r="C196" s="16" t="s">
        <v>55</v>
      </c>
      <c r="D196" s="2"/>
      <c r="E196" s="2"/>
      <c r="F196" s="47">
        <v>0</v>
      </c>
      <c r="G196" s="47">
        <v>0</v>
      </c>
      <c r="H196" s="1">
        <v>0</v>
      </c>
      <c r="I196" s="1">
        <v>0</v>
      </c>
      <c r="J196" s="1">
        <v>0</v>
      </c>
      <c r="K196" s="1">
        <v>0</v>
      </c>
      <c r="L196" s="52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54">
        <v>0</v>
      </c>
      <c r="Y196" s="58">
        <f t="shared" si="151"/>
        <v>0</v>
      </c>
      <c r="Z196" s="1">
        <f t="shared" si="152"/>
        <v>0</v>
      </c>
      <c r="AA196" s="1">
        <f t="shared" si="153"/>
        <v>0</v>
      </c>
      <c r="AC196" s="15" t="s">
        <v>51</v>
      </c>
      <c r="AD196" s="16" t="s">
        <v>52</v>
      </c>
      <c r="AE196" s="16" t="s">
        <v>55</v>
      </c>
      <c r="AF196" s="2"/>
      <c r="AG196" s="2"/>
      <c r="AH196" s="90" t="str">
        <f t="shared" si="154"/>
        <v/>
      </c>
      <c r="AI196" s="90" t="str">
        <f t="shared" si="155"/>
        <v/>
      </c>
      <c r="AJ196" s="90" t="str">
        <f t="shared" si="156"/>
        <v/>
      </c>
      <c r="AK196" s="90" t="str">
        <f t="shared" si="157"/>
        <v/>
      </c>
      <c r="AL196" s="90" t="str">
        <f t="shared" si="158"/>
        <v/>
      </c>
      <c r="AM196" s="90" t="str">
        <f t="shared" si="159"/>
        <v/>
      </c>
      <c r="AN196" s="90" t="str">
        <f t="shared" si="160"/>
        <v/>
      </c>
      <c r="AO196" s="90" t="str">
        <f t="shared" si="161"/>
        <v/>
      </c>
      <c r="AP196" s="90" t="str">
        <f t="shared" si="162"/>
        <v/>
      </c>
      <c r="AQ196" s="90" t="str">
        <f t="shared" si="163"/>
        <v/>
      </c>
      <c r="AR196" s="90" t="str">
        <f t="shared" si="164"/>
        <v/>
      </c>
      <c r="AS196" s="90" t="str">
        <f t="shared" si="165"/>
        <v/>
      </c>
      <c r="AT196" s="90" t="str">
        <f t="shared" si="166"/>
        <v/>
      </c>
      <c r="AU196" s="90" t="str">
        <f t="shared" si="167"/>
        <v/>
      </c>
      <c r="AV196" s="90" t="str">
        <f t="shared" si="168"/>
        <v/>
      </c>
      <c r="AW196" s="90" t="str">
        <f t="shared" si="169"/>
        <v/>
      </c>
      <c r="AX196" s="90" t="str">
        <f t="shared" ref="AX196:BC196" si="189">IF(V196&gt;0,V241/V196*1000,"")</f>
        <v/>
      </c>
      <c r="AY196" s="90" t="str">
        <f t="shared" si="189"/>
        <v/>
      </c>
      <c r="AZ196" s="90" t="str">
        <f t="shared" si="189"/>
        <v/>
      </c>
      <c r="BA196" s="90" t="str">
        <f t="shared" si="189"/>
        <v/>
      </c>
      <c r="BB196" s="90" t="str">
        <f t="shared" si="189"/>
        <v/>
      </c>
      <c r="BC196" s="90" t="str">
        <f t="shared" si="189"/>
        <v/>
      </c>
    </row>
    <row r="197" spans="1:55" x14ac:dyDescent="0.25">
      <c r="A197" s="25" t="s">
        <v>51</v>
      </c>
      <c r="B197" s="26" t="s">
        <v>56</v>
      </c>
      <c r="C197" s="26" t="s">
        <v>57</v>
      </c>
      <c r="D197" s="2"/>
      <c r="E197" s="2"/>
      <c r="F197" s="47">
        <v>0</v>
      </c>
      <c r="G197" s="47">
        <v>0</v>
      </c>
      <c r="H197" s="1">
        <v>0</v>
      </c>
      <c r="I197" s="1">
        <v>0</v>
      </c>
      <c r="J197" s="1">
        <v>0</v>
      </c>
      <c r="K197" s="1">
        <v>0</v>
      </c>
      <c r="L197" s="52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54">
        <v>0</v>
      </c>
      <c r="Y197" s="58">
        <f t="shared" si="151"/>
        <v>0</v>
      </c>
      <c r="Z197" s="1">
        <f t="shared" si="152"/>
        <v>0</v>
      </c>
      <c r="AA197" s="1">
        <f t="shared" si="153"/>
        <v>0</v>
      </c>
      <c r="AC197" s="25" t="s">
        <v>51</v>
      </c>
      <c r="AD197" s="26" t="s">
        <v>56</v>
      </c>
      <c r="AE197" s="26" t="s">
        <v>57</v>
      </c>
      <c r="AF197" s="2"/>
      <c r="AG197" s="2"/>
      <c r="AH197" s="90" t="str">
        <f t="shared" si="154"/>
        <v/>
      </c>
      <c r="AI197" s="90" t="str">
        <f t="shared" si="155"/>
        <v/>
      </c>
      <c r="AJ197" s="90" t="str">
        <f t="shared" si="156"/>
        <v/>
      </c>
      <c r="AK197" s="90" t="str">
        <f t="shared" si="157"/>
        <v/>
      </c>
      <c r="AL197" s="90" t="str">
        <f t="shared" si="158"/>
        <v/>
      </c>
      <c r="AM197" s="90" t="str">
        <f t="shared" si="159"/>
        <v/>
      </c>
      <c r="AN197" s="90" t="str">
        <f t="shared" si="160"/>
        <v/>
      </c>
      <c r="AO197" s="90" t="str">
        <f t="shared" si="161"/>
        <v/>
      </c>
      <c r="AP197" s="90" t="str">
        <f t="shared" si="162"/>
        <v/>
      </c>
      <c r="AQ197" s="90" t="str">
        <f t="shared" si="163"/>
        <v/>
      </c>
      <c r="AR197" s="90" t="str">
        <f t="shared" si="164"/>
        <v/>
      </c>
      <c r="AS197" s="90" t="str">
        <f t="shared" si="165"/>
        <v/>
      </c>
      <c r="AT197" s="90" t="str">
        <f t="shared" si="166"/>
        <v/>
      </c>
      <c r="AU197" s="90" t="str">
        <f t="shared" si="167"/>
        <v/>
      </c>
      <c r="AV197" s="90" t="str">
        <f t="shared" si="168"/>
        <v/>
      </c>
      <c r="AW197" s="90" t="str">
        <f t="shared" si="169"/>
        <v/>
      </c>
      <c r="AX197" s="90" t="str">
        <f t="shared" ref="AX197:BC197" si="190">IF(V197&gt;0,V242/V197*1000,"")</f>
        <v/>
      </c>
      <c r="AY197" s="90" t="str">
        <f t="shared" si="190"/>
        <v/>
      </c>
      <c r="AZ197" s="90" t="str">
        <f t="shared" si="190"/>
        <v/>
      </c>
      <c r="BA197" s="90" t="str">
        <f t="shared" si="190"/>
        <v/>
      </c>
      <c r="BB197" s="90" t="str">
        <f t="shared" si="190"/>
        <v/>
      </c>
      <c r="BC197" s="90" t="str">
        <f t="shared" si="190"/>
        <v/>
      </c>
    </row>
    <row r="198" spans="1:55" x14ac:dyDescent="0.25">
      <c r="A198" s="15" t="s">
        <v>51</v>
      </c>
      <c r="B198" s="16" t="s">
        <v>56</v>
      </c>
      <c r="C198" s="27" t="s">
        <v>58</v>
      </c>
      <c r="D198" s="2"/>
      <c r="E198" s="2"/>
      <c r="F198" s="47">
        <v>0</v>
      </c>
      <c r="G198" s="47">
        <v>0</v>
      </c>
      <c r="H198" s="1">
        <v>0</v>
      </c>
      <c r="I198" s="1">
        <v>0</v>
      </c>
      <c r="J198" s="1">
        <v>0</v>
      </c>
      <c r="K198" s="1">
        <v>0</v>
      </c>
      <c r="L198" s="52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54">
        <v>0</v>
      </c>
      <c r="Y198" s="58">
        <f t="shared" si="151"/>
        <v>0</v>
      </c>
      <c r="Z198" s="1">
        <f t="shared" si="152"/>
        <v>0</v>
      </c>
      <c r="AA198" s="1">
        <f t="shared" si="153"/>
        <v>0</v>
      </c>
      <c r="AC198" s="15" t="s">
        <v>51</v>
      </c>
      <c r="AD198" s="16" t="s">
        <v>56</v>
      </c>
      <c r="AE198" s="27" t="s">
        <v>58</v>
      </c>
      <c r="AF198" s="2"/>
      <c r="AG198" s="2"/>
      <c r="AH198" s="90" t="str">
        <f t="shared" si="154"/>
        <v/>
      </c>
      <c r="AI198" s="90" t="str">
        <f t="shared" si="155"/>
        <v/>
      </c>
      <c r="AJ198" s="90" t="str">
        <f t="shared" si="156"/>
        <v/>
      </c>
      <c r="AK198" s="90" t="str">
        <f t="shared" si="157"/>
        <v/>
      </c>
      <c r="AL198" s="90" t="str">
        <f t="shared" si="158"/>
        <v/>
      </c>
      <c r="AM198" s="90" t="str">
        <f t="shared" si="159"/>
        <v/>
      </c>
      <c r="AN198" s="90" t="str">
        <f t="shared" si="160"/>
        <v/>
      </c>
      <c r="AO198" s="90" t="str">
        <f t="shared" si="161"/>
        <v/>
      </c>
      <c r="AP198" s="90" t="str">
        <f t="shared" si="162"/>
        <v/>
      </c>
      <c r="AQ198" s="90" t="str">
        <f t="shared" si="163"/>
        <v/>
      </c>
      <c r="AR198" s="90" t="str">
        <f t="shared" si="164"/>
        <v/>
      </c>
      <c r="AS198" s="90" t="str">
        <f t="shared" si="165"/>
        <v/>
      </c>
      <c r="AT198" s="90" t="str">
        <f t="shared" si="166"/>
        <v/>
      </c>
      <c r="AU198" s="90" t="str">
        <f t="shared" si="167"/>
        <v/>
      </c>
      <c r="AV198" s="90" t="str">
        <f t="shared" si="168"/>
        <v/>
      </c>
      <c r="AW198" s="90" t="str">
        <f t="shared" si="169"/>
        <v/>
      </c>
      <c r="AX198" s="90" t="str">
        <f t="shared" ref="AX198:BC198" si="191">IF(V198&gt;0,V243/V198*1000,"")</f>
        <v/>
      </c>
      <c r="AY198" s="90" t="str">
        <f t="shared" si="191"/>
        <v/>
      </c>
      <c r="AZ198" s="90" t="str">
        <f t="shared" si="191"/>
        <v/>
      </c>
      <c r="BA198" s="90" t="str">
        <f t="shared" si="191"/>
        <v/>
      </c>
      <c r="BB198" s="90" t="str">
        <f t="shared" si="191"/>
        <v/>
      </c>
      <c r="BC198" s="90" t="str">
        <f t="shared" si="191"/>
        <v/>
      </c>
    </row>
    <row r="199" spans="1:55" x14ac:dyDescent="0.25">
      <c r="A199" s="15" t="s">
        <v>51</v>
      </c>
      <c r="B199" s="16" t="s">
        <v>9</v>
      </c>
      <c r="C199" s="27" t="s">
        <v>59</v>
      </c>
      <c r="D199" s="2"/>
      <c r="E199" s="2"/>
      <c r="F199" s="47">
        <v>0</v>
      </c>
      <c r="G199" s="47">
        <v>0</v>
      </c>
      <c r="H199" s="1">
        <v>0</v>
      </c>
      <c r="I199" s="1">
        <v>0</v>
      </c>
      <c r="J199" s="1">
        <v>0</v>
      </c>
      <c r="K199" s="1">
        <v>0</v>
      </c>
      <c r="L199" s="52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54">
        <v>0</v>
      </c>
      <c r="Y199" s="58">
        <f t="shared" si="151"/>
        <v>0</v>
      </c>
      <c r="Z199" s="1">
        <f t="shared" si="152"/>
        <v>0</v>
      </c>
      <c r="AA199" s="1">
        <f t="shared" si="153"/>
        <v>0</v>
      </c>
      <c r="AC199" s="15" t="s">
        <v>51</v>
      </c>
      <c r="AD199" s="16" t="s">
        <v>9</v>
      </c>
      <c r="AE199" s="27" t="s">
        <v>59</v>
      </c>
      <c r="AF199" s="2"/>
      <c r="AG199" s="2"/>
      <c r="AH199" s="90" t="str">
        <f t="shared" si="154"/>
        <v/>
      </c>
      <c r="AI199" s="90" t="str">
        <f t="shared" si="155"/>
        <v/>
      </c>
      <c r="AJ199" s="90" t="str">
        <f t="shared" si="156"/>
        <v/>
      </c>
      <c r="AK199" s="90" t="str">
        <f t="shared" si="157"/>
        <v/>
      </c>
      <c r="AL199" s="90" t="str">
        <f t="shared" si="158"/>
        <v/>
      </c>
      <c r="AM199" s="90" t="str">
        <f t="shared" si="159"/>
        <v/>
      </c>
      <c r="AN199" s="90" t="str">
        <f t="shared" si="160"/>
        <v/>
      </c>
      <c r="AO199" s="90" t="str">
        <f t="shared" si="161"/>
        <v/>
      </c>
      <c r="AP199" s="90" t="str">
        <f t="shared" si="162"/>
        <v/>
      </c>
      <c r="AQ199" s="90" t="str">
        <f t="shared" si="163"/>
        <v/>
      </c>
      <c r="AR199" s="90" t="str">
        <f t="shared" si="164"/>
        <v/>
      </c>
      <c r="AS199" s="90" t="str">
        <f t="shared" si="165"/>
        <v/>
      </c>
      <c r="AT199" s="90" t="str">
        <f t="shared" si="166"/>
        <v/>
      </c>
      <c r="AU199" s="90" t="str">
        <f t="shared" si="167"/>
        <v/>
      </c>
      <c r="AV199" s="90" t="str">
        <f t="shared" si="168"/>
        <v/>
      </c>
      <c r="AW199" s="90" t="str">
        <f t="shared" si="169"/>
        <v/>
      </c>
      <c r="AX199" s="90" t="str">
        <f t="shared" ref="AX199:BC199" si="192">IF(V199&gt;0,V244/V199*1000,"")</f>
        <v/>
      </c>
      <c r="AY199" s="90" t="str">
        <f t="shared" si="192"/>
        <v/>
      </c>
      <c r="AZ199" s="90" t="str">
        <f t="shared" si="192"/>
        <v/>
      </c>
      <c r="BA199" s="90" t="str">
        <f t="shared" si="192"/>
        <v/>
      </c>
      <c r="BB199" s="90" t="str">
        <f t="shared" si="192"/>
        <v/>
      </c>
      <c r="BC199" s="90" t="str">
        <f t="shared" si="192"/>
        <v/>
      </c>
    </row>
    <row r="200" spans="1:55" x14ac:dyDescent="0.25">
      <c r="A200" s="15" t="s">
        <v>51</v>
      </c>
      <c r="B200" s="16" t="s">
        <v>9</v>
      </c>
      <c r="C200" s="27" t="s">
        <v>9</v>
      </c>
      <c r="D200" s="2"/>
      <c r="E200" s="2"/>
      <c r="F200" s="47">
        <v>0</v>
      </c>
      <c r="G200" s="47">
        <v>0</v>
      </c>
      <c r="H200" s="1">
        <v>0</v>
      </c>
      <c r="I200" s="1">
        <v>0</v>
      </c>
      <c r="J200" s="1">
        <v>0</v>
      </c>
      <c r="K200" s="1">
        <v>0</v>
      </c>
      <c r="L200" s="52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54">
        <v>0</v>
      </c>
      <c r="Y200" s="58">
        <f t="shared" si="151"/>
        <v>0</v>
      </c>
      <c r="Z200" s="1">
        <f t="shared" si="152"/>
        <v>0</v>
      </c>
      <c r="AA200" s="1">
        <f t="shared" si="153"/>
        <v>0</v>
      </c>
      <c r="AC200" s="15" t="s">
        <v>51</v>
      </c>
      <c r="AD200" s="16" t="s">
        <v>9</v>
      </c>
      <c r="AE200" s="27" t="s">
        <v>9</v>
      </c>
      <c r="AF200" s="2"/>
      <c r="AG200" s="2"/>
      <c r="AH200" s="90" t="str">
        <f t="shared" si="154"/>
        <v/>
      </c>
      <c r="AI200" s="90" t="str">
        <f t="shared" si="155"/>
        <v/>
      </c>
      <c r="AJ200" s="90" t="str">
        <f t="shared" si="156"/>
        <v/>
      </c>
      <c r="AK200" s="90" t="str">
        <f t="shared" si="157"/>
        <v/>
      </c>
      <c r="AL200" s="90" t="str">
        <f t="shared" si="158"/>
        <v/>
      </c>
      <c r="AM200" s="90" t="str">
        <f t="shared" si="159"/>
        <v/>
      </c>
      <c r="AN200" s="90" t="str">
        <f t="shared" si="160"/>
        <v/>
      </c>
      <c r="AO200" s="90" t="str">
        <f t="shared" si="161"/>
        <v/>
      </c>
      <c r="AP200" s="90" t="str">
        <f t="shared" si="162"/>
        <v/>
      </c>
      <c r="AQ200" s="90" t="str">
        <f t="shared" si="163"/>
        <v/>
      </c>
      <c r="AR200" s="90" t="str">
        <f t="shared" si="164"/>
        <v/>
      </c>
      <c r="AS200" s="90" t="str">
        <f t="shared" si="165"/>
        <v/>
      </c>
      <c r="AT200" s="90" t="str">
        <f t="shared" si="166"/>
        <v/>
      </c>
      <c r="AU200" s="90" t="str">
        <f t="shared" si="167"/>
        <v/>
      </c>
      <c r="AV200" s="90" t="str">
        <f t="shared" si="168"/>
        <v/>
      </c>
      <c r="AW200" s="90" t="str">
        <f t="shared" si="169"/>
        <v/>
      </c>
      <c r="AX200" s="90" t="str">
        <f t="shared" ref="AX200:BC200" si="193">IF(V200&gt;0,V245/V200*1000,"")</f>
        <v/>
      </c>
      <c r="AY200" s="90" t="str">
        <f t="shared" si="193"/>
        <v/>
      </c>
      <c r="AZ200" s="90" t="str">
        <f t="shared" si="193"/>
        <v/>
      </c>
      <c r="BA200" s="90" t="str">
        <f t="shared" si="193"/>
        <v/>
      </c>
      <c r="BB200" s="90" t="str">
        <f t="shared" si="193"/>
        <v/>
      </c>
      <c r="BC200" s="90" t="str">
        <f t="shared" si="193"/>
        <v/>
      </c>
    </row>
    <row r="201" spans="1:55" x14ac:dyDescent="0.25">
      <c r="A201" s="28" t="s">
        <v>60</v>
      </c>
      <c r="B201" s="29" t="s">
        <v>13</v>
      </c>
      <c r="C201" s="29" t="s">
        <v>61</v>
      </c>
      <c r="D201" s="2"/>
      <c r="E201" s="2"/>
      <c r="F201" s="83">
        <f>202*0.88</f>
        <v>177.76</v>
      </c>
      <c r="G201" s="51">
        <v>0</v>
      </c>
      <c r="H201" s="64">
        <f>1600*0.68</f>
        <v>1088</v>
      </c>
      <c r="I201" s="77">
        <f>I21/I156</f>
        <v>101.37931034482759</v>
      </c>
      <c r="J201" s="83">
        <f>62*0.4</f>
        <v>24.8</v>
      </c>
      <c r="K201" s="77">
        <f>K21/K156</f>
        <v>20.689655172413794</v>
      </c>
      <c r="L201" s="52">
        <v>0</v>
      </c>
      <c r="M201" s="80">
        <f>M21/M156</f>
        <v>3.1850000000000001</v>
      </c>
      <c r="N201" s="84">
        <f t="shared" ref="N201:X201" si="194">N21/N156</f>
        <v>0.12758620689655173</v>
      </c>
      <c r="O201" s="84">
        <f t="shared" si="194"/>
        <v>8.3699999999999997E-2</v>
      </c>
      <c r="P201" s="84">
        <f t="shared" si="194"/>
        <v>7.7499999999999999E-2</v>
      </c>
      <c r="Q201" s="84">
        <f t="shared" si="194"/>
        <v>1.9342359767891681E-2</v>
      </c>
      <c r="R201" s="80">
        <f t="shared" si="194"/>
        <v>0.15023474178403756</v>
      </c>
      <c r="S201" s="51">
        <v>0</v>
      </c>
      <c r="T201" s="80">
        <f t="shared" si="194"/>
        <v>0.15023474178403756</v>
      </c>
      <c r="U201" s="80">
        <f t="shared" si="194"/>
        <v>0.75117370892018775</v>
      </c>
      <c r="V201" s="80">
        <f t="shared" si="194"/>
        <v>0.11737089201877934</v>
      </c>
      <c r="W201" s="80">
        <f t="shared" si="194"/>
        <v>2.5039123630672928</v>
      </c>
      <c r="X201" s="80">
        <f t="shared" si="194"/>
        <v>1.8779342723004695</v>
      </c>
      <c r="Y201" s="59">
        <f t="shared" si="151"/>
        <v>1412.6289655172413</v>
      </c>
      <c r="Z201" s="51">
        <f t="shared" si="152"/>
        <v>9.0439892865392491</v>
      </c>
      <c r="AA201" s="51">
        <f t="shared" si="153"/>
        <v>1421.6729548037806</v>
      </c>
      <c r="AC201" s="28" t="s">
        <v>60</v>
      </c>
      <c r="AD201" s="29" t="s">
        <v>13</v>
      </c>
      <c r="AE201" s="29" t="s">
        <v>61</v>
      </c>
      <c r="AF201" s="2"/>
      <c r="AG201" s="2"/>
      <c r="AH201" s="1">
        <f t="shared" si="154"/>
        <v>301.70517051705173</v>
      </c>
      <c r="AI201" s="1" t="str">
        <f t="shared" si="155"/>
        <v/>
      </c>
      <c r="AJ201" s="1">
        <f t="shared" si="156"/>
        <v>26.911764705882355</v>
      </c>
      <c r="AK201" s="1">
        <f t="shared" si="157"/>
        <v>170.58823529411762</v>
      </c>
      <c r="AL201" s="1">
        <f t="shared" si="158"/>
        <v>324.95256166982921</v>
      </c>
      <c r="AM201" s="1">
        <f t="shared" si="159"/>
        <v>170.58823529411765</v>
      </c>
      <c r="AN201" s="52" t="str">
        <f t="shared" si="160"/>
        <v/>
      </c>
      <c r="AO201" s="1">
        <f t="shared" si="161"/>
        <v>2222.2222222222217</v>
      </c>
      <c r="AP201" s="1">
        <f t="shared" si="162"/>
        <v>5437.5</v>
      </c>
      <c r="AQ201" s="1">
        <f t="shared" si="163"/>
        <v>55555.555555555562</v>
      </c>
      <c r="AR201" s="1">
        <f t="shared" si="164"/>
        <v>155555.55555555553</v>
      </c>
      <c r="AS201" s="1">
        <f t="shared" si="165"/>
        <v>5222.2222222222226</v>
      </c>
      <c r="AT201" s="1">
        <f t="shared" si="166"/>
        <v>2366.6666666666665</v>
      </c>
      <c r="AU201" s="1" t="str">
        <f t="shared" si="167"/>
        <v/>
      </c>
      <c r="AV201" s="1">
        <f t="shared" si="168"/>
        <v>2366.6666666666665</v>
      </c>
      <c r="AW201" s="1">
        <f t="shared" si="169"/>
        <v>2366.6666666666665</v>
      </c>
      <c r="AX201" s="1">
        <f t="shared" ref="AX201:BC201" si="195">IF(V201&gt;0,V246/V201*1000,"")</f>
        <v>2366.6666666666665</v>
      </c>
      <c r="AY201" s="1">
        <f t="shared" si="195"/>
        <v>2366.6666666666665</v>
      </c>
      <c r="AZ201" s="1">
        <f t="shared" si="195"/>
        <v>2366.6666666666665</v>
      </c>
      <c r="BA201" s="1">
        <f t="shared" si="195"/>
        <v>0</v>
      </c>
      <c r="BB201" s="1">
        <f t="shared" si="195"/>
        <v>0</v>
      </c>
      <c r="BC201" s="1">
        <f t="shared" si="195"/>
        <v>0</v>
      </c>
    </row>
    <row r="202" spans="1:55" x14ac:dyDescent="0.25">
      <c r="A202" s="36" t="s">
        <v>60</v>
      </c>
      <c r="B202" s="37" t="s">
        <v>13</v>
      </c>
      <c r="C202" s="29" t="s">
        <v>62</v>
      </c>
      <c r="D202" s="2"/>
      <c r="E202" s="2"/>
      <c r="F202" s="83">
        <f>202*0.12</f>
        <v>24.24</v>
      </c>
      <c r="G202" s="64">
        <v>120</v>
      </c>
      <c r="H202" s="64">
        <f>1600*0.32</f>
        <v>512</v>
      </c>
      <c r="I202" s="51">
        <v>0</v>
      </c>
      <c r="J202" s="51">
        <v>0</v>
      </c>
      <c r="K202" s="51">
        <v>0</v>
      </c>
      <c r="L202" s="52">
        <v>0</v>
      </c>
      <c r="M202" s="51">
        <v>0</v>
      </c>
      <c r="N202" s="51">
        <v>0</v>
      </c>
      <c r="O202" s="51">
        <v>0</v>
      </c>
      <c r="P202" s="51">
        <v>0</v>
      </c>
      <c r="Q202" s="51">
        <v>0</v>
      </c>
      <c r="R202" s="51">
        <v>0</v>
      </c>
      <c r="S202" s="51">
        <v>0</v>
      </c>
      <c r="T202" s="51">
        <v>0</v>
      </c>
      <c r="U202" s="51">
        <v>0</v>
      </c>
      <c r="V202" s="51">
        <v>0</v>
      </c>
      <c r="W202" s="51">
        <v>0</v>
      </c>
      <c r="X202" s="55">
        <v>0</v>
      </c>
      <c r="Y202" s="59">
        <f t="shared" si="151"/>
        <v>656.24</v>
      </c>
      <c r="Z202" s="51">
        <f t="shared" si="152"/>
        <v>0</v>
      </c>
      <c r="AA202" s="51">
        <f t="shared" si="153"/>
        <v>656.24</v>
      </c>
      <c r="AC202" s="36" t="s">
        <v>60</v>
      </c>
      <c r="AD202" s="37" t="s">
        <v>13</v>
      </c>
      <c r="AE202" s="29" t="s">
        <v>62</v>
      </c>
      <c r="AF202" s="2"/>
      <c r="AG202" s="2"/>
      <c r="AH202" s="1">
        <f t="shared" si="154"/>
        <v>301.70517051705173</v>
      </c>
      <c r="AI202" s="1">
        <f t="shared" si="155"/>
        <v>136.11111111111109</v>
      </c>
      <c r="AJ202" s="1">
        <f t="shared" si="156"/>
        <v>26.911764705882355</v>
      </c>
      <c r="AK202" s="1" t="str">
        <f t="shared" si="157"/>
        <v/>
      </c>
      <c r="AL202" s="1" t="str">
        <f t="shared" si="158"/>
        <v/>
      </c>
      <c r="AM202" s="1" t="str">
        <f t="shared" si="159"/>
        <v/>
      </c>
      <c r="AN202" s="52" t="str">
        <f t="shared" si="160"/>
        <v/>
      </c>
      <c r="AO202" s="1" t="str">
        <f t="shared" si="161"/>
        <v/>
      </c>
      <c r="AP202" s="1" t="str">
        <f t="shared" si="162"/>
        <v/>
      </c>
      <c r="AQ202" s="1" t="str">
        <f t="shared" si="163"/>
        <v/>
      </c>
      <c r="AR202" s="1" t="str">
        <f t="shared" si="164"/>
        <v/>
      </c>
      <c r="AS202" s="1" t="str">
        <f t="shared" si="165"/>
        <v/>
      </c>
      <c r="AT202" s="1" t="str">
        <f t="shared" si="166"/>
        <v/>
      </c>
      <c r="AU202" s="1" t="str">
        <f t="shared" si="167"/>
        <v/>
      </c>
      <c r="AV202" s="1" t="str">
        <f t="shared" si="168"/>
        <v/>
      </c>
      <c r="AW202" s="1" t="str">
        <f t="shared" si="169"/>
        <v/>
      </c>
      <c r="AX202" s="1" t="str">
        <f t="shared" ref="AX202:BC202" si="196">IF(V202&gt;0,V247/V202*1000,"")</f>
        <v/>
      </c>
      <c r="AY202" s="1" t="str">
        <f t="shared" si="196"/>
        <v/>
      </c>
      <c r="AZ202" s="1" t="str">
        <f t="shared" si="196"/>
        <v/>
      </c>
      <c r="BA202" s="1">
        <f t="shared" si="196"/>
        <v>0</v>
      </c>
      <c r="BB202" s="1" t="str">
        <f t="shared" si="196"/>
        <v/>
      </c>
      <c r="BC202" s="1">
        <f t="shared" si="196"/>
        <v>0</v>
      </c>
    </row>
    <row r="203" spans="1:55" x14ac:dyDescent="0.25">
      <c r="A203" s="30" t="s">
        <v>60</v>
      </c>
      <c r="B203" s="31" t="s">
        <v>13</v>
      </c>
      <c r="C203" s="32" t="s">
        <v>63</v>
      </c>
      <c r="D203" s="2"/>
      <c r="E203" s="2"/>
      <c r="F203" s="51">
        <v>0</v>
      </c>
      <c r="G203" s="51">
        <v>0</v>
      </c>
      <c r="H203" s="51">
        <v>0</v>
      </c>
      <c r="I203" s="51">
        <v>0</v>
      </c>
      <c r="J203" s="51">
        <v>0</v>
      </c>
      <c r="K203" s="51">
        <v>0</v>
      </c>
      <c r="L203" s="52">
        <v>0</v>
      </c>
      <c r="M203" s="51">
        <v>0</v>
      </c>
      <c r="N203" s="51">
        <v>0</v>
      </c>
      <c r="O203" s="51">
        <v>0</v>
      </c>
      <c r="P203" s="51">
        <v>0</v>
      </c>
      <c r="Q203" s="51">
        <v>0</v>
      </c>
      <c r="R203" s="51">
        <v>0</v>
      </c>
      <c r="S203" s="51">
        <v>0</v>
      </c>
      <c r="T203" s="51">
        <v>0</v>
      </c>
      <c r="U203" s="51">
        <v>0</v>
      </c>
      <c r="V203" s="51">
        <v>0</v>
      </c>
      <c r="W203" s="51">
        <v>0</v>
      </c>
      <c r="X203" s="55">
        <v>0</v>
      </c>
      <c r="Y203" s="59">
        <f t="shared" si="151"/>
        <v>0</v>
      </c>
      <c r="Z203" s="51">
        <f t="shared" si="152"/>
        <v>0</v>
      </c>
      <c r="AA203" s="51">
        <f t="shared" si="153"/>
        <v>0</v>
      </c>
      <c r="AC203" s="30" t="s">
        <v>60</v>
      </c>
      <c r="AD203" s="31" t="s">
        <v>13</v>
      </c>
      <c r="AE203" s="32" t="s">
        <v>63</v>
      </c>
      <c r="AF203" s="2"/>
      <c r="AG203" s="2"/>
      <c r="AH203" s="1" t="str">
        <f t="shared" si="154"/>
        <v/>
      </c>
      <c r="AI203" s="1" t="str">
        <f t="shared" si="155"/>
        <v/>
      </c>
      <c r="AJ203" s="1" t="str">
        <f t="shared" si="156"/>
        <v/>
      </c>
      <c r="AK203" s="1" t="str">
        <f t="shared" si="157"/>
        <v/>
      </c>
      <c r="AL203" s="1" t="str">
        <f t="shared" si="158"/>
        <v/>
      </c>
      <c r="AM203" s="1" t="str">
        <f t="shared" si="159"/>
        <v/>
      </c>
      <c r="AN203" s="52" t="str">
        <f t="shared" si="160"/>
        <v/>
      </c>
      <c r="AO203" s="1" t="str">
        <f t="shared" si="161"/>
        <v/>
      </c>
      <c r="AP203" s="1" t="str">
        <f t="shared" si="162"/>
        <v/>
      </c>
      <c r="AQ203" s="1" t="str">
        <f t="shared" si="163"/>
        <v/>
      </c>
      <c r="AR203" s="1" t="str">
        <f t="shared" si="164"/>
        <v/>
      </c>
      <c r="AS203" s="1" t="str">
        <f t="shared" si="165"/>
        <v/>
      </c>
      <c r="AT203" s="1" t="str">
        <f t="shared" si="166"/>
        <v/>
      </c>
      <c r="AU203" s="1" t="str">
        <f t="shared" si="167"/>
        <v/>
      </c>
      <c r="AV203" s="1" t="str">
        <f t="shared" si="168"/>
        <v/>
      </c>
      <c r="AW203" s="1" t="str">
        <f t="shared" si="169"/>
        <v/>
      </c>
      <c r="AX203" s="1" t="str">
        <f t="shared" ref="AX203:BC203" si="197">IF(V203&gt;0,V248/V203*1000,"")</f>
        <v/>
      </c>
      <c r="AY203" s="1" t="str">
        <f t="shared" si="197"/>
        <v/>
      </c>
      <c r="AZ203" s="1" t="str">
        <f t="shared" si="197"/>
        <v/>
      </c>
      <c r="BA203" s="1" t="str">
        <f t="shared" si="197"/>
        <v/>
      </c>
      <c r="BB203" s="1" t="str">
        <f t="shared" si="197"/>
        <v/>
      </c>
      <c r="BC203" s="1" t="str">
        <f t="shared" si="197"/>
        <v/>
      </c>
    </row>
    <row r="204" spans="1:55" x14ac:dyDescent="0.25">
      <c r="A204" s="30" t="s">
        <v>60</v>
      </c>
      <c r="B204" s="32" t="s">
        <v>23</v>
      </c>
      <c r="C204" s="31" t="s">
        <v>50</v>
      </c>
      <c r="D204" s="2"/>
      <c r="E204" s="2"/>
      <c r="F204" s="64">
        <f>3/40*50</f>
        <v>3.75</v>
      </c>
      <c r="G204" s="51">
        <v>0</v>
      </c>
      <c r="H204" s="51">
        <v>0</v>
      </c>
      <c r="I204" s="51">
        <v>0</v>
      </c>
      <c r="J204" s="80">
        <f>J24/J159</f>
        <v>1.5222222222222221</v>
      </c>
      <c r="K204" s="77">
        <f>K24/K159</f>
        <v>1090.9090909090908</v>
      </c>
      <c r="L204" s="52">
        <v>0</v>
      </c>
      <c r="M204" s="51">
        <v>0</v>
      </c>
      <c r="N204" s="84">
        <f>N24/N159</f>
        <v>1.38</v>
      </c>
      <c r="O204" s="51">
        <v>0</v>
      </c>
      <c r="P204" s="51">
        <v>0</v>
      </c>
      <c r="Q204" s="51">
        <v>0</v>
      </c>
      <c r="R204" s="51">
        <v>0</v>
      </c>
      <c r="S204" s="51">
        <v>0</v>
      </c>
      <c r="T204" s="51">
        <v>0</v>
      </c>
      <c r="U204" s="51">
        <v>0</v>
      </c>
      <c r="V204" s="51">
        <v>0</v>
      </c>
      <c r="W204" s="51">
        <v>0</v>
      </c>
      <c r="X204" s="55">
        <v>0</v>
      </c>
      <c r="Y204" s="59">
        <f t="shared" si="151"/>
        <v>1096.1813131313129</v>
      </c>
      <c r="Z204" s="51">
        <f t="shared" si="152"/>
        <v>1.38</v>
      </c>
      <c r="AA204" s="51">
        <f t="shared" si="153"/>
        <v>1097.561313131313</v>
      </c>
      <c r="AC204" s="30" t="s">
        <v>60</v>
      </c>
      <c r="AD204" s="32" t="s">
        <v>23</v>
      </c>
      <c r="AE204" s="31" t="s">
        <v>50</v>
      </c>
      <c r="AF204" s="2"/>
      <c r="AG204" s="2"/>
      <c r="AH204" s="1">
        <f t="shared" si="154"/>
        <v>615.38461538461536</v>
      </c>
      <c r="AI204" s="1" t="str">
        <f t="shared" si="155"/>
        <v/>
      </c>
      <c r="AJ204" s="1" t="str">
        <f t="shared" si="156"/>
        <v/>
      </c>
      <c r="AK204" s="1" t="str">
        <f t="shared" si="157"/>
        <v/>
      </c>
      <c r="AL204" s="1">
        <f t="shared" si="158"/>
        <v>692.30769230769238</v>
      </c>
      <c r="AM204" s="1">
        <f t="shared" si="159"/>
        <v>31.428571428571431</v>
      </c>
      <c r="AN204" s="52" t="str">
        <f t="shared" si="160"/>
        <v/>
      </c>
      <c r="AO204" s="1" t="str">
        <f t="shared" si="161"/>
        <v/>
      </c>
      <c r="AP204" s="1">
        <f t="shared" si="162"/>
        <v>15384.615384615385</v>
      </c>
      <c r="AQ204" s="1" t="str">
        <f t="shared" si="163"/>
        <v/>
      </c>
      <c r="AR204" s="1" t="str">
        <f t="shared" si="164"/>
        <v/>
      </c>
      <c r="AS204" s="1" t="str">
        <f t="shared" si="165"/>
        <v/>
      </c>
      <c r="AT204" s="1" t="str">
        <f t="shared" si="166"/>
        <v/>
      </c>
      <c r="AU204" s="1" t="str">
        <f t="shared" si="167"/>
        <v/>
      </c>
      <c r="AV204" s="1" t="str">
        <f t="shared" si="168"/>
        <v/>
      </c>
      <c r="AW204" s="1" t="str">
        <f t="shared" si="169"/>
        <v/>
      </c>
      <c r="AX204" s="1" t="str">
        <f t="shared" ref="AX204:BC204" si="198">IF(V204&gt;0,V249/V204*1000,"")</f>
        <v/>
      </c>
      <c r="AY204" s="1" t="str">
        <f t="shared" si="198"/>
        <v/>
      </c>
      <c r="AZ204" s="1" t="str">
        <f t="shared" si="198"/>
        <v/>
      </c>
      <c r="BA204" s="1">
        <f t="shared" si="198"/>
        <v>0</v>
      </c>
      <c r="BB204" s="1">
        <f t="shared" si="198"/>
        <v>0</v>
      </c>
      <c r="BC204" s="1">
        <f t="shared" si="198"/>
        <v>0</v>
      </c>
    </row>
    <row r="205" spans="1:55" x14ac:dyDescent="0.25">
      <c r="A205" s="30" t="s">
        <v>60</v>
      </c>
      <c r="B205" s="32" t="s">
        <v>23</v>
      </c>
      <c r="C205" s="31" t="s">
        <v>49</v>
      </c>
      <c r="D205" s="2"/>
      <c r="E205" s="2"/>
      <c r="F205" s="51">
        <v>0</v>
      </c>
      <c r="G205" s="51">
        <v>0</v>
      </c>
      <c r="H205" s="51">
        <v>0</v>
      </c>
      <c r="I205" s="51">
        <v>0</v>
      </c>
      <c r="J205" s="80">
        <f>J25/J160</f>
        <v>41.803278688524593</v>
      </c>
      <c r="K205" s="51">
        <v>0</v>
      </c>
      <c r="L205" s="52">
        <v>0</v>
      </c>
      <c r="M205" s="51">
        <v>0</v>
      </c>
      <c r="N205" s="51">
        <v>0</v>
      </c>
      <c r="O205" s="51">
        <v>0</v>
      </c>
      <c r="P205" s="51">
        <v>0</v>
      </c>
      <c r="Q205" s="51">
        <v>0</v>
      </c>
      <c r="R205" s="51">
        <v>0</v>
      </c>
      <c r="S205" s="77">
        <f t="shared" ref="S205:X205" si="199">S25/S160</f>
        <v>2.4500000000000002</v>
      </c>
      <c r="T205" s="80">
        <f t="shared" si="199"/>
        <v>1.4778325123152709</v>
      </c>
      <c r="U205" s="86">
        <v>0</v>
      </c>
      <c r="V205" s="80">
        <f t="shared" si="199"/>
        <v>0.24630541871921183</v>
      </c>
      <c r="W205" s="86">
        <v>0</v>
      </c>
      <c r="X205" s="80">
        <f t="shared" si="199"/>
        <v>1</v>
      </c>
      <c r="Y205" s="59">
        <f t="shared" si="151"/>
        <v>41.803278688524593</v>
      </c>
      <c r="Z205" s="51">
        <f t="shared" si="152"/>
        <v>5.1741379310344833</v>
      </c>
      <c r="AA205" s="51">
        <f t="shared" si="153"/>
        <v>46.977416619559079</v>
      </c>
      <c r="AC205" s="30" t="s">
        <v>60</v>
      </c>
      <c r="AD205" s="32" t="s">
        <v>23</v>
      </c>
      <c r="AE205" s="31" t="s">
        <v>49</v>
      </c>
      <c r="AF205" s="2"/>
      <c r="AG205" s="2"/>
      <c r="AH205" s="1" t="str">
        <f t="shared" si="154"/>
        <v/>
      </c>
      <c r="AI205" s="1" t="str">
        <f t="shared" si="155"/>
        <v/>
      </c>
      <c r="AJ205" s="1" t="str">
        <f t="shared" si="156"/>
        <v/>
      </c>
      <c r="AK205" s="1" t="str">
        <f t="shared" si="157"/>
        <v/>
      </c>
      <c r="AL205" s="1">
        <f t="shared" si="158"/>
        <v>888.8888888888888</v>
      </c>
      <c r="AM205" s="1" t="str">
        <f t="shared" si="159"/>
        <v/>
      </c>
      <c r="AN205" s="52" t="str">
        <f t="shared" si="160"/>
        <v/>
      </c>
      <c r="AO205" s="1" t="str">
        <f t="shared" si="161"/>
        <v/>
      </c>
      <c r="AP205" s="1" t="str">
        <f t="shared" si="162"/>
        <v/>
      </c>
      <c r="AQ205" s="1" t="str">
        <f t="shared" si="163"/>
        <v/>
      </c>
      <c r="AR205" s="1" t="str">
        <f t="shared" si="164"/>
        <v/>
      </c>
      <c r="AS205" s="1" t="str">
        <f t="shared" si="165"/>
        <v/>
      </c>
      <c r="AT205" s="1" t="str">
        <f t="shared" si="166"/>
        <v/>
      </c>
      <c r="AU205" s="1">
        <f t="shared" si="167"/>
        <v>2222.2222222222222</v>
      </c>
      <c r="AV205" s="1">
        <f t="shared" si="168"/>
        <v>11600</v>
      </c>
      <c r="AW205" s="1" t="str">
        <f t="shared" si="169"/>
        <v/>
      </c>
      <c r="AX205" s="1">
        <f t="shared" ref="AX205:BC205" si="200">IF(V205&gt;0,V250/V205*1000,"")</f>
        <v>9022.2222222222226</v>
      </c>
      <c r="AY205" s="1" t="str">
        <f t="shared" si="200"/>
        <v/>
      </c>
      <c r="AZ205" s="1">
        <f t="shared" si="200"/>
        <v>2222.2222222222222</v>
      </c>
      <c r="BA205" s="1">
        <f t="shared" si="200"/>
        <v>0</v>
      </c>
      <c r="BB205" s="1">
        <f t="shared" si="200"/>
        <v>0</v>
      </c>
      <c r="BC205" s="1">
        <f t="shared" si="200"/>
        <v>0</v>
      </c>
    </row>
    <row r="206" spans="1:55" x14ac:dyDescent="0.25">
      <c r="A206" s="30" t="s">
        <v>60</v>
      </c>
      <c r="B206" s="32" t="s">
        <v>23</v>
      </c>
      <c r="C206" s="31" t="s">
        <v>64</v>
      </c>
      <c r="D206" s="2"/>
      <c r="E206" s="2"/>
      <c r="F206" s="51">
        <v>0</v>
      </c>
      <c r="G206" s="51">
        <v>0</v>
      </c>
      <c r="H206" s="51">
        <v>0</v>
      </c>
      <c r="I206" s="51">
        <v>0</v>
      </c>
      <c r="J206" s="51">
        <v>0</v>
      </c>
      <c r="K206" s="51">
        <v>0</v>
      </c>
      <c r="L206" s="52">
        <v>0</v>
      </c>
      <c r="M206" s="51">
        <v>0</v>
      </c>
      <c r="N206" s="51">
        <v>0</v>
      </c>
      <c r="O206" s="51">
        <v>0</v>
      </c>
      <c r="P206" s="51">
        <v>0</v>
      </c>
      <c r="Q206" s="51">
        <v>0</v>
      </c>
      <c r="R206" s="51">
        <v>0</v>
      </c>
      <c r="S206" s="51">
        <v>0</v>
      </c>
      <c r="T206" s="51">
        <v>0</v>
      </c>
      <c r="U206" s="51">
        <v>0</v>
      </c>
      <c r="V206" s="51">
        <v>0</v>
      </c>
      <c r="W206" s="51">
        <v>0</v>
      </c>
      <c r="X206" s="55">
        <v>0</v>
      </c>
      <c r="Y206" s="59">
        <f t="shared" si="151"/>
        <v>0</v>
      </c>
      <c r="Z206" s="51">
        <f t="shared" si="152"/>
        <v>0</v>
      </c>
      <c r="AA206" s="51">
        <f t="shared" si="153"/>
        <v>0</v>
      </c>
      <c r="AC206" s="30" t="s">
        <v>60</v>
      </c>
      <c r="AD206" s="32" t="s">
        <v>23</v>
      </c>
      <c r="AE206" s="31" t="s">
        <v>64</v>
      </c>
      <c r="AF206" s="2"/>
      <c r="AG206" s="2"/>
      <c r="AH206" s="1" t="str">
        <f t="shared" si="154"/>
        <v/>
      </c>
      <c r="AI206" s="1" t="str">
        <f t="shared" si="155"/>
        <v/>
      </c>
      <c r="AJ206" s="1" t="str">
        <f t="shared" si="156"/>
        <v/>
      </c>
      <c r="AK206" s="1" t="str">
        <f t="shared" si="157"/>
        <v/>
      </c>
      <c r="AL206" s="1" t="str">
        <f t="shared" si="158"/>
        <v/>
      </c>
      <c r="AM206" s="1" t="str">
        <f t="shared" si="159"/>
        <v/>
      </c>
      <c r="AN206" s="52" t="str">
        <f t="shared" si="160"/>
        <v/>
      </c>
      <c r="AO206" s="1" t="str">
        <f t="shared" si="161"/>
        <v/>
      </c>
      <c r="AP206" s="1" t="str">
        <f t="shared" si="162"/>
        <v/>
      </c>
      <c r="AQ206" s="1" t="str">
        <f t="shared" si="163"/>
        <v/>
      </c>
      <c r="AR206" s="1" t="str">
        <f t="shared" si="164"/>
        <v/>
      </c>
      <c r="AS206" s="1" t="str">
        <f t="shared" si="165"/>
        <v/>
      </c>
      <c r="AT206" s="1" t="str">
        <f t="shared" si="166"/>
        <v/>
      </c>
      <c r="AU206" s="1" t="str">
        <f t="shared" si="167"/>
        <v/>
      </c>
      <c r="AV206" s="1" t="str">
        <f t="shared" si="168"/>
        <v/>
      </c>
      <c r="AW206" s="1" t="str">
        <f t="shared" si="169"/>
        <v/>
      </c>
      <c r="AX206" s="1" t="str">
        <f t="shared" ref="AX206:BC206" si="201">IF(V206&gt;0,V251/V206*1000,"")</f>
        <v/>
      </c>
      <c r="AY206" s="1" t="str">
        <f t="shared" si="201"/>
        <v/>
      </c>
      <c r="AZ206" s="1" t="str">
        <f t="shared" si="201"/>
        <v/>
      </c>
      <c r="BA206" s="1" t="str">
        <f t="shared" si="201"/>
        <v/>
      </c>
      <c r="BB206" s="1" t="str">
        <f t="shared" si="201"/>
        <v/>
      </c>
      <c r="BC206" s="1" t="str">
        <f t="shared" si="201"/>
        <v/>
      </c>
    </row>
    <row r="207" spans="1:55" x14ac:dyDescent="0.25">
      <c r="A207" s="30" t="s">
        <v>60</v>
      </c>
      <c r="B207" s="32" t="s">
        <v>65</v>
      </c>
      <c r="C207" s="31" t="s">
        <v>66</v>
      </c>
      <c r="D207" s="2"/>
      <c r="E207" s="2"/>
      <c r="F207" s="51">
        <v>0</v>
      </c>
      <c r="G207" s="51">
        <v>0</v>
      </c>
      <c r="H207" s="51">
        <v>0</v>
      </c>
      <c r="I207" s="51">
        <v>0</v>
      </c>
      <c r="J207" s="80">
        <f>J27/J162</f>
        <v>59.523809523809526</v>
      </c>
      <c r="K207" s="51">
        <v>0</v>
      </c>
      <c r="L207" s="52">
        <v>0</v>
      </c>
      <c r="M207" s="81">
        <f>M27/M162</f>
        <v>33.055555555555557</v>
      </c>
      <c r="N207" s="51">
        <v>0</v>
      </c>
      <c r="O207" s="51">
        <v>0</v>
      </c>
      <c r="P207" s="51">
        <v>0</v>
      </c>
      <c r="Q207" s="51">
        <v>0</v>
      </c>
      <c r="R207" s="51">
        <v>0</v>
      </c>
      <c r="S207" s="51">
        <v>0</v>
      </c>
      <c r="T207" s="51">
        <v>0</v>
      </c>
      <c r="U207" s="51">
        <v>0</v>
      </c>
      <c r="V207" s="51">
        <v>0</v>
      </c>
      <c r="W207" s="51">
        <v>0</v>
      </c>
      <c r="X207" s="55">
        <v>0</v>
      </c>
      <c r="Y207" s="59">
        <f t="shared" si="151"/>
        <v>59.523809523809526</v>
      </c>
      <c r="Z207" s="51">
        <f t="shared" si="152"/>
        <v>33.055555555555557</v>
      </c>
      <c r="AA207" s="51">
        <f t="shared" si="153"/>
        <v>92.57936507936509</v>
      </c>
      <c r="AC207" s="30" t="s">
        <v>60</v>
      </c>
      <c r="AD207" s="32" t="s">
        <v>65</v>
      </c>
      <c r="AE207" s="31" t="s">
        <v>66</v>
      </c>
      <c r="AF207" s="2"/>
      <c r="AG207" s="2"/>
      <c r="AH207" s="1" t="str">
        <f t="shared" si="154"/>
        <v/>
      </c>
      <c r="AI207" s="1" t="str">
        <f t="shared" si="155"/>
        <v/>
      </c>
      <c r="AJ207" s="1" t="str">
        <f t="shared" si="156"/>
        <v/>
      </c>
      <c r="AK207" s="1" t="str">
        <f t="shared" si="157"/>
        <v/>
      </c>
      <c r="AL207" s="1">
        <f t="shared" si="158"/>
        <v>1400.0000000000002</v>
      </c>
      <c r="AM207" s="1" t="str">
        <f t="shared" si="159"/>
        <v/>
      </c>
      <c r="AN207" s="52" t="str">
        <f t="shared" si="160"/>
        <v/>
      </c>
      <c r="AO207" s="1">
        <f t="shared" si="161"/>
        <v>7500</v>
      </c>
      <c r="AP207" s="1" t="str">
        <f t="shared" si="162"/>
        <v/>
      </c>
      <c r="AQ207" s="1" t="str">
        <f t="shared" si="163"/>
        <v/>
      </c>
      <c r="AR207" s="1" t="str">
        <f t="shared" si="164"/>
        <v/>
      </c>
      <c r="AS207" s="1" t="str">
        <f t="shared" si="165"/>
        <v/>
      </c>
      <c r="AT207" s="1" t="str">
        <f t="shared" si="166"/>
        <v/>
      </c>
      <c r="AU207" s="1" t="str">
        <f t="shared" si="167"/>
        <v/>
      </c>
      <c r="AV207" s="1" t="str">
        <f t="shared" si="168"/>
        <v/>
      </c>
      <c r="AW207" s="1" t="str">
        <f t="shared" si="169"/>
        <v/>
      </c>
      <c r="AX207" s="1" t="str">
        <f t="shared" ref="AX207:BC207" si="202">IF(V207&gt;0,V252/V207*1000,"")</f>
        <v/>
      </c>
      <c r="AY207" s="1" t="str">
        <f t="shared" si="202"/>
        <v/>
      </c>
      <c r="AZ207" s="1" t="str">
        <f t="shared" si="202"/>
        <v/>
      </c>
      <c r="BA207" s="1">
        <f t="shared" si="202"/>
        <v>0</v>
      </c>
      <c r="BB207" s="1">
        <f t="shared" si="202"/>
        <v>0</v>
      </c>
      <c r="BC207" s="1">
        <f t="shared" si="202"/>
        <v>0</v>
      </c>
    </row>
    <row r="208" spans="1:55" x14ac:dyDescent="0.25">
      <c r="A208" s="30" t="s">
        <v>60</v>
      </c>
      <c r="B208" s="32" t="s">
        <v>65</v>
      </c>
      <c r="C208" s="31" t="s">
        <v>67</v>
      </c>
      <c r="D208" s="2"/>
      <c r="E208" s="2"/>
      <c r="F208" s="51">
        <v>0</v>
      </c>
      <c r="G208" s="51">
        <v>0</v>
      </c>
      <c r="H208" s="51">
        <v>0</v>
      </c>
      <c r="I208" s="51">
        <v>0</v>
      </c>
      <c r="J208" s="51">
        <v>0</v>
      </c>
      <c r="K208" s="51">
        <v>0</v>
      </c>
      <c r="L208" s="52">
        <v>0</v>
      </c>
      <c r="M208" s="51">
        <v>0</v>
      </c>
      <c r="N208" s="51">
        <v>0</v>
      </c>
      <c r="O208" s="51">
        <v>0</v>
      </c>
      <c r="P208" s="51">
        <v>0</v>
      </c>
      <c r="Q208" s="80">
        <f>Q28/Q163</f>
        <v>24.283687943262411</v>
      </c>
      <c r="R208" s="80">
        <f>R28/R163</f>
        <v>23.995826812728222</v>
      </c>
      <c r="S208" s="51">
        <v>0</v>
      </c>
      <c r="T208" s="80">
        <f>T28/T163</f>
        <v>35.054773082942098</v>
      </c>
      <c r="U208" s="80">
        <f>U28/U163</f>
        <v>17.214397496087638</v>
      </c>
      <c r="V208" s="80">
        <f>V28/V163</f>
        <v>9.7809076682316132</v>
      </c>
      <c r="W208" s="80">
        <f>W28/W163</f>
        <v>12.519561815336465</v>
      </c>
      <c r="X208" s="80">
        <f>X28/X163</f>
        <v>39.123630672926453</v>
      </c>
      <c r="Y208" s="59">
        <f t="shared" si="151"/>
        <v>0</v>
      </c>
      <c r="Z208" s="51">
        <f t="shared" si="152"/>
        <v>161.97278549151491</v>
      </c>
      <c r="AA208" s="51">
        <f t="shared" si="153"/>
        <v>161.97278549151491</v>
      </c>
      <c r="AC208" s="30" t="s">
        <v>60</v>
      </c>
      <c r="AD208" s="32" t="s">
        <v>65</v>
      </c>
      <c r="AE208" s="31" t="s">
        <v>67</v>
      </c>
      <c r="AF208" s="2"/>
      <c r="AG208" s="2"/>
      <c r="AH208" s="1" t="str">
        <f t="shared" si="154"/>
        <v/>
      </c>
      <c r="AI208" s="1" t="str">
        <f t="shared" si="155"/>
        <v/>
      </c>
      <c r="AJ208" s="1" t="str">
        <f t="shared" si="156"/>
        <v/>
      </c>
      <c r="AK208" s="1" t="str">
        <f t="shared" si="157"/>
        <v/>
      </c>
      <c r="AL208" s="1" t="str">
        <f t="shared" si="158"/>
        <v/>
      </c>
      <c r="AM208" s="1" t="str">
        <f t="shared" si="159"/>
        <v/>
      </c>
      <c r="AN208" s="52" t="str">
        <f t="shared" si="160"/>
        <v/>
      </c>
      <c r="AO208" s="1" t="str">
        <f t="shared" si="161"/>
        <v/>
      </c>
      <c r="AP208" s="1" t="str">
        <f t="shared" si="162"/>
        <v/>
      </c>
      <c r="AQ208" s="1" t="str">
        <f t="shared" si="163"/>
        <v/>
      </c>
      <c r="AR208" s="1" t="str">
        <f t="shared" si="164"/>
        <v/>
      </c>
      <c r="AS208" s="1">
        <f t="shared" si="165"/>
        <v>26857.142857142862</v>
      </c>
      <c r="AT208" s="1">
        <f t="shared" si="166"/>
        <v>12171.428571428571</v>
      </c>
      <c r="AU208" s="1" t="str">
        <f t="shared" si="167"/>
        <v/>
      </c>
      <c r="AV208" s="1">
        <f t="shared" si="168"/>
        <v>12171.428571428571</v>
      </c>
      <c r="AW208" s="1">
        <f t="shared" si="169"/>
        <v>12171.428571428571</v>
      </c>
      <c r="AX208" s="1">
        <f t="shared" ref="AX208:BC208" si="203">IF(V208&gt;0,V253/V208*1000,"")</f>
        <v>12171.428571428571</v>
      </c>
      <c r="AY208" s="1">
        <f t="shared" si="203"/>
        <v>12171.428571428572</v>
      </c>
      <c r="AZ208" s="1">
        <f t="shared" si="203"/>
        <v>12171.428571428571</v>
      </c>
      <c r="BA208" s="1" t="str">
        <f t="shared" si="203"/>
        <v/>
      </c>
      <c r="BB208" s="1">
        <f t="shared" si="203"/>
        <v>0</v>
      </c>
      <c r="BC208" s="1">
        <f t="shared" si="203"/>
        <v>0</v>
      </c>
    </row>
    <row r="209" spans="1:55" x14ac:dyDescent="0.25">
      <c r="A209" s="30" t="s">
        <v>60</v>
      </c>
      <c r="B209" s="32" t="s">
        <v>65</v>
      </c>
      <c r="C209" s="31" t="s">
        <v>68</v>
      </c>
      <c r="D209" s="2"/>
      <c r="E209" s="2"/>
      <c r="F209" s="51">
        <v>0</v>
      </c>
      <c r="G209" s="51">
        <v>0</v>
      </c>
      <c r="H209" s="51">
        <v>0</v>
      </c>
      <c r="I209" s="51">
        <v>0</v>
      </c>
      <c r="J209" s="51">
        <v>0</v>
      </c>
      <c r="K209" s="51">
        <v>0</v>
      </c>
      <c r="L209" s="80">
        <f>L29/L164</f>
        <v>277.77777777777777</v>
      </c>
      <c r="M209" s="51">
        <v>0</v>
      </c>
      <c r="N209" s="51">
        <v>0</v>
      </c>
      <c r="O209" s="51">
        <v>0</v>
      </c>
      <c r="P209" s="51">
        <v>0</v>
      </c>
      <c r="Q209" s="51">
        <v>0</v>
      </c>
      <c r="R209" s="51">
        <v>0</v>
      </c>
      <c r="S209" s="51">
        <v>0</v>
      </c>
      <c r="T209" s="51">
        <v>0</v>
      </c>
      <c r="U209" s="51">
        <v>0</v>
      </c>
      <c r="V209" s="51">
        <v>0</v>
      </c>
      <c r="W209" s="51">
        <v>0</v>
      </c>
      <c r="X209" s="55">
        <v>0</v>
      </c>
      <c r="Y209" s="59">
        <f t="shared" si="151"/>
        <v>0</v>
      </c>
      <c r="Z209" s="51">
        <f t="shared" si="152"/>
        <v>0</v>
      </c>
      <c r="AA209" s="51">
        <f t="shared" si="153"/>
        <v>277.77777777777777</v>
      </c>
      <c r="AC209" s="30" t="s">
        <v>60</v>
      </c>
      <c r="AD209" s="32" t="s">
        <v>65</v>
      </c>
      <c r="AE209" s="31" t="s">
        <v>68</v>
      </c>
      <c r="AF209" s="2"/>
      <c r="AG209" s="2"/>
      <c r="AH209" s="1" t="str">
        <f t="shared" si="154"/>
        <v/>
      </c>
      <c r="AI209" s="1" t="str">
        <f t="shared" si="155"/>
        <v/>
      </c>
      <c r="AJ209" s="1" t="str">
        <f t="shared" si="156"/>
        <v/>
      </c>
      <c r="AK209" s="1" t="str">
        <f t="shared" si="157"/>
        <v/>
      </c>
      <c r="AL209" s="1" t="str">
        <f t="shared" si="158"/>
        <v/>
      </c>
      <c r="AM209" s="1" t="str">
        <f t="shared" si="159"/>
        <v/>
      </c>
      <c r="AN209" s="52">
        <f t="shared" si="160"/>
        <v>18750.000000000004</v>
      </c>
      <c r="AO209" s="1" t="str">
        <f t="shared" si="161"/>
        <v/>
      </c>
      <c r="AP209" s="1" t="str">
        <f t="shared" si="162"/>
        <v/>
      </c>
      <c r="AQ209" s="1" t="str">
        <f t="shared" si="163"/>
        <v/>
      </c>
      <c r="AR209" s="1" t="str">
        <f t="shared" si="164"/>
        <v/>
      </c>
      <c r="AS209" s="1" t="str">
        <f t="shared" si="165"/>
        <v/>
      </c>
      <c r="AT209" s="1" t="str">
        <f t="shared" si="166"/>
        <v/>
      </c>
      <c r="AU209" s="1" t="str">
        <f t="shared" si="167"/>
        <v/>
      </c>
      <c r="AV209" s="1" t="str">
        <f t="shared" si="168"/>
        <v/>
      </c>
      <c r="AW209" s="1" t="str">
        <f t="shared" si="169"/>
        <v/>
      </c>
      <c r="AX209" s="1" t="str">
        <f t="shared" ref="AX209:BC209" si="204">IF(V209&gt;0,V254/V209*1000,"")</f>
        <v/>
      </c>
      <c r="AY209" s="1" t="str">
        <f t="shared" si="204"/>
        <v/>
      </c>
      <c r="AZ209" s="1" t="str">
        <f t="shared" si="204"/>
        <v/>
      </c>
      <c r="BA209" s="1" t="str">
        <f t="shared" si="204"/>
        <v/>
      </c>
      <c r="BB209" s="1" t="str">
        <f t="shared" si="204"/>
        <v/>
      </c>
      <c r="BC209" s="1">
        <f t="shared" si="204"/>
        <v>0</v>
      </c>
    </row>
    <row r="210" spans="1:55" x14ac:dyDescent="0.25">
      <c r="A210" s="30" t="s">
        <v>60</v>
      </c>
      <c r="B210" s="32" t="s">
        <v>9</v>
      </c>
      <c r="C210" s="31" t="s">
        <v>69</v>
      </c>
      <c r="D210" s="2"/>
      <c r="E210" s="2"/>
      <c r="F210" s="51">
        <v>0</v>
      </c>
      <c r="G210" s="51">
        <v>0</v>
      </c>
      <c r="H210" s="51">
        <v>0</v>
      </c>
      <c r="I210" s="51">
        <v>0</v>
      </c>
      <c r="J210" s="51">
        <v>0</v>
      </c>
      <c r="K210" s="51">
        <v>0</v>
      </c>
      <c r="L210" s="52">
        <v>0</v>
      </c>
      <c r="M210" s="51">
        <v>0</v>
      </c>
      <c r="N210" s="51">
        <v>0</v>
      </c>
      <c r="O210" s="51">
        <v>0</v>
      </c>
      <c r="P210" s="51">
        <v>0</v>
      </c>
      <c r="Q210" s="51">
        <v>0</v>
      </c>
      <c r="R210" s="51">
        <v>0</v>
      </c>
      <c r="S210" s="51">
        <v>0</v>
      </c>
      <c r="T210" s="51">
        <v>0</v>
      </c>
      <c r="U210" s="51">
        <v>0</v>
      </c>
      <c r="V210" s="51">
        <v>0</v>
      </c>
      <c r="W210" s="51">
        <v>0</v>
      </c>
      <c r="X210" s="80">
        <f>X30/X165</f>
        <v>3.4931813100827185</v>
      </c>
      <c r="Y210" s="80">
        <f t="shared" si="151"/>
        <v>0</v>
      </c>
      <c r="Z210" s="80">
        <f t="shared" si="152"/>
        <v>3.4931813100827185</v>
      </c>
      <c r="AA210" s="51">
        <f t="shared" si="153"/>
        <v>3.4931813100827185</v>
      </c>
      <c r="AC210" s="30" t="s">
        <v>60</v>
      </c>
      <c r="AD210" s="32" t="s">
        <v>9</v>
      </c>
      <c r="AE210" s="31" t="s">
        <v>69</v>
      </c>
      <c r="AF210" s="2"/>
      <c r="AG210" s="2"/>
      <c r="AH210" s="1" t="str">
        <f t="shared" si="154"/>
        <v/>
      </c>
      <c r="AI210" s="1" t="str">
        <f t="shared" si="155"/>
        <v/>
      </c>
      <c r="AJ210" s="1" t="str">
        <f t="shared" si="156"/>
        <v/>
      </c>
      <c r="AK210" s="1" t="str">
        <f t="shared" si="157"/>
        <v/>
      </c>
      <c r="AL210" s="1" t="str">
        <f t="shared" si="158"/>
        <v/>
      </c>
      <c r="AM210" s="1" t="str">
        <f t="shared" si="159"/>
        <v/>
      </c>
      <c r="AN210" s="52" t="str">
        <f t="shared" si="160"/>
        <v/>
      </c>
      <c r="AO210" s="1" t="str">
        <f t="shared" si="161"/>
        <v/>
      </c>
      <c r="AP210" s="1" t="str">
        <f t="shared" si="162"/>
        <v/>
      </c>
      <c r="AQ210" s="1" t="str">
        <f t="shared" si="163"/>
        <v/>
      </c>
      <c r="AR210" s="1" t="str">
        <f t="shared" si="164"/>
        <v/>
      </c>
      <c r="AS210" s="1" t="str">
        <f t="shared" si="165"/>
        <v/>
      </c>
      <c r="AT210" s="1" t="str">
        <f t="shared" si="166"/>
        <v/>
      </c>
      <c r="AU210" s="1" t="str">
        <f t="shared" si="167"/>
        <v/>
      </c>
      <c r="AV210" s="1" t="str">
        <f t="shared" si="168"/>
        <v/>
      </c>
      <c r="AW210" s="1" t="str">
        <f t="shared" si="169"/>
        <v/>
      </c>
      <c r="AX210" s="1" t="str">
        <f t="shared" ref="AX210:BC210" si="205">IF(V210&gt;0,V255/V210*1000,"")</f>
        <v/>
      </c>
      <c r="AY210" s="1" t="str">
        <f t="shared" si="205"/>
        <v/>
      </c>
      <c r="AZ210" s="1">
        <f t="shared" si="205"/>
        <v>7100</v>
      </c>
      <c r="BA210" s="1" t="str">
        <f t="shared" si="205"/>
        <v/>
      </c>
      <c r="BB210" s="1">
        <f t="shared" si="205"/>
        <v>0</v>
      </c>
      <c r="BC210" s="1">
        <f t="shared" si="205"/>
        <v>0</v>
      </c>
    </row>
    <row r="211" spans="1:55" x14ac:dyDescent="0.25">
      <c r="A211" s="15" t="s">
        <v>51</v>
      </c>
      <c r="B211" s="16" t="s">
        <v>56</v>
      </c>
      <c r="C211" s="27" t="s">
        <v>57</v>
      </c>
      <c r="D211" s="16" t="s">
        <v>70</v>
      </c>
      <c r="E211" s="16"/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52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54">
        <v>0</v>
      </c>
      <c r="Y211" s="58">
        <f t="shared" si="151"/>
        <v>0</v>
      </c>
      <c r="Z211" s="1">
        <f t="shared" si="152"/>
        <v>0</v>
      </c>
      <c r="AA211" s="1">
        <f t="shared" si="153"/>
        <v>0</v>
      </c>
      <c r="AC211" s="15" t="s">
        <v>51</v>
      </c>
      <c r="AD211" s="16" t="s">
        <v>56</v>
      </c>
      <c r="AE211" s="27" t="s">
        <v>57</v>
      </c>
      <c r="AF211" s="16" t="s">
        <v>70</v>
      </c>
      <c r="AG211" s="16"/>
      <c r="AH211" s="90" t="str">
        <f t="shared" si="154"/>
        <v/>
      </c>
      <c r="AI211" s="90" t="str">
        <f t="shared" si="155"/>
        <v/>
      </c>
      <c r="AJ211" s="90" t="str">
        <f t="shared" si="156"/>
        <v/>
      </c>
      <c r="AK211" s="90" t="str">
        <f t="shared" si="157"/>
        <v/>
      </c>
      <c r="AL211" s="90" t="str">
        <f t="shared" si="158"/>
        <v/>
      </c>
      <c r="AM211" s="90" t="str">
        <f t="shared" si="159"/>
        <v/>
      </c>
      <c r="AN211" s="90" t="str">
        <f t="shared" si="160"/>
        <v/>
      </c>
      <c r="AO211" s="90" t="str">
        <f t="shared" si="161"/>
        <v/>
      </c>
      <c r="AP211" s="90" t="str">
        <f t="shared" si="162"/>
        <v/>
      </c>
      <c r="AQ211" s="90" t="str">
        <f t="shared" si="163"/>
        <v/>
      </c>
      <c r="AR211" s="90" t="str">
        <f t="shared" si="164"/>
        <v/>
      </c>
      <c r="AS211" s="90" t="str">
        <f t="shared" si="165"/>
        <v/>
      </c>
      <c r="AT211" s="90" t="str">
        <f t="shared" si="166"/>
        <v/>
      </c>
      <c r="AU211" s="90" t="str">
        <f t="shared" si="167"/>
        <v/>
      </c>
      <c r="AV211" s="90" t="str">
        <f t="shared" si="168"/>
        <v/>
      </c>
      <c r="AW211" s="90" t="str">
        <f t="shared" si="169"/>
        <v/>
      </c>
      <c r="AX211" s="90" t="str">
        <f t="shared" ref="AX211:BC211" si="206">IF(V211&gt;0,V256/V211*1000,"")</f>
        <v/>
      </c>
      <c r="AY211" s="90" t="str">
        <f t="shared" si="206"/>
        <v/>
      </c>
      <c r="AZ211" s="90" t="str">
        <f t="shared" si="206"/>
        <v/>
      </c>
      <c r="BA211" s="90" t="str">
        <f t="shared" si="206"/>
        <v/>
      </c>
      <c r="BB211" s="90" t="str">
        <f t="shared" si="206"/>
        <v/>
      </c>
      <c r="BC211" s="90" t="str">
        <f t="shared" si="206"/>
        <v/>
      </c>
    </row>
    <row r="212" spans="1:55" x14ac:dyDescent="0.25">
      <c r="A212" s="15" t="s">
        <v>51</v>
      </c>
      <c r="B212" s="16" t="s">
        <v>56</v>
      </c>
      <c r="C212" s="27" t="s">
        <v>57</v>
      </c>
      <c r="D212" s="16" t="s">
        <v>71</v>
      </c>
      <c r="E212" s="16"/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52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54">
        <v>0</v>
      </c>
      <c r="Y212" s="58">
        <f t="shared" si="151"/>
        <v>0</v>
      </c>
      <c r="Z212" s="1">
        <f t="shared" si="152"/>
        <v>0</v>
      </c>
      <c r="AA212" s="1">
        <f t="shared" si="153"/>
        <v>0</v>
      </c>
      <c r="AC212" s="15" t="s">
        <v>51</v>
      </c>
      <c r="AD212" s="16" t="s">
        <v>56</v>
      </c>
      <c r="AE212" s="27" t="s">
        <v>57</v>
      </c>
      <c r="AF212" s="16" t="s">
        <v>71</v>
      </c>
      <c r="AG212" s="16"/>
      <c r="AH212" s="90" t="str">
        <f t="shared" si="154"/>
        <v/>
      </c>
      <c r="AI212" s="90" t="str">
        <f t="shared" si="155"/>
        <v/>
      </c>
      <c r="AJ212" s="90" t="str">
        <f t="shared" si="156"/>
        <v/>
      </c>
      <c r="AK212" s="90" t="str">
        <f t="shared" si="157"/>
        <v/>
      </c>
      <c r="AL212" s="90" t="str">
        <f t="shared" si="158"/>
        <v/>
      </c>
      <c r="AM212" s="90" t="str">
        <f t="shared" si="159"/>
        <v/>
      </c>
      <c r="AN212" s="90" t="str">
        <f t="shared" si="160"/>
        <v/>
      </c>
      <c r="AO212" s="90" t="str">
        <f t="shared" si="161"/>
        <v/>
      </c>
      <c r="AP212" s="90" t="str">
        <f t="shared" si="162"/>
        <v/>
      </c>
      <c r="AQ212" s="90" t="str">
        <f t="shared" si="163"/>
        <v/>
      </c>
      <c r="AR212" s="90" t="str">
        <f t="shared" si="164"/>
        <v/>
      </c>
      <c r="AS212" s="90" t="str">
        <f t="shared" si="165"/>
        <v/>
      </c>
      <c r="AT212" s="90" t="str">
        <f t="shared" si="166"/>
        <v/>
      </c>
      <c r="AU212" s="90" t="str">
        <f t="shared" si="167"/>
        <v/>
      </c>
      <c r="AV212" s="90" t="str">
        <f t="shared" si="168"/>
        <v/>
      </c>
      <c r="AW212" s="90" t="str">
        <f t="shared" si="169"/>
        <v/>
      </c>
      <c r="AX212" s="90" t="str">
        <f t="shared" ref="AX212:BC212" si="207">IF(V212&gt;0,V257/V212*1000,"")</f>
        <v/>
      </c>
      <c r="AY212" s="90" t="str">
        <f t="shared" si="207"/>
        <v/>
      </c>
      <c r="AZ212" s="90" t="str">
        <f t="shared" si="207"/>
        <v/>
      </c>
      <c r="BA212" s="90" t="str">
        <f t="shared" si="207"/>
        <v/>
      </c>
      <c r="BB212" s="90" t="str">
        <f t="shared" si="207"/>
        <v/>
      </c>
      <c r="BC212" s="90" t="str">
        <f t="shared" si="207"/>
        <v/>
      </c>
    </row>
    <row r="213" spans="1:55" x14ac:dyDescent="0.25">
      <c r="A213" s="15" t="s">
        <v>51</v>
      </c>
      <c r="B213" s="16" t="s">
        <v>56</v>
      </c>
      <c r="C213" s="27" t="s">
        <v>27</v>
      </c>
      <c r="D213" s="16" t="s">
        <v>72</v>
      </c>
      <c r="E213" s="16"/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52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54">
        <v>0</v>
      </c>
      <c r="Y213" s="58">
        <f t="shared" si="151"/>
        <v>0</v>
      </c>
      <c r="Z213" s="1">
        <f t="shared" si="152"/>
        <v>0</v>
      </c>
      <c r="AA213" s="1">
        <f t="shared" si="153"/>
        <v>0</v>
      </c>
      <c r="AC213" s="15" t="s">
        <v>51</v>
      </c>
      <c r="AD213" s="16" t="s">
        <v>56</v>
      </c>
      <c r="AE213" s="27" t="s">
        <v>27</v>
      </c>
      <c r="AF213" s="16" t="s">
        <v>72</v>
      </c>
      <c r="AG213" s="16"/>
      <c r="AH213" s="90" t="str">
        <f t="shared" si="154"/>
        <v/>
      </c>
      <c r="AI213" s="90" t="str">
        <f t="shared" si="155"/>
        <v/>
      </c>
      <c r="AJ213" s="90" t="str">
        <f t="shared" si="156"/>
        <v/>
      </c>
      <c r="AK213" s="90" t="str">
        <f t="shared" si="157"/>
        <v/>
      </c>
      <c r="AL213" s="90" t="str">
        <f t="shared" si="158"/>
        <v/>
      </c>
      <c r="AM213" s="90" t="str">
        <f t="shared" si="159"/>
        <v/>
      </c>
      <c r="AN213" s="90" t="str">
        <f t="shared" si="160"/>
        <v/>
      </c>
      <c r="AO213" s="90" t="str">
        <f t="shared" si="161"/>
        <v/>
      </c>
      <c r="AP213" s="90" t="str">
        <f t="shared" si="162"/>
        <v/>
      </c>
      <c r="AQ213" s="90" t="str">
        <f t="shared" si="163"/>
        <v/>
      </c>
      <c r="AR213" s="90" t="str">
        <f t="shared" si="164"/>
        <v/>
      </c>
      <c r="AS213" s="90" t="str">
        <f t="shared" si="165"/>
        <v/>
      </c>
      <c r="AT213" s="90" t="str">
        <f t="shared" si="166"/>
        <v/>
      </c>
      <c r="AU213" s="90" t="str">
        <f t="shared" si="167"/>
        <v/>
      </c>
      <c r="AV213" s="90" t="str">
        <f t="shared" si="168"/>
        <v/>
      </c>
      <c r="AW213" s="90" t="str">
        <f t="shared" si="169"/>
        <v/>
      </c>
      <c r="AX213" s="90" t="str">
        <f t="shared" ref="AX213:BC213" si="208">IF(V213&gt;0,V258/V213*1000,"")</f>
        <v/>
      </c>
      <c r="AY213" s="90" t="str">
        <f t="shared" si="208"/>
        <v/>
      </c>
      <c r="AZ213" s="90" t="str">
        <f t="shared" si="208"/>
        <v/>
      </c>
      <c r="BA213" s="90" t="str">
        <f t="shared" si="208"/>
        <v/>
      </c>
      <c r="BB213" s="90" t="str">
        <f t="shared" si="208"/>
        <v/>
      </c>
      <c r="BC213" s="90" t="str">
        <f t="shared" si="208"/>
        <v/>
      </c>
    </row>
    <row r="214" spans="1:55" x14ac:dyDescent="0.25">
      <c r="A214" s="15" t="s">
        <v>51</v>
      </c>
      <c r="B214" s="16" t="s">
        <v>56</v>
      </c>
      <c r="C214" s="27" t="s">
        <v>57</v>
      </c>
      <c r="D214" s="16" t="s">
        <v>73</v>
      </c>
      <c r="E214" s="16"/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52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54">
        <v>0</v>
      </c>
      <c r="Y214" s="58">
        <f t="shared" si="151"/>
        <v>0</v>
      </c>
      <c r="Z214" s="1">
        <f t="shared" si="152"/>
        <v>0</v>
      </c>
      <c r="AA214" s="1">
        <f t="shared" si="153"/>
        <v>0</v>
      </c>
      <c r="AC214" s="15" t="s">
        <v>51</v>
      </c>
      <c r="AD214" s="16" t="s">
        <v>56</v>
      </c>
      <c r="AE214" s="27" t="s">
        <v>57</v>
      </c>
      <c r="AF214" s="16" t="s">
        <v>73</v>
      </c>
      <c r="AG214" s="16"/>
      <c r="AH214" s="90" t="str">
        <f t="shared" si="154"/>
        <v/>
      </c>
      <c r="AI214" s="90" t="str">
        <f t="shared" si="155"/>
        <v/>
      </c>
      <c r="AJ214" s="90" t="str">
        <f t="shared" si="156"/>
        <v/>
      </c>
      <c r="AK214" s="90" t="str">
        <f t="shared" si="157"/>
        <v/>
      </c>
      <c r="AL214" s="90" t="str">
        <f t="shared" si="158"/>
        <v/>
      </c>
      <c r="AM214" s="90" t="str">
        <f t="shared" si="159"/>
        <v/>
      </c>
      <c r="AN214" s="90" t="str">
        <f t="shared" si="160"/>
        <v/>
      </c>
      <c r="AO214" s="90" t="str">
        <f t="shared" si="161"/>
        <v/>
      </c>
      <c r="AP214" s="90" t="str">
        <f t="shared" si="162"/>
        <v/>
      </c>
      <c r="AQ214" s="90" t="str">
        <f t="shared" si="163"/>
        <v/>
      </c>
      <c r="AR214" s="90" t="str">
        <f t="shared" si="164"/>
        <v/>
      </c>
      <c r="AS214" s="90" t="str">
        <f t="shared" si="165"/>
        <v/>
      </c>
      <c r="AT214" s="90" t="str">
        <f t="shared" si="166"/>
        <v/>
      </c>
      <c r="AU214" s="90" t="str">
        <f t="shared" si="167"/>
        <v/>
      </c>
      <c r="AV214" s="90" t="str">
        <f t="shared" si="168"/>
        <v/>
      </c>
      <c r="AW214" s="90" t="str">
        <f t="shared" si="169"/>
        <v/>
      </c>
      <c r="AX214" s="90" t="str">
        <f t="shared" ref="AX214:BC214" si="209">IF(V214&gt;0,V259/V214*1000,"")</f>
        <v/>
      </c>
      <c r="AY214" s="90" t="str">
        <f t="shared" si="209"/>
        <v/>
      </c>
      <c r="AZ214" s="90" t="str">
        <f t="shared" si="209"/>
        <v/>
      </c>
      <c r="BA214" s="90" t="str">
        <f t="shared" si="209"/>
        <v/>
      </c>
      <c r="BB214" s="90" t="str">
        <f t="shared" si="209"/>
        <v/>
      </c>
      <c r="BC214" s="90" t="str">
        <f t="shared" si="209"/>
        <v/>
      </c>
    </row>
    <row r="215" spans="1:55" x14ac:dyDescent="0.25">
      <c r="A215" s="15" t="s">
        <v>51</v>
      </c>
      <c r="B215" s="16" t="s">
        <v>56</v>
      </c>
      <c r="C215" s="27" t="s">
        <v>57</v>
      </c>
      <c r="D215" s="16" t="s">
        <v>74</v>
      </c>
      <c r="E215" s="16"/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52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54">
        <v>0</v>
      </c>
      <c r="Y215" s="58">
        <f t="shared" si="151"/>
        <v>0</v>
      </c>
      <c r="Z215" s="1">
        <f t="shared" si="152"/>
        <v>0</v>
      </c>
      <c r="AA215" s="1">
        <f t="shared" si="153"/>
        <v>0</v>
      </c>
      <c r="AC215" s="15" t="s">
        <v>51</v>
      </c>
      <c r="AD215" s="16" t="s">
        <v>56</v>
      </c>
      <c r="AE215" s="27" t="s">
        <v>57</v>
      </c>
      <c r="AF215" s="16" t="s">
        <v>74</v>
      </c>
      <c r="AG215" s="16"/>
      <c r="AH215" s="90" t="str">
        <f t="shared" si="154"/>
        <v/>
      </c>
      <c r="AI215" s="90" t="str">
        <f t="shared" si="155"/>
        <v/>
      </c>
      <c r="AJ215" s="90" t="str">
        <f t="shared" si="156"/>
        <v/>
      </c>
      <c r="AK215" s="90" t="str">
        <f t="shared" si="157"/>
        <v/>
      </c>
      <c r="AL215" s="90" t="str">
        <f t="shared" si="158"/>
        <v/>
      </c>
      <c r="AM215" s="90" t="str">
        <f t="shared" si="159"/>
        <v/>
      </c>
      <c r="AN215" s="90" t="str">
        <f t="shared" si="160"/>
        <v/>
      </c>
      <c r="AO215" s="90" t="str">
        <f t="shared" si="161"/>
        <v/>
      </c>
      <c r="AP215" s="90" t="str">
        <f t="shared" si="162"/>
        <v/>
      </c>
      <c r="AQ215" s="90" t="str">
        <f t="shared" si="163"/>
        <v/>
      </c>
      <c r="AR215" s="90" t="str">
        <f t="shared" si="164"/>
        <v/>
      </c>
      <c r="AS215" s="90" t="str">
        <f t="shared" si="165"/>
        <v/>
      </c>
      <c r="AT215" s="90" t="str">
        <f t="shared" si="166"/>
        <v/>
      </c>
      <c r="AU215" s="90" t="str">
        <f t="shared" si="167"/>
        <v/>
      </c>
      <c r="AV215" s="90" t="str">
        <f t="shared" si="168"/>
        <v/>
      </c>
      <c r="AW215" s="90" t="str">
        <f t="shared" si="169"/>
        <v/>
      </c>
      <c r="AX215" s="90" t="str">
        <f t="shared" ref="AX215:BC215" si="210">IF(V215&gt;0,V260/V215*1000,"")</f>
        <v/>
      </c>
      <c r="AY215" s="90" t="str">
        <f t="shared" si="210"/>
        <v/>
      </c>
      <c r="AZ215" s="90" t="str">
        <f t="shared" si="210"/>
        <v/>
      </c>
      <c r="BA215" s="90" t="str">
        <f t="shared" si="210"/>
        <v/>
      </c>
      <c r="BB215" s="90" t="str">
        <f t="shared" si="210"/>
        <v/>
      </c>
      <c r="BC215" s="90" t="str">
        <f t="shared" si="210"/>
        <v/>
      </c>
    </row>
    <row r="216" spans="1:55" x14ac:dyDescent="0.25">
      <c r="A216" s="30" t="s">
        <v>60</v>
      </c>
      <c r="B216" s="31" t="s">
        <v>13</v>
      </c>
      <c r="C216" s="32" t="s">
        <v>61</v>
      </c>
      <c r="D216" s="31" t="s">
        <v>75</v>
      </c>
      <c r="E216" s="31"/>
      <c r="F216" s="51">
        <f>F201*0.8</f>
        <v>142.208</v>
      </c>
      <c r="G216" s="51">
        <v>0</v>
      </c>
      <c r="H216" s="51">
        <f>H201</f>
        <v>1088</v>
      </c>
      <c r="I216" s="51">
        <f>I201*0.1</f>
        <v>10.13793103448276</v>
      </c>
      <c r="J216" s="51">
        <v>0</v>
      </c>
      <c r="K216" s="51">
        <v>0</v>
      </c>
      <c r="L216" s="52">
        <v>0</v>
      </c>
      <c r="M216" s="51">
        <f>M201*0.1</f>
        <v>0.31850000000000001</v>
      </c>
      <c r="N216" s="51">
        <v>0</v>
      </c>
      <c r="O216" s="51">
        <v>0</v>
      </c>
      <c r="P216" s="51">
        <v>0</v>
      </c>
      <c r="Q216" s="51"/>
      <c r="R216" s="51"/>
      <c r="S216" s="51"/>
      <c r="T216" s="51"/>
      <c r="U216" s="51"/>
      <c r="V216" s="51"/>
      <c r="W216" s="51">
        <f>W201</f>
        <v>2.5039123630672928</v>
      </c>
      <c r="X216" s="55"/>
      <c r="Y216" s="59">
        <f t="shared" si="151"/>
        <v>1240.3459310344829</v>
      </c>
      <c r="Z216" s="51">
        <f t="shared" si="152"/>
        <v>2.8224123630672926</v>
      </c>
      <c r="AA216" s="51">
        <f t="shared" si="153"/>
        <v>1243.1683433975502</v>
      </c>
      <c r="AC216" s="30" t="s">
        <v>60</v>
      </c>
      <c r="AD216" s="31" t="s">
        <v>13</v>
      </c>
      <c r="AE216" s="32" t="s">
        <v>61</v>
      </c>
      <c r="AF216" s="31" t="s">
        <v>75</v>
      </c>
      <c r="AG216" s="31"/>
      <c r="AH216" s="1">
        <f t="shared" si="154"/>
        <v>301.70517051705173</v>
      </c>
      <c r="AI216" s="1" t="str">
        <f t="shared" si="155"/>
        <v/>
      </c>
      <c r="AJ216" s="1">
        <f t="shared" si="156"/>
        <v>26.911764705882355</v>
      </c>
      <c r="AK216" s="1">
        <f t="shared" si="157"/>
        <v>170.58823529411762</v>
      </c>
      <c r="AL216" s="1" t="str">
        <f t="shared" si="158"/>
        <v/>
      </c>
      <c r="AM216" s="1" t="str">
        <f t="shared" si="159"/>
        <v/>
      </c>
      <c r="AN216" s="52" t="str">
        <f t="shared" si="160"/>
        <v/>
      </c>
      <c r="AO216" s="1">
        <f t="shared" si="161"/>
        <v>2222.2222222222222</v>
      </c>
      <c r="AP216" s="1" t="str">
        <f t="shared" si="162"/>
        <v/>
      </c>
      <c r="AQ216" s="1" t="str">
        <f t="shared" si="163"/>
        <v/>
      </c>
      <c r="AR216" s="1" t="str">
        <f t="shared" si="164"/>
        <v/>
      </c>
      <c r="AS216" s="1" t="str">
        <f t="shared" si="165"/>
        <v/>
      </c>
      <c r="AT216" s="1" t="str">
        <f t="shared" si="166"/>
        <v/>
      </c>
      <c r="AU216" s="1" t="str">
        <f t="shared" si="167"/>
        <v/>
      </c>
      <c r="AV216" s="1" t="str">
        <f t="shared" si="168"/>
        <v/>
      </c>
      <c r="AW216" s="1" t="str">
        <f t="shared" si="169"/>
        <v/>
      </c>
      <c r="AX216" s="1" t="str">
        <f t="shared" ref="AX216:BC216" si="211">IF(V216&gt;0,V261/V216*1000,"")</f>
        <v/>
      </c>
      <c r="AY216" s="1">
        <f t="shared" si="211"/>
        <v>2366.6666666666665</v>
      </c>
      <c r="AZ216" s="1" t="str">
        <f t="shared" si="211"/>
        <v/>
      </c>
      <c r="BA216" s="1">
        <f t="shared" si="211"/>
        <v>0</v>
      </c>
      <c r="BB216" s="1">
        <f t="shared" si="211"/>
        <v>0</v>
      </c>
      <c r="BC216" s="1">
        <f t="shared" si="211"/>
        <v>0</v>
      </c>
    </row>
    <row r="217" spans="1:55" x14ac:dyDescent="0.25">
      <c r="A217" s="30" t="s">
        <v>60</v>
      </c>
      <c r="B217" s="31" t="s">
        <v>13</v>
      </c>
      <c r="C217" s="32" t="s">
        <v>61</v>
      </c>
      <c r="D217" s="31" t="s">
        <v>76</v>
      </c>
      <c r="E217" s="31"/>
      <c r="F217" s="51">
        <f>F201*0.2</f>
        <v>35.552</v>
      </c>
      <c r="G217" s="51">
        <v>0</v>
      </c>
      <c r="H217" s="51">
        <v>0</v>
      </c>
      <c r="I217" s="51">
        <f>I201*0.7</f>
        <v>70.965517241379303</v>
      </c>
      <c r="J217" s="51">
        <f>J201</f>
        <v>24.8</v>
      </c>
      <c r="K217" s="51">
        <f>K201*0.2</f>
        <v>4.1379310344827589</v>
      </c>
      <c r="L217" s="52">
        <v>0</v>
      </c>
      <c r="M217" s="51">
        <f>M201*0.3</f>
        <v>0.95550000000000002</v>
      </c>
      <c r="N217" s="51">
        <f>N201</f>
        <v>0.12758620689655173</v>
      </c>
      <c r="O217" s="51">
        <f>O201*0.9</f>
        <v>7.5329999999999994E-2</v>
      </c>
      <c r="P217" s="51">
        <f>P201*0.05</f>
        <v>3.875E-3</v>
      </c>
      <c r="Q217" s="51"/>
      <c r="R217" s="86">
        <f>R201</f>
        <v>0.15023474178403756</v>
      </c>
      <c r="S217" s="51"/>
      <c r="T217" s="51"/>
      <c r="U217" s="51"/>
      <c r="V217" s="51"/>
      <c r="W217" s="51"/>
      <c r="X217" s="55"/>
      <c r="Y217" s="59">
        <f t="shared" si="151"/>
        <v>135.45544827586207</v>
      </c>
      <c r="Z217" s="51">
        <f t="shared" si="152"/>
        <v>1.3125259486805891</v>
      </c>
      <c r="AA217" s="51">
        <f t="shared" si="153"/>
        <v>136.76797422454266</v>
      </c>
      <c r="AC217" s="30" t="s">
        <v>60</v>
      </c>
      <c r="AD217" s="31" t="s">
        <v>13</v>
      </c>
      <c r="AE217" s="32" t="s">
        <v>61</v>
      </c>
      <c r="AF217" s="31" t="s">
        <v>76</v>
      </c>
      <c r="AG217" s="31"/>
      <c r="AH217" s="1">
        <f t="shared" si="154"/>
        <v>301.70517051705173</v>
      </c>
      <c r="AI217" s="1" t="str">
        <f t="shared" si="155"/>
        <v/>
      </c>
      <c r="AJ217" s="1" t="str">
        <f t="shared" si="156"/>
        <v/>
      </c>
      <c r="AK217" s="1">
        <f t="shared" si="157"/>
        <v>170.58823529411762</v>
      </c>
      <c r="AL217" s="1">
        <f t="shared" si="158"/>
        <v>324.95256166982921</v>
      </c>
      <c r="AM217" s="1">
        <f t="shared" si="159"/>
        <v>170.58823529411765</v>
      </c>
      <c r="AN217" s="52" t="str">
        <f t="shared" si="160"/>
        <v/>
      </c>
      <c r="AO217" s="1">
        <f t="shared" si="161"/>
        <v>2222.2222222222217</v>
      </c>
      <c r="AP217" s="1">
        <f t="shared" si="162"/>
        <v>5437.5</v>
      </c>
      <c r="AQ217" s="1">
        <f t="shared" si="163"/>
        <v>55555.555555555562</v>
      </c>
      <c r="AR217" s="1">
        <f t="shared" si="164"/>
        <v>155555.55555555556</v>
      </c>
      <c r="AS217" s="1" t="str">
        <f t="shared" si="165"/>
        <v/>
      </c>
      <c r="AT217" s="1">
        <f t="shared" si="166"/>
        <v>2366.6666666666665</v>
      </c>
      <c r="AU217" s="1" t="str">
        <f t="shared" si="167"/>
        <v/>
      </c>
      <c r="AV217" s="1" t="str">
        <f t="shared" si="168"/>
        <v/>
      </c>
      <c r="AW217" s="1" t="str">
        <f t="shared" si="169"/>
        <v/>
      </c>
      <c r="AX217" s="1" t="str">
        <f t="shared" ref="AX217:BC217" si="212">IF(V217&gt;0,V262/V217*1000,"")</f>
        <v/>
      </c>
      <c r="AY217" s="1" t="str">
        <f t="shared" si="212"/>
        <v/>
      </c>
      <c r="AZ217" s="1" t="str">
        <f t="shared" si="212"/>
        <v/>
      </c>
      <c r="BA217" s="1">
        <f t="shared" si="212"/>
        <v>0</v>
      </c>
      <c r="BB217" s="1">
        <f t="shared" si="212"/>
        <v>0</v>
      </c>
      <c r="BC217" s="1">
        <f t="shared" si="212"/>
        <v>0</v>
      </c>
    </row>
    <row r="218" spans="1:55" x14ac:dyDescent="0.25">
      <c r="A218" s="30" t="s">
        <v>60</v>
      </c>
      <c r="B218" s="31" t="s">
        <v>13</v>
      </c>
      <c r="C218" s="32" t="s">
        <v>61</v>
      </c>
      <c r="D218" s="31" t="s">
        <v>77</v>
      </c>
      <c r="E218" s="31"/>
      <c r="F218" s="51">
        <v>0</v>
      </c>
      <c r="G218" s="51">
        <v>0</v>
      </c>
      <c r="H218" s="51">
        <v>0</v>
      </c>
      <c r="I218" s="51">
        <v>0</v>
      </c>
      <c r="J218" s="51">
        <v>0</v>
      </c>
      <c r="K218" s="51">
        <f>K201*0.4</f>
        <v>8.2758620689655178</v>
      </c>
      <c r="L218" s="52">
        <v>0</v>
      </c>
      <c r="M218" s="51">
        <f>M201*0.5</f>
        <v>1.5925</v>
      </c>
      <c r="N218" s="51">
        <v>0</v>
      </c>
      <c r="O218" s="51">
        <v>0</v>
      </c>
      <c r="P218" s="51">
        <v>0</v>
      </c>
      <c r="Q218" s="51"/>
      <c r="R218" s="51"/>
      <c r="S218" s="51"/>
      <c r="T218" s="51">
        <f>T201</f>
        <v>0.15023474178403756</v>
      </c>
      <c r="U218" s="51">
        <f>U201</f>
        <v>0.75117370892018775</v>
      </c>
      <c r="V218" s="51"/>
      <c r="W218" s="51"/>
      <c r="X218" s="55"/>
      <c r="Y218" s="59">
        <f t="shared" si="151"/>
        <v>8.2758620689655178</v>
      </c>
      <c r="Z218" s="51">
        <f t="shared" si="152"/>
        <v>2.4939084507042253</v>
      </c>
      <c r="AA218" s="51">
        <f t="shared" si="153"/>
        <v>10.769770519669743</v>
      </c>
      <c r="AC218" s="30" t="s">
        <v>60</v>
      </c>
      <c r="AD218" s="31" t="s">
        <v>13</v>
      </c>
      <c r="AE218" s="32" t="s">
        <v>61</v>
      </c>
      <c r="AF218" s="31" t="s">
        <v>77</v>
      </c>
      <c r="AG218" s="31"/>
      <c r="AH218" s="1" t="str">
        <f t="shared" si="154"/>
        <v/>
      </c>
      <c r="AI218" s="1" t="str">
        <f t="shared" si="155"/>
        <v/>
      </c>
      <c r="AJ218" s="1" t="str">
        <f t="shared" si="156"/>
        <v/>
      </c>
      <c r="AK218" s="1" t="str">
        <f t="shared" si="157"/>
        <v/>
      </c>
      <c r="AL218" s="1" t="str">
        <f t="shared" si="158"/>
        <v/>
      </c>
      <c r="AM218" s="1">
        <f t="shared" si="159"/>
        <v>170.58823529411765</v>
      </c>
      <c r="AN218" s="52" t="str">
        <f t="shared" si="160"/>
        <v/>
      </c>
      <c r="AO218" s="1">
        <f t="shared" si="161"/>
        <v>2222.2222222222217</v>
      </c>
      <c r="AP218" s="1" t="str">
        <f t="shared" si="162"/>
        <v/>
      </c>
      <c r="AQ218" s="1" t="str">
        <f t="shared" si="163"/>
        <v/>
      </c>
      <c r="AR218" s="1" t="str">
        <f t="shared" si="164"/>
        <v/>
      </c>
      <c r="AS218" s="1" t="str">
        <f t="shared" si="165"/>
        <v/>
      </c>
      <c r="AT218" s="1" t="str">
        <f t="shared" si="166"/>
        <v/>
      </c>
      <c r="AU218" s="1" t="str">
        <f t="shared" si="167"/>
        <v/>
      </c>
      <c r="AV218" s="1">
        <f t="shared" si="168"/>
        <v>2366.6666666666665</v>
      </c>
      <c r="AW218" s="1">
        <f t="shared" si="169"/>
        <v>2366.6666666666665</v>
      </c>
      <c r="AX218" s="1" t="str">
        <f t="shared" ref="AX218:BC218" si="213">IF(V218&gt;0,V263/V218*1000,"")</f>
        <v/>
      </c>
      <c r="AY218" s="1" t="str">
        <f t="shared" si="213"/>
        <v/>
      </c>
      <c r="AZ218" s="1" t="str">
        <f t="shared" si="213"/>
        <v/>
      </c>
      <c r="BA218" s="1">
        <f t="shared" si="213"/>
        <v>0</v>
      </c>
      <c r="BB218" s="1">
        <f t="shared" si="213"/>
        <v>0</v>
      </c>
      <c r="BC218" s="1">
        <f t="shared" si="213"/>
        <v>0</v>
      </c>
    </row>
    <row r="219" spans="1:55" x14ac:dyDescent="0.25">
      <c r="A219" s="30" t="s">
        <v>60</v>
      </c>
      <c r="B219" s="31" t="s">
        <v>13</v>
      </c>
      <c r="C219" s="32" t="s">
        <v>61</v>
      </c>
      <c r="D219" s="31" t="s">
        <v>78</v>
      </c>
      <c r="E219" s="31"/>
      <c r="F219" s="51">
        <v>0</v>
      </c>
      <c r="G219" s="51">
        <v>0</v>
      </c>
      <c r="H219" s="51">
        <v>0</v>
      </c>
      <c r="I219" s="51">
        <f>I201*0.2</f>
        <v>20.27586206896552</v>
      </c>
      <c r="J219" s="51">
        <v>0</v>
      </c>
      <c r="K219" s="51">
        <f>K201*0.4</f>
        <v>8.2758620689655178</v>
      </c>
      <c r="L219" s="52">
        <v>0</v>
      </c>
      <c r="M219" s="51">
        <f>M201*0.1</f>
        <v>0.31850000000000001</v>
      </c>
      <c r="N219" s="51">
        <v>0</v>
      </c>
      <c r="O219" s="51">
        <f>O201*0.1</f>
        <v>8.3700000000000007E-3</v>
      </c>
      <c r="P219" s="51">
        <f>P201*0.95</f>
        <v>7.3624999999999996E-2</v>
      </c>
      <c r="Q219" s="51">
        <f>Q201</f>
        <v>1.9342359767891681E-2</v>
      </c>
      <c r="R219" s="51"/>
      <c r="S219" s="51"/>
      <c r="T219" s="51"/>
      <c r="U219" s="51"/>
      <c r="V219" s="51"/>
      <c r="W219" s="51"/>
      <c r="X219" s="55">
        <f>X201</f>
        <v>1.8779342723004695</v>
      </c>
      <c r="Y219" s="59">
        <f t="shared" si="151"/>
        <v>28.551724137931039</v>
      </c>
      <c r="Z219" s="51">
        <f t="shared" si="152"/>
        <v>2.2977716320683612</v>
      </c>
      <c r="AA219" s="51">
        <f t="shared" si="153"/>
        <v>30.8494957699994</v>
      </c>
      <c r="AC219" s="30" t="s">
        <v>60</v>
      </c>
      <c r="AD219" s="31" t="s">
        <v>13</v>
      </c>
      <c r="AE219" s="32" t="s">
        <v>61</v>
      </c>
      <c r="AF219" s="31" t="s">
        <v>78</v>
      </c>
      <c r="AG219" s="31"/>
      <c r="AH219" s="1" t="str">
        <f t="shared" si="154"/>
        <v/>
      </c>
      <c r="AI219" s="1" t="str">
        <f t="shared" si="155"/>
        <v/>
      </c>
      <c r="AJ219" s="1" t="str">
        <f t="shared" si="156"/>
        <v/>
      </c>
      <c r="AK219" s="1">
        <f t="shared" si="157"/>
        <v>170.58823529411762</v>
      </c>
      <c r="AL219" s="1" t="str">
        <f t="shared" si="158"/>
        <v/>
      </c>
      <c r="AM219" s="1">
        <f t="shared" si="159"/>
        <v>170.58823529411765</v>
      </c>
      <c r="AN219" s="52" t="str">
        <f t="shared" si="160"/>
        <v/>
      </c>
      <c r="AO219" s="1">
        <f t="shared" si="161"/>
        <v>2222.2222222222222</v>
      </c>
      <c r="AP219" s="1" t="str">
        <f t="shared" si="162"/>
        <v/>
      </c>
      <c r="AQ219" s="1">
        <f t="shared" si="163"/>
        <v>55555.555555555555</v>
      </c>
      <c r="AR219" s="1">
        <f t="shared" si="164"/>
        <v>155555.55555555556</v>
      </c>
      <c r="AS219" s="1">
        <f t="shared" si="165"/>
        <v>5222.2222222222226</v>
      </c>
      <c r="AT219" s="1" t="str">
        <f t="shared" si="166"/>
        <v/>
      </c>
      <c r="AU219" s="1" t="str">
        <f t="shared" si="167"/>
        <v/>
      </c>
      <c r="AV219" s="1" t="str">
        <f t="shared" si="168"/>
        <v/>
      </c>
      <c r="AW219" s="1" t="str">
        <f t="shared" si="169"/>
        <v/>
      </c>
      <c r="AX219" s="1" t="str">
        <f t="shared" ref="AX219:BC219" si="214">IF(V219&gt;0,V264/V219*1000,"")</f>
        <v/>
      </c>
      <c r="AY219" s="1" t="str">
        <f t="shared" si="214"/>
        <v/>
      </c>
      <c r="AZ219" s="1">
        <f t="shared" si="214"/>
        <v>2366.6666666666665</v>
      </c>
      <c r="BA219" s="1">
        <f t="shared" si="214"/>
        <v>0</v>
      </c>
      <c r="BB219" s="1">
        <f t="shared" si="214"/>
        <v>0</v>
      </c>
      <c r="BC219" s="1">
        <f t="shared" si="214"/>
        <v>0</v>
      </c>
    </row>
    <row r="220" spans="1:55" ht="15.75" thickBot="1" x14ac:dyDescent="0.3">
      <c r="A220" s="33" t="s">
        <v>60</v>
      </c>
      <c r="B220" s="34" t="s">
        <v>13</v>
      </c>
      <c r="C220" s="35" t="s">
        <v>61</v>
      </c>
      <c r="D220" s="34" t="s">
        <v>79</v>
      </c>
      <c r="E220" s="31"/>
      <c r="F220" s="51">
        <v>0</v>
      </c>
      <c r="G220" s="51">
        <v>0</v>
      </c>
      <c r="H220" s="51">
        <v>0</v>
      </c>
      <c r="I220" s="51">
        <v>0</v>
      </c>
      <c r="J220" s="51">
        <v>0</v>
      </c>
      <c r="K220" s="51">
        <v>0</v>
      </c>
      <c r="L220" s="52">
        <v>0</v>
      </c>
      <c r="M220" s="51">
        <v>0</v>
      </c>
      <c r="N220" s="51">
        <v>0</v>
      </c>
      <c r="O220" s="51">
        <v>0</v>
      </c>
      <c r="P220" s="51">
        <v>0</v>
      </c>
      <c r="Q220" s="51">
        <v>0</v>
      </c>
      <c r="R220" s="51">
        <v>0</v>
      </c>
      <c r="S220" s="51">
        <v>0</v>
      </c>
      <c r="T220" s="51">
        <v>0</v>
      </c>
      <c r="U220" s="51">
        <v>0</v>
      </c>
      <c r="V220" s="51">
        <v>0</v>
      </c>
      <c r="W220" s="51">
        <v>0</v>
      </c>
      <c r="X220" s="55">
        <v>0</v>
      </c>
      <c r="Y220" s="59">
        <f t="shared" si="151"/>
        <v>0</v>
      </c>
      <c r="Z220" s="51">
        <f t="shared" si="152"/>
        <v>0</v>
      </c>
      <c r="AA220" s="51">
        <f t="shared" si="153"/>
        <v>0</v>
      </c>
      <c r="AC220" s="33" t="s">
        <v>60</v>
      </c>
      <c r="AD220" s="34" t="s">
        <v>13</v>
      </c>
      <c r="AE220" s="35" t="s">
        <v>61</v>
      </c>
      <c r="AF220" s="34" t="s">
        <v>79</v>
      </c>
      <c r="AG220" s="31"/>
      <c r="AH220" s="1" t="str">
        <f t="shared" si="154"/>
        <v/>
      </c>
      <c r="AI220" s="1" t="str">
        <f t="shared" si="155"/>
        <v/>
      </c>
      <c r="AJ220" s="1" t="str">
        <f t="shared" si="156"/>
        <v/>
      </c>
      <c r="AK220" s="1" t="str">
        <f t="shared" si="157"/>
        <v/>
      </c>
      <c r="AL220" s="1" t="str">
        <f t="shared" si="158"/>
        <v/>
      </c>
      <c r="AM220" s="1" t="str">
        <f t="shared" si="159"/>
        <v/>
      </c>
      <c r="AN220" s="52" t="str">
        <f t="shared" si="160"/>
        <v/>
      </c>
      <c r="AO220" s="1" t="str">
        <f t="shared" si="161"/>
        <v/>
      </c>
      <c r="AP220" s="1" t="str">
        <f t="shared" si="162"/>
        <v/>
      </c>
      <c r="AQ220" s="1" t="str">
        <f t="shared" si="163"/>
        <v/>
      </c>
      <c r="AR220" s="1" t="str">
        <f t="shared" si="164"/>
        <v/>
      </c>
      <c r="AS220" s="1" t="str">
        <f t="shared" si="165"/>
        <v/>
      </c>
      <c r="AT220" s="1" t="str">
        <f t="shared" si="166"/>
        <v/>
      </c>
      <c r="AU220" s="1" t="str">
        <f t="shared" si="167"/>
        <v/>
      </c>
      <c r="AV220" s="1" t="str">
        <f t="shared" si="168"/>
        <v/>
      </c>
      <c r="AW220" s="1" t="str">
        <f t="shared" si="169"/>
        <v/>
      </c>
      <c r="AX220" s="1" t="str">
        <f t="shared" ref="AX220:BC220" si="215">IF(V220&gt;0,V265/V220*1000,"")</f>
        <v/>
      </c>
      <c r="AY220" s="1" t="str">
        <f t="shared" si="215"/>
        <v/>
      </c>
      <c r="AZ220" s="1" t="str">
        <f t="shared" si="215"/>
        <v/>
      </c>
      <c r="BA220" s="1" t="str">
        <f t="shared" si="215"/>
        <v/>
      </c>
      <c r="BB220" s="1" t="str">
        <f t="shared" si="215"/>
        <v/>
      </c>
      <c r="BC220" s="1" t="str">
        <f t="shared" si="215"/>
        <v/>
      </c>
    </row>
    <row r="221" spans="1:55" x14ac:dyDescent="0.25">
      <c r="A221" s="30" t="s">
        <v>60</v>
      </c>
      <c r="B221" s="31" t="s">
        <v>13</v>
      </c>
      <c r="C221" s="32" t="s">
        <v>62</v>
      </c>
      <c r="D221" s="31" t="s">
        <v>75</v>
      </c>
      <c r="E221" s="31"/>
      <c r="F221" s="51"/>
      <c r="G221" s="51">
        <v>0</v>
      </c>
      <c r="H221" s="51">
        <v>0</v>
      </c>
      <c r="I221" s="51">
        <v>0</v>
      </c>
      <c r="J221" s="51">
        <v>0</v>
      </c>
      <c r="K221" s="51">
        <v>0</v>
      </c>
      <c r="L221" s="52">
        <v>0</v>
      </c>
      <c r="M221" s="51">
        <v>0</v>
      </c>
      <c r="N221" s="51">
        <v>0</v>
      </c>
      <c r="O221" s="51">
        <v>0</v>
      </c>
      <c r="P221" s="51">
        <v>0</v>
      </c>
      <c r="Q221" s="51">
        <v>0</v>
      </c>
      <c r="R221" s="51">
        <v>0</v>
      </c>
      <c r="S221" s="51">
        <v>0</v>
      </c>
      <c r="T221" s="51">
        <v>0</v>
      </c>
      <c r="U221" s="51">
        <v>0</v>
      </c>
      <c r="V221" s="51">
        <v>0</v>
      </c>
      <c r="W221" s="51">
        <v>0</v>
      </c>
      <c r="X221" s="55">
        <v>0</v>
      </c>
      <c r="Y221" s="59">
        <f t="shared" si="151"/>
        <v>0</v>
      </c>
      <c r="Z221" s="51">
        <f t="shared" si="152"/>
        <v>0</v>
      </c>
      <c r="AA221" s="51">
        <f t="shared" si="153"/>
        <v>0</v>
      </c>
      <c r="AC221" s="30" t="s">
        <v>60</v>
      </c>
      <c r="AD221" s="31" t="s">
        <v>13</v>
      </c>
      <c r="AE221" s="32" t="s">
        <v>62</v>
      </c>
      <c r="AF221" s="31" t="s">
        <v>75</v>
      </c>
      <c r="AG221" s="31"/>
      <c r="AH221" s="1" t="str">
        <f t="shared" si="154"/>
        <v/>
      </c>
      <c r="AI221" s="1" t="str">
        <f t="shared" si="155"/>
        <v/>
      </c>
      <c r="AJ221" s="1" t="str">
        <f t="shared" si="156"/>
        <v/>
      </c>
      <c r="AK221" s="1" t="str">
        <f t="shared" si="157"/>
        <v/>
      </c>
      <c r="AL221" s="1" t="str">
        <f t="shared" si="158"/>
        <v/>
      </c>
      <c r="AM221" s="1" t="str">
        <f t="shared" si="159"/>
        <v/>
      </c>
      <c r="AN221" s="52" t="str">
        <f t="shared" si="160"/>
        <v/>
      </c>
      <c r="AO221" s="1" t="str">
        <f t="shared" si="161"/>
        <v/>
      </c>
      <c r="AP221" s="1" t="str">
        <f t="shared" si="162"/>
        <v/>
      </c>
      <c r="AQ221" s="1" t="str">
        <f t="shared" si="163"/>
        <v/>
      </c>
      <c r="AR221" s="1" t="str">
        <f t="shared" si="164"/>
        <v/>
      </c>
      <c r="AS221" s="1" t="str">
        <f t="shared" si="165"/>
        <v/>
      </c>
      <c r="AT221" s="1" t="str">
        <f t="shared" si="166"/>
        <v/>
      </c>
      <c r="AU221" s="1" t="str">
        <f t="shared" si="167"/>
        <v/>
      </c>
      <c r="AV221" s="1" t="str">
        <f t="shared" si="168"/>
        <v/>
      </c>
      <c r="AW221" s="1" t="str">
        <f t="shared" si="169"/>
        <v/>
      </c>
      <c r="AX221" s="1" t="str">
        <f t="shared" ref="AX221:BC221" si="216">IF(V221&gt;0,V266/V221*1000,"")</f>
        <v/>
      </c>
      <c r="AY221" s="1" t="str">
        <f t="shared" si="216"/>
        <v/>
      </c>
      <c r="AZ221" s="1" t="str">
        <f t="shared" si="216"/>
        <v/>
      </c>
      <c r="BA221" s="1" t="str">
        <f t="shared" si="216"/>
        <v/>
      </c>
      <c r="BB221" s="1" t="str">
        <f t="shared" si="216"/>
        <v/>
      </c>
      <c r="BC221" s="1" t="str">
        <f t="shared" si="216"/>
        <v/>
      </c>
    </row>
    <row r="222" spans="1:55" x14ac:dyDescent="0.25">
      <c r="A222" s="30" t="s">
        <v>60</v>
      </c>
      <c r="B222" s="31" t="s">
        <v>13</v>
      </c>
      <c r="C222" s="32" t="s">
        <v>62</v>
      </c>
      <c r="D222" s="31" t="s">
        <v>76</v>
      </c>
      <c r="E222" s="31"/>
      <c r="F222" s="51">
        <f>F202</f>
        <v>24.24</v>
      </c>
      <c r="G222" s="51">
        <f>G202</f>
        <v>120</v>
      </c>
      <c r="H222" s="51">
        <f>H202</f>
        <v>512</v>
      </c>
      <c r="I222" s="51">
        <v>0</v>
      </c>
      <c r="J222" s="51">
        <v>0</v>
      </c>
      <c r="K222" s="51">
        <v>0</v>
      </c>
      <c r="L222" s="52">
        <v>0</v>
      </c>
      <c r="M222" s="51">
        <v>0</v>
      </c>
      <c r="N222" s="51">
        <v>0</v>
      </c>
      <c r="O222" s="51">
        <v>0</v>
      </c>
      <c r="P222" s="51">
        <v>0</v>
      </c>
      <c r="Q222" s="51">
        <v>0</v>
      </c>
      <c r="R222" s="51">
        <v>0</v>
      </c>
      <c r="S222" s="51">
        <v>0</v>
      </c>
      <c r="T222" s="51">
        <v>0</v>
      </c>
      <c r="U222" s="51">
        <v>0</v>
      </c>
      <c r="V222" s="51">
        <v>0</v>
      </c>
      <c r="W222" s="51">
        <v>0</v>
      </c>
      <c r="X222" s="55">
        <v>0</v>
      </c>
      <c r="Y222" s="59">
        <f t="shared" si="151"/>
        <v>656.24</v>
      </c>
      <c r="Z222" s="51">
        <f t="shared" si="152"/>
        <v>0</v>
      </c>
      <c r="AA222" s="51">
        <f t="shared" si="153"/>
        <v>656.24</v>
      </c>
      <c r="AC222" s="30" t="s">
        <v>60</v>
      </c>
      <c r="AD222" s="31" t="s">
        <v>13</v>
      </c>
      <c r="AE222" s="32" t="s">
        <v>62</v>
      </c>
      <c r="AF222" s="31" t="s">
        <v>76</v>
      </c>
      <c r="AG222" s="31"/>
      <c r="AH222" s="1">
        <f t="shared" si="154"/>
        <v>301.70517051705173</v>
      </c>
      <c r="AI222" s="1">
        <f t="shared" si="155"/>
        <v>136.11111111111109</v>
      </c>
      <c r="AJ222" s="1">
        <f t="shared" si="156"/>
        <v>26.911764705882355</v>
      </c>
      <c r="AK222" s="1" t="str">
        <f t="shared" si="157"/>
        <v/>
      </c>
      <c r="AL222" s="1" t="str">
        <f t="shared" si="158"/>
        <v/>
      </c>
      <c r="AM222" s="1" t="str">
        <f t="shared" si="159"/>
        <v/>
      </c>
      <c r="AN222" s="52" t="str">
        <f t="shared" si="160"/>
        <v/>
      </c>
      <c r="AO222" s="1" t="str">
        <f t="shared" si="161"/>
        <v/>
      </c>
      <c r="AP222" s="1" t="str">
        <f t="shared" si="162"/>
        <v/>
      </c>
      <c r="AQ222" s="1" t="str">
        <f t="shared" si="163"/>
        <v/>
      </c>
      <c r="AR222" s="1" t="str">
        <f t="shared" si="164"/>
        <v/>
      </c>
      <c r="AS222" s="1" t="str">
        <f t="shared" si="165"/>
        <v/>
      </c>
      <c r="AT222" s="1" t="str">
        <f t="shared" si="166"/>
        <v/>
      </c>
      <c r="AU222" s="1" t="str">
        <f t="shared" si="167"/>
        <v/>
      </c>
      <c r="AV222" s="1" t="str">
        <f t="shared" si="168"/>
        <v/>
      </c>
      <c r="AW222" s="1" t="str">
        <f t="shared" si="169"/>
        <v/>
      </c>
      <c r="AX222" s="1" t="str">
        <f t="shared" ref="AX222:BC222" si="217">IF(V222&gt;0,V267/V222*1000,"")</f>
        <v/>
      </c>
      <c r="AY222" s="1" t="str">
        <f t="shared" si="217"/>
        <v/>
      </c>
      <c r="AZ222" s="1" t="str">
        <f t="shared" si="217"/>
        <v/>
      </c>
      <c r="BA222" s="1">
        <f t="shared" si="217"/>
        <v>0</v>
      </c>
      <c r="BB222" s="1" t="str">
        <f t="shared" si="217"/>
        <v/>
      </c>
      <c r="BC222" s="1">
        <f t="shared" si="217"/>
        <v>0</v>
      </c>
    </row>
    <row r="223" spans="1:55" x14ac:dyDescent="0.25">
      <c r="A223" s="30" t="s">
        <v>60</v>
      </c>
      <c r="B223" s="31" t="s">
        <v>13</v>
      </c>
      <c r="C223" s="32" t="s">
        <v>62</v>
      </c>
      <c r="D223" s="31" t="s">
        <v>77</v>
      </c>
      <c r="E223" s="31"/>
      <c r="F223" s="51">
        <v>0</v>
      </c>
      <c r="G223" s="51">
        <v>0</v>
      </c>
      <c r="H223" s="51">
        <v>0</v>
      </c>
      <c r="I223" s="51">
        <v>0</v>
      </c>
      <c r="J223" s="51">
        <v>0</v>
      </c>
      <c r="K223" s="51">
        <v>0</v>
      </c>
      <c r="L223" s="52">
        <v>0</v>
      </c>
      <c r="M223" s="51">
        <v>0</v>
      </c>
      <c r="N223" s="51">
        <v>0</v>
      </c>
      <c r="O223" s="51">
        <v>0</v>
      </c>
      <c r="P223" s="51">
        <v>0</v>
      </c>
      <c r="Q223" s="51">
        <v>0</v>
      </c>
      <c r="R223" s="51">
        <v>0</v>
      </c>
      <c r="S223" s="51">
        <v>0</v>
      </c>
      <c r="T223" s="51">
        <v>0</v>
      </c>
      <c r="U223" s="51">
        <v>0</v>
      </c>
      <c r="V223" s="51">
        <v>0</v>
      </c>
      <c r="W223" s="51">
        <v>0</v>
      </c>
      <c r="X223" s="55">
        <v>0</v>
      </c>
      <c r="Y223" s="59">
        <f t="shared" si="151"/>
        <v>0</v>
      </c>
      <c r="Z223" s="51">
        <f t="shared" si="152"/>
        <v>0</v>
      </c>
      <c r="AA223" s="51">
        <f t="shared" si="153"/>
        <v>0</v>
      </c>
      <c r="AC223" s="30" t="s">
        <v>60</v>
      </c>
      <c r="AD223" s="31" t="s">
        <v>13</v>
      </c>
      <c r="AE223" s="32" t="s">
        <v>62</v>
      </c>
      <c r="AF223" s="31" t="s">
        <v>77</v>
      </c>
      <c r="AG223" s="31"/>
      <c r="AH223" s="1" t="str">
        <f t="shared" si="154"/>
        <v/>
      </c>
      <c r="AI223" s="1" t="str">
        <f t="shared" si="155"/>
        <v/>
      </c>
      <c r="AJ223" s="1" t="str">
        <f t="shared" si="156"/>
        <v/>
      </c>
      <c r="AK223" s="1" t="str">
        <f t="shared" si="157"/>
        <v/>
      </c>
      <c r="AL223" s="1" t="str">
        <f t="shared" si="158"/>
        <v/>
      </c>
      <c r="AM223" s="1" t="str">
        <f t="shared" si="159"/>
        <v/>
      </c>
      <c r="AN223" s="52" t="str">
        <f t="shared" si="160"/>
        <v/>
      </c>
      <c r="AO223" s="1" t="str">
        <f t="shared" si="161"/>
        <v/>
      </c>
      <c r="AP223" s="1" t="str">
        <f t="shared" si="162"/>
        <v/>
      </c>
      <c r="AQ223" s="1" t="str">
        <f t="shared" si="163"/>
        <v/>
      </c>
      <c r="AR223" s="1" t="str">
        <f t="shared" si="164"/>
        <v/>
      </c>
      <c r="AS223" s="1" t="str">
        <f t="shared" si="165"/>
        <v/>
      </c>
      <c r="AT223" s="1" t="str">
        <f t="shared" si="166"/>
        <v/>
      </c>
      <c r="AU223" s="1" t="str">
        <f t="shared" si="167"/>
        <v/>
      </c>
      <c r="AV223" s="1" t="str">
        <f t="shared" si="168"/>
        <v/>
      </c>
      <c r="AW223" s="1" t="str">
        <f t="shared" si="169"/>
        <v/>
      </c>
      <c r="AX223" s="1" t="str">
        <f t="shared" ref="AX223:BC223" si="218">IF(V223&gt;0,V268/V223*1000,"")</f>
        <v/>
      </c>
      <c r="AY223" s="1" t="str">
        <f t="shared" si="218"/>
        <v/>
      </c>
      <c r="AZ223" s="1" t="str">
        <f t="shared" si="218"/>
        <v/>
      </c>
      <c r="BA223" s="1" t="str">
        <f t="shared" si="218"/>
        <v/>
      </c>
      <c r="BB223" s="1" t="str">
        <f t="shared" si="218"/>
        <v/>
      </c>
      <c r="BC223" s="1" t="str">
        <f t="shared" si="218"/>
        <v/>
      </c>
    </row>
    <row r="224" spans="1:55" x14ac:dyDescent="0.25">
      <c r="A224" s="30" t="s">
        <v>60</v>
      </c>
      <c r="B224" s="31" t="s">
        <v>13</v>
      </c>
      <c r="C224" s="32" t="s">
        <v>62</v>
      </c>
      <c r="D224" s="31" t="s">
        <v>78</v>
      </c>
      <c r="E224" s="31"/>
      <c r="F224" s="51">
        <v>0</v>
      </c>
      <c r="G224" s="51">
        <v>0</v>
      </c>
      <c r="H224" s="51">
        <v>0</v>
      </c>
      <c r="I224" s="51">
        <v>0</v>
      </c>
      <c r="J224" s="51">
        <v>0</v>
      </c>
      <c r="K224" s="51">
        <v>0</v>
      </c>
      <c r="L224" s="52">
        <v>0</v>
      </c>
      <c r="M224" s="51">
        <v>0</v>
      </c>
      <c r="N224" s="51">
        <v>0</v>
      </c>
      <c r="O224" s="51">
        <v>0</v>
      </c>
      <c r="P224" s="51">
        <v>0</v>
      </c>
      <c r="Q224" s="51">
        <v>0</v>
      </c>
      <c r="R224" s="51">
        <v>0</v>
      </c>
      <c r="S224" s="51">
        <v>0</v>
      </c>
      <c r="T224" s="51">
        <v>0</v>
      </c>
      <c r="U224" s="51">
        <v>0</v>
      </c>
      <c r="V224" s="51">
        <v>0</v>
      </c>
      <c r="W224" s="51">
        <v>0</v>
      </c>
      <c r="X224" s="55">
        <v>0</v>
      </c>
      <c r="Y224" s="59">
        <f t="shared" si="151"/>
        <v>0</v>
      </c>
      <c r="Z224" s="51">
        <f t="shared" si="152"/>
        <v>0</v>
      </c>
      <c r="AA224" s="51">
        <f t="shared" si="153"/>
        <v>0</v>
      </c>
      <c r="AC224" s="30" t="s">
        <v>60</v>
      </c>
      <c r="AD224" s="31" t="s">
        <v>13</v>
      </c>
      <c r="AE224" s="32" t="s">
        <v>62</v>
      </c>
      <c r="AF224" s="31" t="s">
        <v>78</v>
      </c>
      <c r="AG224" s="31"/>
      <c r="AH224" s="1" t="str">
        <f t="shared" si="154"/>
        <v/>
      </c>
      <c r="AI224" s="1" t="str">
        <f t="shared" si="155"/>
        <v/>
      </c>
      <c r="AJ224" s="1" t="str">
        <f t="shared" si="156"/>
        <v/>
      </c>
      <c r="AK224" s="1" t="str">
        <f t="shared" si="157"/>
        <v/>
      </c>
      <c r="AL224" s="1" t="str">
        <f t="shared" si="158"/>
        <v/>
      </c>
      <c r="AM224" s="1" t="str">
        <f t="shared" si="159"/>
        <v/>
      </c>
      <c r="AN224" s="52" t="str">
        <f t="shared" si="160"/>
        <v/>
      </c>
      <c r="AO224" s="1" t="str">
        <f t="shared" si="161"/>
        <v/>
      </c>
      <c r="AP224" s="1" t="str">
        <f t="shared" si="162"/>
        <v/>
      </c>
      <c r="AQ224" s="1" t="str">
        <f t="shared" si="163"/>
        <v/>
      </c>
      <c r="AR224" s="1" t="str">
        <f t="shared" si="164"/>
        <v/>
      </c>
      <c r="AS224" s="1" t="str">
        <f t="shared" si="165"/>
        <v/>
      </c>
      <c r="AT224" s="1" t="str">
        <f t="shared" si="166"/>
        <v/>
      </c>
      <c r="AU224" s="1" t="str">
        <f t="shared" si="167"/>
        <v/>
      </c>
      <c r="AV224" s="1" t="str">
        <f t="shared" si="168"/>
        <v/>
      </c>
      <c r="AW224" s="1" t="str">
        <f t="shared" si="169"/>
        <v/>
      </c>
      <c r="AX224" s="1" t="str">
        <f t="shared" ref="AX224:BC224" si="219">IF(V224&gt;0,V269/V224*1000,"")</f>
        <v/>
      </c>
      <c r="AY224" s="1" t="str">
        <f t="shared" si="219"/>
        <v/>
      </c>
      <c r="AZ224" s="1" t="str">
        <f t="shared" si="219"/>
        <v/>
      </c>
      <c r="BA224" s="1" t="str">
        <f t="shared" si="219"/>
        <v/>
      </c>
      <c r="BB224" s="1" t="str">
        <f t="shared" si="219"/>
        <v/>
      </c>
      <c r="BC224" s="1" t="str">
        <f t="shared" si="219"/>
        <v/>
      </c>
    </row>
    <row r="225" spans="1:55" ht="15.75" thickBot="1" x14ac:dyDescent="0.3">
      <c r="A225" s="33" t="s">
        <v>60</v>
      </c>
      <c r="B225" s="34" t="s">
        <v>13</v>
      </c>
      <c r="C225" s="32" t="s">
        <v>62</v>
      </c>
      <c r="D225" s="34" t="s">
        <v>79</v>
      </c>
      <c r="E225" s="31"/>
      <c r="F225" s="51">
        <v>0</v>
      </c>
      <c r="G225" s="51">
        <v>0</v>
      </c>
      <c r="H225" s="51">
        <v>0</v>
      </c>
      <c r="I225" s="51">
        <v>0</v>
      </c>
      <c r="J225" s="51">
        <v>0</v>
      </c>
      <c r="K225" s="51">
        <v>0</v>
      </c>
      <c r="L225" s="52">
        <v>0</v>
      </c>
      <c r="M225" s="51">
        <v>0</v>
      </c>
      <c r="N225" s="51">
        <v>0</v>
      </c>
      <c r="O225" s="51">
        <v>0</v>
      </c>
      <c r="P225" s="51">
        <v>0</v>
      </c>
      <c r="Q225" s="51">
        <v>0</v>
      </c>
      <c r="R225" s="51">
        <v>0</v>
      </c>
      <c r="S225" s="51">
        <v>0</v>
      </c>
      <c r="T225" s="51">
        <v>0</v>
      </c>
      <c r="U225" s="51">
        <v>0</v>
      </c>
      <c r="V225" s="51">
        <v>0</v>
      </c>
      <c r="W225" s="51">
        <v>0</v>
      </c>
      <c r="X225" s="55">
        <v>0</v>
      </c>
      <c r="Y225" s="59">
        <f t="shared" si="151"/>
        <v>0</v>
      </c>
      <c r="Z225" s="51">
        <f t="shared" si="152"/>
        <v>0</v>
      </c>
      <c r="AA225" s="51">
        <f t="shared" si="153"/>
        <v>0</v>
      </c>
      <c r="AC225" s="33" t="s">
        <v>60</v>
      </c>
      <c r="AD225" s="34" t="s">
        <v>13</v>
      </c>
      <c r="AE225" s="32" t="s">
        <v>62</v>
      </c>
      <c r="AF225" s="34" t="s">
        <v>79</v>
      </c>
      <c r="AG225" s="31"/>
      <c r="AH225" s="1" t="str">
        <f t="shared" si="154"/>
        <v/>
      </c>
      <c r="AI225" s="1" t="str">
        <f t="shared" si="155"/>
        <v/>
      </c>
      <c r="AJ225" s="1" t="str">
        <f t="shared" si="156"/>
        <v/>
      </c>
      <c r="AK225" s="1" t="str">
        <f t="shared" si="157"/>
        <v/>
      </c>
      <c r="AL225" s="1" t="str">
        <f t="shared" si="158"/>
        <v/>
      </c>
      <c r="AM225" s="1" t="str">
        <f t="shared" si="159"/>
        <v/>
      </c>
      <c r="AN225" s="52" t="str">
        <f t="shared" si="160"/>
        <v/>
      </c>
      <c r="AO225" s="1" t="str">
        <f t="shared" si="161"/>
        <v/>
      </c>
      <c r="AP225" s="1" t="str">
        <f t="shared" si="162"/>
        <v/>
      </c>
      <c r="AQ225" s="1" t="str">
        <f t="shared" si="163"/>
        <v/>
      </c>
      <c r="AR225" s="1" t="str">
        <f t="shared" si="164"/>
        <v/>
      </c>
      <c r="AS225" s="1" t="str">
        <f t="shared" si="165"/>
        <v/>
      </c>
      <c r="AT225" s="1" t="str">
        <f t="shared" si="166"/>
        <v/>
      </c>
      <c r="AU225" s="1" t="str">
        <f t="shared" si="167"/>
        <v/>
      </c>
      <c r="AV225" s="1" t="str">
        <f t="shared" si="168"/>
        <v/>
      </c>
      <c r="AW225" s="1" t="str">
        <f t="shared" si="169"/>
        <v/>
      </c>
      <c r="AX225" s="1" t="str">
        <f t="shared" ref="AX225:BC225" si="220">IF(V225&gt;0,V270/V225*1000,"")</f>
        <v/>
      </c>
      <c r="AY225" s="1" t="str">
        <f t="shared" si="220"/>
        <v/>
      </c>
      <c r="AZ225" s="1" t="str">
        <f t="shared" si="220"/>
        <v/>
      </c>
      <c r="BA225" s="1" t="str">
        <f t="shared" si="220"/>
        <v/>
      </c>
      <c r="BB225" s="1" t="str">
        <f t="shared" si="220"/>
        <v/>
      </c>
      <c r="BC225" s="1" t="str">
        <f t="shared" si="220"/>
        <v/>
      </c>
    </row>
    <row r="227" spans="1:55" x14ac:dyDescent="0.25">
      <c r="D227" s="41" t="s">
        <v>33</v>
      </c>
      <c r="E227" s="41"/>
      <c r="M227" s="24" t="s">
        <v>81</v>
      </c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</row>
    <row r="228" spans="1:55" x14ac:dyDescent="0.25">
      <c r="F228" s="23" t="s">
        <v>44</v>
      </c>
      <c r="G228" s="23"/>
      <c r="H228" s="23"/>
      <c r="I228" s="23"/>
      <c r="J228" s="23"/>
      <c r="K228" s="23"/>
      <c r="L228" s="7" t="s">
        <v>30</v>
      </c>
      <c r="M228" s="24" t="s">
        <v>46</v>
      </c>
      <c r="N228" s="24"/>
      <c r="O228" s="24"/>
      <c r="P228" s="24"/>
      <c r="Q228" s="24"/>
      <c r="R228" s="24" t="s">
        <v>47</v>
      </c>
      <c r="S228" s="24"/>
      <c r="T228" s="24"/>
      <c r="U228" s="24"/>
      <c r="V228" s="24"/>
      <c r="W228" s="24"/>
      <c r="X228" s="24"/>
      <c r="Y228" s="44" t="s">
        <v>85</v>
      </c>
      <c r="Z228" s="44" t="s">
        <v>48</v>
      </c>
      <c r="AA228" s="44" t="s">
        <v>3</v>
      </c>
    </row>
    <row r="229" spans="1:55" ht="63" x14ac:dyDescent="0.25">
      <c r="F229" s="38" t="s">
        <v>36</v>
      </c>
      <c r="G229" s="38" t="s">
        <v>37</v>
      </c>
      <c r="H229" s="38" t="s">
        <v>38</v>
      </c>
      <c r="I229" s="38" t="s">
        <v>80</v>
      </c>
      <c r="J229" s="38" t="s">
        <v>39</v>
      </c>
      <c r="K229" s="38" t="s">
        <v>45</v>
      </c>
      <c r="L229" s="39" t="s">
        <v>16</v>
      </c>
      <c r="M229" s="40" t="s">
        <v>34</v>
      </c>
      <c r="N229" s="40" t="s">
        <v>5</v>
      </c>
      <c r="O229" s="40" t="s">
        <v>7</v>
      </c>
      <c r="P229" s="40" t="s">
        <v>8</v>
      </c>
      <c r="Q229" s="40" t="s">
        <v>40</v>
      </c>
      <c r="R229" s="40" t="s">
        <v>41</v>
      </c>
      <c r="S229" s="40" t="s">
        <v>42</v>
      </c>
      <c r="T229" s="40" t="s">
        <v>31</v>
      </c>
      <c r="U229" s="40" t="s">
        <v>43</v>
      </c>
      <c r="V229" s="40" t="s">
        <v>82</v>
      </c>
      <c r="W229" s="40" t="s">
        <v>87</v>
      </c>
      <c r="X229" s="40" t="s">
        <v>83</v>
      </c>
      <c r="Y229" s="45" t="s">
        <v>3</v>
      </c>
      <c r="Z229" s="45" t="s">
        <v>86</v>
      </c>
      <c r="AA229" s="45" t="s">
        <v>3</v>
      </c>
    </row>
    <row r="230" spans="1:55" x14ac:dyDescent="0.25">
      <c r="A230" s="15" t="s">
        <v>51</v>
      </c>
      <c r="B230" s="2"/>
      <c r="C230" s="2"/>
      <c r="F230" s="1">
        <f t="shared" ref="F230:M230" si="221">F232+F233+F234</f>
        <v>0</v>
      </c>
      <c r="G230" s="1">
        <f t="shared" si="221"/>
        <v>0</v>
      </c>
      <c r="H230" s="1">
        <f t="shared" si="221"/>
        <v>0</v>
      </c>
      <c r="I230" s="1">
        <f t="shared" si="221"/>
        <v>0</v>
      </c>
      <c r="J230" s="1">
        <f t="shared" si="221"/>
        <v>0</v>
      </c>
      <c r="K230" s="1">
        <f t="shared" si="221"/>
        <v>0</v>
      </c>
      <c r="L230" s="52">
        <f t="shared" si="221"/>
        <v>0</v>
      </c>
      <c r="M230" s="1">
        <f t="shared" si="221"/>
        <v>0</v>
      </c>
      <c r="N230" s="1">
        <f t="shared" ref="N230:X230" si="222">N232+N233+N234</f>
        <v>0</v>
      </c>
      <c r="O230" s="1">
        <f t="shared" si="222"/>
        <v>0</v>
      </c>
      <c r="P230" s="1">
        <f t="shared" si="222"/>
        <v>0</v>
      </c>
      <c r="Q230" s="1">
        <f t="shared" si="222"/>
        <v>0</v>
      </c>
      <c r="R230" s="1">
        <f t="shared" si="222"/>
        <v>0</v>
      </c>
      <c r="S230" s="1">
        <f t="shared" si="222"/>
        <v>0</v>
      </c>
      <c r="T230" s="1">
        <f t="shared" si="222"/>
        <v>0</v>
      </c>
      <c r="U230" s="1">
        <f t="shared" si="222"/>
        <v>0</v>
      </c>
      <c r="V230" s="1">
        <f t="shared" si="222"/>
        <v>0</v>
      </c>
      <c r="W230" s="1">
        <f t="shared" si="222"/>
        <v>0</v>
      </c>
      <c r="X230" s="1">
        <f t="shared" si="222"/>
        <v>0</v>
      </c>
      <c r="Y230" s="58">
        <f t="shared" ref="Y230:Y238" si="223">SUM(F230:K230)</f>
        <v>0</v>
      </c>
      <c r="Z230" s="1">
        <f t="shared" ref="Z230:Z238" si="224">SUM(M230:X230)</f>
        <v>0</v>
      </c>
      <c r="AA230" s="1">
        <f t="shared" ref="AA230:AA238" si="225">L230+Y230+Z230</f>
        <v>0</v>
      </c>
    </row>
    <row r="231" spans="1:55" x14ac:dyDescent="0.25">
      <c r="A231" s="30" t="s">
        <v>60</v>
      </c>
      <c r="B231" s="2"/>
      <c r="C231" s="2"/>
      <c r="F231" s="1">
        <f>F235+F236+F237+F238</f>
        <v>63.252136752136749</v>
      </c>
      <c r="G231" s="1">
        <f t="shared" ref="G231:X231" si="226">G235+G236+G237+G238</f>
        <v>16.333333333333332</v>
      </c>
      <c r="H231" s="1">
        <f t="shared" si="226"/>
        <v>43.058823529411768</v>
      </c>
      <c r="I231" s="1">
        <f t="shared" si="226"/>
        <v>17.294117647058822</v>
      </c>
      <c r="J231" s="1">
        <f t="shared" si="226"/>
        <v>129.60447296194644</v>
      </c>
      <c r="K231" s="1">
        <f t="shared" si="226"/>
        <v>37.815126050420169</v>
      </c>
      <c r="L231" s="52">
        <f t="shared" si="226"/>
        <v>5208.3333333333339</v>
      </c>
      <c r="M231" s="1">
        <f t="shared" si="226"/>
        <v>254.99444444444447</v>
      </c>
      <c r="N231" s="1">
        <f t="shared" si="226"/>
        <v>21.924519230769231</v>
      </c>
      <c r="O231" s="1">
        <f t="shared" si="226"/>
        <v>4.6500000000000004</v>
      </c>
      <c r="P231" s="1">
        <f t="shared" si="226"/>
        <v>12.055555555555555</v>
      </c>
      <c r="Q231" s="1">
        <f t="shared" si="226"/>
        <v>652.29148629148631</v>
      </c>
      <c r="R231" s="1">
        <f t="shared" si="226"/>
        <v>292.4190476190476</v>
      </c>
      <c r="S231" s="1">
        <f t="shared" si="226"/>
        <v>5.4444444444444446</v>
      </c>
      <c r="T231" s="1">
        <f t="shared" si="226"/>
        <v>444.16507936507941</v>
      </c>
      <c r="U231" s="1">
        <f t="shared" si="226"/>
        <v>211.30158730158732</v>
      </c>
      <c r="V231" s="1">
        <f t="shared" si="226"/>
        <v>121.54761904761905</v>
      </c>
      <c r="W231" s="1">
        <f t="shared" si="226"/>
        <v>158.30687830687833</v>
      </c>
      <c r="X231" s="54">
        <f t="shared" si="226"/>
        <v>507.65873015873018</v>
      </c>
      <c r="Y231" s="58">
        <f t="shared" si="223"/>
        <v>307.35801027430728</v>
      </c>
      <c r="Z231" s="1">
        <f t="shared" si="224"/>
        <v>2686.7593917656418</v>
      </c>
      <c r="AA231" s="1">
        <f t="shared" si="225"/>
        <v>8202.4507353732824</v>
      </c>
    </row>
    <row r="232" spans="1:55" x14ac:dyDescent="0.25">
      <c r="A232" s="15" t="s">
        <v>51</v>
      </c>
      <c r="B232" s="16" t="s">
        <v>52</v>
      </c>
      <c r="C232" s="2"/>
      <c r="F232" s="1">
        <f>F239+F240+F241</f>
        <v>0</v>
      </c>
      <c r="G232" s="1">
        <f t="shared" ref="G232:X232" si="227">G239+G240+G241</f>
        <v>0</v>
      </c>
      <c r="H232" s="1">
        <f t="shared" si="227"/>
        <v>0</v>
      </c>
      <c r="I232" s="1">
        <f t="shared" si="227"/>
        <v>0</v>
      </c>
      <c r="J232" s="1">
        <f t="shared" si="227"/>
        <v>0</v>
      </c>
      <c r="K232" s="1">
        <f t="shared" si="227"/>
        <v>0</v>
      </c>
      <c r="L232" s="52">
        <f t="shared" si="227"/>
        <v>0</v>
      </c>
      <c r="M232" s="1">
        <f t="shared" si="227"/>
        <v>0</v>
      </c>
      <c r="N232" s="1">
        <f t="shared" si="227"/>
        <v>0</v>
      </c>
      <c r="O232" s="1">
        <f t="shared" si="227"/>
        <v>0</v>
      </c>
      <c r="P232" s="1">
        <f t="shared" si="227"/>
        <v>0</v>
      </c>
      <c r="Q232" s="1">
        <f t="shared" si="227"/>
        <v>0</v>
      </c>
      <c r="R232" s="1">
        <f t="shared" si="227"/>
        <v>0</v>
      </c>
      <c r="S232" s="1">
        <f t="shared" si="227"/>
        <v>0</v>
      </c>
      <c r="T232" s="1">
        <f t="shared" si="227"/>
        <v>0</v>
      </c>
      <c r="U232" s="1">
        <f t="shared" si="227"/>
        <v>0</v>
      </c>
      <c r="V232" s="1">
        <f t="shared" si="227"/>
        <v>0</v>
      </c>
      <c r="W232" s="1">
        <f t="shared" si="227"/>
        <v>0</v>
      </c>
      <c r="X232" s="54">
        <f t="shared" si="227"/>
        <v>0</v>
      </c>
      <c r="Y232" s="58">
        <f t="shared" si="223"/>
        <v>0</v>
      </c>
      <c r="Z232" s="1">
        <f t="shared" si="224"/>
        <v>0</v>
      </c>
      <c r="AA232" s="1">
        <f t="shared" si="225"/>
        <v>0</v>
      </c>
    </row>
    <row r="233" spans="1:55" x14ac:dyDescent="0.25">
      <c r="A233" s="15" t="s">
        <v>51</v>
      </c>
      <c r="B233" s="16" t="s">
        <v>56</v>
      </c>
      <c r="C233" s="2"/>
      <c r="F233" s="1">
        <f>F242+F243+F244</f>
        <v>0</v>
      </c>
      <c r="G233" s="1">
        <f t="shared" ref="G233:X233" si="228">G242+G243+G244</f>
        <v>0</v>
      </c>
      <c r="H233" s="1">
        <f t="shared" si="228"/>
        <v>0</v>
      </c>
      <c r="I233" s="1">
        <f t="shared" si="228"/>
        <v>0</v>
      </c>
      <c r="J233" s="1">
        <f t="shared" si="228"/>
        <v>0</v>
      </c>
      <c r="K233" s="1">
        <f t="shared" si="228"/>
        <v>0</v>
      </c>
      <c r="L233" s="52">
        <f t="shared" si="228"/>
        <v>0</v>
      </c>
      <c r="M233" s="1">
        <f t="shared" si="228"/>
        <v>0</v>
      </c>
      <c r="N233" s="1">
        <f t="shared" si="228"/>
        <v>0</v>
      </c>
      <c r="O233" s="1">
        <f t="shared" si="228"/>
        <v>0</v>
      </c>
      <c r="P233" s="1">
        <f t="shared" si="228"/>
        <v>0</v>
      </c>
      <c r="Q233" s="1">
        <f t="shared" si="228"/>
        <v>0</v>
      </c>
      <c r="R233" s="1">
        <f t="shared" si="228"/>
        <v>0</v>
      </c>
      <c r="S233" s="1">
        <f t="shared" si="228"/>
        <v>0</v>
      </c>
      <c r="T233" s="1">
        <f t="shared" si="228"/>
        <v>0</v>
      </c>
      <c r="U233" s="1">
        <f t="shared" si="228"/>
        <v>0</v>
      </c>
      <c r="V233" s="1">
        <f t="shared" si="228"/>
        <v>0</v>
      </c>
      <c r="W233" s="1">
        <f t="shared" si="228"/>
        <v>0</v>
      </c>
      <c r="X233" s="54">
        <f t="shared" si="228"/>
        <v>0</v>
      </c>
      <c r="Y233" s="58">
        <f t="shared" si="223"/>
        <v>0</v>
      </c>
      <c r="Z233" s="1">
        <f t="shared" si="224"/>
        <v>0</v>
      </c>
      <c r="AA233" s="1">
        <f t="shared" si="225"/>
        <v>0</v>
      </c>
    </row>
    <row r="234" spans="1:55" x14ac:dyDescent="0.25">
      <c r="A234" s="15" t="s">
        <v>51</v>
      </c>
      <c r="B234" s="16" t="s">
        <v>9</v>
      </c>
      <c r="C234" s="2"/>
      <c r="F234" s="1">
        <f>F245</f>
        <v>0</v>
      </c>
      <c r="G234" s="1">
        <f t="shared" ref="G234:X234" si="229">G245</f>
        <v>0</v>
      </c>
      <c r="H234" s="1">
        <f t="shared" si="229"/>
        <v>0</v>
      </c>
      <c r="I234" s="1">
        <f t="shared" si="229"/>
        <v>0</v>
      </c>
      <c r="J234" s="1">
        <f t="shared" si="229"/>
        <v>0</v>
      </c>
      <c r="K234" s="1">
        <f t="shared" si="229"/>
        <v>0</v>
      </c>
      <c r="L234" s="52">
        <f t="shared" si="229"/>
        <v>0</v>
      </c>
      <c r="M234" s="1">
        <f t="shared" si="229"/>
        <v>0</v>
      </c>
      <c r="N234" s="1">
        <f t="shared" si="229"/>
        <v>0</v>
      </c>
      <c r="O234" s="1">
        <f t="shared" si="229"/>
        <v>0</v>
      </c>
      <c r="P234" s="1">
        <f t="shared" si="229"/>
        <v>0</v>
      </c>
      <c r="Q234" s="1">
        <f t="shared" si="229"/>
        <v>0</v>
      </c>
      <c r="R234" s="1">
        <f t="shared" si="229"/>
        <v>0</v>
      </c>
      <c r="S234" s="1">
        <f t="shared" si="229"/>
        <v>0</v>
      </c>
      <c r="T234" s="1">
        <f t="shared" si="229"/>
        <v>0</v>
      </c>
      <c r="U234" s="1">
        <f t="shared" si="229"/>
        <v>0</v>
      </c>
      <c r="V234" s="1">
        <f t="shared" si="229"/>
        <v>0</v>
      </c>
      <c r="W234" s="1">
        <f t="shared" si="229"/>
        <v>0</v>
      </c>
      <c r="X234" s="54">
        <f t="shared" si="229"/>
        <v>0</v>
      </c>
      <c r="Y234" s="58">
        <f t="shared" si="223"/>
        <v>0</v>
      </c>
      <c r="Z234" s="1">
        <f t="shared" si="224"/>
        <v>0</v>
      </c>
      <c r="AA234" s="1">
        <f t="shared" si="225"/>
        <v>0</v>
      </c>
    </row>
    <row r="235" spans="1:55" x14ac:dyDescent="0.25">
      <c r="A235" s="30" t="s">
        <v>60</v>
      </c>
      <c r="B235" s="32" t="s">
        <v>13</v>
      </c>
      <c r="C235" s="2"/>
      <c r="F235" s="51">
        <f>F246+F247+F248</f>
        <v>60.944444444444443</v>
      </c>
      <c r="G235" s="51">
        <f t="shared" ref="G235:X235" si="230">G246+G247+G248</f>
        <v>16.333333333333332</v>
      </c>
      <c r="H235" s="51">
        <f t="shared" si="230"/>
        <v>43.058823529411768</v>
      </c>
      <c r="I235" s="51">
        <f t="shared" si="230"/>
        <v>17.294117647058822</v>
      </c>
      <c r="J235" s="51">
        <f t="shared" si="230"/>
        <v>8.0588235294117645</v>
      </c>
      <c r="K235" s="51">
        <f t="shared" si="230"/>
        <v>3.5294117647058822</v>
      </c>
      <c r="L235" s="52">
        <f t="shared" si="230"/>
        <v>0</v>
      </c>
      <c r="M235" s="51">
        <f t="shared" si="230"/>
        <v>7.0777777777777775</v>
      </c>
      <c r="N235" s="51">
        <f t="shared" si="230"/>
        <v>0.69374999999999998</v>
      </c>
      <c r="O235" s="51">
        <f t="shared" si="230"/>
        <v>4.6500000000000004</v>
      </c>
      <c r="P235" s="51">
        <f t="shared" si="230"/>
        <v>12.055555555555555</v>
      </c>
      <c r="Q235" s="51">
        <f t="shared" si="230"/>
        <v>0.10101010101010099</v>
      </c>
      <c r="R235" s="51">
        <f t="shared" si="230"/>
        <v>0.35555555555555557</v>
      </c>
      <c r="S235" s="51">
        <f t="shared" si="230"/>
        <v>0</v>
      </c>
      <c r="T235" s="51">
        <f t="shared" si="230"/>
        <v>0.35555555555555557</v>
      </c>
      <c r="U235" s="51">
        <f t="shared" si="230"/>
        <v>1.7777777777777777</v>
      </c>
      <c r="V235" s="51">
        <f t="shared" si="230"/>
        <v>0.27777777777777779</v>
      </c>
      <c r="W235" s="51">
        <f t="shared" si="230"/>
        <v>5.9259259259259265</v>
      </c>
      <c r="X235" s="55">
        <f t="shared" si="230"/>
        <v>4.4444444444444446</v>
      </c>
      <c r="Y235" s="59">
        <f t="shared" si="223"/>
        <v>149.218954248366</v>
      </c>
      <c r="Z235" s="51">
        <f t="shared" si="224"/>
        <v>37.715130471380469</v>
      </c>
      <c r="AA235" s="51">
        <f t="shared" si="225"/>
        <v>186.93408471974647</v>
      </c>
    </row>
    <row r="236" spans="1:55" x14ac:dyDescent="0.25">
      <c r="A236" s="30" t="s">
        <v>60</v>
      </c>
      <c r="B236" s="31" t="s">
        <v>23</v>
      </c>
      <c r="C236" s="2"/>
      <c r="F236" s="51">
        <f>F249+F250+F251</f>
        <v>2.3076923076923075</v>
      </c>
      <c r="G236" s="51">
        <f t="shared" ref="G236:X236" si="231">G249+G250+G251</f>
        <v>0</v>
      </c>
      <c r="H236" s="51">
        <f t="shared" si="231"/>
        <v>0</v>
      </c>
      <c r="I236" s="51">
        <f t="shared" si="231"/>
        <v>0</v>
      </c>
      <c r="J236" s="51">
        <f t="shared" si="231"/>
        <v>38.212316099201345</v>
      </c>
      <c r="K236" s="51">
        <f t="shared" si="231"/>
        <v>34.285714285714285</v>
      </c>
      <c r="L236" s="52">
        <f t="shared" si="231"/>
        <v>0</v>
      </c>
      <c r="M236" s="51">
        <f t="shared" si="231"/>
        <v>0</v>
      </c>
      <c r="N236" s="51">
        <f t="shared" si="231"/>
        <v>21.23076923076923</v>
      </c>
      <c r="O236" s="51">
        <f t="shared" si="231"/>
        <v>0</v>
      </c>
      <c r="P236" s="51">
        <f t="shared" si="231"/>
        <v>0</v>
      </c>
      <c r="Q236" s="51">
        <f t="shared" si="231"/>
        <v>0</v>
      </c>
      <c r="R236" s="51">
        <f t="shared" si="231"/>
        <v>0</v>
      </c>
      <c r="S236" s="51">
        <f t="shared" si="231"/>
        <v>5.4444444444444446</v>
      </c>
      <c r="T236" s="51">
        <f t="shared" si="231"/>
        <v>17.142857142857142</v>
      </c>
      <c r="U236" s="51">
        <f t="shared" si="231"/>
        <v>0</v>
      </c>
      <c r="V236" s="51">
        <f t="shared" si="231"/>
        <v>2.2222222222222223</v>
      </c>
      <c r="W236" s="51">
        <f t="shared" si="231"/>
        <v>0</v>
      </c>
      <c r="X236" s="55">
        <f t="shared" si="231"/>
        <v>2.2222222222222223</v>
      </c>
      <c r="Y236" s="59">
        <f t="shared" si="223"/>
        <v>74.80572269260793</v>
      </c>
      <c r="Z236" s="51">
        <f t="shared" si="224"/>
        <v>48.262515262515265</v>
      </c>
      <c r="AA236" s="51">
        <f t="shared" si="225"/>
        <v>123.06823795512319</v>
      </c>
    </row>
    <row r="237" spans="1:55" x14ac:dyDescent="0.25">
      <c r="A237" s="30" t="s">
        <v>60</v>
      </c>
      <c r="B237" s="31" t="s">
        <v>65</v>
      </c>
      <c r="C237" s="46"/>
      <c r="F237" s="51">
        <f>F252+F253+F254</f>
        <v>0</v>
      </c>
      <c r="G237" s="51">
        <f t="shared" ref="G237:X237" si="232">G252+G253+G254</f>
        <v>0</v>
      </c>
      <c r="H237" s="51">
        <f t="shared" si="232"/>
        <v>0</v>
      </c>
      <c r="I237" s="51">
        <f t="shared" si="232"/>
        <v>0</v>
      </c>
      <c r="J237" s="51">
        <f t="shared" si="232"/>
        <v>83.333333333333343</v>
      </c>
      <c r="K237" s="51">
        <f t="shared" si="232"/>
        <v>0</v>
      </c>
      <c r="L237" s="52">
        <f t="shared" si="232"/>
        <v>5208.3333333333339</v>
      </c>
      <c r="M237" s="51">
        <f t="shared" si="232"/>
        <v>247.91666666666669</v>
      </c>
      <c r="N237" s="51">
        <f t="shared" si="232"/>
        <v>0</v>
      </c>
      <c r="O237" s="51">
        <f t="shared" si="232"/>
        <v>0</v>
      </c>
      <c r="P237" s="51">
        <f t="shared" si="232"/>
        <v>0</v>
      </c>
      <c r="Q237" s="51">
        <f t="shared" si="232"/>
        <v>652.19047619047626</v>
      </c>
      <c r="R237" s="51">
        <f t="shared" si="232"/>
        <v>292.06349206349205</v>
      </c>
      <c r="S237" s="51">
        <f t="shared" si="232"/>
        <v>0</v>
      </c>
      <c r="T237" s="51">
        <f t="shared" si="232"/>
        <v>426.66666666666669</v>
      </c>
      <c r="U237" s="51">
        <f t="shared" si="232"/>
        <v>209.52380952380955</v>
      </c>
      <c r="V237" s="51">
        <f t="shared" si="232"/>
        <v>119.04761904761905</v>
      </c>
      <c r="W237" s="51">
        <f t="shared" si="232"/>
        <v>152.38095238095241</v>
      </c>
      <c r="X237" s="55">
        <f t="shared" si="232"/>
        <v>476.1904761904762</v>
      </c>
      <c r="Y237" s="59">
        <f t="shared" si="223"/>
        <v>83.333333333333343</v>
      </c>
      <c r="Z237" s="51">
        <f t="shared" si="224"/>
        <v>2575.980158730159</v>
      </c>
      <c r="AA237" s="51">
        <f t="shared" si="225"/>
        <v>7867.646825396826</v>
      </c>
    </row>
    <row r="238" spans="1:55" ht="15.75" thickBot="1" x14ac:dyDescent="0.3">
      <c r="A238" s="48" t="s">
        <v>60</v>
      </c>
      <c r="B238" s="49" t="s">
        <v>9</v>
      </c>
      <c r="C238" s="50"/>
      <c r="D238" s="50"/>
      <c r="E238" s="50"/>
      <c r="F238" s="53">
        <f>F255</f>
        <v>0</v>
      </c>
      <c r="G238" s="53">
        <f t="shared" ref="G238:X238" si="233">G255</f>
        <v>0</v>
      </c>
      <c r="H238" s="53">
        <f t="shared" si="233"/>
        <v>0</v>
      </c>
      <c r="I238" s="53">
        <f t="shared" si="233"/>
        <v>0</v>
      </c>
      <c r="J238" s="53">
        <f t="shared" si="233"/>
        <v>0</v>
      </c>
      <c r="K238" s="53">
        <f t="shared" si="233"/>
        <v>0</v>
      </c>
      <c r="L238" s="62">
        <f t="shared" si="233"/>
        <v>0</v>
      </c>
      <c r="M238" s="53">
        <f t="shared" si="233"/>
        <v>0</v>
      </c>
      <c r="N238" s="53">
        <f t="shared" si="233"/>
        <v>0</v>
      </c>
      <c r="O238" s="53">
        <f t="shared" si="233"/>
        <v>0</v>
      </c>
      <c r="P238" s="53">
        <f t="shared" si="233"/>
        <v>0</v>
      </c>
      <c r="Q238" s="53">
        <f t="shared" si="233"/>
        <v>0</v>
      </c>
      <c r="R238" s="53">
        <f t="shared" si="233"/>
        <v>0</v>
      </c>
      <c r="S238" s="53">
        <f t="shared" si="233"/>
        <v>0</v>
      </c>
      <c r="T238" s="53">
        <f t="shared" si="233"/>
        <v>0</v>
      </c>
      <c r="U238" s="53">
        <f t="shared" si="233"/>
        <v>0</v>
      </c>
      <c r="V238" s="53">
        <f t="shared" si="233"/>
        <v>0</v>
      </c>
      <c r="W238" s="53">
        <f t="shared" si="233"/>
        <v>0</v>
      </c>
      <c r="X238" s="56">
        <f t="shared" si="233"/>
        <v>24.801587301587301</v>
      </c>
      <c r="Y238" s="60">
        <f t="shared" si="223"/>
        <v>0</v>
      </c>
      <c r="Z238" s="53">
        <f t="shared" si="224"/>
        <v>24.801587301587301</v>
      </c>
      <c r="AA238" s="53">
        <f t="shared" si="225"/>
        <v>24.801587301587301</v>
      </c>
    </row>
    <row r="239" spans="1:55" ht="15.75" thickTop="1" x14ac:dyDescent="0.25">
      <c r="A239" s="15" t="s">
        <v>51</v>
      </c>
      <c r="B239" s="16" t="s">
        <v>52</v>
      </c>
      <c r="C239" s="16" t="s">
        <v>53</v>
      </c>
      <c r="D239" s="2"/>
      <c r="E239" s="2"/>
      <c r="F239" s="47">
        <f t="shared" ref="F239:F260" si="234">IF(F284&gt;0,F14/F284,0)</f>
        <v>0</v>
      </c>
      <c r="G239" s="47">
        <f t="shared" ref="G239:AA242" si="235">IF(G284&gt;0,G14/G284,0)</f>
        <v>0</v>
      </c>
      <c r="H239" s="47">
        <f t="shared" si="235"/>
        <v>0</v>
      </c>
      <c r="I239" s="47">
        <f t="shared" si="235"/>
        <v>0</v>
      </c>
      <c r="J239" s="47">
        <f t="shared" si="235"/>
        <v>0</v>
      </c>
      <c r="K239" s="47">
        <f t="shared" si="235"/>
        <v>0</v>
      </c>
      <c r="L239" s="63">
        <f t="shared" si="235"/>
        <v>0</v>
      </c>
      <c r="M239" s="47">
        <f t="shared" si="235"/>
        <v>0</v>
      </c>
      <c r="N239" s="47">
        <f t="shared" si="235"/>
        <v>0</v>
      </c>
      <c r="O239" s="47">
        <f t="shared" si="235"/>
        <v>0</v>
      </c>
      <c r="P239" s="47">
        <f t="shared" si="235"/>
        <v>0</v>
      </c>
      <c r="Q239" s="47">
        <f t="shared" si="235"/>
        <v>0</v>
      </c>
      <c r="R239" s="47">
        <f t="shared" si="235"/>
        <v>0</v>
      </c>
      <c r="S239" s="47">
        <f t="shared" si="235"/>
        <v>0</v>
      </c>
      <c r="T239" s="47">
        <f t="shared" si="235"/>
        <v>0</v>
      </c>
      <c r="U239" s="47">
        <f t="shared" si="235"/>
        <v>0</v>
      </c>
      <c r="V239" s="47">
        <f t="shared" si="235"/>
        <v>0</v>
      </c>
      <c r="W239" s="47">
        <f t="shared" ref="W239:W260" si="236">IF(W284&gt;0,W14/W284,0)</f>
        <v>0</v>
      </c>
      <c r="X239" s="57">
        <f t="shared" si="235"/>
        <v>0</v>
      </c>
      <c r="Y239" s="61">
        <f t="shared" si="235"/>
        <v>0</v>
      </c>
      <c r="Z239" s="47">
        <f t="shared" si="235"/>
        <v>0</v>
      </c>
      <c r="AA239" s="47">
        <f t="shared" si="235"/>
        <v>0</v>
      </c>
    </row>
    <row r="240" spans="1:55" x14ac:dyDescent="0.25">
      <c r="A240" s="15" t="s">
        <v>51</v>
      </c>
      <c r="B240" s="16" t="s">
        <v>52</v>
      </c>
      <c r="C240" s="16" t="s">
        <v>54</v>
      </c>
      <c r="D240" s="2"/>
      <c r="E240" s="2"/>
      <c r="F240" s="1">
        <f t="shared" si="234"/>
        <v>0</v>
      </c>
      <c r="G240" s="1">
        <f t="shared" si="235"/>
        <v>0</v>
      </c>
      <c r="H240" s="1">
        <f t="shared" si="235"/>
        <v>0</v>
      </c>
      <c r="I240" s="1">
        <f t="shared" si="235"/>
        <v>0</v>
      </c>
      <c r="J240" s="1">
        <f t="shared" si="235"/>
        <v>0</v>
      </c>
      <c r="K240" s="1">
        <f t="shared" si="235"/>
        <v>0</v>
      </c>
      <c r="L240" s="52">
        <f t="shared" si="235"/>
        <v>0</v>
      </c>
      <c r="M240" s="1">
        <f t="shared" si="235"/>
        <v>0</v>
      </c>
      <c r="N240" s="1">
        <f t="shared" si="235"/>
        <v>0</v>
      </c>
      <c r="O240" s="1">
        <f t="shared" si="235"/>
        <v>0</v>
      </c>
      <c r="P240" s="1">
        <f t="shared" si="235"/>
        <v>0</v>
      </c>
      <c r="Q240" s="1">
        <f t="shared" si="235"/>
        <v>0</v>
      </c>
      <c r="R240" s="1">
        <f t="shared" si="235"/>
        <v>0</v>
      </c>
      <c r="S240" s="1">
        <f t="shared" si="235"/>
        <v>0</v>
      </c>
      <c r="T240" s="1">
        <f t="shared" si="235"/>
        <v>0</v>
      </c>
      <c r="U240" s="1">
        <f t="shared" si="235"/>
        <v>0</v>
      </c>
      <c r="V240" s="1">
        <f t="shared" si="235"/>
        <v>0</v>
      </c>
      <c r="W240" s="1">
        <f t="shared" si="236"/>
        <v>0</v>
      </c>
      <c r="X240" s="54">
        <f t="shared" si="235"/>
        <v>0</v>
      </c>
      <c r="Y240" s="58">
        <f t="shared" si="235"/>
        <v>0</v>
      </c>
      <c r="Z240" s="1">
        <f t="shared" si="235"/>
        <v>0</v>
      </c>
      <c r="AA240" s="1">
        <f t="shared" si="235"/>
        <v>0</v>
      </c>
    </row>
    <row r="241" spans="1:27" x14ac:dyDescent="0.25">
      <c r="A241" s="15" t="s">
        <v>51</v>
      </c>
      <c r="B241" s="16" t="s">
        <v>52</v>
      </c>
      <c r="C241" s="16" t="s">
        <v>55</v>
      </c>
      <c r="D241" s="2"/>
      <c r="E241" s="2"/>
      <c r="F241" s="1">
        <f t="shared" si="234"/>
        <v>0</v>
      </c>
      <c r="G241" s="1">
        <f t="shared" si="235"/>
        <v>0</v>
      </c>
      <c r="H241" s="1">
        <f t="shared" si="235"/>
        <v>0</v>
      </c>
      <c r="I241" s="1">
        <f t="shared" si="235"/>
        <v>0</v>
      </c>
      <c r="J241" s="1">
        <f t="shared" si="235"/>
        <v>0</v>
      </c>
      <c r="K241" s="1">
        <f t="shared" si="235"/>
        <v>0</v>
      </c>
      <c r="L241" s="52">
        <f t="shared" si="235"/>
        <v>0</v>
      </c>
      <c r="M241" s="1">
        <f t="shared" si="235"/>
        <v>0</v>
      </c>
      <c r="N241" s="1">
        <f t="shared" si="235"/>
        <v>0</v>
      </c>
      <c r="O241" s="1">
        <f t="shared" si="235"/>
        <v>0</v>
      </c>
      <c r="P241" s="1">
        <f t="shared" si="235"/>
        <v>0</v>
      </c>
      <c r="Q241" s="1">
        <f t="shared" si="235"/>
        <v>0</v>
      </c>
      <c r="R241" s="1">
        <f t="shared" si="235"/>
        <v>0</v>
      </c>
      <c r="S241" s="1">
        <f t="shared" si="235"/>
        <v>0</v>
      </c>
      <c r="T241" s="1">
        <f t="shared" si="235"/>
        <v>0</v>
      </c>
      <c r="U241" s="1">
        <f t="shared" si="235"/>
        <v>0</v>
      </c>
      <c r="V241" s="1">
        <f t="shared" si="235"/>
        <v>0</v>
      </c>
      <c r="W241" s="1">
        <f t="shared" si="236"/>
        <v>0</v>
      </c>
      <c r="X241" s="54">
        <f t="shared" si="235"/>
        <v>0</v>
      </c>
      <c r="Y241" s="58">
        <f t="shared" si="235"/>
        <v>0</v>
      </c>
      <c r="Z241" s="1">
        <f t="shared" si="235"/>
        <v>0</v>
      </c>
      <c r="AA241" s="1">
        <f t="shared" si="235"/>
        <v>0</v>
      </c>
    </row>
    <row r="242" spans="1:27" x14ac:dyDescent="0.25">
      <c r="A242" s="25" t="s">
        <v>51</v>
      </c>
      <c r="B242" s="26" t="s">
        <v>56</v>
      </c>
      <c r="C242" s="26" t="s">
        <v>57</v>
      </c>
      <c r="D242" s="2"/>
      <c r="E242" s="2"/>
      <c r="F242" s="1">
        <f t="shared" si="234"/>
        <v>0</v>
      </c>
      <c r="G242" s="1">
        <f t="shared" si="235"/>
        <v>0</v>
      </c>
      <c r="H242" s="1">
        <f t="shared" si="235"/>
        <v>0</v>
      </c>
      <c r="I242" s="1">
        <f t="shared" si="235"/>
        <v>0</v>
      </c>
      <c r="J242" s="1">
        <f t="shared" si="235"/>
        <v>0</v>
      </c>
      <c r="K242" s="1">
        <f t="shared" si="235"/>
        <v>0</v>
      </c>
      <c r="L242" s="52">
        <f t="shared" ref="G242:AA253" si="237">IF(L287&gt;0,L17/L287,0)</f>
        <v>0</v>
      </c>
      <c r="M242" s="1">
        <f t="shared" si="237"/>
        <v>0</v>
      </c>
      <c r="N242" s="1">
        <f t="shared" si="237"/>
        <v>0</v>
      </c>
      <c r="O242" s="1">
        <f t="shared" si="237"/>
        <v>0</v>
      </c>
      <c r="P242" s="1">
        <f t="shared" si="237"/>
        <v>0</v>
      </c>
      <c r="Q242" s="1">
        <f t="shared" si="237"/>
        <v>0</v>
      </c>
      <c r="R242" s="1">
        <f t="shared" si="237"/>
        <v>0</v>
      </c>
      <c r="S242" s="1">
        <f t="shared" si="237"/>
        <v>0</v>
      </c>
      <c r="T242" s="1">
        <f t="shared" si="237"/>
        <v>0</v>
      </c>
      <c r="U242" s="1">
        <f t="shared" si="237"/>
        <v>0</v>
      </c>
      <c r="V242" s="1">
        <f t="shared" si="237"/>
        <v>0</v>
      </c>
      <c r="W242" s="1">
        <f t="shared" si="236"/>
        <v>0</v>
      </c>
      <c r="X242" s="54">
        <f t="shared" si="237"/>
        <v>0</v>
      </c>
      <c r="Y242" s="58">
        <f t="shared" si="237"/>
        <v>0</v>
      </c>
      <c r="Z242" s="1">
        <f t="shared" si="237"/>
        <v>0</v>
      </c>
      <c r="AA242" s="1">
        <f t="shared" si="237"/>
        <v>0</v>
      </c>
    </row>
    <row r="243" spans="1:27" x14ac:dyDescent="0.25">
      <c r="A243" s="15" t="s">
        <v>51</v>
      </c>
      <c r="B243" s="16" t="s">
        <v>56</v>
      </c>
      <c r="C243" s="27" t="s">
        <v>58</v>
      </c>
      <c r="D243" s="2"/>
      <c r="E243" s="2"/>
      <c r="F243" s="1">
        <f t="shared" si="234"/>
        <v>0</v>
      </c>
      <c r="G243" s="1">
        <f t="shared" si="237"/>
        <v>0</v>
      </c>
      <c r="H243" s="1">
        <f t="shared" si="237"/>
        <v>0</v>
      </c>
      <c r="I243" s="1">
        <f t="shared" si="237"/>
        <v>0</v>
      </c>
      <c r="J243" s="1">
        <f t="shared" si="237"/>
        <v>0</v>
      </c>
      <c r="K243" s="1">
        <f t="shared" si="237"/>
        <v>0</v>
      </c>
      <c r="L243" s="52">
        <f t="shared" si="237"/>
        <v>0</v>
      </c>
      <c r="M243" s="1">
        <f t="shared" si="237"/>
        <v>0</v>
      </c>
      <c r="N243" s="1">
        <f t="shared" si="237"/>
        <v>0</v>
      </c>
      <c r="O243" s="1">
        <f t="shared" si="237"/>
        <v>0</v>
      </c>
      <c r="P243" s="1">
        <f t="shared" si="237"/>
        <v>0</v>
      </c>
      <c r="Q243" s="1">
        <f t="shared" si="237"/>
        <v>0</v>
      </c>
      <c r="R243" s="1">
        <f t="shared" si="237"/>
        <v>0</v>
      </c>
      <c r="S243" s="1">
        <f t="shared" si="237"/>
        <v>0</v>
      </c>
      <c r="T243" s="1">
        <f t="shared" si="237"/>
        <v>0</v>
      </c>
      <c r="U243" s="1">
        <f t="shared" si="237"/>
        <v>0</v>
      </c>
      <c r="V243" s="1">
        <f t="shared" si="237"/>
        <v>0</v>
      </c>
      <c r="W243" s="1">
        <f t="shared" si="236"/>
        <v>0</v>
      </c>
      <c r="X243" s="54">
        <f t="shared" si="237"/>
        <v>0</v>
      </c>
      <c r="Y243" s="58">
        <f t="shared" si="237"/>
        <v>0</v>
      </c>
      <c r="Z243" s="1">
        <f t="shared" si="237"/>
        <v>0</v>
      </c>
      <c r="AA243" s="1">
        <f t="shared" si="237"/>
        <v>0</v>
      </c>
    </row>
    <row r="244" spans="1:27" x14ac:dyDescent="0.25">
      <c r="A244" s="15" t="s">
        <v>51</v>
      </c>
      <c r="B244" s="16" t="s">
        <v>9</v>
      </c>
      <c r="C244" s="27" t="s">
        <v>59</v>
      </c>
      <c r="D244" s="2"/>
      <c r="E244" s="2"/>
      <c r="F244" s="1">
        <f t="shared" si="234"/>
        <v>0</v>
      </c>
      <c r="G244" s="1">
        <f t="shared" si="237"/>
        <v>0</v>
      </c>
      <c r="H244" s="1">
        <f t="shared" si="237"/>
        <v>0</v>
      </c>
      <c r="I244" s="1">
        <f t="shared" si="237"/>
        <v>0</v>
      </c>
      <c r="J244" s="1">
        <f t="shared" si="237"/>
        <v>0</v>
      </c>
      <c r="K244" s="1">
        <f t="shared" si="237"/>
        <v>0</v>
      </c>
      <c r="L244" s="52">
        <f t="shared" si="237"/>
        <v>0</v>
      </c>
      <c r="M244" s="1">
        <f t="shared" si="237"/>
        <v>0</v>
      </c>
      <c r="N244" s="1">
        <f t="shared" si="237"/>
        <v>0</v>
      </c>
      <c r="O244" s="1">
        <f t="shared" si="237"/>
        <v>0</v>
      </c>
      <c r="P244" s="1">
        <f t="shared" si="237"/>
        <v>0</v>
      </c>
      <c r="Q244" s="1">
        <f t="shared" si="237"/>
        <v>0</v>
      </c>
      <c r="R244" s="1">
        <f t="shared" si="237"/>
        <v>0</v>
      </c>
      <c r="S244" s="1">
        <f t="shared" si="237"/>
        <v>0</v>
      </c>
      <c r="T244" s="1">
        <f t="shared" si="237"/>
        <v>0</v>
      </c>
      <c r="U244" s="1">
        <f t="shared" si="237"/>
        <v>0</v>
      </c>
      <c r="V244" s="1">
        <f t="shared" si="237"/>
        <v>0</v>
      </c>
      <c r="W244" s="1">
        <f t="shared" si="236"/>
        <v>0</v>
      </c>
      <c r="X244" s="54">
        <f t="shared" si="237"/>
        <v>0</v>
      </c>
      <c r="Y244" s="58">
        <f t="shared" si="237"/>
        <v>0</v>
      </c>
      <c r="Z244" s="1">
        <f t="shared" si="237"/>
        <v>0</v>
      </c>
      <c r="AA244" s="1">
        <f t="shared" si="237"/>
        <v>0</v>
      </c>
    </row>
    <row r="245" spans="1:27" x14ac:dyDescent="0.25">
      <c r="A245" s="15" t="s">
        <v>51</v>
      </c>
      <c r="B245" s="16" t="s">
        <v>9</v>
      </c>
      <c r="C245" s="27" t="s">
        <v>9</v>
      </c>
      <c r="D245" s="2"/>
      <c r="E245" s="2"/>
      <c r="F245" s="1">
        <f t="shared" si="234"/>
        <v>0</v>
      </c>
      <c r="G245" s="1">
        <f t="shared" si="237"/>
        <v>0</v>
      </c>
      <c r="H245" s="1">
        <f t="shared" si="237"/>
        <v>0</v>
      </c>
      <c r="I245" s="1">
        <f t="shared" si="237"/>
        <v>0</v>
      </c>
      <c r="J245" s="1">
        <f t="shared" si="237"/>
        <v>0</v>
      </c>
      <c r="K245" s="1">
        <f t="shared" si="237"/>
        <v>0</v>
      </c>
      <c r="L245" s="52">
        <f t="shared" si="237"/>
        <v>0</v>
      </c>
      <c r="M245" s="1">
        <f t="shared" si="237"/>
        <v>0</v>
      </c>
      <c r="N245" s="1">
        <f t="shared" si="237"/>
        <v>0</v>
      </c>
      <c r="O245" s="1">
        <f t="shared" si="237"/>
        <v>0</v>
      </c>
      <c r="P245" s="1">
        <f t="shared" si="237"/>
        <v>0</v>
      </c>
      <c r="Q245" s="1">
        <f t="shared" si="237"/>
        <v>0</v>
      </c>
      <c r="R245" s="1">
        <f t="shared" si="237"/>
        <v>0</v>
      </c>
      <c r="S245" s="1">
        <f t="shared" si="237"/>
        <v>0</v>
      </c>
      <c r="T245" s="1">
        <f t="shared" si="237"/>
        <v>0</v>
      </c>
      <c r="U245" s="1">
        <f t="shared" si="237"/>
        <v>0</v>
      </c>
      <c r="V245" s="1">
        <f t="shared" si="237"/>
        <v>0</v>
      </c>
      <c r="W245" s="1">
        <f t="shared" si="236"/>
        <v>0</v>
      </c>
      <c r="X245" s="54">
        <f t="shared" si="237"/>
        <v>0</v>
      </c>
      <c r="Y245" s="58">
        <f t="shared" si="237"/>
        <v>0</v>
      </c>
      <c r="Z245" s="1">
        <f t="shared" si="237"/>
        <v>0</v>
      </c>
      <c r="AA245" s="1">
        <f t="shared" si="237"/>
        <v>0</v>
      </c>
    </row>
    <row r="246" spans="1:27" x14ac:dyDescent="0.25">
      <c r="A246" s="28" t="s">
        <v>60</v>
      </c>
      <c r="B246" s="29" t="s">
        <v>13</v>
      </c>
      <c r="C246" s="29" t="s">
        <v>61</v>
      </c>
      <c r="D246" s="2"/>
      <c r="E246" s="2"/>
      <c r="F246" s="86">
        <f t="shared" si="234"/>
        <v>53.63111111111111</v>
      </c>
      <c r="G246" s="86">
        <f t="shared" si="237"/>
        <v>0</v>
      </c>
      <c r="H246" s="86">
        <f t="shared" si="237"/>
        <v>29.28</v>
      </c>
      <c r="I246" s="86">
        <f t="shared" si="237"/>
        <v>17.294117647058822</v>
      </c>
      <c r="J246" s="86">
        <f t="shared" si="237"/>
        <v>8.0588235294117645</v>
      </c>
      <c r="K246" s="51">
        <f t="shared" si="237"/>
        <v>3.5294117647058822</v>
      </c>
      <c r="L246" s="52">
        <f t="shared" si="237"/>
        <v>0</v>
      </c>
      <c r="M246" s="85">
        <f t="shared" si="237"/>
        <v>7.0777777777777775</v>
      </c>
      <c r="N246" s="85">
        <f t="shared" si="237"/>
        <v>0.69374999999999998</v>
      </c>
      <c r="O246" s="85">
        <f t="shared" si="237"/>
        <v>4.6500000000000004</v>
      </c>
      <c r="P246" s="85">
        <f t="shared" si="237"/>
        <v>12.055555555555555</v>
      </c>
      <c r="Q246" s="85">
        <f t="shared" si="237"/>
        <v>0.10101010101010099</v>
      </c>
      <c r="R246" s="85">
        <f t="shared" si="237"/>
        <v>0.35555555555555557</v>
      </c>
      <c r="S246" s="85">
        <f t="shared" si="237"/>
        <v>0</v>
      </c>
      <c r="T246" s="85">
        <f t="shared" si="237"/>
        <v>0.35555555555555557</v>
      </c>
      <c r="U246" s="85">
        <f t="shared" si="237"/>
        <v>1.7777777777777777</v>
      </c>
      <c r="V246" s="85">
        <f t="shared" si="237"/>
        <v>0.27777777777777779</v>
      </c>
      <c r="W246" s="85">
        <f t="shared" si="236"/>
        <v>5.9259259259259265</v>
      </c>
      <c r="X246" s="87">
        <f t="shared" si="237"/>
        <v>4.4444444444444446</v>
      </c>
      <c r="Y246" s="59">
        <f t="shared" si="237"/>
        <v>0</v>
      </c>
      <c r="Z246" s="51">
        <f t="shared" si="237"/>
        <v>0</v>
      </c>
      <c r="AA246" s="51">
        <f t="shared" si="237"/>
        <v>0</v>
      </c>
    </row>
    <row r="247" spans="1:27" x14ac:dyDescent="0.25">
      <c r="A247" s="36" t="s">
        <v>60</v>
      </c>
      <c r="B247" s="37" t="s">
        <v>13</v>
      </c>
      <c r="C247" s="29" t="s">
        <v>62</v>
      </c>
      <c r="D247" s="2"/>
      <c r="E247" s="2"/>
      <c r="F247" s="86">
        <f t="shared" si="234"/>
        <v>7.3133333333333326</v>
      </c>
      <c r="G247" s="86">
        <f t="shared" si="237"/>
        <v>16.333333333333332</v>
      </c>
      <c r="H247" s="86">
        <f t="shared" si="237"/>
        <v>13.778823529411765</v>
      </c>
      <c r="I247" s="51">
        <f t="shared" si="237"/>
        <v>0</v>
      </c>
      <c r="J247" s="51">
        <f t="shared" si="237"/>
        <v>0</v>
      </c>
      <c r="K247" s="51">
        <f t="shared" si="237"/>
        <v>0</v>
      </c>
      <c r="L247" s="52">
        <f t="shared" si="237"/>
        <v>0</v>
      </c>
      <c r="M247" s="51">
        <f t="shared" si="237"/>
        <v>0</v>
      </c>
      <c r="N247" s="51">
        <f t="shared" si="237"/>
        <v>0</v>
      </c>
      <c r="O247" s="51">
        <f t="shared" si="237"/>
        <v>0</v>
      </c>
      <c r="P247" s="51">
        <f t="shared" si="237"/>
        <v>0</v>
      </c>
      <c r="Q247" s="51">
        <f t="shared" si="237"/>
        <v>0</v>
      </c>
      <c r="R247" s="51">
        <f t="shared" si="237"/>
        <v>0</v>
      </c>
      <c r="S247" s="51">
        <f t="shared" si="237"/>
        <v>0</v>
      </c>
      <c r="T247" s="51">
        <f t="shared" si="237"/>
        <v>0</v>
      </c>
      <c r="U247" s="51">
        <f t="shared" si="237"/>
        <v>0</v>
      </c>
      <c r="V247" s="51">
        <f t="shared" si="237"/>
        <v>0</v>
      </c>
      <c r="W247" s="51">
        <f t="shared" si="236"/>
        <v>0</v>
      </c>
      <c r="X247" s="55">
        <f t="shared" si="237"/>
        <v>0</v>
      </c>
      <c r="Y247" s="59">
        <f t="shared" si="237"/>
        <v>0</v>
      </c>
      <c r="Z247" s="51">
        <f t="shared" si="237"/>
        <v>0</v>
      </c>
      <c r="AA247" s="51">
        <f t="shared" si="237"/>
        <v>0</v>
      </c>
    </row>
    <row r="248" spans="1:27" x14ac:dyDescent="0.25">
      <c r="A248" s="30" t="s">
        <v>60</v>
      </c>
      <c r="B248" s="31" t="s">
        <v>13</v>
      </c>
      <c r="C248" s="32" t="s">
        <v>63</v>
      </c>
      <c r="D248" s="2"/>
      <c r="E248" s="2"/>
      <c r="F248" s="51">
        <f t="shared" si="234"/>
        <v>0</v>
      </c>
      <c r="G248" s="51">
        <f t="shared" si="237"/>
        <v>0</v>
      </c>
      <c r="H248" s="51">
        <f t="shared" si="237"/>
        <v>0</v>
      </c>
      <c r="I248" s="51">
        <f t="shared" si="237"/>
        <v>0</v>
      </c>
      <c r="J248" s="51">
        <f t="shared" si="237"/>
        <v>0</v>
      </c>
      <c r="K248" s="51">
        <f t="shared" si="237"/>
        <v>0</v>
      </c>
      <c r="L248" s="52">
        <f t="shared" si="237"/>
        <v>0</v>
      </c>
      <c r="M248" s="51">
        <f t="shared" si="237"/>
        <v>0</v>
      </c>
      <c r="N248" s="51">
        <f t="shared" si="237"/>
        <v>0</v>
      </c>
      <c r="O248" s="51">
        <f t="shared" si="237"/>
        <v>0</v>
      </c>
      <c r="P248" s="51">
        <f t="shared" si="237"/>
        <v>0</v>
      </c>
      <c r="Q248" s="51">
        <f t="shared" si="237"/>
        <v>0</v>
      </c>
      <c r="R248" s="51">
        <f t="shared" si="237"/>
        <v>0</v>
      </c>
      <c r="S248" s="51">
        <f t="shared" si="237"/>
        <v>0</v>
      </c>
      <c r="T248" s="51">
        <f t="shared" si="237"/>
        <v>0</v>
      </c>
      <c r="U248" s="51">
        <f t="shared" si="237"/>
        <v>0</v>
      </c>
      <c r="V248" s="51">
        <f t="shared" si="237"/>
        <v>0</v>
      </c>
      <c r="W248" s="51">
        <f t="shared" si="236"/>
        <v>0</v>
      </c>
      <c r="X248" s="55">
        <f t="shared" si="237"/>
        <v>0</v>
      </c>
      <c r="Y248" s="59">
        <f t="shared" si="237"/>
        <v>0</v>
      </c>
      <c r="Z248" s="51">
        <f t="shared" si="237"/>
        <v>0</v>
      </c>
      <c r="AA248" s="51">
        <f t="shared" si="237"/>
        <v>0</v>
      </c>
    </row>
    <row r="249" spans="1:27" x14ac:dyDescent="0.25">
      <c r="A249" s="30" t="s">
        <v>60</v>
      </c>
      <c r="B249" s="32" t="s">
        <v>23</v>
      </c>
      <c r="C249" s="31" t="s">
        <v>50</v>
      </c>
      <c r="D249" s="2"/>
      <c r="E249" s="2"/>
      <c r="F249" s="51">
        <f t="shared" si="234"/>
        <v>2.3076923076923075</v>
      </c>
      <c r="G249" s="51">
        <f t="shared" si="237"/>
        <v>0</v>
      </c>
      <c r="H249" s="51">
        <f t="shared" si="237"/>
        <v>0</v>
      </c>
      <c r="I249" s="51">
        <f t="shared" si="237"/>
        <v>0</v>
      </c>
      <c r="J249" s="86">
        <f t="shared" si="237"/>
        <v>1.0538461538461539</v>
      </c>
      <c r="K249" s="51">
        <f t="shared" si="237"/>
        <v>34.285714285714285</v>
      </c>
      <c r="L249" s="52">
        <f t="shared" si="237"/>
        <v>0</v>
      </c>
      <c r="M249" s="51">
        <f t="shared" si="237"/>
        <v>0</v>
      </c>
      <c r="N249" s="86">
        <f t="shared" si="237"/>
        <v>21.23076923076923</v>
      </c>
      <c r="O249" s="51">
        <f t="shared" si="237"/>
        <v>0</v>
      </c>
      <c r="P249" s="51">
        <f t="shared" si="237"/>
        <v>0</v>
      </c>
      <c r="Q249" s="51">
        <f t="shared" si="237"/>
        <v>0</v>
      </c>
      <c r="R249" s="51">
        <f t="shared" si="237"/>
        <v>0</v>
      </c>
      <c r="S249" s="51">
        <f t="shared" si="237"/>
        <v>0</v>
      </c>
      <c r="T249" s="51">
        <f t="shared" si="237"/>
        <v>0</v>
      </c>
      <c r="U249" s="51">
        <f t="shared" si="237"/>
        <v>0</v>
      </c>
      <c r="V249" s="51">
        <f t="shared" si="237"/>
        <v>0</v>
      </c>
      <c r="W249" s="51">
        <f t="shared" si="236"/>
        <v>0</v>
      </c>
      <c r="X249" s="55">
        <f t="shared" si="237"/>
        <v>0</v>
      </c>
      <c r="Y249" s="59">
        <f t="shared" si="237"/>
        <v>0</v>
      </c>
      <c r="Z249" s="51">
        <f t="shared" si="237"/>
        <v>0</v>
      </c>
      <c r="AA249" s="51">
        <f t="shared" si="237"/>
        <v>0</v>
      </c>
    </row>
    <row r="250" spans="1:27" x14ac:dyDescent="0.25">
      <c r="A250" s="30" t="s">
        <v>60</v>
      </c>
      <c r="B250" s="32" t="s">
        <v>23</v>
      </c>
      <c r="C250" s="31" t="s">
        <v>49</v>
      </c>
      <c r="D250" s="2"/>
      <c r="E250" s="2"/>
      <c r="F250" s="51">
        <f t="shared" si="234"/>
        <v>0</v>
      </c>
      <c r="G250" s="51">
        <f t="shared" si="237"/>
        <v>0</v>
      </c>
      <c r="H250" s="51">
        <f t="shared" si="237"/>
        <v>0</v>
      </c>
      <c r="I250" s="51">
        <f t="shared" si="237"/>
        <v>0</v>
      </c>
      <c r="J250" s="86">
        <f t="shared" si="237"/>
        <v>37.158469945355193</v>
      </c>
      <c r="K250" s="51">
        <f t="shared" si="237"/>
        <v>0</v>
      </c>
      <c r="L250" s="52">
        <f t="shared" si="237"/>
        <v>0</v>
      </c>
      <c r="M250" s="51">
        <f t="shared" si="237"/>
        <v>0</v>
      </c>
      <c r="N250" s="51">
        <f t="shared" si="237"/>
        <v>0</v>
      </c>
      <c r="O250" s="51">
        <f t="shared" si="237"/>
        <v>0</v>
      </c>
      <c r="P250" s="51">
        <f t="shared" si="237"/>
        <v>0</v>
      </c>
      <c r="Q250" s="51">
        <f t="shared" si="237"/>
        <v>0</v>
      </c>
      <c r="R250" s="51">
        <f t="shared" si="237"/>
        <v>0</v>
      </c>
      <c r="S250" s="51">
        <f t="shared" si="237"/>
        <v>5.4444444444444446</v>
      </c>
      <c r="T250" s="51">
        <f t="shared" si="237"/>
        <v>17.142857142857142</v>
      </c>
      <c r="U250" s="51">
        <f t="shared" si="237"/>
        <v>0</v>
      </c>
      <c r="V250" s="51">
        <f t="shared" si="237"/>
        <v>2.2222222222222223</v>
      </c>
      <c r="W250" s="51">
        <f t="shared" si="236"/>
        <v>0</v>
      </c>
      <c r="X250" s="95">
        <f t="shared" si="237"/>
        <v>2.2222222222222223</v>
      </c>
      <c r="Y250" s="59">
        <f t="shared" si="237"/>
        <v>0</v>
      </c>
      <c r="Z250" s="51">
        <f t="shared" si="237"/>
        <v>0</v>
      </c>
      <c r="AA250" s="51">
        <f t="shared" si="237"/>
        <v>0</v>
      </c>
    </row>
    <row r="251" spans="1:27" x14ac:dyDescent="0.25">
      <c r="A251" s="30" t="s">
        <v>60</v>
      </c>
      <c r="B251" s="32" t="s">
        <v>23</v>
      </c>
      <c r="C251" s="31" t="s">
        <v>64</v>
      </c>
      <c r="D251" s="2"/>
      <c r="E251" s="2"/>
      <c r="F251" s="51">
        <f t="shared" si="234"/>
        <v>0</v>
      </c>
      <c r="G251" s="51">
        <f t="shared" si="237"/>
        <v>0</v>
      </c>
      <c r="H251" s="51">
        <f t="shared" si="237"/>
        <v>0</v>
      </c>
      <c r="I251" s="51">
        <f t="shared" si="237"/>
        <v>0</v>
      </c>
      <c r="J251" s="86">
        <f t="shared" si="237"/>
        <v>0</v>
      </c>
      <c r="K251" s="51">
        <f t="shared" si="237"/>
        <v>0</v>
      </c>
      <c r="L251" s="52">
        <f t="shared" si="237"/>
        <v>0</v>
      </c>
      <c r="M251" s="51">
        <f t="shared" si="237"/>
        <v>0</v>
      </c>
      <c r="N251" s="51">
        <f t="shared" si="237"/>
        <v>0</v>
      </c>
      <c r="O251" s="51">
        <f t="shared" si="237"/>
        <v>0</v>
      </c>
      <c r="P251" s="51">
        <f t="shared" si="237"/>
        <v>0</v>
      </c>
      <c r="Q251" s="51">
        <f t="shared" si="237"/>
        <v>0</v>
      </c>
      <c r="R251" s="51">
        <f t="shared" si="237"/>
        <v>0</v>
      </c>
      <c r="S251" s="51">
        <f t="shared" si="237"/>
        <v>0</v>
      </c>
      <c r="T251" s="51">
        <f t="shared" si="237"/>
        <v>0</v>
      </c>
      <c r="U251" s="51">
        <f t="shared" si="237"/>
        <v>0</v>
      </c>
      <c r="V251" s="51">
        <f t="shared" si="237"/>
        <v>0</v>
      </c>
      <c r="W251" s="51">
        <f t="shared" si="236"/>
        <v>0</v>
      </c>
      <c r="X251" s="55">
        <f t="shared" si="237"/>
        <v>0</v>
      </c>
      <c r="Y251" s="59">
        <f t="shared" si="237"/>
        <v>0</v>
      </c>
      <c r="Z251" s="51">
        <f t="shared" si="237"/>
        <v>0</v>
      </c>
      <c r="AA251" s="51">
        <f t="shared" si="237"/>
        <v>0</v>
      </c>
    </row>
    <row r="252" spans="1:27" x14ac:dyDescent="0.25">
      <c r="A252" s="30" t="s">
        <v>60</v>
      </c>
      <c r="B252" s="32" t="s">
        <v>65</v>
      </c>
      <c r="C252" s="31" t="s">
        <v>66</v>
      </c>
      <c r="D252" s="2"/>
      <c r="E252" s="2"/>
      <c r="F252" s="51">
        <f t="shared" si="234"/>
        <v>0</v>
      </c>
      <c r="G252" s="51">
        <f t="shared" si="237"/>
        <v>0</v>
      </c>
      <c r="H252" s="51">
        <f t="shared" si="237"/>
        <v>0</v>
      </c>
      <c r="I252" s="51">
        <f t="shared" si="237"/>
        <v>0</v>
      </c>
      <c r="J252" s="86">
        <f t="shared" si="237"/>
        <v>83.333333333333343</v>
      </c>
      <c r="K252" s="51">
        <f t="shared" si="237"/>
        <v>0</v>
      </c>
      <c r="L252" s="52">
        <f t="shared" si="237"/>
        <v>0</v>
      </c>
      <c r="M252" s="73">
        <f t="shared" si="237"/>
        <v>247.91666666666669</v>
      </c>
      <c r="N252" s="51">
        <f t="shared" si="237"/>
        <v>0</v>
      </c>
      <c r="O252" s="51">
        <f t="shared" si="237"/>
        <v>0</v>
      </c>
      <c r="P252" s="51">
        <f t="shared" si="237"/>
        <v>0</v>
      </c>
      <c r="Q252" s="51">
        <f t="shared" si="237"/>
        <v>0</v>
      </c>
      <c r="R252" s="51">
        <f t="shared" si="237"/>
        <v>0</v>
      </c>
      <c r="S252" s="51">
        <f t="shared" si="237"/>
        <v>0</v>
      </c>
      <c r="T252" s="51">
        <f t="shared" si="237"/>
        <v>0</v>
      </c>
      <c r="U252" s="51">
        <f t="shared" si="237"/>
        <v>0</v>
      </c>
      <c r="V252" s="51">
        <f t="shared" si="237"/>
        <v>0</v>
      </c>
      <c r="W252" s="51">
        <f t="shared" si="236"/>
        <v>0</v>
      </c>
      <c r="X252" s="55">
        <f t="shared" si="237"/>
        <v>0</v>
      </c>
      <c r="Y252" s="59">
        <f t="shared" si="237"/>
        <v>0</v>
      </c>
      <c r="Z252" s="51">
        <f t="shared" si="237"/>
        <v>0</v>
      </c>
      <c r="AA252" s="51">
        <f t="shared" si="237"/>
        <v>0</v>
      </c>
    </row>
    <row r="253" spans="1:27" x14ac:dyDescent="0.25">
      <c r="A253" s="30" t="s">
        <v>60</v>
      </c>
      <c r="B253" s="32" t="s">
        <v>65</v>
      </c>
      <c r="C253" s="31" t="s">
        <v>67</v>
      </c>
      <c r="D253" s="2"/>
      <c r="E253" s="2"/>
      <c r="F253" s="51">
        <f t="shared" si="234"/>
        <v>0</v>
      </c>
      <c r="G253" s="51">
        <f t="shared" si="237"/>
        <v>0</v>
      </c>
      <c r="H253" s="51">
        <f t="shared" si="237"/>
        <v>0</v>
      </c>
      <c r="I253" s="51">
        <f t="shared" si="237"/>
        <v>0</v>
      </c>
      <c r="J253" s="51">
        <f t="shared" si="237"/>
        <v>0</v>
      </c>
      <c r="K253" s="51">
        <f t="shared" si="237"/>
        <v>0</v>
      </c>
      <c r="L253" s="52">
        <f t="shared" si="237"/>
        <v>0</v>
      </c>
      <c r="M253" s="51">
        <f t="shared" si="237"/>
        <v>0</v>
      </c>
      <c r="N253" s="51">
        <f t="shared" si="237"/>
        <v>0</v>
      </c>
      <c r="O253" s="51">
        <f t="shared" si="237"/>
        <v>0</v>
      </c>
      <c r="P253" s="51">
        <f t="shared" si="237"/>
        <v>0</v>
      </c>
      <c r="Q253" s="73">
        <f t="shared" si="237"/>
        <v>652.19047619047626</v>
      </c>
      <c r="R253" s="73">
        <f t="shared" si="237"/>
        <v>292.06349206349205</v>
      </c>
      <c r="S253" s="73">
        <f t="shared" si="237"/>
        <v>0</v>
      </c>
      <c r="T253" s="73">
        <f t="shared" si="237"/>
        <v>426.66666666666669</v>
      </c>
      <c r="U253" s="73">
        <f t="shared" si="237"/>
        <v>209.52380952380955</v>
      </c>
      <c r="V253" s="73">
        <f t="shared" si="237"/>
        <v>119.04761904761905</v>
      </c>
      <c r="W253" s="73">
        <f t="shared" si="236"/>
        <v>152.38095238095241</v>
      </c>
      <c r="X253" s="89">
        <f t="shared" si="237"/>
        <v>476.1904761904762</v>
      </c>
      <c r="Y253" s="59">
        <f t="shared" ref="G253:AA264" si="238">IF(Y298&gt;0,Y28/Y298,0)</f>
        <v>0</v>
      </c>
      <c r="Z253" s="51">
        <f t="shared" si="238"/>
        <v>0</v>
      </c>
      <c r="AA253" s="51">
        <f t="shared" si="238"/>
        <v>0</v>
      </c>
    </row>
    <row r="254" spans="1:27" x14ac:dyDescent="0.25">
      <c r="A254" s="30" t="s">
        <v>60</v>
      </c>
      <c r="B254" s="32" t="s">
        <v>65</v>
      </c>
      <c r="C254" s="31" t="s">
        <v>68</v>
      </c>
      <c r="D254" s="2"/>
      <c r="E254" s="2"/>
      <c r="F254" s="51">
        <f t="shared" si="234"/>
        <v>0</v>
      </c>
      <c r="G254" s="51">
        <f t="shared" si="238"/>
        <v>0</v>
      </c>
      <c r="H254" s="51">
        <f t="shared" si="238"/>
        <v>0</v>
      </c>
      <c r="I254" s="51">
        <f t="shared" si="238"/>
        <v>0</v>
      </c>
      <c r="J254" s="51">
        <f t="shared" si="238"/>
        <v>0</v>
      </c>
      <c r="K254" s="51">
        <f t="shared" si="238"/>
        <v>0</v>
      </c>
      <c r="L254" s="88">
        <f t="shared" si="238"/>
        <v>5208.3333333333339</v>
      </c>
      <c r="M254" s="51">
        <f t="shared" si="238"/>
        <v>0</v>
      </c>
      <c r="N254" s="51">
        <f t="shared" si="238"/>
        <v>0</v>
      </c>
      <c r="O254" s="51">
        <f t="shared" si="238"/>
        <v>0</v>
      </c>
      <c r="P254" s="51">
        <f t="shared" si="238"/>
        <v>0</v>
      </c>
      <c r="Q254" s="51">
        <f t="shared" si="238"/>
        <v>0</v>
      </c>
      <c r="R254" s="51">
        <f t="shared" si="238"/>
        <v>0</v>
      </c>
      <c r="S254" s="51">
        <f t="shared" si="238"/>
        <v>0</v>
      </c>
      <c r="T254" s="51">
        <f t="shared" si="238"/>
        <v>0</v>
      </c>
      <c r="U254" s="51">
        <f t="shared" si="238"/>
        <v>0</v>
      </c>
      <c r="V254" s="51">
        <f t="shared" si="238"/>
        <v>0</v>
      </c>
      <c r="W254" s="51">
        <f t="shared" si="236"/>
        <v>0</v>
      </c>
      <c r="X254" s="55">
        <f t="shared" si="238"/>
        <v>0</v>
      </c>
      <c r="Y254" s="59">
        <f t="shared" si="238"/>
        <v>0</v>
      </c>
      <c r="Z254" s="51">
        <f t="shared" si="238"/>
        <v>0</v>
      </c>
      <c r="AA254" s="51">
        <f t="shared" si="238"/>
        <v>0</v>
      </c>
    </row>
    <row r="255" spans="1:27" x14ac:dyDescent="0.25">
      <c r="A255" s="30" t="s">
        <v>60</v>
      </c>
      <c r="B255" s="32" t="s">
        <v>9</v>
      </c>
      <c r="C255" s="31" t="s">
        <v>69</v>
      </c>
      <c r="D255" s="2"/>
      <c r="E255" s="2"/>
      <c r="F255" s="51">
        <f t="shared" si="234"/>
        <v>0</v>
      </c>
      <c r="G255" s="51">
        <f t="shared" si="238"/>
        <v>0</v>
      </c>
      <c r="H255" s="51">
        <f t="shared" si="238"/>
        <v>0</v>
      </c>
      <c r="I255" s="51">
        <f t="shared" si="238"/>
        <v>0</v>
      </c>
      <c r="J255" s="51">
        <f t="shared" si="238"/>
        <v>0</v>
      </c>
      <c r="K255" s="51">
        <f t="shared" si="238"/>
        <v>0</v>
      </c>
      <c r="L255" s="52">
        <f t="shared" si="238"/>
        <v>0</v>
      </c>
      <c r="M255" s="51">
        <f t="shared" si="238"/>
        <v>0</v>
      </c>
      <c r="N255" s="51">
        <f t="shared" si="238"/>
        <v>0</v>
      </c>
      <c r="O255" s="51">
        <f t="shared" si="238"/>
        <v>0</v>
      </c>
      <c r="P255" s="51">
        <f t="shared" si="238"/>
        <v>0</v>
      </c>
      <c r="Q255" s="51">
        <f t="shared" si="238"/>
        <v>0</v>
      </c>
      <c r="R255" s="51">
        <f t="shared" si="238"/>
        <v>0</v>
      </c>
      <c r="S255" s="51">
        <f t="shared" si="238"/>
        <v>0</v>
      </c>
      <c r="T255" s="51">
        <f t="shared" si="238"/>
        <v>0</v>
      </c>
      <c r="U255" s="51">
        <f t="shared" si="238"/>
        <v>0</v>
      </c>
      <c r="V255" s="51">
        <f t="shared" si="238"/>
        <v>0</v>
      </c>
      <c r="W255" s="51">
        <f t="shared" si="236"/>
        <v>0</v>
      </c>
      <c r="X255" s="89">
        <f t="shared" si="238"/>
        <v>24.801587301587301</v>
      </c>
      <c r="Y255" s="59">
        <f t="shared" si="238"/>
        <v>0</v>
      </c>
      <c r="Z255" s="51">
        <f t="shared" si="238"/>
        <v>0</v>
      </c>
      <c r="AA255" s="51">
        <f t="shared" si="238"/>
        <v>0</v>
      </c>
    </row>
    <row r="256" spans="1:27" x14ac:dyDescent="0.25">
      <c r="A256" s="15" t="s">
        <v>51</v>
      </c>
      <c r="B256" s="16" t="s">
        <v>56</v>
      </c>
      <c r="C256" s="27" t="s">
        <v>57</v>
      </c>
      <c r="D256" s="16" t="s">
        <v>70</v>
      </c>
      <c r="E256" s="16"/>
      <c r="F256" s="1">
        <f t="shared" si="234"/>
        <v>0</v>
      </c>
      <c r="G256" s="1">
        <f t="shared" si="238"/>
        <v>0</v>
      </c>
      <c r="H256" s="1">
        <f t="shared" si="238"/>
        <v>0</v>
      </c>
      <c r="I256" s="1">
        <f t="shared" si="238"/>
        <v>0</v>
      </c>
      <c r="J256" s="1">
        <f t="shared" si="238"/>
        <v>0</v>
      </c>
      <c r="K256" s="1">
        <f t="shared" si="238"/>
        <v>0</v>
      </c>
      <c r="L256" s="52">
        <f t="shared" si="238"/>
        <v>0</v>
      </c>
      <c r="M256" s="1">
        <f t="shared" si="238"/>
        <v>0</v>
      </c>
      <c r="N256" s="1">
        <f t="shared" si="238"/>
        <v>0</v>
      </c>
      <c r="O256" s="1">
        <f t="shared" si="238"/>
        <v>0</v>
      </c>
      <c r="P256" s="1">
        <f t="shared" si="238"/>
        <v>0</v>
      </c>
      <c r="Q256" s="1">
        <f t="shared" si="238"/>
        <v>0</v>
      </c>
      <c r="R256" s="1">
        <f t="shared" si="238"/>
        <v>0</v>
      </c>
      <c r="S256" s="1">
        <f t="shared" si="238"/>
        <v>0</v>
      </c>
      <c r="T256" s="1">
        <f t="shared" si="238"/>
        <v>0</v>
      </c>
      <c r="U256" s="1">
        <f t="shared" si="238"/>
        <v>0</v>
      </c>
      <c r="V256" s="1">
        <f t="shared" si="238"/>
        <v>0</v>
      </c>
      <c r="W256" s="1">
        <f t="shared" si="236"/>
        <v>0</v>
      </c>
      <c r="X256" s="54">
        <f t="shared" si="238"/>
        <v>0</v>
      </c>
      <c r="Y256" s="58">
        <f t="shared" si="238"/>
        <v>0</v>
      </c>
      <c r="Z256" s="1">
        <f t="shared" si="238"/>
        <v>0</v>
      </c>
      <c r="AA256" s="1">
        <f t="shared" si="238"/>
        <v>0</v>
      </c>
    </row>
    <row r="257" spans="1:27" x14ac:dyDescent="0.25">
      <c r="A257" s="15" t="s">
        <v>51</v>
      </c>
      <c r="B257" s="16" t="s">
        <v>56</v>
      </c>
      <c r="C257" s="27" t="s">
        <v>57</v>
      </c>
      <c r="D257" s="16" t="s">
        <v>71</v>
      </c>
      <c r="E257" s="16"/>
      <c r="F257" s="1">
        <f t="shared" si="234"/>
        <v>0</v>
      </c>
      <c r="G257" s="1">
        <f t="shared" si="238"/>
        <v>0</v>
      </c>
      <c r="H257" s="1">
        <f t="shared" si="238"/>
        <v>0</v>
      </c>
      <c r="I257" s="1">
        <f t="shared" si="238"/>
        <v>0</v>
      </c>
      <c r="J257" s="1">
        <f t="shared" si="238"/>
        <v>0</v>
      </c>
      <c r="K257" s="1">
        <f t="shared" si="238"/>
        <v>0</v>
      </c>
      <c r="L257" s="52">
        <f t="shared" si="238"/>
        <v>0</v>
      </c>
      <c r="M257" s="1">
        <f t="shared" si="238"/>
        <v>0</v>
      </c>
      <c r="N257" s="1">
        <f t="shared" si="238"/>
        <v>0</v>
      </c>
      <c r="O257" s="1">
        <f t="shared" si="238"/>
        <v>0</v>
      </c>
      <c r="P257" s="1">
        <f t="shared" si="238"/>
        <v>0</v>
      </c>
      <c r="Q257" s="1">
        <f t="shared" si="238"/>
        <v>0</v>
      </c>
      <c r="R257" s="1">
        <f t="shared" si="238"/>
        <v>0</v>
      </c>
      <c r="S257" s="1">
        <f t="shared" si="238"/>
        <v>0</v>
      </c>
      <c r="T257" s="1">
        <f t="shared" si="238"/>
        <v>0</v>
      </c>
      <c r="U257" s="1">
        <f t="shared" si="238"/>
        <v>0</v>
      </c>
      <c r="V257" s="1">
        <f t="shared" si="238"/>
        <v>0</v>
      </c>
      <c r="W257" s="1">
        <f t="shared" si="236"/>
        <v>0</v>
      </c>
      <c r="X257" s="54">
        <f t="shared" si="238"/>
        <v>0</v>
      </c>
      <c r="Y257" s="58">
        <f t="shared" si="238"/>
        <v>0</v>
      </c>
      <c r="Z257" s="1">
        <f t="shared" si="238"/>
        <v>0</v>
      </c>
      <c r="AA257" s="1">
        <f t="shared" si="238"/>
        <v>0</v>
      </c>
    </row>
    <row r="258" spans="1:27" x14ac:dyDescent="0.25">
      <c r="A258" s="15" t="s">
        <v>51</v>
      </c>
      <c r="B258" s="16" t="s">
        <v>56</v>
      </c>
      <c r="C258" s="27" t="s">
        <v>27</v>
      </c>
      <c r="D258" s="16" t="s">
        <v>72</v>
      </c>
      <c r="E258" s="16"/>
      <c r="F258" s="1">
        <f t="shared" si="234"/>
        <v>0</v>
      </c>
      <c r="G258" s="1">
        <f t="shared" si="238"/>
        <v>0</v>
      </c>
      <c r="H258" s="1">
        <f t="shared" si="238"/>
        <v>0</v>
      </c>
      <c r="I258" s="1">
        <f t="shared" si="238"/>
        <v>0</v>
      </c>
      <c r="J258" s="1">
        <f t="shared" si="238"/>
        <v>0</v>
      </c>
      <c r="K258" s="1">
        <f t="shared" si="238"/>
        <v>0</v>
      </c>
      <c r="L258" s="52">
        <f t="shared" si="238"/>
        <v>0</v>
      </c>
      <c r="M258" s="1">
        <f t="shared" si="238"/>
        <v>0</v>
      </c>
      <c r="N258" s="1">
        <f t="shared" si="238"/>
        <v>0</v>
      </c>
      <c r="O258" s="1">
        <f t="shared" si="238"/>
        <v>0</v>
      </c>
      <c r="P258" s="1">
        <f t="shared" si="238"/>
        <v>0</v>
      </c>
      <c r="Q258" s="1">
        <f t="shared" si="238"/>
        <v>0</v>
      </c>
      <c r="R258" s="1">
        <f t="shared" si="238"/>
        <v>0</v>
      </c>
      <c r="S258" s="1">
        <f t="shared" si="238"/>
        <v>0</v>
      </c>
      <c r="T258" s="1">
        <f t="shared" si="238"/>
        <v>0</v>
      </c>
      <c r="U258" s="1">
        <f t="shared" si="238"/>
        <v>0</v>
      </c>
      <c r="V258" s="1">
        <f t="shared" si="238"/>
        <v>0</v>
      </c>
      <c r="W258" s="1">
        <f t="shared" si="236"/>
        <v>0</v>
      </c>
      <c r="X258" s="54">
        <f t="shared" si="238"/>
        <v>0</v>
      </c>
      <c r="Y258" s="58">
        <f t="shared" si="238"/>
        <v>0</v>
      </c>
      <c r="Z258" s="1">
        <f t="shared" si="238"/>
        <v>0</v>
      </c>
      <c r="AA258" s="1">
        <f t="shared" si="238"/>
        <v>0</v>
      </c>
    </row>
    <row r="259" spans="1:27" x14ac:dyDescent="0.25">
      <c r="A259" s="15" t="s">
        <v>51</v>
      </c>
      <c r="B259" s="16" t="s">
        <v>56</v>
      </c>
      <c r="C259" s="27" t="s">
        <v>57</v>
      </c>
      <c r="D259" s="16" t="s">
        <v>73</v>
      </c>
      <c r="E259" s="16"/>
      <c r="F259" s="1">
        <f t="shared" si="234"/>
        <v>0</v>
      </c>
      <c r="G259" s="1">
        <f t="shared" si="238"/>
        <v>0</v>
      </c>
      <c r="H259" s="1">
        <f t="shared" si="238"/>
        <v>0</v>
      </c>
      <c r="I259" s="1">
        <f t="shared" si="238"/>
        <v>0</v>
      </c>
      <c r="J259" s="1">
        <f t="shared" si="238"/>
        <v>0</v>
      </c>
      <c r="K259" s="1">
        <f t="shared" si="238"/>
        <v>0</v>
      </c>
      <c r="L259" s="52">
        <f t="shared" si="238"/>
        <v>0</v>
      </c>
      <c r="M259" s="1">
        <f t="shared" si="238"/>
        <v>0</v>
      </c>
      <c r="N259" s="1">
        <f t="shared" si="238"/>
        <v>0</v>
      </c>
      <c r="O259" s="1">
        <f t="shared" si="238"/>
        <v>0</v>
      </c>
      <c r="P259" s="1">
        <f t="shared" si="238"/>
        <v>0</v>
      </c>
      <c r="Q259" s="1">
        <f t="shared" si="238"/>
        <v>0</v>
      </c>
      <c r="R259" s="1">
        <f t="shared" si="238"/>
        <v>0</v>
      </c>
      <c r="S259" s="1">
        <f t="shared" si="238"/>
        <v>0</v>
      </c>
      <c r="T259" s="1">
        <f t="shared" si="238"/>
        <v>0</v>
      </c>
      <c r="U259" s="1">
        <f t="shared" si="238"/>
        <v>0</v>
      </c>
      <c r="V259" s="1">
        <f t="shared" si="238"/>
        <v>0</v>
      </c>
      <c r="W259" s="1">
        <f t="shared" si="236"/>
        <v>0</v>
      </c>
      <c r="X259" s="54">
        <f t="shared" si="238"/>
        <v>0</v>
      </c>
      <c r="Y259" s="58">
        <f t="shared" si="238"/>
        <v>0</v>
      </c>
      <c r="Z259" s="1">
        <f t="shared" si="238"/>
        <v>0</v>
      </c>
      <c r="AA259" s="1">
        <f t="shared" si="238"/>
        <v>0</v>
      </c>
    </row>
    <row r="260" spans="1:27" x14ac:dyDescent="0.25">
      <c r="A260" s="15" t="s">
        <v>51</v>
      </c>
      <c r="B260" s="16" t="s">
        <v>56</v>
      </c>
      <c r="C260" s="27" t="s">
        <v>57</v>
      </c>
      <c r="D260" s="16" t="s">
        <v>74</v>
      </c>
      <c r="E260" s="16"/>
      <c r="F260" s="1">
        <f t="shared" si="234"/>
        <v>0</v>
      </c>
      <c r="G260" s="1">
        <f t="shared" si="238"/>
        <v>0</v>
      </c>
      <c r="H260" s="1">
        <f t="shared" si="238"/>
        <v>0</v>
      </c>
      <c r="I260" s="1">
        <f t="shared" si="238"/>
        <v>0</v>
      </c>
      <c r="J260" s="1">
        <f t="shared" si="238"/>
        <v>0</v>
      </c>
      <c r="K260" s="1">
        <f t="shared" si="238"/>
        <v>0</v>
      </c>
      <c r="L260" s="52">
        <f t="shared" si="238"/>
        <v>0</v>
      </c>
      <c r="M260" s="1">
        <f t="shared" si="238"/>
        <v>0</v>
      </c>
      <c r="N260" s="1">
        <f t="shared" si="238"/>
        <v>0</v>
      </c>
      <c r="O260" s="1">
        <f t="shared" si="238"/>
        <v>0</v>
      </c>
      <c r="P260" s="1">
        <f t="shared" si="238"/>
        <v>0</v>
      </c>
      <c r="Q260" s="1">
        <f t="shared" si="238"/>
        <v>0</v>
      </c>
      <c r="R260" s="1">
        <f t="shared" si="238"/>
        <v>0</v>
      </c>
      <c r="S260" s="1">
        <f t="shared" si="238"/>
        <v>0</v>
      </c>
      <c r="T260" s="1">
        <f t="shared" si="238"/>
        <v>0</v>
      </c>
      <c r="U260" s="1">
        <f t="shared" si="238"/>
        <v>0</v>
      </c>
      <c r="V260" s="1">
        <f t="shared" si="238"/>
        <v>0</v>
      </c>
      <c r="W260" s="1">
        <f t="shared" si="236"/>
        <v>0</v>
      </c>
      <c r="X260" s="54">
        <f t="shared" si="238"/>
        <v>0</v>
      </c>
      <c r="Y260" s="58">
        <f t="shared" si="238"/>
        <v>0</v>
      </c>
      <c r="Z260" s="1">
        <f t="shared" si="238"/>
        <v>0</v>
      </c>
      <c r="AA260" s="1">
        <f t="shared" si="238"/>
        <v>0</v>
      </c>
    </row>
    <row r="261" spans="1:27" x14ac:dyDescent="0.25">
      <c r="A261" s="30" t="s">
        <v>60</v>
      </c>
      <c r="B261" s="31" t="s">
        <v>13</v>
      </c>
      <c r="C261" s="32" t="s">
        <v>61</v>
      </c>
      <c r="D261" s="31" t="s">
        <v>75</v>
      </c>
      <c r="E261" s="31"/>
      <c r="F261" s="51">
        <f>F246*0.8</f>
        <v>42.904888888888891</v>
      </c>
      <c r="G261" s="51">
        <v>0</v>
      </c>
      <c r="H261" s="51">
        <f>H246</f>
        <v>29.28</v>
      </c>
      <c r="I261" s="51">
        <f>I246*0.1</f>
        <v>1.7294117647058824</v>
      </c>
      <c r="J261" s="51">
        <v>0</v>
      </c>
      <c r="K261" s="51">
        <v>0</v>
      </c>
      <c r="L261" s="52">
        <v>0</v>
      </c>
      <c r="M261" s="51">
        <f>M246*0.1</f>
        <v>0.70777777777777784</v>
      </c>
      <c r="N261" s="51">
        <v>0</v>
      </c>
      <c r="O261" s="51">
        <v>0</v>
      </c>
      <c r="P261" s="51">
        <v>0</v>
      </c>
      <c r="Q261" s="51"/>
      <c r="R261" s="51"/>
      <c r="S261" s="51"/>
      <c r="T261" s="51"/>
      <c r="U261" s="51"/>
      <c r="V261" s="51"/>
      <c r="W261" s="51">
        <f>W246</f>
        <v>5.9259259259259265</v>
      </c>
      <c r="X261" s="55"/>
      <c r="Y261" s="59">
        <f t="shared" si="238"/>
        <v>0</v>
      </c>
      <c r="Z261" s="51">
        <f t="shared" si="238"/>
        <v>0</v>
      </c>
      <c r="AA261" s="51">
        <f t="shared" si="238"/>
        <v>0</v>
      </c>
    </row>
    <row r="262" spans="1:27" x14ac:dyDescent="0.25">
      <c r="A262" s="30" t="s">
        <v>60</v>
      </c>
      <c r="B262" s="31" t="s">
        <v>13</v>
      </c>
      <c r="C262" s="32" t="s">
        <v>61</v>
      </c>
      <c r="D262" s="31" t="s">
        <v>76</v>
      </c>
      <c r="E262" s="31"/>
      <c r="F262" s="51">
        <f>F246*0.2</f>
        <v>10.726222222222223</v>
      </c>
      <c r="G262" s="51">
        <v>0</v>
      </c>
      <c r="H262" s="51">
        <v>0</v>
      </c>
      <c r="I262" s="51">
        <f>I246*0.7</f>
        <v>12.105882352941174</v>
      </c>
      <c r="J262" s="51">
        <f>J246</f>
        <v>8.0588235294117645</v>
      </c>
      <c r="K262" s="51">
        <f>K246*0.2</f>
        <v>0.70588235294117652</v>
      </c>
      <c r="L262" s="52">
        <v>0</v>
      </c>
      <c r="M262" s="51">
        <f>M246*0.3</f>
        <v>2.1233333333333331</v>
      </c>
      <c r="N262" s="51">
        <f>N246</f>
        <v>0.69374999999999998</v>
      </c>
      <c r="O262" s="51">
        <f>O246*0.9</f>
        <v>4.1850000000000005</v>
      </c>
      <c r="P262" s="51">
        <f>P246*0.05</f>
        <v>0.60277777777777786</v>
      </c>
      <c r="Q262" s="51"/>
      <c r="R262" s="85">
        <f>R246</f>
        <v>0.35555555555555557</v>
      </c>
      <c r="S262" s="51"/>
      <c r="T262" s="51"/>
      <c r="U262" s="51"/>
      <c r="V262" s="51"/>
      <c r="W262" s="51"/>
      <c r="X262" s="55"/>
      <c r="Y262" s="59">
        <f t="shared" si="238"/>
        <v>0</v>
      </c>
      <c r="Z262" s="51">
        <f t="shared" si="238"/>
        <v>0</v>
      </c>
      <c r="AA262" s="51">
        <f t="shared" si="238"/>
        <v>0</v>
      </c>
    </row>
    <row r="263" spans="1:27" x14ac:dyDescent="0.25">
      <c r="A263" s="30" t="s">
        <v>60</v>
      </c>
      <c r="B263" s="31" t="s">
        <v>13</v>
      </c>
      <c r="C263" s="32" t="s">
        <v>61</v>
      </c>
      <c r="D263" s="31" t="s">
        <v>77</v>
      </c>
      <c r="E263" s="31"/>
      <c r="F263" s="51">
        <v>0</v>
      </c>
      <c r="G263" s="51">
        <v>0</v>
      </c>
      <c r="H263" s="51">
        <v>0</v>
      </c>
      <c r="I263" s="51">
        <v>0</v>
      </c>
      <c r="J263" s="51">
        <v>0</v>
      </c>
      <c r="K263" s="51">
        <f>K246*0.4</f>
        <v>1.411764705882353</v>
      </c>
      <c r="L263" s="52">
        <v>0</v>
      </c>
      <c r="M263" s="51">
        <f>M246*0.5</f>
        <v>3.5388888888888888</v>
      </c>
      <c r="N263" s="51">
        <v>0</v>
      </c>
      <c r="O263" s="51">
        <v>0</v>
      </c>
      <c r="P263" s="51">
        <v>0</v>
      </c>
      <c r="Q263" s="51"/>
      <c r="R263" s="51"/>
      <c r="S263" s="51"/>
      <c r="T263" s="51">
        <f>T246</f>
        <v>0.35555555555555557</v>
      </c>
      <c r="U263" s="51">
        <f>U246</f>
        <v>1.7777777777777777</v>
      </c>
      <c r="V263" s="51"/>
      <c r="W263" s="51"/>
      <c r="X263" s="55"/>
      <c r="Y263" s="59">
        <f t="shared" si="238"/>
        <v>0</v>
      </c>
      <c r="Z263" s="51">
        <f t="shared" si="238"/>
        <v>0</v>
      </c>
      <c r="AA263" s="51">
        <f t="shared" si="238"/>
        <v>0</v>
      </c>
    </row>
    <row r="264" spans="1:27" x14ac:dyDescent="0.25">
      <c r="A264" s="30" t="s">
        <v>60</v>
      </c>
      <c r="B264" s="31" t="s">
        <v>13</v>
      </c>
      <c r="C264" s="32" t="s">
        <v>61</v>
      </c>
      <c r="D264" s="31" t="s">
        <v>78</v>
      </c>
      <c r="E264" s="31"/>
      <c r="F264" s="51">
        <v>0</v>
      </c>
      <c r="G264" s="51">
        <v>0</v>
      </c>
      <c r="H264" s="51">
        <v>0</v>
      </c>
      <c r="I264" s="51">
        <f>I246*0.2</f>
        <v>3.4588235294117649</v>
      </c>
      <c r="J264" s="51">
        <v>0</v>
      </c>
      <c r="K264" s="51">
        <f>K246*0.4</f>
        <v>1.411764705882353</v>
      </c>
      <c r="L264" s="52">
        <v>0</v>
      </c>
      <c r="M264" s="51">
        <f>M246*0.1</f>
        <v>0.70777777777777784</v>
      </c>
      <c r="N264" s="51">
        <v>0</v>
      </c>
      <c r="O264" s="51">
        <f>O246*0.1</f>
        <v>0.46500000000000008</v>
      </c>
      <c r="P264" s="51">
        <f>P246*0.95</f>
        <v>11.452777777777778</v>
      </c>
      <c r="Q264" s="51">
        <f>Q246</f>
        <v>0.10101010101010099</v>
      </c>
      <c r="R264" s="51"/>
      <c r="S264" s="51"/>
      <c r="T264" s="51"/>
      <c r="U264" s="51"/>
      <c r="V264" s="51"/>
      <c r="W264" s="51"/>
      <c r="X264" s="55">
        <f>X246</f>
        <v>4.4444444444444446</v>
      </c>
      <c r="Y264" s="59">
        <f t="shared" si="238"/>
        <v>0</v>
      </c>
      <c r="Z264" s="51">
        <f t="shared" si="238"/>
        <v>0</v>
      </c>
      <c r="AA264" s="51">
        <f t="shared" si="238"/>
        <v>0</v>
      </c>
    </row>
    <row r="265" spans="1:27" ht="15.75" thickBot="1" x14ac:dyDescent="0.3">
      <c r="A265" s="33" t="s">
        <v>60</v>
      </c>
      <c r="B265" s="34" t="s">
        <v>13</v>
      </c>
      <c r="C265" s="35" t="s">
        <v>61</v>
      </c>
      <c r="D265" s="34" t="s">
        <v>79</v>
      </c>
      <c r="E265" s="31"/>
      <c r="F265" s="51">
        <v>0</v>
      </c>
      <c r="G265" s="51">
        <v>0</v>
      </c>
      <c r="H265" s="51">
        <v>0</v>
      </c>
      <c r="I265" s="51">
        <v>0</v>
      </c>
      <c r="J265" s="51">
        <v>0</v>
      </c>
      <c r="K265" s="51">
        <v>0</v>
      </c>
      <c r="L265" s="52">
        <v>0</v>
      </c>
      <c r="M265" s="51">
        <v>0</v>
      </c>
      <c r="N265" s="51">
        <v>0</v>
      </c>
      <c r="O265" s="51">
        <v>0</v>
      </c>
      <c r="P265" s="51">
        <v>0</v>
      </c>
      <c r="Q265" s="51">
        <v>0</v>
      </c>
      <c r="R265" s="51">
        <v>0</v>
      </c>
      <c r="S265" s="51">
        <v>0</v>
      </c>
      <c r="T265" s="51">
        <v>0</v>
      </c>
      <c r="U265" s="51">
        <v>0</v>
      </c>
      <c r="V265" s="51">
        <v>0</v>
      </c>
      <c r="W265" s="51">
        <v>0</v>
      </c>
      <c r="X265" s="55">
        <v>0</v>
      </c>
      <c r="Y265" s="59">
        <f t="shared" ref="Y265:AA270" si="239">IF(Y310&gt;0,Y40/Y310,0)</f>
        <v>0</v>
      </c>
      <c r="Z265" s="51">
        <f t="shared" si="239"/>
        <v>0</v>
      </c>
      <c r="AA265" s="51">
        <f t="shared" si="239"/>
        <v>0</v>
      </c>
    </row>
    <row r="266" spans="1:27" x14ac:dyDescent="0.25">
      <c r="A266" s="30" t="s">
        <v>60</v>
      </c>
      <c r="B266" s="31" t="s">
        <v>13</v>
      </c>
      <c r="C266" s="32" t="s">
        <v>62</v>
      </c>
      <c r="D266" s="31" t="s">
        <v>75</v>
      </c>
      <c r="E266" s="31"/>
      <c r="F266" s="51"/>
      <c r="G266" s="51">
        <v>0</v>
      </c>
      <c r="H266" s="51">
        <v>0</v>
      </c>
      <c r="I266" s="51">
        <v>0</v>
      </c>
      <c r="J266" s="51">
        <v>0</v>
      </c>
      <c r="K266" s="51">
        <v>0</v>
      </c>
      <c r="L266" s="52">
        <v>0</v>
      </c>
      <c r="M266" s="51">
        <v>0</v>
      </c>
      <c r="N266" s="51">
        <v>0</v>
      </c>
      <c r="O266" s="51">
        <v>0</v>
      </c>
      <c r="P266" s="51">
        <v>0</v>
      </c>
      <c r="Q266" s="51">
        <v>0</v>
      </c>
      <c r="R266" s="51">
        <v>0</v>
      </c>
      <c r="S266" s="51">
        <v>0</v>
      </c>
      <c r="T266" s="51">
        <v>0</v>
      </c>
      <c r="U266" s="51">
        <v>0</v>
      </c>
      <c r="V266" s="51">
        <v>0</v>
      </c>
      <c r="W266" s="51">
        <v>0</v>
      </c>
      <c r="X266" s="55">
        <v>0</v>
      </c>
      <c r="Y266" s="59">
        <f t="shared" si="239"/>
        <v>0</v>
      </c>
      <c r="Z266" s="51">
        <f t="shared" si="239"/>
        <v>0</v>
      </c>
      <c r="AA266" s="51">
        <f t="shared" si="239"/>
        <v>0</v>
      </c>
    </row>
    <row r="267" spans="1:27" x14ac:dyDescent="0.25">
      <c r="A267" s="30" t="s">
        <v>60</v>
      </c>
      <c r="B267" s="31" t="s">
        <v>13</v>
      </c>
      <c r="C267" s="32" t="s">
        <v>62</v>
      </c>
      <c r="D267" s="31" t="s">
        <v>76</v>
      </c>
      <c r="E267" s="31"/>
      <c r="F267" s="51">
        <f>F247</f>
        <v>7.3133333333333326</v>
      </c>
      <c r="G267" s="51">
        <f>G247</f>
        <v>16.333333333333332</v>
      </c>
      <c r="H267" s="51">
        <f>H247</f>
        <v>13.778823529411765</v>
      </c>
      <c r="I267" s="51">
        <v>0</v>
      </c>
      <c r="J267" s="51">
        <v>0</v>
      </c>
      <c r="K267" s="51">
        <v>0</v>
      </c>
      <c r="L267" s="52">
        <v>0</v>
      </c>
      <c r="M267" s="51">
        <v>0</v>
      </c>
      <c r="N267" s="51">
        <v>0</v>
      </c>
      <c r="O267" s="51">
        <v>0</v>
      </c>
      <c r="P267" s="51">
        <v>0</v>
      </c>
      <c r="Q267" s="51">
        <v>0</v>
      </c>
      <c r="R267" s="51">
        <v>0</v>
      </c>
      <c r="S267" s="51">
        <v>0</v>
      </c>
      <c r="T267" s="51">
        <v>0</v>
      </c>
      <c r="U267" s="51">
        <v>0</v>
      </c>
      <c r="V267" s="51">
        <v>0</v>
      </c>
      <c r="W267" s="51">
        <v>0</v>
      </c>
      <c r="X267" s="55">
        <v>0</v>
      </c>
      <c r="Y267" s="59">
        <f t="shared" si="239"/>
        <v>0</v>
      </c>
      <c r="Z267" s="51">
        <f t="shared" si="239"/>
        <v>0</v>
      </c>
      <c r="AA267" s="51">
        <f t="shared" si="239"/>
        <v>0</v>
      </c>
    </row>
    <row r="268" spans="1:27" x14ac:dyDescent="0.25">
      <c r="A268" s="30" t="s">
        <v>60</v>
      </c>
      <c r="B268" s="31" t="s">
        <v>13</v>
      </c>
      <c r="C268" s="32" t="s">
        <v>62</v>
      </c>
      <c r="D268" s="31" t="s">
        <v>77</v>
      </c>
      <c r="E268" s="31"/>
      <c r="F268" s="51">
        <v>0</v>
      </c>
      <c r="G268" s="51">
        <v>0</v>
      </c>
      <c r="H268" s="51">
        <v>0</v>
      </c>
      <c r="I268" s="51">
        <v>0</v>
      </c>
      <c r="J268" s="51">
        <v>0</v>
      </c>
      <c r="K268" s="51">
        <v>0</v>
      </c>
      <c r="L268" s="52">
        <v>0</v>
      </c>
      <c r="M268" s="51">
        <v>0</v>
      </c>
      <c r="N268" s="51">
        <v>0</v>
      </c>
      <c r="O268" s="51">
        <v>0</v>
      </c>
      <c r="P268" s="51">
        <v>0</v>
      </c>
      <c r="Q268" s="51">
        <v>0</v>
      </c>
      <c r="R268" s="51">
        <v>0</v>
      </c>
      <c r="S268" s="51">
        <v>0</v>
      </c>
      <c r="T268" s="51">
        <v>0</v>
      </c>
      <c r="U268" s="51">
        <v>0</v>
      </c>
      <c r="V268" s="51">
        <v>0</v>
      </c>
      <c r="W268" s="51">
        <v>0</v>
      </c>
      <c r="X268" s="55">
        <v>0</v>
      </c>
      <c r="Y268" s="59">
        <f t="shared" si="239"/>
        <v>0</v>
      </c>
      <c r="Z268" s="51">
        <f t="shared" si="239"/>
        <v>0</v>
      </c>
      <c r="AA268" s="51">
        <f t="shared" si="239"/>
        <v>0</v>
      </c>
    </row>
    <row r="269" spans="1:27" x14ac:dyDescent="0.25">
      <c r="A269" s="30" t="s">
        <v>60</v>
      </c>
      <c r="B269" s="31" t="s">
        <v>13</v>
      </c>
      <c r="C269" s="32" t="s">
        <v>62</v>
      </c>
      <c r="D269" s="31" t="s">
        <v>78</v>
      </c>
      <c r="E269" s="31"/>
      <c r="F269" s="51">
        <v>0</v>
      </c>
      <c r="G269" s="51">
        <v>0</v>
      </c>
      <c r="H269" s="51">
        <v>0</v>
      </c>
      <c r="I269" s="51">
        <v>0</v>
      </c>
      <c r="J269" s="51">
        <v>0</v>
      </c>
      <c r="K269" s="51">
        <v>0</v>
      </c>
      <c r="L269" s="52">
        <v>0</v>
      </c>
      <c r="M269" s="51">
        <v>0</v>
      </c>
      <c r="N269" s="51">
        <v>0</v>
      </c>
      <c r="O269" s="51">
        <v>0</v>
      </c>
      <c r="P269" s="51">
        <v>0</v>
      </c>
      <c r="Q269" s="51">
        <v>0</v>
      </c>
      <c r="R269" s="51">
        <v>0</v>
      </c>
      <c r="S269" s="51">
        <v>0</v>
      </c>
      <c r="T269" s="51">
        <v>0</v>
      </c>
      <c r="U269" s="51">
        <v>0</v>
      </c>
      <c r="V269" s="51">
        <v>0</v>
      </c>
      <c r="W269" s="51">
        <v>0</v>
      </c>
      <c r="X269" s="55">
        <v>0</v>
      </c>
      <c r="Y269" s="59">
        <f t="shared" si="239"/>
        <v>0</v>
      </c>
      <c r="Z269" s="51">
        <f t="shared" si="239"/>
        <v>0</v>
      </c>
      <c r="AA269" s="51">
        <f t="shared" si="239"/>
        <v>0</v>
      </c>
    </row>
    <row r="270" spans="1:27" ht="15.75" thickBot="1" x14ac:dyDescent="0.3">
      <c r="A270" s="33" t="s">
        <v>60</v>
      </c>
      <c r="B270" s="34" t="s">
        <v>13</v>
      </c>
      <c r="C270" s="32" t="s">
        <v>62</v>
      </c>
      <c r="D270" s="34" t="s">
        <v>79</v>
      </c>
      <c r="E270" s="31"/>
      <c r="F270" s="51">
        <v>0</v>
      </c>
      <c r="G270" s="51">
        <v>0</v>
      </c>
      <c r="H270" s="51">
        <v>0</v>
      </c>
      <c r="I270" s="51">
        <v>0</v>
      </c>
      <c r="J270" s="51">
        <v>0</v>
      </c>
      <c r="K270" s="51">
        <v>0</v>
      </c>
      <c r="L270" s="52">
        <v>0</v>
      </c>
      <c r="M270" s="51">
        <v>0</v>
      </c>
      <c r="N270" s="51">
        <v>0</v>
      </c>
      <c r="O270" s="51">
        <v>0</v>
      </c>
      <c r="P270" s="51">
        <v>0</v>
      </c>
      <c r="Q270" s="51">
        <v>0</v>
      </c>
      <c r="R270" s="51">
        <v>0</v>
      </c>
      <c r="S270" s="51">
        <v>0</v>
      </c>
      <c r="T270" s="51">
        <v>0</v>
      </c>
      <c r="U270" s="51">
        <v>0</v>
      </c>
      <c r="V270" s="51">
        <v>0</v>
      </c>
      <c r="W270" s="51">
        <v>0</v>
      </c>
      <c r="X270" s="55">
        <v>0</v>
      </c>
      <c r="Y270" s="59">
        <f t="shared" si="239"/>
        <v>0</v>
      </c>
      <c r="Z270" s="51">
        <f t="shared" si="239"/>
        <v>0</v>
      </c>
      <c r="AA270" s="51">
        <f t="shared" si="239"/>
        <v>0</v>
      </c>
    </row>
    <row r="272" spans="1:27" x14ac:dyDescent="0.25">
      <c r="D272" s="41" t="s">
        <v>84</v>
      </c>
      <c r="E272" s="41"/>
      <c r="M272" s="24" t="s">
        <v>81</v>
      </c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</row>
    <row r="273" spans="1:27" x14ac:dyDescent="0.25">
      <c r="F273" s="23" t="s">
        <v>44</v>
      </c>
      <c r="G273" s="23"/>
      <c r="H273" s="23"/>
      <c r="I273" s="23"/>
      <c r="J273" s="23"/>
      <c r="K273" s="23"/>
      <c r="L273" s="7" t="s">
        <v>30</v>
      </c>
      <c r="M273" s="24" t="s">
        <v>46</v>
      </c>
      <c r="N273" s="24"/>
      <c r="O273" s="24"/>
      <c r="P273" s="24"/>
      <c r="Q273" s="24"/>
      <c r="R273" s="24" t="s">
        <v>47</v>
      </c>
      <c r="S273" s="24"/>
      <c r="T273" s="24"/>
      <c r="U273" s="24"/>
      <c r="V273" s="24"/>
      <c r="W273" s="24"/>
      <c r="X273" s="24"/>
      <c r="Y273" s="44" t="s">
        <v>85</v>
      </c>
      <c r="Z273" s="44" t="s">
        <v>48</v>
      </c>
      <c r="AA273" s="44" t="s">
        <v>3</v>
      </c>
    </row>
    <row r="274" spans="1:27" ht="63" x14ac:dyDescent="0.25">
      <c r="F274" s="38" t="s">
        <v>36</v>
      </c>
      <c r="G274" s="38" t="s">
        <v>37</v>
      </c>
      <c r="H274" s="38" t="s">
        <v>38</v>
      </c>
      <c r="I274" s="38" t="s">
        <v>80</v>
      </c>
      <c r="J274" s="38" t="s">
        <v>39</v>
      </c>
      <c r="K274" s="38" t="s">
        <v>45</v>
      </c>
      <c r="L274" s="39" t="s">
        <v>16</v>
      </c>
      <c r="M274" s="40" t="s">
        <v>34</v>
      </c>
      <c r="N274" s="40" t="s">
        <v>5</v>
      </c>
      <c r="O274" s="40" t="s">
        <v>7</v>
      </c>
      <c r="P274" s="40" t="s">
        <v>8</v>
      </c>
      <c r="Q274" s="40" t="s">
        <v>40</v>
      </c>
      <c r="R274" s="40" t="s">
        <v>41</v>
      </c>
      <c r="S274" s="40" t="s">
        <v>42</v>
      </c>
      <c r="T274" s="40" t="s">
        <v>31</v>
      </c>
      <c r="U274" s="40" t="s">
        <v>43</v>
      </c>
      <c r="V274" s="40" t="s">
        <v>82</v>
      </c>
      <c r="W274" s="40" t="s">
        <v>87</v>
      </c>
      <c r="X274" s="40" t="s">
        <v>83</v>
      </c>
      <c r="Y274" s="45" t="s">
        <v>3</v>
      </c>
      <c r="Z274" s="45" t="s">
        <v>86</v>
      </c>
      <c r="AA274" s="45" t="s">
        <v>3</v>
      </c>
    </row>
    <row r="275" spans="1:27" x14ac:dyDescent="0.25">
      <c r="A275" s="15" t="s">
        <v>51</v>
      </c>
      <c r="B275" s="2"/>
      <c r="C275" s="2"/>
      <c r="F275" s="1"/>
      <c r="G275" s="1"/>
      <c r="H275" s="1"/>
      <c r="I275" s="1"/>
      <c r="J275" s="1"/>
      <c r="K275" s="1"/>
      <c r="L275" s="5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54"/>
      <c r="Y275" s="58"/>
      <c r="Z275" s="1"/>
      <c r="AA275" s="1"/>
    </row>
    <row r="276" spans="1:27" x14ac:dyDescent="0.25">
      <c r="A276" s="30" t="s">
        <v>60</v>
      </c>
      <c r="B276" s="2"/>
      <c r="C276" s="2"/>
      <c r="F276" s="1"/>
      <c r="G276" s="1"/>
      <c r="H276" s="1"/>
      <c r="I276" s="1"/>
      <c r="J276" s="1"/>
      <c r="K276" s="1"/>
      <c r="L276" s="5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54"/>
      <c r="Y276" s="58"/>
      <c r="Z276" s="1"/>
      <c r="AA276" s="1"/>
    </row>
    <row r="277" spans="1:27" x14ac:dyDescent="0.25">
      <c r="A277" s="15" t="s">
        <v>51</v>
      </c>
      <c r="B277" s="16" t="s">
        <v>52</v>
      </c>
      <c r="C277" s="2"/>
      <c r="F277" s="1"/>
      <c r="G277" s="1"/>
      <c r="H277" s="1"/>
      <c r="I277" s="1"/>
      <c r="J277" s="1"/>
      <c r="K277" s="1"/>
      <c r="L277" s="5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54"/>
      <c r="Y277" s="58"/>
      <c r="Z277" s="1"/>
      <c r="AA277" s="1"/>
    </row>
    <row r="278" spans="1:27" x14ac:dyDescent="0.25">
      <c r="A278" s="15" t="s">
        <v>51</v>
      </c>
      <c r="B278" s="16" t="s">
        <v>56</v>
      </c>
      <c r="C278" s="2"/>
      <c r="F278" s="1"/>
      <c r="G278" s="1"/>
      <c r="H278" s="1"/>
      <c r="I278" s="1"/>
      <c r="J278" s="1"/>
      <c r="K278" s="1"/>
      <c r="L278" s="5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54"/>
      <c r="Y278" s="58"/>
      <c r="Z278" s="1"/>
      <c r="AA278" s="1"/>
    </row>
    <row r="279" spans="1:27" x14ac:dyDescent="0.25">
      <c r="A279" s="15" t="s">
        <v>51</v>
      </c>
      <c r="B279" s="16" t="s">
        <v>9</v>
      </c>
      <c r="C279" s="2"/>
      <c r="F279" s="1"/>
      <c r="G279" s="1"/>
      <c r="H279" s="1"/>
      <c r="I279" s="1"/>
      <c r="J279" s="1"/>
      <c r="K279" s="1"/>
      <c r="L279" s="5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54"/>
      <c r="Y279" s="58"/>
      <c r="Z279" s="1"/>
      <c r="AA279" s="1"/>
    </row>
    <row r="280" spans="1:27" x14ac:dyDescent="0.25">
      <c r="A280" s="30" t="s">
        <v>60</v>
      </c>
      <c r="B280" s="32" t="s">
        <v>13</v>
      </c>
      <c r="C280" s="2"/>
      <c r="F280" s="51"/>
      <c r="G280" s="51"/>
      <c r="H280" s="51"/>
      <c r="I280" s="51"/>
      <c r="J280" s="51"/>
      <c r="K280" s="51"/>
      <c r="L280" s="52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5"/>
      <c r="Y280" s="59"/>
      <c r="Z280" s="51"/>
      <c r="AA280" s="51"/>
    </row>
    <row r="281" spans="1:27" x14ac:dyDescent="0.25">
      <c r="A281" s="30" t="s">
        <v>60</v>
      </c>
      <c r="B281" s="31" t="s">
        <v>23</v>
      </c>
      <c r="C281" s="2"/>
      <c r="F281" s="51"/>
      <c r="G281" s="51"/>
      <c r="H281" s="51"/>
      <c r="I281" s="51"/>
      <c r="J281" s="51"/>
      <c r="K281" s="51"/>
      <c r="L281" s="52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5"/>
      <c r="Y281" s="59"/>
      <c r="Z281" s="51"/>
      <c r="AA281" s="51"/>
    </row>
    <row r="282" spans="1:27" x14ac:dyDescent="0.25">
      <c r="A282" s="30" t="s">
        <v>60</v>
      </c>
      <c r="B282" s="31" t="s">
        <v>65</v>
      </c>
      <c r="C282" s="46"/>
      <c r="F282" s="51"/>
      <c r="G282" s="51"/>
      <c r="H282" s="51"/>
      <c r="I282" s="51"/>
      <c r="J282" s="51"/>
      <c r="K282" s="51"/>
      <c r="L282" s="52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5"/>
      <c r="Y282" s="59"/>
      <c r="Z282" s="51"/>
      <c r="AA282" s="51"/>
    </row>
    <row r="283" spans="1:27" ht="15.75" thickBot="1" x14ac:dyDescent="0.3">
      <c r="A283" s="48" t="s">
        <v>60</v>
      </c>
      <c r="B283" s="49" t="s">
        <v>9</v>
      </c>
      <c r="C283" s="50"/>
      <c r="D283" s="50"/>
      <c r="E283" s="50"/>
      <c r="F283" s="53"/>
      <c r="G283" s="53"/>
      <c r="H283" s="53"/>
      <c r="I283" s="53"/>
      <c r="J283" s="53"/>
      <c r="K283" s="53"/>
      <c r="L283" s="62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6"/>
      <c r="Y283" s="60"/>
      <c r="Z283" s="53"/>
      <c r="AA283" s="53"/>
    </row>
    <row r="284" spans="1:27" ht="15.75" thickTop="1" x14ac:dyDescent="0.25">
      <c r="A284" s="15" t="s">
        <v>51</v>
      </c>
      <c r="B284" s="16" t="s">
        <v>52</v>
      </c>
      <c r="C284" s="16" t="s">
        <v>53</v>
      </c>
      <c r="D284" s="2"/>
      <c r="E284" s="2"/>
      <c r="F284" s="47"/>
      <c r="G284" s="47"/>
      <c r="H284" s="47"/>
      <c r="I284" s="47"/>
      <c r="J284" s="47"/>
      <c r="K284" s="47"/>
      <c r="L284" s="6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57"/>
      <c r="Y284" s="61"/>
      <c r="Z284" s="47"/>
      <c r="AA284" s="47"/>
    </row>
    <row r="285" spans="1:27" x14ac:dyDescent="0.25">
      <c r="A285" s="15" t="s">
        <v>51</v>
      </c>
      <c r="B285" s="16" t="s">
        <v>52</v>
      </c>
      <c r="C285" s="16" t="s">
        <v>54</v>
      </c>
      <c r="D285" s="2"/>
      <c r="E285" s="2"/>
      <c r="F285" s="1"/>
      <c r="G285" s="1"/>
      <c r="H285" s="1"/>
      <c r="I285" s="1"/>
      <c r="J285" s="1"/>
      <c r="K285" s="1"/>
      <c r="L285" s="5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54"/>
      <c r="Y285" s="58"/>
      <c r="Z285" s="1"/>
      <c r="AA285" s="1"/>
    </row>
    <row r="286" spans="1:27" x14ac:dyDescent="0.25">
      <c r="A286" s="15" t="s">
        <v>51</v>
      </c>
      <c r="B286" s="16" t="s">
        <v>52</v>
      </c>
      <c r="C286" s="16" t="s">
        <v>55</v>
      </c>
      <c r="D286" s="2"/>
      <c r="E286" s="2"/>
      <c r="F286" s="1"/>
      <c r="G286" s="1"/>
      <c r="H286" s="1"/>
      <c r="I286" s="1"/>
      <c r="J286" s="1"/>
      <c r="K286" s="1"/>
      <c r="L286" s="5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54"/>
      <c r="Y286" s="58"/>
      <c r="Z286" s="1"/>
      <c r="AA286" s="1"/>
    </row>
    <row r="287" spans="1:27" x14ac:dyDescent="0.25">
      <c r="A287" s="25" t="s">
        <v>51</v>
      </c>
      <c r="B287" s="26" t="s">
        <v>56</v>
      </c>
      <c r="C287" s="26" t="s">
        <v>57</v>
      </c>
      <c r="D287" s="2"/>
      <c r="E287" s="2"/>
      <c r="F287" s="1"/>
      <c r="G287" s="1"/>
      <c r="H287" s="1"/>
      <c r="I287" s="1"/>
      <c r="J287" s="1"/>
      <c r="K287" s="1"/>
      <c r="L287" s="5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54"/>
      <c r="Y287" s="58"/>
      <c r="Z287" s="1"/>
      <c r="AA287" s="1"/>
    </row>
    <row r="288" spans="1:27" x14ac:dyDescent="0.25">
      <c r="A288" s="15" t="s">
        <v>51</v>
      </c>
      <c r="B288" s="16" t="s">
        <v>56</v>
      </c>
      <c r="C288" s="27" t="s">
        <v>58</v>
      </c>
      <c r="D288" s="2"/>
      <c r="E288" s="2"/>
      <c r="F288" s="1"/>
      <c r="G288" s="1"/>
      <c r="H288" s="1"/>
      <c r="I288" s="1"/>
      <c r="J288" s="1"/>
      <c r="K288" s="1"/>
      <c r="L288" s="5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54"/>
      <c r="Y288" s="58"/>
      <c r="Z288" s="1"/>
      <c r="AA288" s="1"/>
    </row>
    <row r="289" spans="1:31" x14ac:dyDescent="0.25">
      <c r="A289" s="15" t="s">
        <v>51</v>
      </c>
      <c r="B289" s="16" t="s">
        <v>9</v>
      </c>
      <c r="C289" s="27" t="s">
        <v>59</v>
      </c>
      <c r="D289" s="2"/>
      <c r="E289" s="2"/>
      <c r="F289" s="1"/>
      <c r="G289" s="1"/>
      <c r="H289" s="1"/>
      <c r="I289" s="1"/>
      <c r="J289" s="1"/>
      <c r="K289" s="1"/>
      <c r="L289" s="5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54"/>
      <c r="Y289" s="58"/>
      <c r="Z289" s="1"/>
      <c r="AA289" s="1"/>
    </row>
    <row r="290" spans="1:31" x14ac:dyDescent="0.25">
      <c r="A290" s="15" t="s">
        <v>51</v>
      </c>
      <c r="B290" s="16" t="s">
        <v>9</v>
      </c>
      <c r="C290" s="27" t="s">
        <v>9</v>
      </c>
      <c r="D290" s="2"/>
      <c r="E290" s="2"/>
      <c r="F290" s="1"/>
      <c r="G290" s="1"/>
      <c r="H290" s="1"/>
      <c r="I290" s="1"/>
      <c r="J290" s="1"/>
      <c r="K290" s="1"/>
      <c r="L290" s="5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54"/>
      <c r="Y290" s="58"/>
      <c r="Z290" s="1"/>
      <c r="AA290" s="1"/>
    </row>
    <row r="291" spans="1:31" x14ac:dyDescent="0.25">
      <c r="A291" s="28" t="s">
        <v>60</v>
      </c>
      <c r="B291" s="29" t="s">
        <v>13</v>
      </c>
      <c r="C291" s="29" t="s">
        <v>61</v>
      </c>
      <c r="D291" s="2"/>
      <c r="E291" s="2"/>
      <c r="F291" s="51">
        <v>180</v>
      </c>
      <c r="G291" s="51"/>
      <c r="H291" s="51">
        <v>170</v>
      </c>
      <c r="I291" s="51">
        <v>170</v>
      </c>
      <c r="J291" s="51">
        <v>170</v>
      </c>
      <c r="K291" s="51">
        <v>170</v>
      </c>
      <c r="L291" s="52"/>
      <c r="M291" s="51">
        <v>180</v>
      </c>
      <c r="N291" s="51">
        <v>160</v>
      </c>
      <c r="O291" s="51">
        <v>180</v>
      </c>
      <c r="P291" s="51">
        <v>180</v>
      </c>
      <c r="Q291" s="51">
        <v>180</v>
      </c>
      <c r="R291" s="51">
        <v>180</v>
      </c>
      <c r="S291" s="51"/>
      <c r="T291" s="51">
        <v>180</v>
      </c>
      <c r="U291" s="51">
        <v>180</v>
      </c>
      <c r="V291" s="51">
        <v>180</v>
      </c>
      <c r="W291" s="51">
        <v>180</v>
      </c>
      <c r="X291" s="55">
        <v>180</v>
      </c>
      <c r="Y291" s="59"/>
      <c r="Z291" s="51"/>
      <c r="AA291" s="51"/>
    </row>
    <row r="292" spans="1:31" x14ac:dyDescent="0.25">
      <c r="A292" s="36" t="s">
        <v>60</v>
      </c>
      <c r="B292" s="37" t="s">
        <v>13</v>
      </c>
      <c r="C292" s="29" t="s">
        <v>62</v>
      </c>
      <c r="D292" s="2"/>
      <c r="E292" s="2"/>
      <c r="F292" s="51">
        <v>180</v>
      </c>
      <c r="G292" s="51">
        <v>180</v>
      </c>
      <c r="H292" s="51">
        <v>170</v>
      </c>
      <c r="I292" s="51"/>
      <c r="J292" s="51"/>
      <c r="K292" s="51"/>
      <c r="L292" s="52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5"/>
      <c r="Y292" s="59"/>
      <c r="Z292" s="51"/>
      <c r="AA292" s="51"/>
    </row>
    <row r="293" spans="1:31" x14ac:dyDescent="0.25">
      <c r="A293" s="30" t="s">
        <v>60</v>
      </c>
      <c r="B293" s="31" t="s">
        <v>13</v>
      </c>
      <c r="C293" s="32" t="s">
        <v>63</v>
      </c>
      <c r="D293" s="2"/>
      <c r="E293" s="2"/>
      <c r="F293" s="51"/>
      <c r="G293" s="51"/>
      <c r="H293" s="51"/>
      <c r="I293" s="51"/>
      <c r="J293" s="51"/>
      <c r="K293" s="51"/>
      <c r="L293" s="52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5"/>
      <c r="Y293" s="59"/>
      <c r="Z293" s="51"/>
      <c r="AA293" s="51"/>
    </row>
    <row r="294" spans="1:31" x14ac:dyDescent="0.25">
      <c r="A294" s="30" t="s">
        <v>60</v>
      </c>
      <c r="B294" s="32" t="s">
        <v>23</v>
      </c>
      <c r="C294" s="31" t="s">
        <v>50</v>
      </c>
      <c r="D294" s="2"/>
      <c r="E294" s="2"/>
      <c r="F294" s="51">
        <v>65</v>
      </c>
      <c r="G294" s="51"/>
      <c r="H294" s="51"/>
      <c r="I294" s="51"/>
      <c r="J294" s="51">
        <v>65</v>
      </c>
      <c r="K294" s="51">
        <v>70</v>
      </c>
      <c r="L294" s="52"/>
      <c r="M294" s="51">
        <v>65</v>
      </c>
      <c r="N294" s="51">
        <v>65</v>
      </c>
      <c r="O294" s="51"/>
      <c r="P294" s="51"/>
      <c r="Q294" s="51"/>
      <c r="R294" s="51"/>
      <c r="S294" s="51"/>
      <c r="T294" s="51"/>
      <c r="U294" s="51"/>
      <c r="V294" s="51"/>
      <c r="W294" s="51"/>
      <c r="X294" s="55"/>
      <c r="Y294" s="59"/>
      <c r="Z294" s="51"/>
      <c r="AA294" s="51"/>
      <c r="AB294" t="s">
        <v>13</v>
      </c>
      <c r="AC294" t="s">
        <v>111</v>
      </c>
      <c r="AD294" t="s">
        <v>106</v>
      </c>
    </row>
    <row r="295" spans="1:31" x14ac:dyDescent="0.25">
      <c r="A295" s="30" t="s">
        <v>60</v>
      </c>
      <c r="B295" s="32" t="s">
        <v>23</v>
      </c>
      <c r="C295" s="31" t="s">
        <v>49</v>
      </c>
      <c r="D295" s="2"/>
      <c r="E295" s="2"/>
      <c r="F295" s="51"/>
      <c r="G295" s="51"/>
      <c r="H295" s="51"/>
      <c r="I295" s="51"/>
      <c r="J295" s="51">
        <v>45</v>
      </c>
      <c r="K295" s="51"/>
      <c r="L295" s="52"/>
      <c r="M295" s="51"/>
      <c r="N295" s="51"/>
      <c r="O295" s="51"/>
      <c r="P295" s="51"/>
      <c r="Q295" s="51"/>
      <c r="R295" s="51"/>
      <c r="S295" s="51">
        <v>45</v>
      </c>
      <c r="T295" s="51">
        <v>35</v>
      </c>
      <c r="U295" s="51"/>
      <c r="V295" s="51">
        <v>45</v>
      </c>
      <c r="W295" s="51"/>
      <c r="X295" s="55">
        <v>45</v>
      </c>
      <c r="Y295" s="59"/>
      <c r="Z295" s="51"/>
      <c r="AA295" s="51"/>
      <c r="AB295">
        <v>2.9</v>
      </c>
      <c r="AC295">
        <v>3.2</v>
      </c>
      <c r="AD295">
        <v>1.8</v>
      </c>
      <c r="AE295" t="s">
        <v>107</v>
      </c>
    </row>
    <row r="296" spans="1:31" x14ac:dyDescent="0.25">
      <c r="A296" s="30" t="s">
        <v>60</v>
      </c>
      <c r="B296" s="32" t="s">
        <v>23</v>
      </c>
      <c r="C296" s="31" t="s">
        <v>64</v>
      </c>
      <c r="D296" s="2"/>
      <c r="E296" s="2"/>
      <c r="F296" s="51"/>
      <c r="G296" s="51"/>
      <c r="H296" s="51"/>
      <c r="I296" s="51"/>
      <c r="J296" s="51"/>
      <c r="K296" s="51"/>
      <c r="L296" s="52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5"/>
      <c r="Y296" s="59"/>
      <c r="Z296" s="51"/>
      <c r="AA296" s="51"/>
      <c r="AB296">
        <v>3.6</v>
      </c>
      <c r="AC296">
        <v>1.2</v>
      </c>
      <c r="AD296">
        <v>1.2</v>
      </c>
      <c r="AE296" t="s">
        <v>108</v>
      </c>
    </row>
    <row r="297" spans="1:31" x14ac:dyDescent="0.25">
      <c r="A297" s="30" t="s">
        <v>60</v>
      </c>
      <c r="B297" s="32" t="s">
        <v>65</v>
      </c>
      <c r="C297" s="31" t="s">
        <v>66</v>
      </c>
      <c r="D297" s="2"/>
      <c r="E297" s="2"/>
      <c r="F297" s="51"/>
      <c r="G297" s="51"/>
      <c r="H297" s="51"/>
      <c r="I297" s="51"/>
      <c r="J297" s="51">
        <v>40</v>
      </c>
      <c r="K297" s="51"/>
      <c r="L297" s="52"/>
      <c r="M297" s="51">
        <v>40</v>
      </c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5"/>
      <c r="Y297" s="59"/>
      <c r="Z297" s="51"/>
      <c r="AA297" s="51"/>
      <c r="AB297">
        <v>65.099999999999994</v>
      </c>
      <c r="AC297">
        <v>42.7</v>
      </c>
      <c r="AD297">
        <v>42.2</v>
      </c>
      <c r="AE297" t="s">
        <v>109</v>
      </c>
    </row>
    <row r="298" spans="1:31" x14ac:dyDescent="0.25">
      <c r="A298" s="30" t="s">
        <v>60</v>
      </c>
      <c r="B298" s="32" t="s">
        <v>65</v>
      </c>
      <c r="C298" s="31" t="s">
        <v>67</v>
      </c>
      <c r="D298" s="2"/>
      <c r="E298" s="2"/>
      <c r="F298" s="51"/>
      <c r="G298" s="51"/>
      <c r="H298" s="51"/>
      <c r="I298" s="51"/>
      <c r="J298" s="51"/>
      <c r="K298" s="51"/>
      <c r="L298" s="52"/>
      <c r="M298" s="51"/>
      <c r="N298" s="51"/>
      <c r="O298" s="51"/>
      <c r="P298" s="51"/>
      <c r="Q298" s="51">
        <v>35</v>
      </c>
      <c r="R298" s="51">
        <v>35</v>
      </c>
      <c r="S298" s="51"/>
      <c r="T298" s="51">
        <v>35</v>
      </c>
      <c r="U298" s="51">
        <v>35</v>
      </c>
      <c r="V298" s="51">
        <v>35</v>
      </c>
      <c r="W298" s="51">
        <v>35</v>
      </c>
      <c r="X298" s="55">
        <v>35</v>
      </c>
      <c r="Y298" s="59"/>
      <c r="Z298" s="51"/>
      <c r="AA298" s="51"/>
      <c r="AB298">
        <v>18.2</v>
      </c>
      <c r="AC298">
        <v>22</v>
      </c>
      <c r="AD298">
        <v>22.2</v>
      </c>
      <c r="AE298" t="s">
        <v>110</v>
      </c>
    </row>
    <row r="299" spans="1:31" x14ac:dyDescent="0.25">
      <c r="A299" s="30" t="s">
        <v>60</v>
      </c>
      <c r="B299" s="32" t="s">
        <v>65</v>
      </c>
      <c r="C299" s="31" t="s">
        <v>68</v>
      </c>
      <c r="D299" s="2"/>
      <c r="E299" s="2"/>
      <c r="F299" s="51"/>
      <c r="G299" s="51"/>
      <c r="H299" s="51"/>
      <c r="I299" s="51"/>
      <c r="J299" s="51"/>
      <c r="K299" s="51"/>
      <c r="L299" s="52">
        <v>40</v>
      </c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5"/>
      <c r="Y299" s="59"/>
      <c r="Z299" s="51"/>
      <c r="AA299" s="51"/>
      <c r="AB299">
        <v>47</v>
      </c>
      <c r="AC299">
        <v>58</v>
      </c>
      <c r="AD299">
        <v>49</v>
      </c>
      <c r="AE299" t="s">
        <v>102</v>
      </c>
    </row>
    <row r="300" spans="1:31" x14ac:dyDescent="0.25">
      <c r="A300" s="30" t="s">
        <v>60</v>
      </c>
      <c r="B300" s="32" t="s">
        <v>9</v>
      </c>
      <c r="C300" s="31" t="s">
        <v>69</v>
      </c>
      <c r="D300" s="2"/>
      <c r="E300" s="2"/>
      <c r="F300" s="51"/>
      <c r="G300" s="51"/>
      <c r="H300" s="51"/>
      <c r="I300" s="51"/>
      <c r="J300" s="51"/>
      <c r="K300" s="51"/>
      <c r="L300" s="52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5">
        <v>60</v>
      </c>
      <c r="Y300" s="59"/>
      <c r="Z300" s="51"/>
      <c r="AA300" s="51"/>
      <c r="AB300">
        <f>AB295*AB296</f>
        <v>10.44</v>
      </c>
      <c r="AC300">
        <f>AC295*AC296</f>
        <v>3.84</v>
      </c>
      <c r="AD300">
        <f>AD295*AD296</f>
        <v>2.16</v>
      </c>
      <c r="AE300" t="s">
        <v>91</v>
      </c>
    </row>
    <row r="301" spans="1:31" x14ac:dyDescent="0.25">
      <c r="A301" s="15" t="s">
        <v>51</v>
      </c>
      <c r="B301" s="16" t="s">
        <v>56</v>
      </c>
      <c r="C301" s="27" t="s">
        <v>57</v>
      </c>
      <c r="D301" s="16" t="s">
        <v>70</v>
      </c>
      <c r="E301" s="16"/>
      <c r="F301" s="1"/>
      <c r="G301" s="1"/>
      <c r="H301" s="1"/>
      <c r="I301" s="1"/>
      <c r="J301" s="1"/>
      <c r="K301" s="1"/>
      <c r="L301" s="5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54"/>
      <c r="Y301" s="58"/>
      <c r="Z301" s="1"/>
      <c r="AA301" s="1"/>
      <c r="AB301">
        <f>(AB298/100)^2*AB297/100</f>
        <v>2.1563723999999999E-2</v>
      </c>
      <c r="AC301">
        <f>(AC298/100)^2*AC297/100</f>
        <v>2.0666800000000003E-2</v>
      </c>
      <c r="AD301">
        <f>(AD298/100)^2*AD297/100</f>
        <v>2.0797848000000001E-2</v>
      </c>
      <c r="AE301" t="s">
        <v>112</v>
      </c>
    </row>
    <row r="302" spans="1:31" x14ac:dyDescent="0.25">
      <c r="A302" s="15" t="s">
        <v>51</v>
      </c>
      <c r="B302" s="16" t="s">
        <v>56</v>
      </c>
      <c r="C302" s="27" t="s">
        <v>57</v>
      </c>
      <c r="D302" s="16" t="s">
        <v>71</v>
      </c>
      <c r="E302" s="16"/>
      <c r="F302" s="1"/>
      <c r="G302" s="1"/>
      <c r="H302" s="1"/>
      <c r="I302" s="1"/>
      <c r="J302" s="1"/>
      <c r="K302" s="1"/>
      <c r="L302" s="5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54"/>
      <c r="Y302" s="58"/>
      <c r="Z302" s="1"/>
      <c r="AA302" s="1"/>
      <c r="AB302">
        <f>AB300/AB299</f>
        <v>0.22212765957446806</v>
      </c>
      <c r="AC302">
        <f>AC300/AC299</f>
        <v>6.620689655172414E-2</v>
      </c>
      <c r="AD302">
        <f>AD300/AD299</f>
        <v>4.4081632653061226E-2</v>
      </c>
      <c r="AE302" t="s">
        <v>104</v>
      </c>
    </row>
    <row r="303" spans="1:31" x14ac:dyDescent="0.25">
      <c r="A303" s="15" t="s">
        <v>51</v>
      </c>
      <c r="B303" s="16" t="s">
        <v>56</v>
      </c>
      <c r="C303" s="27" t="s">
        <v>27</v>
      </c>
      <c r="D303" s="16" t="s">
        <v>72</v>
      </c>
      <c r="E303" s="16"/>
      <c r="F303" s="1"/>
      <c r="G303" s="1"/>
      <c r="H303" s="1"/>
      <c r="I303" s="1"/>
      <c r="J303" s="1"/>
      <c r="K303" s="1"/>
      <c r="L303" s="5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54"/>
      <c r="Y303" s="58"/>
      <c r="Z303" s="1"/>
      <c r="AA303" s="1"/>
      <c r="AB303">
        <f>AB300/AB301</f>
        <v>484.14643036610931</v>
      </c>
      <c r="AC303">
        <f>AC300/AC301</f>
        <v>185.8052528693363</v>
      </c>
      <c r="AD303">
        <f>AD300/AD301</f>
        <v>103.85689904070844</v>
      </c>
      <c r="AE303" t="s">
        <v>113</v>
      </c>
    </row>
    <row r="304" spans="1:31" x14ac:dyDescent="0.25">
      <c r="A304" s="15" t="s">
        <v>51</v>
      </c>
      <c r="B304" s="16" t="s">
        <v>56</v>
      </c>
      <c r="C304" s="27" t="s">
        <v>57</v>
      </c>
      <c r="D304" s="16" t="s">
        <v>73</v>
      </c>
      <c r="E304" s="16"/>
      <c r="F304" s="1"/>
      <c r="G304" s="1"/>
      <c r="H304" s="1"/>
      <c r="I304" s="1"/>
      <c r="J304" s="1"/>
      <c r="K304" s="1"/>
      <c r="L304" s="5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54"/>
      <c r="Y304" s="58"/>
      <c r="Z304" s="1"/>
      <c r="AA304" s="1"/>
    </row>
    <row r="305" spans="1:27" x14ac:dyDescent="0.25">
      <c r="A305" s="15" t="s">
        <v>51</v>
      </c>
      <c r="B305" s="16" t="s">
        <v>56</v>
      </c>
      <c r="C305" s="27" t="s">
        <v>57</v>
      </c>
      <c r="D305" s="16" t="s">
        <v>74</v>
      </c>
      <c r="E305" s="16"/>
      <c r="F305" s="1"/>
      <c r="G305" s="1"/>
      <c r="H305" s="1"/>
      <c r="I305" s="1"/>
      <c r="J305" s="1"/>
      <c r="K305" s="1"/>
      <c r="L305" s="5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54"/>
      <c r="Y305" s="58"/>
      <c r="Z305" s="1"/>
      <c r="AA305" s="1"/>
    </row>
    <row r="306" spans="1:27" x14ac:dyDescent="0.25">
      <c r="A306" s="30" t="s">
        <v>60</v>
      </c>
      <c r="B306" s="31" t="s">
        <v>13</v>
      </c>
      <c r="C306" s="32" t="s">
        <v>61</v>
      </c>
      <c r="D306" s="31" t="s">
        <v>75</v>
      </c>
      <c r="E306" s="31"/>
      <c r="F306" s="51"/>
      <c r="G306" s="51"/>
      <c r="H306" s="51"/>
      <c r="I306" s="51"/>
      <c r="J306" s="51"/>
      <c r="K306" s="51"/>
      <c r="L306" s="52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5"/>
      <c r="Y306" s="59"/>
      <c r="Z306" s="51"/>
      <c r="AA306" s="51"/>
    </row>
    <row r="307" spans="1:27" x14ac:dyDescent="0.25">
      <c r="A307" s="30" t="s">
        <v>60</v>
      </c>
      <c r="B307" s="31" t="s">
        <v>13</v>
      </c>
      <c r="C307" s="32" t="s">
        <v>61</v>
      </c>
      <c r="D307" s="31" t="s">
        <v>76</v>
      </c>
      <c r="E307" s="31"/>
      <c r="F307" s="51"/>
      <c r="G307" s="51"/>
      <c r="H307" s="51"/>
      <c r="I307" s="51"/>
      <c r="J307" s="51"/>
      <c r="K307" s="51"/>
      <c r="L307" s="52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5"/>
      <c r="Y307" s="59"/>
      <c r="Z307" s="51"/>
      <c r="AA307" s="51"/>
    </row>
    <row r="308" spans="1:27" x14ac:dyDescent="0.25">
      <c r="A308" s="30" t="s">
        <v>60</v>
      </c>
      <c r="B308" s="31" t="s">
        <v>13</v>
      </c>
      <c r="C308" s="32" t="s">
        <v>61</v>
      </c>
      <c r="D308" s="31" t="s">
        <v>77</v>
      </c>
      <c r="E308" s="31"/>
      <c r="F308" s="51"/>
      <c r="G308" s="51"/>
      <c r="H308" s="51"/>
      <c r="I308" s="51"/>
      <c r="J308" s="51"/>
      <c r="K308" s="51"/>
      <c r="L308" s="52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5"/>
      <c r="Y308" s="59"/>
      <c r="Z308" s="51"/>
      <c r="AA308" s="51"/>
    </row>
    <row r="309" spans="1:27" x14ac:dyDescent="0.25">
      <c r="A309" s="30" t="s">
        <v>60</v>
      </c>
      <c r="B309" s="31" t="s">
        <v>13</v>
      </c>
      <c r="C309" s="32" t="s">
        <v>61</v>
      </c>
      <c r="D309" s="31" t="s">
        <v>78</v>
      </c>
      <c r="E309" s="31"/>
      <c r="F309" s="51"/>
      <c r="G309" s="51"/>
      <c r="H309" s="51"/>
      <c r="I309" s="51"/>
      <c r="J309" s="51"/>
      <c r="K309" s="51"/>
      <c r="L309" s="52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5"/>
      <c r="Y309" s="59"/>
      <c r="Z309" s="51"/>
      <c r="AA309" s="51"/>
    </row>
    <row r="310" spans="1:27" ht="15.75" thickBot="1" x14ac:dyDescent="0.3">
      <c r="A310" s="33" t="s">
        <v>60</v>
      </c>
      <c r="B310" s="34" t="s">
        <v>13</v>
      </c>
      <c r="C310" s="35" t="s">
        <v>61</v>
      </c>
      <c r="D310" s="34" t="s">
        <v>79</v>
      </c>
      <c r="E310" s="31"/>
      <c r="F310" s="51"/>
      <c r="G310" s="51"/>
      <c r="H310" s="51"/>
      <c r="I310" s="51"/>
      <c r="J310" s="51"/>
      <c r="K310" s="51"/>
      <c r="L310" s="52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5"/>
      <c r="Y310" s="59"/>
      <c r="Z310" s="51"/>
      <c r="AA310" s="51"/>
    </row>
    <row r="311" spans="1:27" x14ac:dyDescent="0.25">
      <c r="A311" s="30" t="s">
        <v>60</v>
      </c>
      <c r="B311" s="31" t="s">
        <v>13</v>
      </c>
      <c r="C311" s="32" t="s">
        <v>62</v>
      </c>
      <c r="D311" s="31" t="s">
        <v>75</v>
      </c>
      <c r="E311" s="31"/>
      <c r="F311" s="51"/>
      <c r="G311" s="51"/>
      <c r="H311" s="51"/>
      <c r="I311" s="51"/>
      <c r="J311" s="51"/>
      <c r="K311" s="51"/>
      <c r="L311" s="52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5"/>
      <c r="Y311" s="59"/>
      <c r="Z311" s="51"/>
      <c r="AA311" s="51"/>
    </row>
    <row r="312" spans="1:27" x14ac:dyDescent="0.25">
      <c r="A312" s="30" t="s">
        <v>60</v>
      </c>
      <c r="B312" s="31" t="s">
        <v>13</v>
      </c>
      <c r="C312" s="32" t="s">
        <v>62</v>
      </c>
      <c r="D312" s="31" t="s">
        <v>76</v>
      </c>
      <c r="E312" s="31"/>
      <c r="F312" s="51"/>
      <c r="G312" s="51"/>
      <c r="H312" s="51"/>
      <c r="I312" s="51"/>
      <c r="J312" s="51"/>
      <c r="K312" s="51"/>
      <c r="L312" s="52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5"/>
      <c r="Y312" s="59"/>
      <c r="Z312" s="51"/>
      <c r="AA312" s="51"/>
    </row>
    <row r="313" spans="1:27" x14ac:dyDescent="0.25">
      <c r="A313" s="30" t="s">
        <v>60</v>
      </c>
      <c r="B313" s="31" t="s">
        <v>13</v>
      </c>
      <c r="C313" s="32" t="s">
        <v>62</v>
      </c>
      <c r="D313" s="31" t="s">
        <v>77</v>
      </c>
      <c r="E313" s="31"/>
      <c r="F313" s="51"/>
      <c r="G313" s="51"/>
      <c r="H313" s="51"/>
      <c r="I313" s="51"/>
      <c r="J313" s="51"/>
      <c r="K313" s="51"/>
      <c r="L313" s="52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5"/>
      <c r="Y313" s="59"/>
      <c r="Z313" s="51"/>
      <c r="AA313" s="51"/>
    </row>
    <row r="314" spans="1:27" x14ac:dyDescent="0.25">
      <c r="A314" s="30" t="s">
        <v>60</v>
      </c>
      <c r="B314" s="31" t="s">
        <v>13</v>
      </c>
      <c r="C314" s="32" t="s">
        <v>62</v>
      </c>
      <c r="D314" s="31" t="s">
        <v>78</v>
      </c>
      <c r="E314" s="31"/>
      <c r="F314" s="51"/>
      <c r="G314" s="51"/>
      <c r="H314" s="51"/>
      <c r="I314" s="51"/>
      <c r="J314" s="51"/>
      <c r="K314" s="51"/>
      <c r="L314" s="52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5"/>
      <c r="Y314" s="59"/>
      <c r="Z314" s="51"/>
      <c r="AA314" s="51"/>
    </row>
    <row r="315" spans="1:27" ht="15.75" thickBot="1" x14ac:dyDescent="0.3">
      <c r="A315" s="33" t="s">
        <v>60</v>
      </c>
      <c r="B315" s="34" t="s">
        <v>13</v>
      </c>
      <c r="C315" s="32" t="s">
        <v>62</v>
      </c>
      <c r="D315" s="34" t="s">
        <v>79</v>
      </c>
      <c r="E315" s="31"/>
      <c r="F315" s="51"/>
      <c r="G315" s="51"/>
      <c r="H315" s="51"/>
      <c r="I315" s="51"/>
      <c r="J315" s="51"/>
      <c r="K315" s="51"/>
      <c r="L315" s="52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5"/>
      <c r="Y315" s="59"/>
      <c r="Z315" s="51"/>
      <c r="AA315" s="51"/>
    </row>
  </sheetData>
  <pageMargins left="0.7" right="0.7" top="0.75" bottom="0.75" header="0.3" footer="0.3"/>
  <pageSetup paperSize="9" scale="65" orientation="landscape" r:id="rId1"/>
  <rowBreaks count="4" manualBreakCount="4">
    <brk id="45" max="16383" man="1"/>
    <brk id="91" max="16383" man="1"/>
    <brk id="136" max="16383" man="1"/>
    <brk id="181" max="16383" man="1"/>
  </rowBreaks>
  <colBreaks count="1" manualBreakCount="1">
    <brk id="28" max="22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15"/>
  <sheetViews>
    <sheetView workbookViewId="0"/>
  </sheetViews>
  <sheetFormatPr baseColWidth="10" defaultColWidth="8.85546875" defaultRowHeight="15" x14ac:dyDescent="0.25"/>
  <cols>
    <col min="5" max="5" width="9.140625" customWidth="1"/>
  </cols>
  <sheetData>
    <row r="1" spans="1:33" ht="18.75" x14ac:dyDescent="0.3">
      <c r="A1" s="42" t="s">
        <v>14</v>
      </c>
      <c r="B1" s="42"/>
      <c r="C1" s="82">
        <v>2013</v>
      </c>
    </row>
    <row r="2" spans="1:33" x14ac:dyDescent="0.25">
      <c r="D2" s="41" t="s">
        <v>1</v>
      </c>
      <c r="E2" s="41"/>
      <c r="M2" s="24" t="s">
        <v>81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33" x14ac:dyDescent="0.25">
      <c r="F3" s="23" t="s">
        <v>44</v>
      </c>
      <c r="G3" s="23"/>
      <c r="H3" s="23"/>
      <c r="I3" s="23"/>
      <c r="J3" s="23"/>
      <c r="K3" s="23"/>
      <c r="L3" s="7" t="s">
        <v>30</v>
      </c>
      <c r="M3" s="24" t="s">
        <v>46</v>
      </c>
      <c r="N3" s="24"/>
      <c r="O3" s="24"/>
      <c r="P3" s="24"/>
      <c r="Q3" s="24"/>
      <c r="R3" s="24" t="s">
        <v>47</v>
      </c>
      <c r="S3" s="24"/>
      <c r="T3" s="24"/>
      <c r="U3" s="24"/>
      <c r="V3" s="24"/>
      <c r="W3" s="24"/>
      <c r="X3" s="24"/>
      <c r="Y3" s="44" t="s">
        <v>85</v>
      </c>
      <c r="Z3" s="44" t="s">
        <v>48</v>
      </c>
      <c r="AA3" s="44" t="s">
        <v>3</v>
      </c>
    </row>
    <row r="4" spans="1:33" ht="63" x14ac:dyDescent="0.25">
      <c r="F4" s="38" t="s">
        <v>36</v>
      </c>
      <c r="G4" s="38" t="s">
        <v>37</v>
      </c>
      <c r="H4" s="38" t="s">
        <v>38</v>
      </c>
      <c r="I4" s="38" t="s">
        <v>80</v>
      </c>
      <c r="J4" s="38" t="s">
        <v>39</v>
      </c>
      <c r="K4" s="38" t="s">
        <v>45</v>
      </c>
      <c r="L4" s="39" t="s">
        <v>16</v>
      </c>
      <c r="M4" s="40" t="s">
        <v>34</v>
      </c>
      <c r="N4" s="40" t="s">
        <v>5</v>
      </c>
      <c r="O4" s="40" t="s">
        <v>7</v>
      </c>
      <c r="P4" s="40" t="s">
        <v>8</v>
      </c>
      <c r="Q4" s="40" t="s">
        <v>40</v>
      </c>
      <c r="R4" s="40" t="s">
        <v>41</v>
      </c>
      <c r="S4" s="40" t="s">
        <v>42</v>
      </c>
      <c r="T4" s="40" t="s">
        <v>31</v>
      </c>
      <c r="U4" s="40" t="s">
        <v>43</v>
      </c>
      <c r="V4" s="40" t="s">
        <v>82</v>
      </c>
      <c r="W4" s="40" t="s">
        <v>87</v>
      </c>
      <c r="X4" s="40" t="s">
        <v>83</v>
      </c>
      <c r="Y4" s="45" t="s">
        <v>3</v>
      </c>
      <c r="Z4" s="45" t="s">
        <v>3</v>
      </c>
      <c r="AA4" s="45" t="s">
        <v>3</v>
      </c>
    </row>
    <row r="5" spans="1:33" x14ac:dyDescent="0.25">
      <c r="A5" s="15" t="s">
        <v>51</v>
      </c>
      <c r="B5" s="2"/>
      <c r="C5" s="2"/>
      <c r="F5" s="1">
        <f t="shared" ref="F5:M5" si="0">F7+F8+F9</f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52">
        <f t="shared" si="0"/>
        <v>0</v>
      </c>
      <c r="M5" s="1">
        <f t="shared" si="0"/>
        <v>0</v>
      </c>
      <c r="N5" s="1">
        <f t="shared" ref="N5:X5" si="1">N7+N8+N9</f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58">
        <f t="shared" ref="Y5:Y45" si="2">SUM(F5:K5)</f>
        <v>0</v>
      </c>
      <c r="Z5" s="1">
        <f t="shared" ref="Z5:Z45" si="3">SUM(M5:X5)</f>
        <v>0</v>
      </c>
      <c r="AA5" s="1">
        <f>L5+Y5+Z5</f>
        <v>0</v>
      </c>
    </row>
    <row r="6" spans="1:33" x14ac:dyDescent="0.25">
      <c r="A6" s="30" t="s">
        <v>60</v>
      </c>
      <c r="B6" s="2"/>
      <c r="C6" s="2"/>
      <c r="F6" s="1">
        <f>F10+F11+F12+F13</f>
        <v>10350</v>
      </c>
      <c r="G6" s="1">
        <f t="shared" ref="G6:X6" si="4">G10+G11+G12+G13</f>
        <v>4560</v>
      </c>
      <c r="H6" s="1">
        <f t="shared" si="4"/>
        <v>8460</v>
      </c>
      <c r="I6" s="1">
        <f t="shared" si="4"/>
        <v>2940</v>
      </c>
      <c r="J6" s="1">
        <f t="shared" si="4"/>
        <v>6750.2775956284149</v>
      </c>
      <c r="K6" s="1">
        <f t="shared" si="4"/>
        <v>3250</v>
      </c>
      <c r="L6" s="52">
        <f t="shared" si="4"/>
        <v>228888.88888888891</v>
      </c>
      <c r="M6" s="1">
        <f t="shared" si="4"/>
        <v>12216.666666666668</v>
      </c>
      <c r="N6" s="1">
        <f t="shared" si="4"/>
        <v>1820</v>
      </c>
      <c r="O6" s="1">
        <f t="shared" si="4"/>
        <v>796.80000000000007</v>
      </c>
      <c r="P6" s="1">
        <f t="shared" si="4"/>
        <v>4233</v>
      </c>
      <c r="Q6" s="1">
        <f t="shared" si="4"/>
        <v>23413.333333333336</v>
      </c>
      <c r="R6" s="1">
        <f t="shared" si="4"/>
        <v>13300.453514739231</v>
      </c>
      <c r="S6" s="1">
        <f t="shared" si="4"/>
        <v>245</v>
      </c>
      <c r="T6" s="1">
        <f t="shared" si="4"/>
        <v>16113.333333333334</v>
      </c>
      <c r="U6" s="1">
        <f t="shared" si="4"/>
        <v>9480</v>
      </c>
      <c r="V6" s="1">
        <f t="shared" si="4"/>
        <v>5076.666666666667</v>
      </c>
      <c r="W6" s="1">
        <f t="shared" si="4"/>
        <v>6700.0000000000009</v>
      </c>
      <c r="X6" s="54">
        <f t="shared" si="4"/>
        <v>8654.7619047619046</v>
      </c>
      <c r="Y6" s="58">
        <f t="shared" si="2"/>
        <v>36310.277595628417</v>
      </c>
      <c r="Z6" s="1">
        <f t="shared" si="3"/>
        <v>102050.01541950114</v>
      </c>
      <c r="AA6" s="1">
        <f>L6+Y6+Z6</f>
        <v>367249.18190401851</v>
      </c>
    </row>
    <row r="7" spans="1:33" x14ac:dyDescent="0.25">
      <c r="A7" s="15" t="s">
        <v>51</v>
      </c>
      <c r="B7" s="16" t="s">
        <v>52</v>
      </c>
      <c r="C7" s="2"/>
      <c r="F7" s="1">
        <f>F14+F15+F16</f>
        <v>0</v>
      </c>
      <c r="G7" s="1">
        <f t="shared" ref="G7:X7" si="5">G14+G15+G16</f>
        <v>0</v>
      </c>
      <c r="H7" s="1">
        <f t="shared" si="5"/>
        <v>0</v>
      </c>
      <c r="I7" s="1">
        <f t="shared" si="5"/>
        <v>0</v>
      </c>
      <c r="J7" s="1">
        <f t="shared" si="5"/>
        <v>0</v>
      </c>
      <c r="K7" s="1">
        <f t="shared" si="5"/>
        <v>0</v>
      </c>
      <c r="L7" s="52">
        <f t="shared" si="5"/>
        <v>0</v>
      </c>
      <c r="M7" s="1">
        <f t="shared" si="5"/>
        <v>0</v>
      </c>
      <c r="N7" s="1">
        <f t="shared" si="5"/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  <c r="R7" s="1">
        <f t="shared" si="5"/>
        <v>0</v>
      </c>
      <c r="S7" s="1">
        <f t="shared" si="5"/>
        <v>0</v>
      </c>
      <c r="T7" s="1">
        <f t="shared" si="5"/>
        <v>0</v>
      </c>
      <c r="U7" s="1">
        <f t="shared" si="5"/>
        <v>0</v>
      </c>
      <c r="V7" s="1">
        <f t="shared" si="5"/>
        <v>0</v>
      </c>
      <c r="W7" s="1">
        <f t="shared" si="5"/>
        <v>0</v>
      </c>
      <c r="X7" s="54">
        <f t="shared" si="5"/>
        <v>0</v>
      </c>
      <c r="Y7" s="58">
        <f t="shared" si="2"/>
        <v>0</v>
      </c>
      <c r="Z7" s="1">
        <f t="shared" si="3"/>
        <v>0</v>
      </c>
      <c r="AA7" s="1">
        <f>L7+Y7+Z7</f>
        <v>0</v>
      </c>
    </row>
    <row r="8" spans="1:33" x14ac:dyDescent="0.25">
      <c r="A8" s="15" t="s">
        <v>51</v>
      </c>
      <c r="B8" s="16" t="s">
        <v>56</v>
      </c>
      <c r="C8" s="2"/>
      <c r="F8" s="1">
        <f>F17+F18+F19</f>
        <v>0</v>
      </c>
      <c r="G8" s="1">
        <f t="shared" ref="G8:X8" si="6">G17+G18+G19</f>
        <v>0</v>
      </c>
      <c r="H8" s="1">
        <f t="shared" si="6"/>
        <v>0</v>
      </c>
      <c r="I8" s="1">
        <f t="shared" si="6"/>
        <v>0</v>
      </c>
      <c r="J8" s="1">
        <f t="shared" si="6"/>
        <v>0</v>
      </c>
      <c r="K8" s="1">
        <f t="shared" si="6"/>
        <v>0</v>
      </c>
      <c r="L8" s="52">
        <f t="shared" si="6"/>
        <v>0</v>
      </c>
      <c r="M8" s="1">
        <f t="shared" si="6"/>
        <v>0</v>
      </c>
      <c r="N8" s="1">
        <f t="shared" si="6"/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  <c r="R8" s="1">
        <f t="shared" si="6"/>
        <v>0</v>
      </c>
      <c r="S8" s="1">
        <f t="shared" si="6"/>
        <v>0</v>
      </c>
      <c r="T8" s="1">
        <f t="shared" si="6"/>
        <v>0</v>
      </c>
      <c r="U8" s="1">
        <f t="shared" si="6"/>
        <v>0</v>
      </c>
      <c r="V8" s="1">
        <f t="shared" si="6"/>
        <v>0</v>
      </c>
      <c r="W8" s="1">
        <f t="shared" si="6"/>
        <v>0</v>
      </c>
      <c r="X8" s="54">
        <f t="shared" si="6"/>
        <v>0</v>
      </c>
      <c r="Y8" s="58">
        <f t="shared" si="2"/>
        <v>0</v>
      </c>
      <c r="Z8" s="1">
        <f t="shared" si="3"/>
        <v>0</v>
      </c>
      <c r="AA8" s="1">
        <f>L8+Y8+Z8</f>
        <v>0</v>
      </c>
      <c r="AE8" s="98"/>
      <c r="AF8" s="98"/>
      <c r="AG8" s="98"/>
    </row>
    <row r="9" spans="1:33" x14ac:dyDescent="0.25">
      <c r="A9" s="15" t="s">
        <v>51</v>
      </c>
      <c r="B9" s="16" t="s">
        <v>9</v>
      </c>
      <c r="C9" s="2"/>
      <c r="F9" s="1">
        <f>F20</f>
        <v>0</v>
      </c>
      <c r="G9" s="1">
        <f t="shared" ref="G9:X9" si="7">G20</f>
        <v>0</v>
      </c>
      <c r="H9" s="1">
        <f t="shared" si="7"/>
        <v>0</v>
      </c>
      <c r="I9" s="1">
        <f t="shared" si="7"/>
        <v>0</v>
      </c>
      <c r="J9" s="1">
        <f t="shared" si="7"/>
        <v>0</v>
      </c>
      <c r="K9" s="1">
        <f t="shared" si="7"/>
        <v>0</v>
      </c>
      <c r="L9" s="52">
        <f t="shared" si="7"/>
        <v>0</v>
      </c>
      <c r="M9" s="1">
        <f t="shared" si="7"/>
        <v>0</v>
      </c>
      <c r="N9" s="1">
        <f t="shared" si="7"/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  <c r="R9" s="1">
        <f t="shared" si="7"/>
        <v>0</v>
      </c>
      <c r="S9" s="1">
        <f t="shared" si="7"/>
        <v>0</v>
      </c>
      <c r="T9" s="1">
        <f t="shared" si="7"/>
        <v>0</v>
      </c>
      <c r="U9" s="1">
        <f t="shared" si="7"/>
        <v>0</v>
      </c>
      <c r="V9" s="1">
        <f t="shared" si="7"/>
        <v>0</v>
      </c>
      <c r="W9" s="1">
        <f t="shared" si="7"/>
        <v>0</v>
      </c>
      <c r="X9" s="54">
        <f t="shared" si="7"/>
        <v>0</v>
      </c>
      <c r="Y9" s="58">
        <f t="shared" si="2"/>
        <v>0</v>
      </c>
      <c r="Z9" s="1">
        <f t="shared" si="3"/>
        <v>0</v>
      </c>
      <c r="AA9" s="1">
        <f>L9+Y9+Z9</f>
        <v>0</v>
      </c>
      <c r="AE9" s="98"/>
      <c r="AF9" s="98"/>
      <c r="AG9" s="98"/>
    </row>
    <row r="10" spans="1:33" x14ac:dyDescent="0.25">
      <c r="A10" s="30" t="s">
        <v>60</v>
      </c>
      <c r="B10" s="32" t="s">
        <v>13</v>
      </c>
      <c r="C10" s="2"/>
      <c r="F10" s="51">
        <f>F21+F22+F23</f>
        <v>10300</v>
      </c>
      <c r="G10" s="51">
        <f t="shared" ref="G10:X10" si="8">G21+G22+G23</f>
        <v>4560</v>
      </c>
      <c r="H10" s="64">
        <v>8460</v>
      </c>
      <c r="I10" s="51">
        <f t="shared" si="8"/>
        <v>2940</v>
      </c>
      <c r="J10" s="51">
        <f t="shared" si="8"/>
        <v>1760</v>
      </c>
      <c r="K10" s="51">
        <f t="shared" si="8"/>
        <v>700</v>
      </c>
      <c r="L10" s="52">
        <f t="shared" si="8"/>
        <v>0</v>
      </c>
      <c r="M10" s="51">
        <f t="shared" si="8"/>
        <v>1800</v>
      </c>
      <c r="N10" s="51">
        <f t="shared" si="8"/>
        <v>220</v>
      </c>
      <c r="O10" s="51">
        <f t="shared" si="8"/>
        <v>796.80000000000007</v>
      </c>
      <c r="P10" s="51">
        <f t="shared" si="8"/>
        <v>4233</v>
      </c>
      <c r="Q10" s="51">
        <f t="shared" si="8"/>
        <v>80</v>
      </c>
      <c r="R10" s="51">
        <f t="shared" si="8"/>
        <v>244.89795918367346</v>
      </c>
      <c r="S10" s="51">
        <f t="shared" si="8"/>
        <v>0</v>
      </c>
      <c r="T10" s="51">
        <f t="shared" si="8"/>
        <v>160</v>
      </c>
      <c r="U10" s="51">
        <f t="shared" si="8"/>
        <v>480</v>
      </c>
      <c r="V10" s="51">
        <f t="shared" si="8"/>
        <v>50</v>
      </c>
      <c r="W10" s="51">
        <f t="shared" si="8"/>
        <v>1116.6666666666667</v>
      </c>
      <c r="X10" s="55">
        <f t="shared" si="8"/>
        <v>400</v>
      </c>
      <c r="Y10" s="59">
        <f t="shared" si="2"/>
        <v>28720</v>
      </c>
      <c r="Z10" s="73">
        <f t="shared" si="3"/>
        <v>9581.3646258503395</v>
      </c>
      <c r="AA10" s="64">
        <v>38800</v>
      </c>
      <c r="AE10" s="98"/>
      <c r="AF10" s="98"/>
      <c r="AG10" s="98"/>
    </row>
    <row r="11" spans="1:33" x14ac:dyDescent="0.25">
      <c r="A11" s="30" t="s">
        <v>60</v>
      </c>
      <c r="B11" s="31" t="s">
        <v>23</v>
      </c>
      <c r="C11" s="2"/>
      <c r="F11" s="51">
        <f>F24+F25+F26</f>
        <v>50</v>
      </c>
      <c r="G11" s="51">
        <f t="shared" ref="G11:X11" si="9">G24+G25+G26</f>
        <v>0</v>
      </c>
      <c r="H11" s="51">
        <f t="shared" si="9"/>
        <v>0</v>
      </c>
      <c r="I11" s="51">
        <f t="shared" si="9"/>
        <v>0</v>
      </c>
      <c r="J11" s="51">
        <f t="shared" si="9"/>
        <v>1656.9442622950819</v>
      </c>
      <c r="K11" s="51">
        <f t="shared" si="9"/>
        <v>2550</v>
      </c>
      <c r="L11" s="52">
        <f t="shared" si="9"/>
        <v>0</v>
      </c>
      <c r="M11" s="51">
        <f t="shared" si="9"/>
        <v>0</v>
      </c>
      <c r="N11" s="51">
        <f t="shared" si="9"/>
        <v>1600</v>
      </c>
      <c r="O11" s="51">
        <f t="shared" si="9"/>
        <v>0</v>
      </c>
      <c r="P11" s="51">
        <f t="shared" si="9"/>
        <v>0</v>
      </c>
      <c r="Q11" s="51">
        <f t="shared" si="9"/>
        <v>0</v>
      </c>
      <c r="R11" s="51">
        <f t="shared" si="9"/>
        <v>0</v>
      </c>
      <c r="S11" s="51">
        <f t="shared" si="9"/>
        <v>245</v>
      </c>
      <c r="T11" s="51">
        <f t="shared" si="9"/>
        <v>620</v>
      </c>
      <c r="U11" s="51">
        <f t="shared" si="9"/>
        <v>0</v>
      </c>
      <c r="V11" s="51">
        <f t="shared" si="9"/>
        <v>100</v>
      </c>
      <c r="W11" s="51">
        <f t="shared" si="9"/>
        <v>0</v>
      </c>
      <c r="X11" s="55">
        <f t="shared" si="9"/>
        <v>100</v>
      </c>
      <c r="Y11" s="59">
        <f t="shared" si="2"/>
        <v>4256.9442622950819</v>
      </c>
      <c r="Z11" s="73">
        <f t="shared" si="3"/>
        <v>2665</v>
      </c>
      <c r="AA11" s="73">
        <f>L11+Y11+Z11</f>
        <v>6921.9442622950819</v>
      </c>
      <c r="AC11" t="s">
        <v>14</v>
      </c>
    </row>
    <row r="12" spans="1:33" x14ac:dyDescent="0.25">
      <c r="A12" s="30" t="s">
        <v>60</v>
      </c>
      <c r="B12" s="31" t="s">
        <v>65</v>
      </c>
      <c r="C12" s="46"/>
      <c r="F12" s="51">
        <f>F27+F28+F29</f>
        <v>0</v>
      </c>
      <c r="G12" s="51">
        <f t="shared" ref="G12:X12" si="10">G27+G28+G29</f>
        <v>0</v>
      </c>
      <c r="H12" s="51">
        <f t="shared" si="10"/>
        <v>0</v>
      </c>
      <c r="I12" s="51">
        <f t="shared" si="10"/>
        <v>0</v>
      </c>
      <c r="J12" s="51">
        <f t="shared" si="10"/>
        <v>3333.3333333333335</v>
      </c>
      <c r="K12" s="51">
        <f t="shared" si="10"/>
        <v>0</v>
      </c>
      <c r="L12" s="52">
        <f t="shared" si="10"/>
        <v>228888.88888888891</v>
      </c>
      <c r="M12" s="51">
        <f t="shared" si="10"/>
        <v>10416.666666666668</v>
      </c>
      <c r="N12" s="51">
        <f t="shared" si="10"/>
        <v>0</v>
      </c>
      <c r="O12" s="51">
        <f t="shared" si="10"/>
        <v>0</v>
      </c>
      <c r="P12" s="51">
        <f t="shared" si="10"/>
        <v>0</v>
      </c>
      <c r="Q12" s="51">
        <f t="shared" si="10"/>
        <v>23333.333333333336</v>
      </c>
      <c r="R12" s="51">
        <f t="shared" si="10"/>
        <v>13055.555555555557</v>
      </c>
      <c r="S12" s="51">
        <f t="shared" si="10"/>
        <v>0</v>
      </c>
      <c r="T12" s="51">
        <f t="shared" si="10"/>
        <v>15333.333333333334</v>
      </c>
      <c r="U12" s="51">
        <f t="shared" si="10"/>
        <v>9000</v>
      </c>
      <c r="V12" s="51">
        <f t="shared" si="10"/>
        <v>4166.666666666667</v>
      </c>
      <c r="W12" s="51">
        <f t="shared" si="10"/>
        <v>5583.3333333333339</v>
      </c>
      <c r="X12" s="55">
        <f t="shared" si="10"/>
        <v>6666.666666666667</v>
      </c>
      <c r="Y12" s="59">
        <f t="shared" si="2"/>
        <v>3333.3333333333335</v>
      </c>
      <c r="Z12" s="73">
        <f t="shared" si="3"/>
        <v>87555.555555555562</v>
      </c>
      <c r="AA12" s="81">
        <f>L12+Y12+Z12</f>
        <v>319777.77777777781</v>
      </c>
      <c r="AB12" s="64">
        <v>330000</v>
      </c>
      <c r="AC12">
        <f>32/330</f>
        <v>9.696969696969697E-2</v>
      </c>
      <c r="AD12" t="s">
        <v>100</v>
      </c>
    </row>
    <row r="13" spans="1:33" ht="15.75" thickBot="1" x14ac:dyDescent="0.3">
      <c r="A13" s="48" t="s">
        <v>60</v>
      </c>
      <c r="B13" s="49" t="s">
        <v>9</v>
      </c>
      <c r="C13" s="50"/>
      <c r="D13" s="50"/>
      <c r="E13" s="50"/>
      <c r="F13" s="53">
        <f>F30</f>
        <v>0</v>
      </c>
      <c r="G13" s="53">
        <f t="shared" ref="G13:X13" si="11">G30</f>
        <v>0</v>
      </c>
      <c r="H13" s="53">
        <f t="shared" si="11"/>
        <v>0</v>
      </c>
      <c r="I13" s="53">
        <f t="shared" si="11"/>
        <v>0</v>
      </c>
      <c r="J13" s="53">
        <f t="shared" si="11"/>
        <v>0</v>
      </c>
      <c r="K13" s="53">
        <f t="shared" si="11"/>
        <v>0</v>
      </c>
      <c r="L13" s="62">
        <f t="shared" si="11"/>
        <v>0</v>
      </c>
      <c r="M13" s="53">
        <f t="shared" si="11"/>
        <v>0</v>
      </c>
      <c r="N13" s="53">
        <f t="shared" si="11"/>
        <v>0</v>
      </c>
      <c r="O13" s="53">
        <f t="shared" si="11"/>
        <v>0</v>
      </c>
      <c r="P13" s="53">
        <f t="shared" si="11"/>
        <v>0</v>
      </c>
      <c r="Q13" s="53">
        <f t="shared" si="11"/>
        <v>0</v>
      </c>
      <c r="R13" s="53">
        <f t="shared" si="11"/>
        <v>0</v>
      </c>
      <c r="S13" s="53">
        <f t="shared" si="11"/>
        <v>0</v>
      </c>
      <c r="T13" s="53">
        <f t="shared" si="11"/>
        <v>0</v>
      </c>
      <c r="U13" s="53">
        <f t="shared" si="11"/>
        <v>0</v>
      </c>
      <c r="V13" s="53">
        <f t="shared" si="11"/>
        <v>760</v>
      </c>
      <c r="W13" s="53">
        <f t="shared" si="11"/>
        <v>0</v>
      </c>
      <c r="X13" s="75">
        <f t="shared" si="11"/>
        <v>1488.0952380952381</v>
      </c>
      <c r="Y13" s="60">
        <f t="shared" si="2"/>
        <v>0</v>
      </c>
      <c r="Z13" s="74">
        <f t="shared" si="3"/>
        <v>2248.0952380952381</v>
      </c>
      <c r="AA13" s="65">
        <v>1500</v>
      </c>
    </row>
    <row r="14" spans="1:33" ht="15.75" thickTop="1" x14ac:dyDescent="0.25">
      <c r="A14" s="15" t="s">
        <v>51</v>
      </c>
      <c r="B14" s="16" t="s">
        <v>52</v>
      </c>
      <c r="C14" s="16" t="s">
        <v>53</v>
      </c>
      <c r="D14" s="2"/>
      <c r="E14" s="2"/>
      <c r="F14" s="47">
        <v>0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63">
        <v>0</v>
      </c>
      <c r="M14" s="47">
        <v>0</v>
      </c>
      <c r="N14" s="47">
        <v>0</v>
      </c>
      <c r="O14" s="47">
        <v>0</v>
      </c>
      <c r="P14" s="47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57">
        <v>0</v>
      </c>
      <c r="Y14" s="61">
        <f t="shared" si="2"/>
        <v>0</v>
      </c>
      <c r="Z14" s="47">
        <f t="shared" si="3"/>
        <v>0</v>
      </c>
      <c r="AA14" s="47">
        <f t="shared" ref="AA14:AA23" si="12">L14+Y14+Z14</f>
        <v>0</v>
      </c>
      <c r="AF14">
        <f>9/24*5000</f>
        <v>1875</v>
      </c>
    </row>
    <row r="15" spans="1:33" x14ac:dyDescent="0.25">
      <c r="A15" s="15" t="s">
        <v>51</v>
      </c>
      <c r="B15" s="16" t="s">
        <v>52</v>
      </c>
      <c r="C15" s="16" t="s">
        <v>54</v>
      </c>
      <c r="D15" s="2"/>
      <c r="E15" s="2"/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52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54">
        <v>0</v>
      </c>
      <c r="Y15" s="58">
        <f t="shared" si="2"/>
        <v>0</v>
      </c>
      <c r="Z15" s="1">
        <f t="shared" si="3"/>
        <v>0</v>
      </c>
      <c r="AA15" s="1">
        <f t="shared" si="12"/>
        <v>0</v>
      </c>
    </row>
    <row r="16" spans="1:33" x14ac:dyDescent="0.25">
      <c r="A16" s="15" t="s">
        <v>51</v>
      </c>
      <c r="B16" s="16" t="s">
        <v>52</v>
      </c>
      <c r="C16" s="16" t="s">
        <v>55</v>
      </c>
      <c r="D16" s="2"/>
      <c r="E16" s="2"/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52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54">
        <v>0</v>
      </c>
      <c r="Y16" s="58">
        <f t="shared" si="2"/>
        <v>0</v>
      </c>
      <c r="Z16" s="1">
        <f t="shared" si="3"/>
        <v>0</v>
      </c>
      <c r="AA16" s="1">
        <f t="shared" si="12"/>
        <v>0</v>
      </c>
    </row>
    <row r="17" spans="1:34" x14ac:dyDescent="0.25">
      <c r="A17" s="25" t="s">
        <v>51</v>
      </c>
      <c r="B17" s="26" t="s">
        <v>56</v>
      </c>
      <c r="C17" s="26" t="s">
        <v>57</v>
      </c>
      <c r="D17" s="2"/>
      <c r="E17" s="2"/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52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54">
        <v>0</v>
      </c>
      <c r="Y17" s="58">
        <f t="shared" si="2"/>
        <v>0</v>
      </c>
      <c r="Z17" s="1">
        <f t="shared" si="3"/>
        <v>0</v>
      </c>
      <c r="AA17" s="1">
        <f t="shared" si="12"/>
        <v>0</v>
      </c>
    </row>
    <row r="18" spans="1:34" x14ac:dyDescent="0.25">
      <c r="A18" s="15" t="s">
        <v>51</v>
      </c>
      <c r="B18" s="16" t="s">
        <v>56</v>
      </c>
      <c r="C18" s="27" t="s">
        <v>58</v>
      </c>
      <c r="D18" s="2"/>
      <c r="E18" s="2"/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52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54">
        <v>0</v>
      </c>
      <c r="Y18" s="58">
        <f t="shared" si="2"/>
        <v>0</v>
      </c>
      <c r="Z18" s="1">
        <f t="shared" si="3"/>
        <v>0</v>
      </c>
      <c r="AA18" s="1">
        <f t="shared" si="12"/>
        <v>0</v>
      </c>
    </row>
    <row r="19" spans="1:34" x14ac:dyDescent="0.25">
      <c r="A19" s="15" t="s">
        <v>51</v>
      </c>
      <c r="B19" s="16" t="s">
        <v>9</v>
      </c>
      <c r="C19" s="27" t="s">
        <v>59</v>
      </c>
      <c r="D19" s="2"/>
      <c r="E19" s="2"/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52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54">
        <v>0</v>
      </c>
      <c r="Y19" s="58">
        <f t="shared" si="2"/>
        <v>0</v>
      </c>
      <c r="Z19" s="1">
        <f t="shared" si="3"/>
        <v>0</v>
      </c>
      <c r="AA19" s="1">
        <f t="shared" si="12"/>
        <v>0</v>
      </c>
    </row>
    <row r="20" spans="1:34" x14ac:dyDescent="0.25">
      <c r="A20" s="15" t="s">
        <v>51</v>
      </c>
      <c r="B20" s="16" t="s">
        <v>9</v>
      </c>
      <c r="C20" s="27" t="s">
        <v>9</v>
      </c>
      <c r="D20" s="2"/>
      <c r="E20" s="2"/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52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54">
        <v>0</v>
      </c>
      <c r="Y20" s="58">
        <f t="shared" si="2"/>
        <v>0</v>
      </c>
      <c r="Z20" s="1">
        <f t="shared" si="3"/>
        <v>0</v>
      </c>
      <c r="AA20" s="1">
        <f t="shared" si="12"/>
        <v>0</v>
      </c>
      <c r="AB20" t="s">
        <v>122</v>
      </c>
      <c r="AC20">
        <v>871.11111111111097</v>
      </c>
      <c r="AD20">
        <v>1333.3333333333333</v>
      </c>
    </row>
    <row r="21" spans="1:34" x14ac:dyDescent="0.25">
      <c r="A21" s="28" t="s">
        <v>60</v>
      </c>
      <c r="B21" s="29" t="s">
        <v>13</v>
      </c>
      <c r="C21" s="29" t="s">
        <v>61</v>
      </c>
      <c r="D21" s="2"/>
      <c r="E21" s="2"/>
      <c r="F21" s="64">
        <f>10300*0.88</f>
        <v>9064</v>
      </c>
      <c r="G21" s="51">
        <v>0</v>
      </c>
      <c r="H21" s="64">
        <f>8500*0.6</f>
        <v>5100</v>
      </c>
      <c r="I21" s="64">
        <v>2940</v>
      </c>
      <c r="J21" s="64">
        <v>1760</v>
      </c>
      <c r="K21" s="64">
        <v>700</v>
      </c>
      <c r="L21" s="52">
        <v>0</v>
      </c>
      <c r="M21" s="64">
        <v>1800</v>
      </c>
      <c r="N21" s="64">
        <v>220</v>
      </c>
      <c r="O21" s="64">
        <f>(5200-220)*0.16</f>
        <v>796.80000000000007</v>
      </c>
      <c r="P21" s="64">
        <f>(5200-220)*0.85*0.5</f>
        <v>2116.5</v>
      </c>
      <c r="Q21" s="69">
        <f>Q66/Q111</f>
        <v>80</v>
      </c>
      <c r="R21" s="69">
        <f>R66/R111</f>
        <v>244.89795918367346</v>
      </c>
      <c r="S21" s="51">
        <v>0</v>
      </c>
      <c r="T21" s="69">
        <f>T66/T111</f>
        <v>160</v>
      </c>
      <c r="U21" s="69">
        <f>U66/U111</f>
        <v>480</v>
      </c>
      <c r="V21" s="77">
        <v>50</v>
      </c>
      <c r="W21" s="69">
        <f>W66/W111</f>
        <v>1116.6666666666667</v>
      </c>
      <c r="X21" s="69">
        <f>X66/X111</f>
        <v>400</v>
      </c>
      <c r="Y21" s="59">
        <f t="shared" si="2"/>
        <v>19564</v>
      </c>
      <c r="Z21" s="51">
        <f t="shared" si="3"/>
        <v>7464.8646258503404</v>
      </c>
      <c r="AA21" s="51">
        <f t="shared" si="12"/>
        <v>27028.86462585034</v>
      </c>
      <c r="AB21" t="s">
        <v>123</v>
      </c>
      <c r="AD21">
        <v>111.11111111111111</v>
      </c>
    </row>
    <row r="22" spans="1:34" x14ac:dyDescent="0.25">
      <c r="A22" s="36" t="s">
        <v>60</v>
      </c>
      <c r="B22" s="37" t="s">
        <v>13</v>
      </c>
      <c r="C22" s="29" t="s">
        <v>62</v>
      </c>
      <c r="D22" s="2"/>
      <c r="E22" s="2"/>
      <c r="F22" s="64">
        <f>10300*0.12</f>
        <v>1236</v>
      </c>
      <c r="G22" s="64">
        <v>4560</v>
      </c>
      <c r="H22" s="64">
        <f>8500*0.4</f>
        <v>3400</v>
      </c>
      <c r="I22" s="51">
        <v>0</v>
      </c>
      <c r="J22" s="51">
        <v>0</v>
      </c>
      <c r="K22" s="51">
        <v>0</v>
      </c>
      <c r="L22" s="52">
        <v>0</v>
      </c>
      <c r="M22" s="51">
        <v>0</v>
      </c>
      <c r="N22" s="51">
        <v>0</v>
      </c>
      <c r="O22" s="51">
        <v>0</v>
      </c>
      <c r="P22" s="64">
        <f>P21</f>
        <v>2116.5</v>
      </c>
      <c r="Q22" s="51">
        <v>0</v>
      </c>
      <c r="R22" s="51">
        <v>0</v>
      </c>
      <c r="S22" s="51">
        <v>0</v>
      </c>
      <c r="T22" s="51">
        <v>0</v>
      </c>
      <c r="U22" s="51">
        <v>0</v>
      </c>
      <c r="V22" s="51">
        <v>0</v>
      </c>
      <c r="W22" s="51">
        <v>0</v>
      </c>
      <c r="X22" s="55">
        <v>0</v>
      </c>
      <c r="Y22" s="59">
        <f t="shared" si="2"/>
        <v>9196</v>
      </c>
      <c r="Z22" s="51">
        <f t="shared" si="3"/>
        <v>2116.5</v>
      </c>
      <c r="AA22" s="51">
        <f t="shared" si="12"/>
        <v>11312.5</v>
      </c>
      <c r="AB22" t="s">
        <v>7</v>
      </c>
      <c r="AD22">
        <v>888.88888888888891</v>
      </c>
    </row>
    <row r="23" spans="1:34" x14ac:dyDescent="0.25">
      <c r="A23" s="30" t="s">
        <v>60</v>
      </c>
      <c r="B23" s="31" t="s">
        <v>13</v>
      </c>
      <c r="C23" s="32" t="s">
        <v>63</v>
      </c>
      <c r="D23" s="2"/>
      <c r="E23" s="2"/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2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55">
        <v>0</v>
      </c>
      <c r="Y23" s="59">
        <f t="shared" si="2"/>
        <v>0</v>
      </c>
      <c r="Z23" s="51">
        <f t="shared" si="3"/>
        <v>0</v>
      </c>
      <c r="AA23" s="51">
        <f t="shared" si="12"/>
        <v>0</v>
      </c>
      <c r="AB23" t="s">
        <v>8</v>
      </c>
      <c r="AC23">
        <v>28282.828282828283</v>
      </c>
      <c r="AD23">
        <v>2222.2222222222222</v>
      </c>
    </row>
    <row r="24" spans="1:34" x14ac:dyDescent="0.25">
      <c r="A24" s="30" t="s">
        <v>60</v>
      </c>
      <c r="B24" s="32" t="s">
        <v>23</v>
      </c>
      <c r="C24" s="31" t="s">
        <v>50</v>
      </c>
      <c r="D24" s="2"/>
      <c r="E24" s="2"/>
      <c r="F24" s="77">
        <f>F204*F159</f>
        <v>50</v>
      </c>
      <c r="G24" s="51">
        <v>0</v>
      </c>
      <c r="H24" s="51">
        <v>0</v>
      </c>
      <c r="I24" s="51">
        <v>0</v>
      </c>
      <c r="J24" s="77">
        <f>J21*0.01</f>
        <v>17.600000000000001</v>
      </c>
      <c r="K24" s="64">
        <v>2200</v>
      </c>
      <c r="L24" s="52">
        <v>0</v>
      </c>
      <c r="M24" s="51">
        <v>0</v>
      </c>
      <c r="N24" s="64">
        <v>1600</v>
      </c>
      <c r="O24" s="51">
        <v>0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51">
        <v>0</v>
      </c>
      <c r="X24" s="55">
        <v>0</v>
      </c>
      <c r="Y24" s="59">
        <f t="shared" si="2"/>
        <v>2267.6</v>
      </c>
      <c r="Z24" s="51">
        <f t="shared" si="3"/>
        <v>1600</v>
      </c>
      <c r="AA24" s="64">
        <f>18/24*5000</f>
        <v>3750</v>
      </c>
    </row>
    <row r="25" spans="1:34" x14ac:dyDescent="0.25">
      <c r="A25" s="30" t="s">
        <v>60</v>
      </c>
      <c r="B25" s="32" t="s">
        <v>23</v>
      </c>
      <c r="C25" s="31" t="s">
        <v>49</v>
      </c>
      <c r="D25" s="2"/>
      <c r="E25" s="2"/>
      <c r="F25" s="51">
        <v>0</v>
      </c>
      <c r="G25" s="51">
        <v>0</v>
      </c>
      <c r="H25" s="51">
        <v>0</v>
      </c>
      <c r="I25" s="51">
        <v>0</v>
      </c>
      <c r="J25" s="81">
        <f>J70/J115</f>
        <v>1639.344262295082</v>
      </c>
      <c r="K25" s="64">
        <v>350</v>
      </c>
      <c r="L25" s="52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51">
        <v>0</v>
      </c>
      <c r="S25" s="77">
        <v>245</v>
      </c>
      <c r="T25" s="77">
        <v>620</v>
      </c>
      <c r="U25" s="51">
        <v>0</v>
      </c>
      <c r="V25" s="77">
        <v>100</v>
      </c>
      <c r="W25" s="51">
        <v>0</v>
      </c>
      <c r="X25" s="77">
        <v>100</v>
      </c>
      <c r="Y25" s="59">
        <f t="shared" si="2"/>
        <v>1989.344262295082</v>
      </c>
      <c r="Z25" s="51">
        <f t="shared" si="3"/>
        <v>1065</v>
      </c>
      <c r="AA25" s="64">
        <f>11/24*5000</f>
        <v>2291.6666666666665</v>
      </c>
    </row>
    <row r="26" spans="1:34" x14ac:dyDescent="0.25">
      <c r="A26" s="30" t="s">
        <v>60</v>
      </c>
      <c r="B26" s="32" t="s">
        <v>23</v>
      </c>
      <c r="C26" s="31" t="s">
        <v>64</v>
      </c>
      <c r="D26" s="2"/>
      <c r="E26" s="2"/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2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  <c r="V26" s="51">
        <v>0</v>
      </c>
      <c r="W26" s="51">
        <v>0</v>
      </c>
      <c r="X26" s="55">
        <v>0</v>
      </c>
      <c r="Y26" s="59">
        <f t="shared" si="2"/>
        <v>0</v>
      </c>
      <c r="Z26" s="51">
        <f t="shared" si="3"/>
        <v>0</v>
      </c>
      <c r="AA26" s="51">
        <f t="shared" ref="AA26:AA45" si="13">L26+Y26+Z26</f>
        <v>0</v>
      </c>
    </row>
    <row r="27" spans="1:34" x14ac:dyDescent="0.25">
      <c r="A27" s="30" t="s">
        <v>60</v>
      </c>
      <c r="B27" s="32" t="s">
        <v>65</v>
      </c>
      <c r="C27" s="31" t="s">
        <v>66</v>
      </c>
      <c r="D27" s="2"/>
      <c r="E27" s="2"/>
      <c r="F27" s="51">
        <v>0</v>
      </c>
      <c r="G27" s="51">
        <v>0</v>
      </c>
      <c r="H27" s="51">
        <v>0</v>
      </c>
      <c r="I27" s="51">
        <v>0</v>
      </c>
      <c r="J27" s="81">
        <f>J72/J117</f>
        <v>3333.3333333333335</v>
      </c>
      <c r="K27" s="51">
        <v>0</v>
      </c>
      <c r="L27" s="52">
        <v>0</v>
      </c>
      <c r="M27" s="81">
        <f>M72/M117</f>
        <v>10416.666666666668</v>
      </c>
      <c r="N27" s="51">
        <v>0</v>
      </c>
      <c r="O27" s="51">
        <v>0</v>
      </c>
      <c r="P27" s="51">
        <v>0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51">
        <v>0</v>
      </c>
      <c r="X27" s="55">
        <v>0</v>
      </c>
      <c r="Y27" s="59">
        <f t="shared" si="2"/>
        <v>3333.3333333333335</v>
      </c>
      <c r="Z27" s="51">
        <f t="shared" si="3"/>
        <v>10416.666666666668</v>
      </c>
      <c r="AA27" s="51">
        <f t="shared" si="13"/>
        <v>13750.000000000002</v>
      </c>
    </row>
    <row r="28" spans="1:34" x14ac:dyDescent="0.25">
      <c r="A28" s="30" t="s">
        <v>60</v>
      </c>
      <c r="B28" s="32" t="s">
        <v>65</v>
      </c>
      <c r="C28" s="31" t="s">
        <v>67</v>
      </c>
      <c r="D28" s="2"/>
      <c r="E28" s="2"/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2">
        <v>0</v>
      </c>
      <c r="M28" s="51">
        <v>0</v>
      </c>
      <c r="N28" s="51">
        <v>0</v>
      </c>
      <c r="O28" s="51">
        <v>0</v>
      </c>
      <c r="P28" s="51">
        <v>0</v>
      </c>
      <c r="Q28" s="81">
        <f>Q73/Q118</f>
        <v>23333.333333333336</v>
      </c>
      <c r="R28" s="81">
        <f>R73/R118</f>
        <v>13055.555555555557</v>
      </c>
      <c r="S28" s="51">
        <v>0</v>
      </c>
      <c r="T28" s="81">
        <f>T73/T118</f>
        <v>15333.333333333334</v>
      </c>
      <c r="U28" s="81">
        <f>U73/U118</f>
        <v>9000</v>
      </c>
      <c r="V28" s="81">
        <f>V73/V118</f>
        <v>4166.666666666667</v>
      </c>
      <c r="W28" s="81">
        <f>W73/W118</f>
        <v>5583.3333333333339</v>
      </c>
      <c r="X28" s="81">
        <f>X73/X118</f>
        <v>6666.666666666667</v>
      </c>
      <c r="Y28" s="59">
        <f t="shared" si="2"/>
        <v>0</v>
      </c>
      <c r="Z28" s="51">
        <f t="shared" si="3"/>
        <v>77138.888888888891</v>
      </c>
      <c r="AA28" s="51">
        <f t="shared" si="13"/>
        <v>77138.888888888891</v>
      </c>
    </row>
    <row r="29" spans="1:34" x14ac:dyDescent="0.25">
      <c r="A29" s="30" t="s">
        <v>60</v>
      </c>
      <c r="B29" s="32" t="s">
        <v>65</v>
      </c>
      <c r="C29" s="31" t="s">
        <v>68</v>
      </c>
      <c r="D29" s="2"/>
      <c r="E29" s="2"/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81">
        <f>L74/L119</f>
        <v>228888.88888888891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  <c r="R29" s="51">
        <v>0</v>
      </c>
      <c r="S29" s="51">
        <v>0</v>
      </c>
      <c r="T29" s="51">
        <v>0</v>
      </c>
      <c r="U29" s="51">
        <v>0</v>
      </c>
      <c r="V29" s="51">
        <v>0</v>
      </c>
      <c r="W29" s="51">
        <v>0</v>
      </c>
      <c r="X29" s="55">
        <v>0</v>
      </c>
      <c r="Y29" s="59">
        <f t="shared" si="2"/>
        <v>0</v>
      </c>
      <c r="Z29" s="51">
        <f t="shared" si="3"/>
        <v>0</v>
      </c>
      <c r="AA29" s="51">
        <f t="shared" si="13"/>
        <v>228888.88888888891</v>
      </c>
    </row>
    <row r="30" spans="1:34" x14ac:dyDescent="0.25">
      <c r="A30" s="30" t="s">
        <v>60</v>
      </c>
      <c r="B30" s="32" t="s">
        <v>9</v>
      </c>
      <c r="C30" s="31" t="s">
        <v>69</v>
      </c>
      <c r="D30" s="2"/>
      <c r="E30" s="2"/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2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  <c r="R30" s="51">
        <v>0</v>
      </c>
      <c r="S30" s="51">
        <v>0</v>
      </c>
      <c r="T30" s="51">
        <v>0</v>
      </c>
      <c r="U30" s="51">
        <v>0</v>
      </c>
      <c r="V30" s="96">
        <v>760</v>
      </c>
      <c r="W30" s="51">
        <v>0</v>
      </c>
      <c r="X30" s="81">
        <f>X75/X120</f>
        <v>1488.0952380952381</v>
      </c>
      <c r="Y30" s="59">
        <f t="shared" si="2"/>
        <v>0</v>
      </c>
      <c r="Z30" s="51">
        <f t="shared" si="3"/>
        <v>2248.0952380952381</v>
      </c>
      <c r="AA30" s="51">
        <f t="shared" si="13"/>
        <v>2248.0952380952381</v>
      </c>
    </row>
    <row r="31" spans="1:34" x14ac:dyDescent="0.25">
      <c r="A31" s="15" t="s">
        <v>51</v>
      </c>
      <c r="B31" s="16" t="s">
        <v>56</v>
      </c>
      <c r="C31" s="27" t="s">
        <v>57</v>
      </c>
      <c r="D31" s="16" t="s">
        <v>70</v>
      </c>
      <c r="E31" s="43"/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52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54">
        <v>0</v>
      </c>
      <c r="Y31" s="58">
        <f t="shared" si="2"/>
        <v>0</v>
      </c>
      <c r="Z31" s="1">
        <f t="shared" si="3"/>
        <v>0</v>
      </c>
      <c r="AA31" s="1">
        <f t="shared" si="13"/>
        <v>0</v>
      </c>
      <c r="AH31">
        <f>52/128*2000</f>
        <v>812.5</v>
      </c>
    </row>
    <row r="32" spans="1:34" x14ac:dyDescent="0.25">
      <c r="A32" s="15" t="s">
        <v>51</v>
      </c>
      <c r="B32" s="16" t="s">
        <v>56</v>
      </c>
      <c r="C32" s="27" t="s">
        <v>57</v>
      </c>
      <c r="D32" s="16" t="s">
        <v>71</v>
      </c>
      <c r="E32" s="43"/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52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54">
        <v>0</v>
      </c>
      <c r="Y32" s="58">
        <f t="shared" si="2"/>
        <v>0</v>
      </c>
      <c r="Z32" s="1">
        <f t="shared" si="3"/>
        <v>0</v>
      </c>
      <c r="AA32" s="1">
        <f t="shared" si="13"/>
        <v>0</v>
      </c>
    </row>
    <row r="33" spans="1:29" x14ac:dyDescent="0.25">
      <c r="A33" s="15" t="s">
        <v>51</v>
      </c>
      <c r="B33" s="16" t="s">
        <v>56</v>
      </c>
      <c r="C33" s="27" t="s">
        <v>27</v>
      </c>
      <c r="D33" s="16" t="s">
        <v>72</v>
      </c>
      <c r="E33" s="43"/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52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54">
        <v>0</v>
      </c>
      <c r="Y33" s="58">
        <f t="shared" si="2"/>
        <v>0</v>
      </c>
      <c r="Z33" s="1">
        <f t="shared" si="3"/>
        <v>0</v>
      </c>
      <c r="AA33" s="1">
        <f t="shared" si="13"/>
        <v>0</v>
      </c>
    </row>
    <row r="34" spans="1:29" x14ac:dyDescent="0.25">
      <c r="A34" s="15" t="s">
        <v>51</v>
      </c>
      <c r="B34" s="16" t="s">
        <v>56</v>
      </c>
      <c r="C34" s="27" t="s">
        <v>57</v>
      </c>
      <c r="D34" s="16" t="s">
        <v>73</v>
      </c>
      <c r="E34" s="43"/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52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54">
        <v>0</v>
      </c>
      <c r="Y34" s="58">
        <f t="shared" si="2"/>
        <v>0</v>
      </c>
      <c r="Z34" s="1">
        <f t="shared" si="3"/>
        <v>0</v>
      </c>
      <c r="AA34" s="1">
        <f t="shared" si="13"/>
        <v>0</v>
      </c>
    </row>
    <row r="35" spans="1:29" x14ac:dyDescent="0.25">
      <c r="A35" s="15" t="s">
        <v>51</v>
      </c>
      <c r="B35" s="16" t="s">
        <v>56</v>
      </c>
      <c r="C35" s="27" t="s">
        <v>57</v>
      </c>
      <c r="D35" s="16" t="s">
        <v>74</v>
      </c>
      <c r="E35" s="43"/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52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54">
        <v>0</v>
      </c>
      <c r="Y35" s="58">
        <f t="shared" si="2"/>
        <v>0</v>
      </c>
      <c r="Z35" s="1">
        <f t="shared" si="3"/>
        <v>0</v>
      </c>
      <c r="AA35" s="1">
        <f t="shared" si="13"/>
        <v>0</v>
      </c>
      <c r="AC35" t="s">
        <v>105</v>
      </c>
    </row>
    <row r="36" spans="1:29" x14ac:dyDescent="0.25">
      <c r="A36" s="30" t="s">
        <v>60</v>
      </c>
      <c r="B36" s="31" t="s">
        <v>13</v>
      </c>
      <c r="C36" s="32" t="s">
        <v>61</v>
      </c>
      <c r="D36" s="31" t="s">
        <v>75</v>
      </c>
      <c r="E36" s="72" t="e">
        <f>#REF!</f>
        <v>#REF!</v>
      </c>
      <c r="F36" s="51">
        <f>F21*0.8</f>
        <v>7251.2000000000007</v>
      </c>
      <c r="G36" s="51">
        <v>0</v>
      </c>
      <c r="H36" s="51">
        <f>H21</f>
        <v>5100</v>
      </c>
      <c r="I36" s="51">
        <f>I21*0.1</f>
        <v>294</v>
      </c>
      <c r="J36" s="51">
        <v>0</v>
      </c>
      <c r="K36" s="51">
        <f>K21*0.05</f>
        <v>35</v>
      </c>
      <c r="L36" s="52">
        <v>0</v>
      </c>
      <c r="M36" s="51">
        <f>M21*0.1</f>
        <v>180</v>
      </c>
      <c r="N36" s="51">
        <v>0</v>
      </c>
      <c r="O36" s="51">
        <v>0</v>
      </c>
      <c r="P36" s="51">
        <v>0</v>
      </c>
      <c r="Q36" s="51"/>
      <c r="R36" s="51"/>
      <c r="S36" s="51"/>
      <c r="T36" s="51"/>
      <c r="U36" s="51"/>
      <c r="V36" s="51"/>
      <c r="W36" s="51">
        <f>W21</f>
        <v>1116.6666666666667</v>
      </c>
      <c r="X36" s="55"/>
      <c r="Y36" s="59">
        <f t="shared" si="2"/>
        <v>12680.2</v>
      </c>
      <c r="Z36" s="51">
        <f t="shared" si="3"/>
        <v>1296.6666666666667</v>
      </c>
      <c r="AA36" s="51">
        <f t="shared" si="13"/>
        <v>13976.866666666667</v>
      </c>
      <c r="AB36">
        <f>AA36/AA$10</f>
        <v>0.36022852233676977</v>
      </c>
      <c r="AC36" s="71" t="e">
        <f>E36</f>
        <v>#REF!</v>
      </c>
    </row>
    <row r="37" spans="1:29" x14ac:dyDescent="0.25">
      <c r="A37" s="30" t="s">
        <v>60</v>
      </c>
      <c r="B37" s="31" t="s">
        <v>13</v>
      </c>
      <c r="C37" s="32" t="s">
        <v>61</v>
      </c>
      <c r="D37" s="31" t="s">
        <v>76</v>
      </c>
      <c r="E37" s="72" t="e">
        <f>#REF!</f>
        <v>#REF!</v>
      </c>
      <c r="F37" s="51">
        <f>F21*0.2</f>
        <v>1812.8000000000002</v>
      </c>
      <c r="G37" s="51">
        <v>0</v>
      </c>
      <c r="H37" s="51">
        <v>0</v>
      </c>
      <c r="I37" s="51">
        <f>I21*0.7</f>
        <v>2058</v>
      </c>
      <c r="J37" s="51">
        <f>J21</f>
        <v>1760</v>
      </c>
      <c r="K37" s="51">
        <f>K21*0.15</f>
        <v>105</v>
      </c>
      <c r="L37" s="52">
        <v>0</v>
      </c>
      <c r="M37" s="51">
        <f>M21*0.3</f>
        <v>540</v>
      </c>
      <c r="N37" s="51">
        <f>N21</f>
        <v>220</v>
      </c>
      <c r="O37" s="51">
        <f>O21*0.9</f>
        <v>717.12000000000012</v>
      </c>
      <c r="P37" s="51">
        <f>P21*0.05</f>
        <v>105.825</v>
      </c>
      <c r="Q37" s="51"/>
      <c r="R37" s="51">
        <f>R21</f>
        <v>244.89795918367346</v>
      </c>
      <c r="S37" s="51"/>
      <c r="T37" s="51"/>
      <c r="U37" s="51"/>
      <c r="V37" s="51"/>
      <c r="W37" s="51"/>
      <c r="X37" s="55"/>
      <c r="Y37" s="59">
        <f t="shared" si="2"/>
        <v>5735.8</v>
      </c>
      <c r="Z37" s="51">
        <f t="shared" si="3"/>
        <v>1827.8429591836737</v>
      </c>
      <c r="AA37" s="51">
        <f t="shared" si="13"/>
        <v>7563.6429591836741</v>
      </c>
      <c r="AB37">
        <f t="shared" ref="AB37:AB42" si="14">AA37/AA$10</f>
        <v>0.19493925152535244</v>
      </c>
      <c r="AC37" s="71" t="e">
        <f>E37</f>
        <v>#REF!</v>
      </c>
    </row>
    <row r="38" spans="1:29" x14ac:dyDescent="0.25">
      <c r="A38" s="30" t="s">
        <v>60</v>
      </c>
      <c r="B38" s="31" t="s">
        <v>13</v>
      </c>
      <c r="C38" s="32" t="s">
        <v>61</v>
      </c>
      <c r="D38" s="31" t="s">
        <v>77</v>
      </c>
      <c r="E38" s="72" t="e">
        <f>#REF!</f>
        <v>#REF!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f>K21*0.4</f>
        <v>280</v>
      </c>
      <c r="L38" s="52">
        <v>0</v>
      </c>
      <c r="M38" s="51">
        <f>M21*0.5</f>
        <v>900</v>
      </c>
      <c r="N38" s="51">
        <v>0</v>
      </c>
      <c r="O38" s="51">
        <v>0</v>
      </c>
      <c r="P38" s="51">
        <v>0</v>
      </c>
      <c r="Q38" s="51"/>
      <c r="R38" s="51"/>
      <c r="S38" s="51"/>
      <c r="T38" s="51">
        <f>T21/2</f>
        <v>80</v>
      </c>
      <c r="U38" s="51">
        <f>U21</f>
        <v>480</v>
      </c>
      <c r="V38" s="51"/>
      <c r="W38" s="51"/>
      <c r="X38" s="55"/>
      <c r="Y38" s="59">
        <f t="shared" si="2"/>
        <v>280</v>
      </c>
      <c r="Z38" s="51">
        <f t="shared" si="3"/>
        <v>1460</v>
      </c>
      <c r="AA38" s="51">
        <f t="shared" si="13"/>
        <v>1740</v>
      </c>
      <c r="AB38">
        <f t="shared" si="14"/>
        <v>4.4845360824742268E-2</v>
      </c>
      <c r="AC38" s="71" t="e">
        <f>E38</f>
        <v>#REF!</v>
      </c>
    </row>
    <row r="39" spans="1:29" x14ac:dyDescent="0.25">
      <c r="A39" s="30" t="s">
        <v>60</v>
      </c>
      <c r="B39" s="31" t="s">
        <v>13</v>
      </c>
      <c r="C39" s="32" t="s">
        <v>61</v>
      </c>
      <c r="D39" s="31" t="s">
        <v>78</v>
      </c>
      <c r="E39" s="72" t="e">
        <f>#REF!</f>
        <v>#REF!</v>
      </c>
      <c r="F39" s="51">
        <v>0</v>
      </c>
      <c r="G39" s="51">
        <v>0</v>
      </c>
      <c r="H39" s="51">
        <v>0</v>
      </c>
      <c r="I39" s="51">
        <f>I21*0.2</f>
        <v>588</v>
      </c>
      <c r="J39" s="51">
        <v>0</v>
      </c>
      <c r="K39" s="51">
        <f>K21*0.4</f>
        <v>280</v>
      </c>
      <c r="L39" s="52">
        <v>0</v>
      </c>
      <c r="M39" s="51">
        <f>M21*0.1</f>
        <v>180</v>
      </c>
      <c r="N39" s="51">
        <v>0</v>
      </c>
      <c r="O39" s="51">
        <f>O21*0.1</f>
        <v>79.680000000000007</v>
      </c>
      <c r="P39" s="51">
        <f>(P21+P22)*0.95</f>
        <v>4021.35</v>
      </c>
      <c r="Q39" s="51">
        <f>Q21</f>
        <v>80</v>
      </c>
      <c r="R39" s="51"/>
      <c r="S39" s="51"/>
      <c r="T39" s="51"/>
      <c r="U39" s="51"/>
      <c r="V39" s="51"/>
      <c r="W39" s="51"/>
      <c r="X39" s="55">
        <f>X21</f>
        <v>400</v>
      </c>
      <c r="Y39" s="59">
        <f t="shared" si="2"/>
        <v>868</v>
      </c>
      <c r="Z39" s="51">
        <f t="shared" si="3"/>
        <v>4761.03</v>
      </c>
      <c r="AA39" s="51">
        <f t="shared" si="13"/>
        <v>5629.03</v>
      </c>
      <c r="AB39">
        <f t="shared" si="14"/>
        <v>0.14507809278350514</v>
      </c>
      <c r="AC39" s="71" t="e">
        <f>E39</f>
        <v>#REF!</v>
      </c>
    </row>
    <row r="40" spans="1:29" ht="15.75" thickBot="1" x14ac:dyDescent="0.3">
      <c r="A40" s="33" t="s">
        <v>60</v>
      </c>
      <c r="B40" s="34" t="s">
        <v>13</v>
      </c>
      <c r="C40" s="35" t="s">
        <v>61</v>
      </c>
      <c r="D40" s="34" t="s">
        <v>79</v>
      </c>
      <c r="E40" s="43"/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2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  <c r="V40" s="51">
        <v>0</v>
      </c>
      <c r="W40" s="51">
        <v>0</v>
      </c>
      <c r="X40" s="55">
        <v>0</v>
      </c>
      <c r="Y40" s="59">
        <f t="shared" si="2"/>
        <v>0</v>
      </c>
      <c r="Z40" s="51">
        <f t="shared" si="3"/>
        <v>0</v>
      </c>
      <c r="AA40" s="51">
        <f t="shared" si="13"/>
        <v>0</v>
      </c>
      <c r="AB40">
        <f t="shared" si="14"/>
        <v>0</v>
      </c>
    </row>
    <row r="41" spans="1:29" x14ac:dyDescent="0.25">
      <c r="A41" s="30" t="s">
        <v>60</v>
      </c>
      <c r="B41" s="31" t="s">
        <v>13</v>
      </c>
      <c r="C41" s="32" t="s">
        <v>62</v>
      </c>
      <c r="D41" s="31" t="s">
        <v>75</v>
      </c>
      <c r="E41" s="43"/>
      <c r="F41" s="51"/>
      <c r="G41" s="51">
        <v>0</v>
      </c>
      <c r="H41" s="51"/>
      <c r="I41" s="51">
        <v>0</v>
      </c>
      <c r="J41" s="51">
        <v>0</v>
      </c>
      <c r="K41" s="51">
        <v>0</v>
      </c>
      <c r="L41" s="52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  <c r="R41" s="51">
        <v>0</v>
      </c>
      <c r="S41" s="51">
        <v>0</v>
      </c>
      <c r="T41" s="51">
        <v>0</v>
      </c>
      <c r="U41" s="51">
        <v>0</v>
      </c>
      <c r="V41" s="51">
        <v>0</v>
      </c>
      <c r="W41" s="51">
        <v>0</v>
      </c>
      <c r="X41" s="55">
        <v>0</v>
      </c>
      <c r="Y41" s="59">
        <f t="shared" si="2"/>
        <v>0</v>
      </c>
      <c r="Z41" s="51">
        <f t="shared" si="3"/>
        <v>0</v>
      </c>
      <c r="AA41" s="51">
        <f t="shared" si="13"/>
        <v>0</v>
      </c>
      <c r="AB41">
        <f t="shared" si="14"/>
        <v>0</v>
      </c>
    </row>
    <row r="42" spans="1:29" x14ac:dyDescent="0.25">
      <c r="A42" s="30" t="s">
        <v>60</v>
      </c>
      <c r="B42" s="31" t="s">
        <v>13</v>
      </c>
      <c r="C42" s="32" t="s">
        <v>62</v>
      </c>
      <c r="D42" s="31" t="s">
        <v>76</v>
      </c>
      <c r="E42" s="43"/>
      <c r="F42" s="51">
        <f>F22</f>
        <v>1236</v>
      </c>
      <c r="G42" s="51">
        <f>G22</f>
        <v>4560</v>
      </c>
      <c r="H42" s="51">
        <f>H22</f>
        <v>3400</v>
      </c>
      <c r="I42" s="51">
        <v>0</v>
      </c>
      <c r="J42" s="51">
        <v>0</v>
      </c>
      <c r="K42" s="51">
        <v>0</v>
      </c>
      <c r="L42" s="52">
        <v>0</v>
      </c>
      <c r="M42" s="51">
        <v>0</v>
      </c>
      <c r="N42" s="51">
        <v>0</v>
      </c>
      <c r="O42" s="51">
        <v>0</v>
      </c>
      <c r="P42" s="51"/>
      <c r="Q42" s="51">
        <v>0</v>
      </c>
      <c r="R42" s="51">
        <v>0</v>
      </c>
      <c r="S42" s="51">
        <v>0</v>
      </c>
      <c r="T42" s="51">
        <v>0</v>
      </c>
      <c r="U42" s="51">
        <v>0</v>
      </c>
      <c r="V42" s="51">
        <v>0</v>
      </c>
      <c r="W42" s="51">
        <v>0</v>
      </c>
      <c r="X42" s="55">
        <v>0</v>
      </c>
      <c r="Y42" s="59">
        <f t="shared" si="2"/>
        <v>9196</v>
      </c>
      <c r="Z42" s="51">
        <f t="shared" si="3"/>
        <v>0</v>
      </c>
      <c r="AA42" s="51">
        <f t="shared" si="13"/>
        <v>9196</v>
      </c>
      <c r="AB42">
        <f t="shared" si="14"/>
        <v>0.23701030927835051</v>
      </c>
    </row>
    <row r="43" spans="1:29" x14ac:dyDescent="0.25">
      <c r="A43" s="30" t="s">
        <v>60</v>
      </c>
      <c r="B43" s="31" t="s">
        <v>13</v>
      </c>
      <c r="C43" s="32" t="s">
        <v>62</v>
      </c>
      <c r="D43" s="31" t="s">
        <v>77</v>
      </c>
      <c r="E43" s="43"/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2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  <c r="R43" s="51">
        <v>0</v>
      </c>
      <c r="S43" s="51">
        <v>0</v>
      </c>
      <c r="T43" s="51">
        <v>0</v>
      </c>
      <c r="U43" s="51">
        <v>0</v>
      </c>
      <c r="V43" s="51">
        <v>0</v>
      </c>
      <c r="W43" s="51">
        <v>0</v>
      </c>
      <c r="X43" s="55">
        <v>0</v>
      </c>
      <c r="Y43" s="59">
        <f t="shared" si="2"/>
        <v>0</v>
      </c>
      <c r="Z43" s="51">
        <f t="shared" si="3"/>
        <v>0</v>
      </c>
      <c r="AA43" s="51">
        <f t="shared" si="13"/>
        <v>0</v>
      </c>
    </row>
    <row r="44" spans="1:29" x14ac:dyDescent="0.25">
      <c r="A44" s="30" t="s">
        <v>60</v>
      </c>
      <c r="B44" s="31" t="s">
        <v>13</v>
      </c>
      <c r="C44" s="32" t="s">
        <v>62</v>
      </c>
      <c r="D44" s="31" t="s">
        <v>78</v>
      </c>
      <c r="E44" s="43"/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2">
        <v>0</v>
      </c>
      <c r="M44" s="51">
        <v>0</v>
      </c>
      <c r="N44" s="51">
        <v>0</v>
      </c>
      <c r="O44" s="51">
        <v>0</v>
      </c>
      <c r="P44" s="51">
        <f>P22</f>
        <v>2116.5</v>
      </c>
      <c r="Q44" s="51">
        <v>0</v>
      </c>
      <c r="R44" s="51">
        <v>0</v>
      </c>
      <c r="S44" s="51">
        <v>0</v>
      </c>
      <c r="T44" s="51">
        <v>0</v>
      </c>
      <c r="U44" s="51">
        <v>0</v>
      </c>
      <c r="V44" s="51">
        <v>0</v>
      </c>
      <c r="W44" s="51">
        <v>0</v>
      </c>
      <c r="X44" s="55">
        <v>0</v>
      </c>
      <c r="Y44" s="59">
        <f t="shared" si="2"/>
        <v>0</v>
      </c>
      <c r="Z44" s="51">
        <f t="shared" si="3"/>
        <v>2116.5</v>
      </c>
      <c r="AA44" s="51">
        <f t="shared" si="13"/>
        <v>2116.5</v>
      </c>
    </row>
    <row r="45" spans="1:29" ht="15.75" thickBot="1" x14ac:dyDescent="0.3">
      <c r="A45" s="33" t="s">
        <v>60</v>
      </c>
      <c r="B45" s="34" t="s">
        <v>13</v>
      </c>
      <c r="C45" s="32" t="s">
        <v>62</v>
      </c>
      <c r="D45" s="34" t="s">
        <v>79</v>
      </c>
      <c r="E45" s="43"/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2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  <c r="R45" s="51">
        <v>0</v>
      </c>
      <c r="S45" s="51">
        <v>0</v>
      </c>
      <c r="T45" s="51">
        <v>0</v>
      </c>
      <c r="U45" s="51">
        <v>0</v>
      </c>
      <c r="V45" s="51">
        <v>0</v>
      </c>
      <c r="W45" s="51">
        <v>0</v>
      </c>
      <c r="X45" s="55">
        <v>0</v>
      </c>
      <c r="Y45" s="59">
        <f t="shared" si="2"/>
        <v>0</v>
      </c>
      <c r="Z45" s="51">
        <f t="shared" si="3"/>
        <v>0</v>
      </c>
      <c r="AA45" s="51">
        <f t="shared" si="13"/>
        <v>0</v>
      </c>
    </row>
    <row r="47" spans="1:29" x14ac:dyDescent="0.25">
      <c r="D47" s="41" t="s">
        <v>18</v>
      </c>
      <c r="E47" s="41"/>
      <c r="M47" s="24" t="s">
        <v>81</v>
      </c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  <row r="48" spans="1:29" x14ac:dyDescent="0.25">
      <c r="F48" s="23" t="s">
        <v>44</v>
      </c>
      <c r="G48" s="23"/>
      <c r="H48" s="23"/>
      <c r="I48" s="23"/>
      <c r="J48" s="23"/>
      <c r="K48" s="23"/>
      <c r="L48" s="7" t="s">
        <v>30</v>
      </c>
      <c r="M48" s="24" t="s">
        <v>46</v>
      </c>
      <c r="N48" s="24"/>
      <c r="O48" s="24"/>
      <c r="P48" s="24"/>
      <c r="Q48" s="24"/>
      <c r="R48" s="24" t="s">
        <v>47</v>
      </c>
      <c r="S48" s="24"/>
      <c r="T48" s="24"/>
      <c r="U48" s="24"/>
      <c r="V48" s="24"/>
      <c r="W48" s="24"/>
      <c r="X48" s="24"/>
      <c r="Y48" s="44" t="s">
        <v>85</v>
      </c>
      <c r="Z48" s="44" t="s">
        <v>48</v>
      </c>
      <c r="AA48" s="44" t="s">
        <v>3</v>
      </c>
    </row>
    <row r="49" spans="1:31" ht="63" x14ac:dyDescent="0.25">
      <c r="F49" s="38" t="s">
        <v>36</v>
      </c>
      <c r="G49" s="38" t="s">
        <v>37</v>
      </c>
      <c r="H49" s="38" t="s">
        <v>38</v>
      </c>
      <c r="I49" s="38" t="s">
        <v>80</v>
      </c>
      <c r="J49" s="38" t="s">
        <v>39</v>
      </c>
      <c r="K49" s="38" t="s">
        <v>45</v>
      </c>
      <c r="L49" s="39" t="s">
        <v>16</v>
      </c>
      <c r="M49" s="40" t="s">
        <v>34</v>
      </c>
      <c r="N49" s="40" t="s">
        <v>5</v>
      </c>
      <c r="O49" s="40" t="s">
        <v>7</v>
      </c>
      <c r="P49" s="40" t="s">
        <v>8</v>
      </c>
      <c r="Q49" s="40" t="s">
        <v>40</v>
      </c>
      <c r="R49" s="40" t="s">
        <v>41</v>
      </c>
      <c r="S49" s="40" t="s">
        <v>42</v>
      </c>
      <c r="T49" s="40" t="s">
        <v>31</v>
      </c>
      <c r="U49" s="40" t="s">
        <v>43</v>
      </c>
      <c r="V49" s="40" t="s">
        <v>82</v>
      </c>
      <c r="W49" s="40" t="s">
        <v>87</v>
      </c>
      <c r="X49" s="40" t="s">
        <v>83</v>
      </c>
      <c r="Y49" s="45" t="s">
        <v>3</v>
      </c>
      <c r="Z49" s="45" t="s">
        <v>3</v>
      </c>
      <c r="AA49" s="45" t="s">
        <v>3</v>
      </c>
    </row>
    <row r="50" spans="1:31" x14ac:dyDescent="0.25">
      <c r="A50" s="15" t="s">
        <v>51</v>
      </c>
      <c r="B50" s="2"/>
      <c r="C50" s="2"/>
      <c r="F50" s="1">
        <f t="shared" ref="F50:M50" si="15">F52+F53+F54</f>
        <v>0</v>
      </c>
      <c r="G50" s="1">
        <f t="shared" si="15"/>
        <v>0</v>
      </c>
      <c r="H50" s="1">
        <f t="shared" si="15"/>
        <v>0</v>
      </c>
      <c r="I50" s="1">
        <f t="shared" si="15"/>
        <v>0</v>
      </c>
      <c r="J50" s="1">
        <f t="shared" si="15"/>
        <v>0</v>
      </c>
      <c r="K50" s="1">
        <f t="shared" si="15"/>
        <v>0</v>
      </c>
      <c r="L50" s="52">
        <f t="shared" si="15"/>
        <v>0</v>
      </c>
      <c r="M50" s="1">
        <f t="shared" si="15"/>
        <v>0</v>
      </c>
      <c r="N50" s="1">
        <f t="shared" ref="N50:X50" si="16">N52+N53+N54</f>
        <v>0</v>
      </c>
      <c r="O50" s="1">
        <f t="shared" si="16"/>
        <v>0</v>
      </c>
      <c r="P50" s="1">
        <f t="shared" si="16"/>
        <v>0</v>
      </c>
      <c r="Q50" s="1">
        <f t="shared" si="16"/>
        <v>0</v>
      </c>
      <c r="R50" s="1">
        <f t="shared" si="16"/>
        <v>0</v>
      </c>
      <c r="S50" s="1">
        <f t="shared" si="16"/>
        <v>0</v>
      </c>
      <c r="T50" s="1">
        <f t="shared" si="16"/>
        <v>0</v>
      </c>
      <c r="U50" s="1">
        <f t="shared" si="16"/>
        <v>0</v>
      </c>
      <c r="V50" s="1">
        <f t="shared" si="16"/>
        <v>0</v>
      </c>
      <c r="W50" s="1">
        <f t="shared" si="16"/>
        <v>0</v>
      </c>
      <c r="X50" s="1">
        <f t="shared" si="16"/>
        <v>0</v>
      </c>
      <c r="Y50" s="58">
        <f t="shared" ref="Y50:Y90" si="17">SUM(F50:K50)</f>
        <v>0</v>
      </c>
      <c r="Z50" s="1">
        <f t="shared" ref="Z50:Z90" si="18">SUM(M50:X50)</f>
        <v>0</v>
      </c>
      <c r="AA50" s="1">
        <f t="shared" ref="AA50:AA56" si="19">L50+Y50+Z50</f>
        <v>0</v>
      </c>
      <c r="AB50" s="44" t="s">
        <v>85</v>
      </c>
      <c r="AC50" s="44" t="s">
        <v>48</v>
      </c>
      <c r="AD50" t="s">
        <v>30</v>
      </c>
    </row>
    <row r="51" spans="1:31" x14ac:dyDescent="0.25">
      <c r="A51" s="30" t="s">
        <v>60</v>
      </c>
      <c r="B51" s="2"/>
      <c r="C51" s="2"/>
      <c r="F51" s="1">
        <f>F55+F56+F57+F58</f>
        <v>2180</v>
      </c>
      <c r="G51" s="1">
        <f t="shared" ref="G51:X51" si="20">G55+G56+G57+G58</f>
        <v>1280</v>
      </c>
      <c r="H51" s="1">
        <f t="shared" si="20"/>
        <v>3200</v>
      </c>
      <c r="I51" s="1">
        <f t="shared" si="20"/>
        <v>800</v>
      </c>
      <c r="J51" s="1">
        <f t="shared" si="20"/>
        <v>1655.28</v>
      </c>
      <c r="K51" s="1">
        <f t="shared" si="20"/>
        <v>900</v>
      </c>
      <c r="L51" s="52">
        <f t="shared" si="20"/>
        <v>20600</v>
      </c>
      <c r="M51" s="64">
        <v>2100</v>
      </c>
      <c r="N51" s="1">
        <f t="shared" si="20"/>
        <v>1380</v>
      </c>
      <c r="O51" s="1">
        <f t="shared" si="20"/>
        <v>347.2</v>
      </c>
      <c r="P51" s="1">
        <f t="shared" si="20"/>
        <v>1736</v>
      </c>
      <c r="Q51" s="1">
        <f t="shared" si="20"/>
        <v>3540</v>
      </c>
      <c r="R51" s="1">
        <f t="shared" si="20"/>
        <v>2470</v>
      </c>
      <c r="S51" s="1">
        <f t="shared" si="20"/>
        <v>73.5</v>
      </c>
      <c r="T51" s="1">
        <f t="shared" si="20"/>
        <v>2628</v>
      </c>
      <c r="U51" s="1">
        <f t="shared" si="20"/>
        <v>1320</v>
      </c>
      <c r="V51" s="1">
        <f t="shared" si="20"/>
        <v>1410</v>
      </c>
      <c r="W51" s="1">
        <f t="shared" si="20"/>
        <v>1340</v>
      </c>
      <c r="X51" s="54">
        <f t="shared" si="20"/>
        <v>1715</v>
      </c>
      <c r="Y51" s="58">
        <f t="shared" si="17"/>
        <v>10015.280000000001</v>
      </c>
      <c r="Z51" s="1">
        <f t="shared" si="18"/>
        <v>20059.7</v>
      </c>
      <c r="AA51" s="1">
        <f t="shared" si="19"/>
        <v>50674.979999999996</v>
      </c>
      <c r="AB51" s="66">
        <f>11250+M50</f>
        <v>11250</v>
      </c>
      <c r="AC51" s="64">
        <f>10200+3750+200+P50</f>
        <v>14150</v>
      </c>
      <c r="AD51" s="97">
        <v>4929</v>
      </c>
    </row>
    <row r="52" spans="1:31" x14ac:dyDescent="0.25">
      <c r="A52" s="15" t="s">
        <v>51</v>
      </c>
      <c r="B52" s="16" t="s">
        <v>52</v>
      </c>
      <c r="C52" s="2"/>
      <c r="F52" s="1">
        <f>F59+F60+F61</f>
        <v>0</v>
      </c>
      <c r="G52" s="1">
        <f t="shared" ref="G52:X52" si="21">G59+G60+G61</f>
        <v>0</v>
      </c>
      <c r="H52" s="1">
        <f t="shared" si="21"/>
        <v>0</v>
      </c>
      <c r="I52" s="1">
        <f t="shared" si="21"/>
        <v>0</v>
      </c>
      <c r="J52" s="1">
        <f t="shared" si="21"/>
        <v>0</v>
      </c>
      <c r="K52" s="1">
        <f t="shared" si="21"/>
        <v>0</v>
      </c>
      <c r="L52" s="52">
        <f t="shared" si="21"/>
        <v>0</v>
      </c>
      <c r="M52" s="1">
        <f t="shared" si="21"/>
        <v>0</v>
      </c>
      <c r="N52" s="1">
        <f t="shared" si="21"/>
        <v>0</v>
      </c>
      <c r="O52" s="1">
        <f t="shared" si="21"/>
        <v>0</v>
      </c>
      <c r="P52" s="1">
        <f t="shared" si="21"/>
        <v>0</v>
      </c>
      <c r="Q52" s="1">
        <f t="shared" si="21"/>
        <v>0</v>
      </c>
      <c r="R52" s="1">
        <f t="shared" si="21"/>
        <v>0</v>
      </c>
      <c r="S52" s="1">
        <f t="shared" si="21"/>
        <v>0</v>
      </c>
      <c r="T52" s="1">
        <f t="shared" si="21"/>
        <v>0</v>
      </c>
      <c r="U52" s="1">
        <f t="shared" si="21"/>
        <v>0</v>
      </c>
      <c r="V52" s="1">
        <f t="shared" si="21"/>
        <v>0</v>
      </c>
      <c r="W52" s="1">
        <f t="shared" si="21"/>
        <v>0</v>
      </c>
      <c r="X52" s="54">
        <f t="shared" si="21"/>
        <v>0</v>
      </c>
      <c r="Y52" s="58">
        <f t="shared" si="17"/>
        <v>0</v>
      </c>
      <c r="Z52" s="1">
        <f t="shared" si="18"/>
        <v>0</v>
      </c>
      <c r="AA52" s="1">
        <f t="shared" si="19"/>
        <v>0</v>
      </c>
      <c r="AB52" s="10" t="s">
        <v>88</v>
      </c>
    </row>
    <row r="53" spans="1:31" x14ac:dyDescent="0.25">
      <c r="A53" s="15" t="s">
        <v>51</v>
      </c>
      <c r="B53" s="16" t="s">
        <v>56</v>
      </c>
      <c r="C53" s="2"/>
      <c r="F53" s="1">
        <f>F62+F63+F64</f>
        <v>0</v>
      </c>
      <c r="G53" s="1">
        <f t="shared" ref="G53:X53" si="22">G62+G63+G64</f>
        <v>0</v>
      </c>
      <c r="H53" s="1">
        <f t="shared" si="22"/>
        <v>0</v>
      </c>
      <c r="I53" s="1">
        <f t="shared" si="22"/>
        <v>0</v>
      </c>
      <c r="J53" s="1">
        <f t="shared" si="22"/>
        <v>0</v>
      </c>
      <c r="K53" s="1">
        <f t="shared" si="22"/>
        <v>0</v>
      </c>
      <c r="L53" s="52">
        <f t="shared" si="22"/>
        <v>0</v>
      </c>
      <c r="M53" s="1">
        <f t="shared" si="22"/>
        <v>0</v>
      </c>
      <c r="N53" s="1">
        <f t="shared" si="22"/>
        <v>0</v>
      </c>
      <c r="O53" s="1">
        <f t="shared" si="22"/>
        <v>0</v>
      </c>
      <c r="P53" s="1">
        <f t="shared" si="22"/>
        <v>0</v>
      </c>
      <c r="Q53" s="1">
        <f t="shared" si="22"/>
        <v>0</v>
      </c>
      <c r="R53" s="1">
        <f t="shared" si="22"/>
        <v>0</v>
      </c>
      <c r="S53" s="1">
        <f t="shared" si="22"/>
        <v>0</v>
      </c>
      <c r="T53" s="1">
        <f t="shared" si="22"/>
        <v>0</v>
      </c>
      <c r="U53" s="1">
        <f t="shared" si="22"/>
        <v>0</v>
      </c>
      <c r="V53" s="1">
        <f t="shared" si="22"/>
        <v>0</v>
      </c>
      <c r="W53" s="1">
        <f t="shared" si="22"/>
        <v>0</v>
      </c>
      <c r="X53" s="54">
        <f t="shared" si="22"/>
        <v>0</v>
      </c>
      <c r="Y53" s="58">
        <f t="shared" si="17"/>
        <v>0</v>
      </c>
      <c r="Z53" s="1">
        <f t="shared" si="18"/>
        <v>0</v>
      </c>
      <c r="AA53" s="1">
        <f t="shared" si="19"/>
        <v>0</v>
      </c>
      <c r="AB53" t="s">
        <v>97</v>
      </c>
    </row>
    <row r="54" spans="1:31" x14ac:dyDescent="0.25">
      <c r="A54" s="15" t="s">
        <v>51</v>
      </c>
      <c r="B54" s="16" t="s">
        <v>9</v>
      </c>
      <c r="C54" s="2"/>
      <c r="F54" s="1">
        <f>F65</f>
        <v>0</v>
      </c>
      <c r="G54" s="1">
        <f t="shared" ref="G54:X54" si="23">G65</f>
        <v>0</v>
      </c>
      <c r="H54" s="1">
        <f t="shared" si="23"/>
        <v>0</v>
      </c>
      <c r="I54" s="1">
        <f t="shared" si="23"/>
        <v>0</v>
      </c>
      <c r="J54" s="1">
        <f t="shared" si="23"/>
        <v>0</v>
      </c>
      <c r="K54" s="1">
        <f t="shared" si="23"/>
        <v>0</v>
      </c>
      <c r="L54" s="52">
        <f t="shared" si="23"/>
        <v>0</v>
      </c>
      <c r="M54" s="1">
        <f t="shared" si="23"/>
        <v>0</v>
      </c>
      <c r="N54" s="1">
        <f t="shared" si="23"/>
        <v>0</v>
      </c>
      <c r="O54" s="1">
        <f t="shared" si="23"/>
        <v>0</v>
      </c>
      <c r="P54" s="1">
        <f t="shared" si="23"/>
        <v>0</v>
      </c>
      <c r="Q54" s="1">
        <f t="shared" si="23"/>
        <v>0</v>
      </c>
      <c r="R54" s="1">
        <f t="shared" si="23"/>
        <v>0</v>
      </c>
      <c r="S54" s="1">
        <f t="shared" si="23"/>
        <v>0</v>
      </c>
      <c r="T54" s="1">
        <f t="shared" si="23"/>
        <v>0</v>
      </c>
      <c r="U54" s="1">
        <f t="shared" si="23"/>
        <v>0</v>
      </c>
      <c r="V54" s="1">
        <f t="shared" si="23"/>
        <v>0</v>
      </c>
      <c r="W54" s="1">
        <f t="shared" si="23"/>
        <v>0</v>
      </c>
      <c r="X54" s="54">
        <f t="shared" si="23"/>
        <v>0</v>
      </c>
      <c r="Y54" s="58">
        <f t="shared" si="17"/>
        <v>0</v>
      </c>
      <c r="Z54" s="1">
        <f t="shared" si="18"/>
        <v>0</v>
      </c>
      <c r="AA54" s="1">
        <f t="shared" si="19"/>
        <v>0</v>
      </c>
    </row>
    <row r="55" spans="1:31" x14ac:dyDescent="0.25">
      <c r="A55" s="30" t="s">
        <v>60</v>
      </c>
      <c r="B55" s="32" t="s">
        <v>13</v>
      </c>
      <c r="C55" s="2"/>
      <c r="F55" s="51">
        <f>F66+F67+F68</f>
        <v>2164</v>
      </c>
      <c r="G55" s="51">
        <f t="shared" ref="G55:X55" si="24">G66+G67+G68</f>
        <v>1280</v>
      </c>
      <c r="H55" s="51">
        <f t="shared" si="24"/>
        <v>3200</v>
      </c>
      <c r="I55" s="51">
        <f t="shared" si="24"/>
        <v>800</v>
      </c>
      <c r="J55" s="51">
        <f t="shared" si="24"/>
        <v>750</v>
      </c>
      <c r="K55" s="51">
        <f t="shared" si="24"/>
        <v>200</v>
      </c>
      <c r="L55" s="52">
        <f t="shared" si="24"/>
        <v>0</v>
      </c>
      <c r="M55" s="51">
        <f t="shared" si="24"/>
        <v>810</v>
      </c>
      <c r="N55" s="51">
        <f t="shared" si="24"/>
        <v>130</v>
      </c>
      <c r="O55" s="51">
        <f t="shared" si="24"/>
        <v>347.2</v>
      </c>
      <c r="P55" s="51">
        <f t="shared" si="24"/>
        <v>1736</v>
      </c>
      <c r="Q55" s="51">
        <f t="shared" si="24"/>
        <v>40</v>
      </c>
      <c r="R55" s="51">
        <f t="shared" si="24"/>
        <v>120</v>
      </c>
      <c r="S55" s="51">
        <f t="shared" si="24"/>
        <v>0</v>
      </c>
      <c r="T55" s="51">
        <f t="shared" si="24"/>
        <v>80</v>
      </c>
      <c r="U55" s="51">
        <f t="shared" si="24"/>
        <v>240</v>
      </c>
      <c r="V55" s="51">
        <f t="shared" si="24"/>
        <v>60</v>
      </c>
      <c r="W55" s="51">
        <f t="shared" si="24"/>
        <v>670</v>
      </c>
      <c r="X55" s="55">
        <f t="shared" si="24"/>
        <v>200</v>
      </c>
      <c r="Y55" s="59">
        <f t="shared" si="17"/>
        <v>8394</v>
      </c>
      <c r="Z55" s="51">
        <f t="shared" si="18"/>
        <v>4433.2</v>
      </c>
      <c r="AA55" s="1">
        <f t="shared" si="19"/>
        <v>12827.2</v>
      </c>
      <c r="AB55" s="64">
        <v>12000</v>
      </c>
      <c r="AC55" s="10" t="s">
        <v>97</v>
      </c>
    </row>
    <row r="56" spans="1:31" x14ac:dyDescent="0.25">
      <c r="A56" s="30" t="s">
        <v>60</v>
      </c>
      <c r="B56" s="31" t="s">
        <v>23</v>
      </c>
      <c r="C56" s="2"/>
      <c r="F56" s="51">
        <f>F69+F70+F71</f>
        <v>16</v>
      </c>
      <c r="G56" s="51">
        <f t="shared" ref="G56:X56" si="25">G69+G70+G71</f>
        <v>0</v>
      </c>
      <c r="H56" s="51">
        <f t="shared" si="25"/>
        <v>0</v>
      </c>
      <c r="I56" s="51">
        <f t="shared" si="25"/>
        <v>0</v>
      </c>
      <c r="J56" s="51">
        <f t="shared" si="25"/>
        <v>505.28</v>
      </c>
      <c r="K56" s="51">
        <f t="shared" si="25"/>
        <v>700</v>
      </c>
      <c r="L56" s="52">
        <f t="shared" si="25"/>
        <v>0</v>
      </c>
      <c r="M56" s="51">
        <f t="shared" si="25"/>
        <v>0</v>
      </c>
      <c r="N56" s="51">
        <f t="shared" si="25"/>
        <v>1250</v>
      </c>
      <c r="O56" s="51">
        <f t="shared" si="25"/>
        <v>0</v>
      </c>
      <c r="P56" s="51">
        <f t="shared" si="25"/>
        <v>0</v>
      </c>
      <c r="Q56" s="51">
        <f t="shared" si="25"/>
        <v>0</v>
      </c>
      <c r="R56" s="51">
        <f t="shared" si="25"/>
        <v>0</v>
      </c>
      <c r="S56" s="51">
        <f t="shared" si="25"/>
        <v>73.5</v>
      </c>
      <c r="T56" s="51">
        <f t="shared" si="25"/>
        <v>248</v>
      </c>
      <c r="U56" s="51">
        <f t="shared" si="25"/>
        <v>0</v>
      </c>
      <c r="V56" s="51">
        <f t="shared" si="25"/>
        <v>90</v>
      </c>
      <c r="W56" s="51">
        <f t="shared" si="25"/>
        <v>0</v>
      </c>
      <c r="X56" s="55">
        <f t="shared" si="25"/>
        <v>90</v>
      </c>
      <c r="Y56" s="59">
        <f t="shared" si="17"/>
        <v>1221.28</v>
      </c>
      <c r="Z56" s="51">
        <f t="shared" si="18"/>
        <v>1751.5</v>
      </c>
      <c r="AA56" s="51">
        <f t="shared" si="19"/>
        <v>2972.7799999999997</v>
      </c>
      <c r="AB56">
        <f>897*3</f>
        <v>2691</v>
      </c>
    </row>
    <row r="57" spans="1:31" x14ac:dyDescent="0.25">
      <c r="A57" s="30" t="s">
        <v>60</v>
      </c>
      <c r="B57" s="31" t="s">
        <v>65</v>
      </c>
      <c r="C57" s="46"/>
      <c r="F57" s="51">
        <f>F72+F73+F74</f>
        <v>0</v>
      </c>
      <c r="G57" s="51">
        <f t="shared" ref="G57:X57" si="26">G72+G73+G74</f>
        <v>0</v>
      </c>
      <c r="H57" s="51">
        <f t="shared" si="26"/>
        <v>0</v>
      </c>
      <c r="I57" s="51">
        <f t="shared" si="26"/>
        <v>0</v>
      </c>
      <c r="J57" s="51">
        <f t="shared" si="26"/>
        <v>400</v>
      </c>
      <c r="K57" s="51">
        <f t="shared" si="26"/>
        <v>0</v>
      </c>
      <c r="L57" s="52">
        <f t="shared" si="26"/>
        <v>20600</v>
      </c>
      <c r="M57" s="51">
        <f t="shared" si="26"/>
        <v>1250</v>
      </c>
      <c r="N57" s="51">
        <f t="shared" si="26"/>
        <v>0</v>
      </c>
      <c r="O57" s="51">
        <f t="shared" si="26"/>
        <v>0</v>
      </c>
      <c r="P57" s="51">
        <f t="shared" si="26"/>
        <v>0</v>
      </c>
      <c r="Q57" s="51">
        <f t="shared" si="26"/>
        <v>3500</v>
      </c>
      <c r="R57" s="51">
        <f t="shared" si="26"/>
        <v>2350</v>
      </c>
      <c r="S57" s="51">
        <f t="shared" si="26"/>
        <v>0</v>
      </c>
      <c r="T57" s="51">
        <f t="shared" si="26"/>
        <v>2300</v>
      </c>
      <c r="U57" s="51">
        <f t="shared" si="26"/>
        <v>1080</v>
      </c>
      <c r="V57" s="51">
        <f t="shared" si="26"/>
        <v>500</v>
      </c>
      <c r="W57" s="51">
        <f t="shared" si="26"/>
        <v>670</v>
      </c>
      <c r="X57" s="55">
        <f t="shared" si="26"/>
        <v>800</v>
      </c>
      <c r="Y57" s="59">
        <f t="shared" si="17"/>
        <v>400</v>
      </c>
      <c r="Z57" s="51">
        <f t="shared" si="18"/>
        <v>12450</v>
      </c>
      <c r="AA57" s="64">
        <f>31850</f>
        <v>31850</v>
      </c>
    </row>
    <row r="58" spans="1:31" ht="15.75" thickBot="1" x14ac:dyDescent="0.3">
      <c r="A58" s="48" t="s">
        <v>60</v>
      </c>
      <c r="B58" s="49" t="s">
        <v>9</v>
      </c>
      <c r="C58" s="50"/>
      <c r="D58" s="50"/>
      <c r="E58" s="50"/>
      <c r="F58" s="53">
        <f>F75</f>
        <v>0</v>
      </c>
      <c r="G58" s="53">
        <f t="shared" ref="G58:X58" si="27">G75</f>
        <v>0</v>
      </c>
      <c r="H58" s="53">
        <f t="shared" si="27"/>
        <v>0</v>
      </c>
      <c r="I58" s="53">
        <f t="shared" si="27"/>
        <v>0</v>
      </c>
      <c r="J58" s="53">
        <f t="shared" si="27"/>
        <v>0</v>
      </c>
      <c r="K58" s="53">
        <f t="shared" si="27"/>
        <v>0</v>
      </c>
      <c r="L58" s="62">
        <f t="shared" si="27"/>
        <v>0</v>
      </c>
      <c r="M58" s="53">
        <f t="shared" si="27"/>
        <v>0</v>
      </c>
      <c r="N58" s="53">
        <f t="shared" si="27"/>
        <v>0</v>
      </c>
      <c r="O58" s="53">
        <f t="shared" si="27"/>
        <v>0</v>
      </c>
      <c r="P58" s="53">
        <f t="shared" si="27"/>
        <v>0</v>
      </c>
      <c r="Q58" s="53">
        <f t="shared" si="27"/>
        <v>0</v>
      </c>
      <c r="R58" s="53">
        <f t="shared" si="27"/>
        <v>0</v>
      </c>
      <c r="S58" s="53">
        <f t="shared" si="27"/>
        <v>0</v>
      </c>
      <c r="T58" s="53">
        <f t="shared" si="27"/>
        <v>0</v>
      </c>
      <c r="U58" s="53">
        <f t="shared" si="27"/>
        <v>0</v>
      </c>
      <c r="V58" s="53">
        <f t="shared" si="27"/>
        <v>760</v>
      </c>
      <c r="W58" s="53">
        <f t="shared" si="27"/>
        <v>0</v>
      </c>
      <c r="X58" s="53">
        <f t="shared" si="27"/>
        <v>625</v>
      </c>
      <c r="Y58" s="60">
        <f t="shared" si="17"/>
        <v>0</v>
      </c>
      <c r="Z58" s="53">
        <f t="shared" si="18"/>
        <v>1385</v>
      </c>
      <c r="AA58" s="65">
        <v>900</v>
      </c>
    </row>
    <row r="59" spans="1:31" ht="15.75" thickTop="1" x14ac:dyDescent="0.25">
      <c r="A59" s="15" t="s">
        <v>51</v>
      </c>
      <c r="B59" s="16" t="s">
        <v>52</v>
      </c>
      <c r="C59" s="16" t="s">
        <v>53</v>
      </c>
      <c r="D59" s="2"/>
      <c r="E59" s="2"/>
      <c r="F59" s="47"/>
      <c r="G59" s="47"/>
      <c r="H59" s="47"/>
      <c r="I59" s="47"/>
      <c r="J59" s="47"/>
      <c r="K59" s="47"/>
      <c r="L59" s="6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57"/>
      <c r="Y59" s="61">
        <f t="shared" si="17"/>
        <v>0</v>
      </c>
      <c r="Z59" s="47">
        <f t="shared" si="18"/>
        <v>0</v>
      </c>
      <c r="AA59" s="47">
        <f t="shared" ref="AA59:AA68" si="28">L59+Y59+Z59</f>
        <v>0</v>
      </c>
    </row>
    <row r="60" spans="1:31" x14ac:dyDescent="0.25">
      <c r="A60" s="15" t="s">
        <v>51</v>
      </c>
      <c r="B60" s="16" t="s">
        <v>52</v>
      </c>
      <c r="C60" s="16" t="s">
        <v>54</v>
      </c>
      <c r="D60" s="2"/>
      <c r="E60" s="2"/>
      <c r="F60" s="1"/>
      <c r="G60" s="1"/>
      <c r="H60" s="1"/>
      <c r="I60" s="1"/>
      <c r="J60" s="1"/>
      <c r="K60" s="1"/>
      <c r="L60" s="5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54"/>
      <c r="Y60" s="58">
        <f t="shared" si="17"/>
        <v>0</v>
      </c>
      <c r="Z60" s="1">
        <f t="shared" si="18"/>
        <v>0</v>
      </c>
      <c r="AA60" s="1">
        <f t="shared" si="28"/>
        <v>0</v>
      </c>
      <c r="AD60">
        <f>1.7/7.5</f>
        <v>0.22666666666666666</v>
      </c>
    </row>
    <row r="61" spans="1:31" x14ac:dyDescent="0.25">
      <c r="A61" s="15" t="s">
        <v>51</v>
      </c>
      <c r="B61" s="16" t="s">
        <v>52</v>
      </c>
      <c r="C61" s="16" t="s">
        <v>55</v>
      </c>
      <c r="D61" s="2"/>
      <c r="E61" s="2"/>
      <c r="F61" s="1"/>
      <c r="G61" s="1"/>
      <c r="H61" s="1"/>
      <c r="I61" s="1"/>
      <c r="J61" s="1"/>
      <c r="K61" s="1"/>
      <c r="L61" s="5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54"/>
      <c r="Y61" s="58">
        <f t="shared" si="17"/>
        <v>0</v>
      </c>
      <c r="Z61" s="1">
        <f t="shared" si="18"/>
        <v>0</v>
      </c>
      <c r="AA61" s="1">
        <f t="shared" si="28"/>
        <v>0</v>
      </c>
    </row>
    <row r="62" spans="1:31" x14ac:dyDescent="0.25">
      <c r="A62" s="25" t="s">
        <v>51</v>
      </c>
      <c r="B62" s="26" t="s">
        <v>56</v>
      </c>
      <c r="C62" s="26" t="s">
        <v>57</v>
      </c>
      <c r="D62" s="2"/>
      <c r="E62" s="2"/>
      <c r="F62" s="1"/>
      <c r="G62" s="1"/>
      <c r="H62" s="1"/>
      <c r="I62" s="1"/>
      <c r="J62" s="1"/>
      <c r="K62" s="1"/>
      <c r="L62" s="5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54"/>
      <c r="Y62" s="58">
        <f t="shared" si="17"/>
        <v>0</v>
      </c>
      <c r="Z62" s="1">
        <f t="shared" si="18"/>
        <v>0</v>
      </c>
      <c r="AA62" s="1">
        <f t="shared" si="28"/>
        <v>0</v>
      </c>
    </row>
    <row r="63" spans="1:31" x14ac:dyDescent="0.25">
      <c r="A63" s="15" t="s">
        <v>51</v>
      </c>
      <c r="B63" s="16" t="s">
        <v>56</v>
      </c>
      <c r="C63" s="27" t="s">
        <v>58</v>
      </c>
      <c r="D63" s="2"/>
      <c r="E63" s="2"/>
      <c r="F63" s="1"/>
      <c r="G63" s="1"/>
      <c r="H63" s="1"/>
      <c r="I63" s="1"/>
      <c r="J63" s="1"/>
      <c r="K63" s="1"/>
      <c r="L63" s="5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54"/>
      <c r="Y63" s="58">
        <f t="shared" si="17"/>
        <v>0</v>
      </c>
      <c r="Z63" s="1">
        <f t="shared" si="18"/>
        <v>0</v>
      </c>
      <c r="AA63" s="1">
        <f t="shared" si="28"/>
        <v>0</v>
      </c>
      <c r="AC63">
        <f>16/103*5000</f>
        <v>776.69902912621353</v>
      </c>
    </row>
    <row r="64" spans="1:31" x14ac:dyDescent="0.25">
      <c r="A64" s="15" t="s">
        <v>51</v>
      </c>
      <c r="B64" s="16" t="s">
        <v>9</v>
      </c>
      <c r="C64" s="27" t="s">
        <v>59</v>
      </c>
      <c r="D64" s="2"/>
      <c r="E64" s="2"/>
      <c r="F64" s="1"/>
      <c r="G64" s="1"/>
      <c r="H64" s="1"/>
      <c r="I64" s="1"/>
      <c r="J64" s="1"/>
      <c r="K64" s="1"/>
      <c r="L64" s="5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54"/>
      <c r="Y64" s="58">
        <f t="shared" si="17"/>
        <v>0</v>
      </c>
      <c r="Z64" s="1">
        <f t="shared" si="18"/>
        <v>0</v>
      </c>
      <c r="AA64" s="1">
        <f t="shared" si="28"/>
        <v>0</v>
      </c>
      <c r="AC64">
        <f>80/190*2000</f>
        <v>842.10526315789468</v>
      </c>
      <c r="AE64" s="98"/>
    </row>
    <row r="65" spans="1:35" x14ac:dyDescent="0.25">
      <c r="A65" s="15" t="s">
        <v>51</v>
      </c>
      <c r="B65" s="16" t="s">
        <v>9</v>
      </c>
      <c r="C65" s="27" t="s">
        <v>9</v>
      </c>
      <c r="D65" s="2"/>
      <c r="E65" s="2"/>
      <c r="F65" s="1"/>
      <c r="G65" s="1"/>
      <c r="H65" s="1"/>
      <c r="I65" s="1"/>
      <c r="J65" s="1"/>
      <c r="K65" s="1"/>
      <c r="L65" s="5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54"/>
      <c r="Y65" s="58">
        <f t="shared" si="17"/>
        <v>0</v>
      </c>
      <c r="Z65" s="1">
        <f t="shared" si="18"/>
        <v>0</v>
      </c>
      <c r="AA65" s="1">
        <f t="shared" si="28"/>
        <v>0</v>
      </c>
      <c r="AE65" s="98"/>
      <c r="AF65" s="98"/>
    </row>
    <row r="66" spans="1:35" x14ac:dyDescent="0.25">
      <c r="A66" s="28" t="s">
        <v>60</v>
      </c>
      <c r="B66" s="29" t="s">
        <v>13</v>
      </c>
      <c r="C66" s="29" t="s">
        <v>61</v>
      </c>
      <c r="D66" s="2"/>
      <c r="E66" s="2"/>
      <c r="F66" s="64">
        <f>2164*0.88</f>
        <v>1904.32</v>
      </c>
      <c r="G66" s="51"/>
      <c r="H66" s="64">
        <f>3200*0.6</f>
        <v>1920</v>
      </c>
      <c r="I66" s="64">
        <v>800</v>
      </c>
      <c r="J66" s="64">
        <v>750</v>
      </c>
      <c r="K66" s="64">
        <v>200</v>
      </c>
      <c r="L66" s="52"/>
      <c r="M66" s="64">
        <v>810</v>
      </c>
      <c r="N66" s="64">
        <f>130</f>
        <v>130</v>
      </c>
      <c r="O66" s="64">
        <f>(0.16*(2300-130))</f>
        <v>347.2</v>
      </c>
      <c r="P66" s="64">
        <f>(2300-130)*0.8*0.5</f>
        <v>868</v>
      </c>
      <c r="Q66" s="64">
        <v>40</v>
      </c>
      <c r="R66" s="64">
        <v>120</v>
      </c>
      <c r="S66" s="51"/>
      <c r="T66" s="64">
        <v>80</v>
      </c>
      <c r="U66" s="64">
        <f>180+60</f>
        <v>240</v>
      </c>
      <c r="V66" s="77">
        <f>V21*V111</f>
        <v>60</v>
      </c>
      <c r="W66" s="64">
        <f>670</f>
        <v>670</v>
      </c>
      <c r="X66" s="67">
        <v>200</v>
      </c>
      <c r="Y66" s="59">
        <f t="shared" si="17"/>
        <v>5574.32</v>
      </c>
      <c r="Z66" s="51">
        <f t="shared" si="18"/>
        <v>3565.2</v>
      </c>
      <c r="AA66" s="51">
        <f t="shared" si="28"/>
        <v>9139.52</v>
      </c>
      <c r="AC66">
        <f>28/104*2000</f>
        <v>538.46153846153845</v>
      </c>
      <c r="AE66" s="98"/>
      <c r="AF66" s="98"/>
    </row>
    <row r="67" spans="1:35" x14ac:dyDescent="0.25">
      <c r="A67" s="36" t="s">
        <v>60</v>
      </c>
      <c r="B67" s="37" t="s">
        <v>13</v>
      </c>
      <c r="C67" s="29" t="s">
        <v>62</v>
      </c>
      <c r="D67" s="2"/>
      <c r="E67" s="2"/>
      <c r="F67" s="64">
        <f>2164*0.12</f>
        <v>259.68</v>
      </c>
      <c r="G67" s="64">
        <v>1280</v>
      </c>
      <c r="H67" s="64">
        <f>3200*0.4</f>
        <v>1280</v>
      </c>
      <c r="I67" s="51"/>
      <c r="J67" s="51"/>
      <c r="K67" s="51"/>
      <c r="L67" s="52"/>
      <c r="M67" s="51"/>
      <c r="N67" s="51"/>
      <c r="O67" s="51"/>
      <c r="P67" s="64">
        <f>P66</f>
        <v>868</v>
      </c>
      <c r="Q67" s="51"/>
      <c r="R67" s="51"/>
      <c r="S67" s="51"/>
      <c r="T67" s="51"/>
      <c r="U67" s="51"/>
      <c r="V67" s="51"/>
      <c r="W67" s="51"/>
      <c r="X67" s="55"/>
      <c r="Y67" s="59">
        <f t="shared" si="17"/>
        <v>2819.6800000000003</v>
      </c>
      <c r="Z67" s="51">
        <f t="shared" si="18"/>
        <v>868</v>
      </c>
      <c r="AA67" s="51">
        <f t="shared" si="28"/>
        <v>3687.6800000000003</v>
      </c>
      <c r="AC67">
        <f>40/56</f>
        <v>0.7142857142857143</v>
      </c>
      <c r="AE67" s="98"/>
      <c r="AF67" s="98"/>
    </row>
    <row r="68" spans="1:35" x14ac:dyDescent="0.25">
      <c r="A68" s="30" t="s">
        <v>60</v>
      </c>
      <c r="B68" s="31" t="s">
        <v>13</v>
      </c>
      <c r="C68" s="32" t="s">
        <v>63</v>
      </c>
      <c r="D68" s="2"/>
      <c r="E68" s="2"/>
      <c r="F68" s="51"/>
      <c r="G68" s="51"/>
      <c r="H68" s="51"/>
      <c r="I68" s="51"/>
      <c r="J68" s="51"/>
      <c r="K68" s="51"/>
      <c r="L68" s="52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5"/>
      <c r="Y68" s="59">
        <f t="shared" si="17"/>
        <v>0</v>
      </c>
      <c r="Z68" s="51">
        <f t="shared" si="18"/>
        <v>0</v>
      </c>
      <c r="AA68" s="51">
        <f t="shared" si="28"/>
        <v>0</v>
      </c>
      <c r="AE68" s="98"/>
      <c r="AF68" s="98"/>
    </row>
    <row r="69" spans="1:35" x14ac:dyDescent="0.25">
      <c r="A69" s="30" t="s">
        <v>60</v>
      </c>
      <c r="B69" s="32" t="s">
        <v>23</v>
      </c>
      <c r="C69" s="31" t="s">
        <v>50</v>
      </c>
      <c r="D69" s="2"/>
      <c r="E69" s="2"/>
      <c r="F69" s="77">
        <f>F24*F114</f>
        <v>16</v>
      </c>
      <c r="G69" s="51"/>
      <c r="H69" s="51"/>
      <c r="I69" s="51"/>
      <c r="J69" s="77">
        <f>J24*J114</f>
        <v>5.28</v>
      </c>
      <c r="K69" s="64">
        <v>600</v>
      </c>
      <c r="L69" s="52"/>
      <c r="M69" s="51"/>
      <c r="N69" s="64">
        <v>1250</v>
      </c>
      <c r="O69" s="51"/>
      <c r="P69" s="51"/>
      <c r="Q69" s="51"/>
      <c r="R69" s="51"/>
      <c r="S69" s="51"/>
      <c r="T69" s="51"/>
      <c r="U69" s="51"/>
      <c r="V69" s="51"/>
      <c r="W69" s="51"/>
      <c r="X69" s="55"/>
      <c r="Y69" s="59">
        <f t="shared" si="17"/>
        <v>621.28</v>
      </c>
      <c r="Z69" s="51">
        <f t="shared" si="18"/>
        <v>1250</v>
      </c>
      <c r="AA69" s="64">
        <v>1680</v>
      </c>
      <c r="AE69" s="98"/>
      <c r="AF69" s="98"/>
    </row>
    <row r="70" spans="1:35" x14ac:dyDescent="0.25">
      <c r="A70" s="30" t="s">
        <v>60</v>
      </c>
      <c r="B70" s="32" t="s">
        <v>23</v>
      </c>
      <c r="C70" s="31" t="s">
        <v>49</v>
      </c>
      <c r="D70" s="2"/>
      <c r="E70" s="2"/>
      <c r="F70" s="51"/>
      <c r="G70" s="51"/>
      <c r="H70" s="51"/>
      <c r="I70" s="51"/>
      <c r="J70" s="64">
        <v>500</v>
      </c>
      <c r="K70" s="64">
        <v>100</v>
      </c>
      <c r="L70" s="52"/>
      <c r="M70" s="51"/>
      <c r="N70" s="51"/>
      <c r="O70" s="51"/>
      <c r="P70" s="51"/>
      <c r="Q70" s="51"/>
      <c r="R70" s="51"/>
      <c r="S70" s="77">
        <f>S25*S115</f>
        <v>73.5</v>
      </c>
      <c r="T70" s="77">
        <f>T25*T115</f>
        <v>248</v>
      </c>
      <c r="U70" s="51"/>
      <c r="V70" s="77">
        <f>V25*V115</f>
        <v>90</v>
      </c>
      <c r="W70" s="51"/>
      <c r="X70" s="77">
        <f>X25*X115</f>
        <v>90</v>
      </c>
      <c r="Y70" s="59">
        <f t="shared" si="17"/>
        <v>600</v>
      </c>
      <c r="Z70" s="51">
        <f t="shared" si="18"/>
        <v>501.5</v>
      </c>
      <c r="AA70" s="64">
        <f>600+600</f>
        <v>1200</v>
      </c>
      <c r="AE70" s="98"/>
      <c r="AF70" s="98"/>
    </row>
    <row r="71" spans="1:35" x14ac:dyDescent="0.25">
      <c r="A71" s="30" t="s">
        <v>60</v>
      </c>
      <c r="B71" s="32" t="s">
        <v>23</v>
      </c>
      <c r="C71" s="31" t="s">
        <v>64</v>
      </c>
      <c r="D71" s="2"/>
      <c r="E71" s="2"/>
      <c r="F71" s="51"/>
      <c r="G71" s="51"/>
      <c r="H71" s="51"/>
      <c r="I71" s="51"/>
      <c r="J71" s="51"/>
      <c r="K71" s="51"/>
      <c r="L71" s="52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5"/>
      <c r="Y71" s="59">
        <f t="shared" si="17"/>
        <v>0</v>
      </c>
      <c r="Z71" s="51">
        <f t="shared" si="18"/>
        <v>0</v>
      </c>
      <c r="AA71" s="51">
        <f t="shared" ref="AA71:AA90" si="29">L71+Y71+Z71</f>
        <v>0</v>
      </c>
    </row>
    <row r="72" spans="1:35" x14ac:dyDescent="0.25">
      <c r="A72" s="30" t="s">
        <v>60</v>
      </c>
      <c r="B72" s="32" t="s">
        <v>65</v>
      </c>
      <c r="C72" s="31" t="s">
        <v>66</v>
      </c>
      <c r="D72" s="2"/>
      <c r="E72" s="2"/>
      <c r="F72" s="51"/>
      <c r="G72" s="51"/>
      <c r="H72" s="51"/>
      <c r="I72" s="51"/>
      <c r="J72" s="64">
        <v>400</v>
      </c>
      <c r="K72" s="51"/>
      <c r="L72" s="52"/>
      <c r="M72" s="64">
        <v>1250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5"/>
      <c r="Y72" s="59">
        <f t="shared" si="17"/>
        <v>400</v>
      </c>
      <c r="Z72" s="51">
        <f t="shared" si="18"/>
        <v>1250</v>
      </c>
      <c r="AA72" s="51">
        <f t="shared" si="29"/>
        <v>1650</v>
      </c>
    </row>
    <row r="73" spans="1:35" x14ac:dyDescent="0.25">
      <c r="A73" s="30" t="s">
        <v>60</v>
      </c>
      <c r="B73" s="32" t="s">
        <v>65</v>
      </c>
      <c r="C73" s="31" t="s">
        <v>67</v>
      </c>
      <c r="D73" s="2"/>
      <c r="E73" s="2"/>
      <c r="F73" s="51"/>
      <c r="G73" s="51"/>
      <c r="H73" s="51"/>
      <c r="I73" s="51"/>
      <c r="J73" s="51"/>
      <c r="K73" s="51"/>
      <c r="L73" s="52"/>
      <c r="M73" s="51"/>
      <c r="N73" s="51"/>
      <c r="O73" s="51"/>
      <c r="P73" s="51"/>
      <c r="Q73" s="64">
        <v>3500</v>
      </c>
      <c r="R73" s="64">
        <v>2350</v>
      </c>
      <c r="S73" s="51"/>
      <c r="T73" s="64">
        <v>2300</v>
      </c>
      <c r="U73" s="64">
        <v>1080</v>
      </c>
      <c r="V73" s="64">
        <f>500</f>
        <v>500</v>
      </c>
      <c r="W73" s="64">
        <v>670</v>
      </c>
      <c r="X73" s="67">
        <v>800</v>
      </c>
      <c r="Y73" s="59">
        <f t="shared" si="17"/>
        <v>0</v>
      </c>
      <c r="Z73" s="51">
        <f t="shared" si="18"/>
        <v>11200</v>
      </c>
      <c r="AA73" s="51">
        <f t="shared" si="29"/>
        <v>11200</v>
      </c>
    </row>
    <row r="74" spans="1:35" x14ac:dyDescent="0.25">
      <c r="A74" s="30" t="s">
        <v>60</v>
      </c>
      <c r="B74" s="32" t="s">
        <v>65</v>
      </c>
      <c r="C74" s="31" t="s">
        <v>68</v>
      </c>
      <c r="D74" s="2"/>
      <c r="E74" s="2"/>
      <c r="F74" s="51"/>
      <c r="G74" s="51"/>
      <c r="H74" s="51"/>
      <c r="I74" s="51"/>
      <c r="J74" s="51"/>
      <c r="K74" s="51"/>
      <c r="L74" s="64">
        <v>20600</v>
      </c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5"/>
      <c r="Y74" s="59">
        <f t="shared" si="17"/>
        <v>0</v>
      </c>
      <c r="Z74" s="51">
        <f t="shared" si="18"/>
        <v>0</v>
      </c>
      <c r="AA74" s="51">
        <f t="shared" si="29"/>
        <v>20600</v>
      </c>
    </row>
    <row r="75" spans="1:35" x14ac:dyDescent="0.25">
      <c r="A75" s="30" t="s">
        <v>60</v>
      </c>
      <c r="B75" s="32" t="s">
        <v>9</v>
      </c>
      <c r="C75" s="31" t="s">
        <v>69</v>
      </c>
      <c r="D75" s="2"/>
      <c r="E75" s="2"/>
      <c r="F75" s="51"/>
      <c r="G75" s="51"/>
      <c r="H75" s="51"/>
      <c r="I75" s="51"/>
      <c r="J75" s="51"/>
      <c r="K75" s="51"/>
      <c r="L75" s="52"/>
      <c r="M75" s="51"/>
      <c r="N75" s="51"/>
      <c r="O75" s="51"/>
      <c r="P75" s="51"/>
      <c r="Q75" s="51"/>
      <c r="R75" s="51"/>
      <c r="S75" s="51"/>
      <c r="T75" s="51"/>
      <c r="U75" s="51"/>
      <c r="V75" s="96">
        <v>760</v>
      </c>
      <c r="W75" s="51"/>
      <c r="X75" s="55">
        <v>625</v>
      </c>
      <c r="Y75" s="59">
        <f t="shared" si="17"/>
        <v>0</v>
      </c>
      <c r="Z75" s="51">
        <f t="shared" si="18"/>
        <v>1385</v>
      </c>
      <c r="AA75" s="51">
        <f t="shared" si="29"/>
        <v>1385</v>
      </c>
    </row>
    <row r="76" spans="1:35" x14ac:dyDescent="0.25">
      <c r="A76" s="15" t="s">
        <v>51</v>
      </c>
      <c r="B76" s="16" t="s">
        <v>56</v>
      </c>
      <c r="C76" s="27" t="s">
        <v>57</v>
      </c>
      <c r="D76" s="16" t="s">
        <v>70</v>
      </c>
      <c r="E76" s="16"/>
      <c r="F76" s="1"/>
      <c r="G76" s="1"/>
      <c r="H76" s="1"/>
      <c r="I76" s="1"/>
      <c r="J76" s="1"/>
      <c r="K76" s="1"/>
      <c r="L76" s="5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54"/>
      <c r="Y76" s="58">
        <f t="shared" si="17"/>
        <v>0</v>
      </c>
      <c r="Z76" s="1">
        <f t="shared" si="18"/>
        <v>0</v>
      </c>
      <c r="AA76" s="1">
        <f t="shared" si="29"/>
        <v>0</v>
      </c>
      <c r="AC76">
        <f>8/28*2</f>
        <v>0.5714285714285714</v>
      </c>
    </row>
    <row r="77" spans="1:35" x14ac:dyDescent="0.25">
      <c r="A77" s="15" t="s">
        <v>51</v>
      </c>
      <c r="B77" s="16" t="s">
        <v>56</v>
      </c>
      <c r="C77" s="27" t="s">
        <v>57</v>
      </c>
      <c r="D77" s="16" t="s">
        <v>71</v>
      </c>
      <c r="E77" s="16"/>
      <c r="F77" s="1"/>
      <c r="G77" s="1"/>
      <c r="H77" s="1"/>
      <c r="I77" s="1"/>
      <c r="J77" s="1"/>
      <c r="K77" s="1"/>
      <c r="L77" s="5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54"/>
      <c r="Y77" s="58">
        <f t="shared" si="17"/>
        <v>0</v>
      </c>
      <c r="Z77" s="1">
        <f t="shared" si="18"/>
        <v>0</v>
      </c>
      <c r="AA77" s="1">
        <f t="shared" si="29"/>
        <v>0</v>
      </c>
    </row>
    <row r="78" spans="1:35" x14ac:dyDescent="0.25">
      <c r="A78" s="15" t="s">
        <v>51</v>
      </c>
      <c r="B78" s="16" t="s">
        <v>56</v>
      </c>
      <c r="C78" s="27" t="s">
        <v>27</v>
      </c>
      <c r="D78" s="16" t="s">
        <v>72</v>
      </c>
      <c r="E78" s="16"/>
      <c r="F78" s="1"/>
      <c r="G78" s="1"/>
      <c r="H78" s="1"/>
      <c r="I78" s="1"/>
      <c r="J78" s="1"/>
      <c r="K78" s="1"/>
      <c r="L78" s="5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54"/>
      <c r="Y78" s="58">
        <f t="shared" si="17"/>
        <v>0</v>
      </c>
      <c r="Z78" s="1">
        <f t="shared" si="18"/>
        <v>0</v>
      </c>
      <c r="AA78" s="1">
        <f t="shared" si="29"/>
        <v>0</v>
      </c>
      <c r="AH78" t="s">
        <v>1</v>
      </c>
      <c r="AI78" t="s">
        <v>6</v>
      </c>
    </row>
    <row r="79" spans="1:35" x14ac:dyDescent="0.25">
      <c r="A79" s="15" t="s">
        <v>51</v>
      </c>
      <c r="B79" s="16" t="s">
        <v>56</v>
      </c>
      <c r="C79" s="27" t="s">
        <v>57</v>
      </c>
      <c r="D79" s="16" t="s">
        <v>73</v>
      </c>
      <c r="E79" s="16"/>
      <c r="F79" s="1"/>
      <c r="G79" s="1"/>
      <c r="H79" s="1"/>
      <c r="I79" s="1"/>
      <c r="J79" s="1"/>
      <c r="K79" s="1"/>
      <c r="L79" s="5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54"/>
      <c r="Y79" s="58">
        <f t="shared" si="17"/>
        <v>0</v>
      </c>
      <c r="Z79" s="1">
        <f t="shared" si="18"/>
        <v>0</v>
      </c>
      <c r="AA79" s="1">
        <f t="shared" si="29"/>
        <v>0</v>
      </c>
      <c r="AF79" t="s">
        <v>11</v>
      </c>
      <c r="AG79">
        <f>14/180</f>
        <v>7.7777777777777779E-2</v>
      </c>
      <c r="AH79">
        <f>AG79*20000</f>
        <v>1555.5555555555557</v>
      </c>
    </row>
    <row r="80" spans="1:35" x14ac:dyDescent="0.25">
      <c r="A80" s="15" t="s">
        <v>51</v>
      </c>
      <c r="B80" s="16" t="s">
        <v>56</v>
      </c>
      <c r="C80" s="27" t="s">
        <v>57</v>
      </c>
      <c r="D80" s="16" t="s">
        <v>74</v>
      </c>
      <c r="E80" s="16"/>
      <c r="F80" s="1"/>
      <c r="G80" s="1"/>
      <c r="H80" s="1"/>
      <c r="I80" s="1"/>
      <c r="J80" s="1"/>
      <c r="K80" s="1"/>
      <c r="L80" s="5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54"/>
      <c r="Y80" s="58">
        <f t="shared" si="17"/>
        <v>0</v>
      </c>
      <c r="Z80" s="1">
        <f t="shared" si="18"/>
        <v>0</v>
      </c>
      <c r="AA80" s="1">
        <f t="shared" si="29"/>
        <v>0</v>
      </c>
      <c r="AF80" t="s">
        <v>5</v>
      </c>
      <c r="AG80">
        <f>2/180</f>
        <v>1.1111111111111112E-2</v>
      </c>
      <c r="AH80">
        <f>AG80*20000</f>
        <v>222.22222222222223</v>
      </c>
      <c r="AI80">
        <f>AH80/5000</f>
        <v>4.4444444444444446E-2</v>
      </c>
    </row>
    <row r="81" spans="1:36" x14ac:dyDescent="0.25">
      <c r="A81" s="30" t="s">
        <v>60</v>
      </c>
      <c r="B81" s="31" t="s">
        <v>13</v>
      </c>
      <c r="C81" s="32" t="s">
        <v>61</v>
      </c>
      <c r="D81" s="31" t="s">
        <v>75</v>
      </c>
      <c r="E81" s="31"/>
      <c r="F81" s="51">
        <f>F66*0.8</f>
        <v>1523.4560000000001</v>
      </c>
      <c r="G81" s="51">
        <v>0</v>
      </c>
      <c r="H81" s="51">
        <f>H66</f>
        <v>1920</v>
      </c>
      <c r="I81" s="51">
        <f>I66*0.1</f>
        <v>80</v>
      </c>
      <c r="J81" s="51">
        <v>0</v>
      </c>
      <c r="K81" s="51">
        <v>0</v>
      </c>
      <c r="L81" s="52">
        <v>0</v>
      </c>
      <c r="M81" s="51">
        <f>M66*0.1</f>
        <v>81</v>
      </c>
      <c r="N81" s="51">
        <v>0</v>
      </c>
      <c r="O81" s="51">
        <v>0</v>
      </c>
      <c r="P81" s="51">
        <v>0</v>
      </c>
      <c r="Q81" s="51">
        <f>Q66*0</f>
        <v>0</v>
      </c>
      <c r="R81" s="51"/>
      <c r="S81" s="51"/>
      <c r="T81" s="51"/>
      <c r="U81" s="51"/>
      <c r="V81" s="51"/>
      <c r="W81" s="51">
        <f>W66</f>
        <v>670</v>
      </c>
      <c r="X81" s="55"/>
      <c r="Y81" s="59">
        <f t="shared" si="17"/>
        <v>3523.4560000000001</v>
      </c>
      <c r="Z81" s="51">
        <f t="shared" si="18"/>
        <v>751</v>
      </c>
      <c r="AA81" s="51">
        <f t="shared" si="29"/>
        <v>4274.4560000000001</v>
      </c>
      <c r="AF81" t="s">
        <v>7</v>
      </c>
      <c r="AG81">
        <f>7/180</f>
        <v>3.888888888888889E-2</v>
      </c>
      <c r="AH81">
        <f>AG81*20000</f>
        <v>777.77777777777783</v>
      </c>
      <c r="AI81">
        <f>AH81/5000</f>
        <v>0.15555555555555556</v>
      </c>
      <c r="AJ81">
        <f>AH81/4777</f>
        <v>0.16281720280045589</v>
      </c>
    </row>
    <row r="82" spans="1:36" x14ac:dyDescent="0.25">
      <c r="A82" s="30" t="s">
        <v>60</v>
      </c>
      <c r="B82" s="31" t="s">
        <v>13</v>
      </c>
      <c r="C82" s="32" t="s">
        <v>61</v>
      </c>
      <c r="D82" s="31" t="s">
        <v>76</v>
      </c>
      <c r="E82" s="31"/>
      <c r="F82" s="51">
        <f>F66*0.2</f>
        <v>380.86400000000003</v>
      </c>
      <c r="G82" s="51">
        <v>0</v>
      </c>
      <c r="H82" s="51">
        <v>0</v>
      </c>
      <c r="I82" s="51">
        <f>I66*0.7</f>
        <v>560</v>
      </c>
      <c r="J82" s="51">
        <f>J66</f>
        <v>750</v>
      </c>
      <c r="K82" s="51">
        <f>K66*0.2</f>
        <v>40</v>
      </c>
      <c r="L82" s="52">
        <v>0</v>
      </c>
      <c r="M82" s="51">
        <f>M66*0.3</f>
        <v>243</v>
      </c>
      <c r="N82" s="51">
        <f>N66</f>
        <v>130</v>
      </c>
      <c r="O82" s="51">
        <f>O66*0.9</f>
        <v>312.48</v>
      </c>
      <c r="P82" s="51">
        <f>P66*0.05</f>
        <v>43.400000000000006</v>
      </c>
      <c r="Q82" s="51">
        <f>Q66*0.1</f>
        <v>4</v>
      </c>
      <c r="R82" s="51">
        <f>R66</f>
        <v>120</v>
      </c>
      <c r="S82" s="51"/>
      <c r="T82" s="51"/>
      <c r="U82" s="51"/>
      <c r="V82" s="51"/>
      <c r="W82" s="51"/>
      <c r="X82" s="55"/>
      <c r="Y82" s="59">
        <f t="shared" si="17"/>
        <v>1730.864</v>
      </c>
      <c r="Z82" s="51">
        <f t="shared" si="18"/>
        <v>852.88</v>
      </c>
      <c r="AA82" s="51">
        <f t="shared" si="29"/>
        <v>2583.7440000000001</v>
      </c>
      <c r="AF82" t="s">
        <v>8</v>
      </c>
      <c r="AG82">
        <f>36/180</f>
        <v>0.2</v>
      </c>
      <c r="AH82">
        <f>AG82*20000</f>
        <v>4000</v>
      </c>
      <c r="AI82">
        <f>AH82/5000</f>
        <v>0.8</v>
      </c>
      <c r="AJ82">
        <f>AH82/4777</f>
        <v>0.83734561440234456</v>
      </c>
    </row>
    <row r="83" spans="1:36" x14ac:dyDescent="0.25">
      <c r="A83" s="30" t="s">
        <v>60</v>
      </c>
      <c r="B83" s="31" t="s">
        <v>13</v>
      </c>
      <c r="C83" s="32" t="s">
        <v>61</v>
      </c>
      <c r="D83" s="31" t="s">
        <v>77</v>
      </c>
      <c r="E83" s="31"/>
      <c r="F83" s="51">
        <v>0</v>
      </c>
      <c r="G83" s="51">
        <v>0</v>
      </c>
      <c r="H83" s="51">
        <v>0</v>
      </c>
      <c r="I83" s="51">
        <v>0</v>
      </c>
      <c r="J83" s="51">
        <v>0</v>
      </c>
      <c r="K83" s="51">
        <f>K66*0.4</f>
        <v>80</v>
      </c>
      <c r="L83" s="52">
        <v>0</v>
      </c>
      <c r="M83" s="51">
        <f>M66*0.5</f>
        <v>405</v>
      </c>
      <c r="N83" s="51">
        <v>0</v>
      </c>
      <c r="O83" s="51">
        <v>0</v>
      </c>
      <c r="P83" s="51">
        <v>0</v>
      </c>
      <c r="Q83" s="51">
        <f>Q66*0</f>
        <v>0</v>
      </c>
      <c r="R83" s="51"/>
      <c r="S83" s="51"/>
      <c r="T83" s="51">
        <f>T66</f>
        <v>80</v>
      </c>
      <c r="U83" s="51">
        <f>U66</f>
        <v>240</v>
      </c>
      <c r="V83" s="51"/>
      <c r="W83" s="51"/>
      <c r="X83" s="55"/>
      <c r="Y83" s="59">
        <f t="shared" si="17"/>
        <v>80</v>
      </c>
      <c r="Z83" s="51">
        <f t="shared" si="18"/>
        <v>725</v>
      </c>
      <c r="AA83" s="51">
        <f t="shared" si="29"/>
        <v>805</v>
      </c>
    </row>
    <row r="84" spans="1:36" x14ac:dyDescent="0.25">
      <c r="A84" s="30" t="s">
        <v>60</v>
      </c>
      <c r="B84" s="31" t="s">
        <v>13</v>
      </c>
      <c r="C84" s="32" t="s">
        <v>61</v>
      </c>
      <c r="D84" s="31" t="s">
        <v>78</v>
      </c>
      <c r="E84" s="31"/>
      <c r="F84" s="51">
        <v>0</v>
      </c>
      <c r="G84" s="51">
        <v>0</v>
      </c>
      <c r="H84" s="51">
        <v>0</v>
      </c>
      <c r="I84" s="51">
        <f>I66*0.2</f>
        <v>160</v>
      </c>
      <c r="J84" s="51">
        <v>0</v>
      </c>
      <c r="K84" s="51">
        <f>K66*0.4</f>
        <v>80</v>
      </c>
      <c r="L84" s="52">
        <v>0</v>
      </c>
      <c r="M84" s="51">
        <f>M66*0.1</f>
        <v>81</v>
      </c>
      <c r="N84" s="51">
        <v>0</v>
      </c>
      <c r="O84" s="51">
        <f>O66*0.1</f>
        <v>34.72</v>
      </c>
      <c r="P84" s="51">
        <f>P66*0.95</f>
        <v>824.59999999999991</v>
      </c>
      <c r="Q84" s="51">
        <f>Q66*0.9</f>
        <v>36</v>
      </c>
      <c r="R84" s="51"/>
      <c r="S84" s="51"/>
      <c r="T84" s="51"/>
      <c r="U84" s="51"/>
      <c r="V84" s="51"/>
      <c r="W84" s="51"/>
      <c r="X84" s="55">
        <f>X66</f>
        <v>200</v>
      </c>
      <c r="Y84" s="59">
        <f t="shared" si="17"/>
        <v>240</v>
      </c>
      <c r="Z84" s="51">
        <f t="shared" si="18"/>
        <v>1176.32</v>
      </c>
      <c r="AA84" s="51">
        <f t="shared" si="29"/>
        <v>1416.32</v>
      </c>
    </row>
    <row r="85" spans="1:36" ht="15.75" thickBot="1" x14ac:dyDescent="0.3">
      <c r="A85" s="33" t="s">
        <v>60</v>
      </c>
      <c r="B85" s="34" t="s">
        <v>13</v>
      </c>
      <c r="C85" s="35" t="s">
        <v>61</v>
      </c>
      <c r="D85" s="34" t="s">
        <v>79</v>
      </c>
      <c r="E85" s="31"/>
      <c r="F85" s="51">
        <v>0</v>
      </c>
      <c r="G85" s="51">
        <v>0</v>
      </c>
      <c r="H85" s="51">
        <v>0</v>
      </c>
      <c r="I85" s="51">
        <v>0</v>
      </c>
      <c r="J85" s="51">
        <v>0</v>
      </c>
      <c r="K85" s="51">
        <v>0</v>
      </c>
      <c r="L85" s="52">
        <v>0</v>
      </c>
      <c r="M85" s="51">
        <v>0</v>
      </c>
      <c r="N85" s="51">
        <v>0</v>
      </c>
      <c r="O85" s="51">
        <v>0</v>
      </c>
      <c r="P85" s="51">
        <v>0</v>
      </c>
      <c r="Q85" s="51"/>
      <c r="R85" s="51"/>
      <c r="S85" s="51"/>
      <c r="T85" s="51"/>
      <c r="U85" s="51"/>
      <c r="V85" s="51"/>
      <c r="W85" s="51"/>
      <c r="X85" s="55"/>
      <c r="Y85" s="59">
        <f t="shared" si="17"/>
        <v>0</v>
      </c>
      <c r="Z85" s="51">
        <f t="shared" si="18"/>
        <v>0</v>
      </c>
      <c r="AA85" s="51">
        <f t="shared" si="29"/>
        <v>0</v>
      </c>
    </row>
    <row r="86" spans="1:36" x14ac:dyDescent="0.25">
      <c r="A86" s="30" t="s">
        <v>60</v>
      </c>
      <c r="B86" s="31" t="s">
        <v>13</v>
      </c>
      <c r="C86" s="32" t="s">
        <v>62</v>
      </c>
      <c r="D86" s="31" t="s">
        <v>75</v>
      </c>
      <c r="E86" s="31"/>
      <c r="F86" s="51"/>
      <c r="G86" s="51">
        <v>0</v>
      </c>
      <c r="H86" s="51"/>
      <c r="I86" s="51">
        <v>0</v>
      </c>
      <c r="J86" s="51">
        <v>0</v>
      </c>
      <c r="K86" s="51">
        <v>0</v>
      </c>
      <c r="L86" s="52">
        <v>0</v>
      </c>
      <c r="M86" s="51">
        <v>0</v>
      </c>
      <c r="N86" s="51">
        <v>0</v>
      </c>
      <c r="O86" s="51">
        <v>0</v>
      </c>
      <c r="P86" s="51">
        <v>0</v>
      </c>
      <c r="Q86" s="51"/>
      <c r="R86" s="51"/>
      <c r="S86" s="51"/>
      <c r="T86" s="51"/>
      <c r="U86" s="51"/>
      <c r="V86" s="51"/>
      <c r="W86" s="51"/>
      <c r="X86" s="55"/>
      <c r="Y86" s="59">
        <f t="shared" si="17"/>
        <v>0</v>
      </c>
      <c r="Z86" s="51">
        <f t="shared" si="18"/>
        <v>0</v>
      </c>
      <c r="AA86" s="51">
        <f t="shared" si="29"/>
        <v>0</v>
      </c>
    </row>
    <row r="87" spans="1:36" x14ac:dyDescent="0.25">
      <c r="A87" s="30" t="s">
        <v>60</v>
      </c>
      <c r="B87" s="31" t="s">
        <v>13</v>
      </c>
      <c r="C87" s="32" t="s">
        <v>62</v>
      </c>
      <c r="D87" s="31" t="s">
        <v>76</v>
      </c>
      <c r="E87" s="31"/>
      <c r="F87" s="51">
        <f>F67</f>
        <v>259.68</v>
      </c>
      <c r="G87" s="51">
        <f>G67</f>
        <v>1280</v>
      </c>
      <c r="H87" s="51">
        <f>H67</f>
        <v>1280</v>
      </c>
      <c r="I87" s="51">
        <v>0</v>
      </c>
      <c r="J87" s="51">
        <v>0</v>
      </c>
      <c r="K87" s="51">
        <v>0</v>
      </c>
      <c r="L87" s="52">
        <v>0</v>
      </c>
      <c r="M87" s="51">
        <v>0</v>
      </c>
      <c r="N87" s="51">
        <v>0</v>
      </c>
      <c r="O87" s="51">
        <v>0</v>
      </c>
      <c r="P87" s="51">
        <v>0</v>
      </c>
      <c r="Q87" s="51"/>
      <c r="R87" s="51"/>
      <c r="S87" s="51"/>
      <c r="T87" s="51"/>
      <c r="U87" s="51"/>
      <c r="V87" s="51"/>
      <c r="W87" s="51"/>
      <c r="X87" s="55"/>
      <c r="Y87" s="59">
        <f t="shared" si="17"/>
        <v>2819.6800000000003</v>
      </c>
      <c r="Z87" s="51">
        <f t="shared" si="18"/>
        <v>0</v>
      </c>
      <c r="AA87" s="51">
        <f t="shared" si="29"/>
        <v>2819.6800000000003</v>
      </c>
    </row>
    <row r="88" spans="1:36" x14ac:dyDescent="0.25">
      <c r="A88" s="30" t="s">
        <v>60</v>
      </c>
      <c r="B88" s="31" t="s">
        <v>13</v>
      </c>
      <c r="C88" s="32" t="s">
        <v>62</v>
      </c>
      <c r="D88" s="31" t="s">
        <v>77</v>
      </c>
      <c r="E88" s="31"/>
      <c r="F88" s="51">
        <v>0</v>
      </c>
      <c r="G88" s="51">
        <v>0</v>
      </c>
      <c r="H88" s="51">
        <v>0</v>
      </c>
      <c r="I88" s="51">
        <v>0</v>
      </c>
      <c r="J88" s="51">
        <v>0</v>
      </c>
      <c r="K88" s="51">
        <v>0</v>
      </c>
      <c r="L88" s="52">
        <v>0</v>
      </c>
      <c r="M88" s="51">
        <v>0</v>
      </c>
      <c r="N88" s="51">
        <v>0</v>
      </c>
      <c r="O88" s="51">
        <v>0</v>
      </c>
      <c r="P88" s="51">
        <v>0</v>
      </c>
      <c r="Q88" s="51"/>
      <c r="R88" s="51"/>
      <c r="S88" s="51"/>
      <c r="T88" s="51"/>
      <c r="U88" s="51"/>
      <c r="V88" s="51"/>
      <c r="W88" s="51"/>
      <c r="X88" s="55"/>
      <c r="Y88" s="59">
        <f t="shared" si="17"/>
        <v>0</v>
      </c>
      <c r="Z88" s="51">
        <f t="shared" si="18"/>
        <v>0</v>
      </c>
      <c r="AA88" s="51">
        <f t="shared" si="29"/>
        <v>0</v>
      </c>
    </row>
    <row r="89" spans="1:36" x14ac:dyDescent="0.25">
      <c r="A89" s="30" t="s">
        <v>60</v>
      </c>
      <c r="B89" s="31" t="s">
        <v>13</v>
      </c>
      <c r="C89" s="32" t="s">
        <v>62</v>
      </c>
      <c r="D89" s="31" t="s">
        <v>78</v>
      </c>
      <c r="E89" s="31"/>
      <c r="F89" s="51">
        <v>0</v>
      </c>
      <c r="G89" s="51">
        <v>0</v>
      </c>
      <c r="H89" s="51">
        <v>0</v>
      </c>
      <c r="I89" s="51">
        <v>0</v>
      </c>
      <c r="J89" s="51">
        <v>0</v>
      </c>
      <c r="K89" s="51">
        <v>0</v>
      </c>
      <c r="L89" s="52">
        <v>0</v>
      </c>
      <c r="M89" s="51">
        <v>0</v>
      </c>
      <c r="N89" s="51">
        <v>0</v>
      </c>
      <c r="O89" s="51">
        <v>0</v>
      </c>
      <c r="P89" s="51">
        <f>+P67</f>
        <v>868</v>
      </c>
      <c r="Q89" s="51"/>
      <c r="R89" s="51"/>
      <c r="S89" s="51"/>
      <c r="T89" s="51"/>
      <c r="U89" s="51"/>
      <c r="V89" s="51"/>
      <c r="W89" s="51"/>
      <c r="X89" s="55"/>
      <c r="Y89" s="59">
        <f t="shared" si="17"/>
        <v>0</v>
      </c>
      <c r="Z89" s="51">
        <f t="shared" si="18"/>
        <v>868</v>
      </c>
      <c r="AA89" s="51">
        <f t="shared" si="29"/>
        <v>868</v>
      </c>
    </row>
    <row r="90" spans="1:36" ht="15.75" thickBot="1" x14ac:dyDescent="0.3">
      <c r="A90" s="33" t="s">
        <v>60</v>
      </c>
      <c r="B90" s="34" t="s">
        <v>13</v>
      </c>
      <c r="C90" s="32" t="s">
        <v>62</v>
      </c>
      <c r="D90" s="34" t="s">
        <v>79</v>
      </c>
      <c r="E90" s="31"/>
      <c r="F90" s="51"/>
      <c r="G90" s="51"/>
      <c r="H90" s="51"/>
      <c r="I90" s="51"/>
      <c r="J90" s="51"/>
      <c r="K90" s="51"/>
      <c r="L90" s="52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5"/>
      <c r="Y90" s="59">
        <f t="shared" si="17"/>
        <v>0</v>
      </c>
      <c r="Z90" s="51">
        <f t="shared" si="18"/>
        <v>0</v>
      </c>
      <c r="AA90" s="51">
        <f t="shared" si="29"/>
        <v>0</v>
      </c>
    </row>
    <row r="92" spans="1:36" x14ac:dyDescent="0.25">
      <c r="D92" s="41" t="s">
        <v>19</v>
      </c>
      <c r="E92" s="41"/>
      <c r="M92" s="24" t="s">
        <v>81</v>
      </c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</row>
    <row r="93" spans="1:36" x14ac:dyDescent="0.25">
      <c r="F93" s="23" t="s">
        <v>44</v>
      </c>
      <c r="G93" s="23"/>
      <c r="H93" s="23"/>
      <c r="I93" s="23"/>
      <c r="J93" s="23"/>
      <c r="K93" s="23"/>
      <c r="L93" s="7" t="s">
        <v>30</v>
      </c>
      <c r="M93" s="24" t="s">
        <v>46</v>
      </c>
      <c r="N93" s="24"/>
      <c r="O93" s="24"/>
      <c r="P93" s="24"/>
      <c r="Q93" s="24"/>
      <c r="R93" s="24" t="s">
        <v>47</v>
      </c>
      <c r="S93" s="24"/>
      <c r="T93" s="24"/>
      <c r="U93" s="24"/>
      <c r="V93" s="24"/>
      <c r="W93" s="24"/>
      <c r="X93" s="24"/>
      <c r="Y93" s="44" t="s">
        <v>85</v>
      </c>
      <c r="Z93" s="44" t="s">
        <v>48</v>
      </c>
      <c r="AA93" s="44" t="s">
        <v>3</v>
      </c>
    </row>
    <row r="94" spans="1:36" ht="63" x14ac:dyDescent="0.25">
      <c r="F94" s="38" t="s">
        <v>36</v>
      </c>
      <c r="G94" s="38" t="s">
        <v>37</v>
      </c>
      <c r="H94" s="38" t="s">
        <v>38</v>
      </c>
      <c r="I94" s="38" t="s">
        <v>80</v>
      </c>
      <c r="J94" s="38" t="s">
        <v>39</v>
      </c>
      <c r="K94" s="38" t="s">
        <v>45</v>
      </c>
      <c r="L94" s="39" t="s">
        <v>16</v>
      </c>
      <c r="M94" s="40" t="s">
        <v>34</v>
      </c>
      <c r="N94" s="40" t="s">
        <v>5</v>
      </c>
      <c r="O94" s="40" t="s">
        <v>7</v>
      </c>
      <c r="P94" s="40" t="s">
        <v>8</v>
      </c>
      <c r="Q94" s="40" t="s">
        <v>40</v>
      </c>
      <c r="R94" s="40" t="s">
        <v>41</v>
      </c>
      <c r="S94" s="40" t="s">
        <v>42</v>
      </c>
      <c r="T94" s="40" t="s">
        <v>31</v>
      </c>
      <c r="U94" s="40" t="s">
        <v>43</v>
      </c>
      <c r="V94" s="40" t="s">
        <v>82</v>
      </c>
      <c r="W94" s="40" t="s">
        <v>87</v>
      </c>
      <c r="X94" s="40" t="s">
        <v>83</v>
      </c>
      <c r="Y94" s="45" t="s">
        <v>3</v>
      </c>
      <c r="Z94" s="45" t="s">
        <v>3</v>
      </c>
      <c r="AA94" s="45" t="s">
        <v>3</v>
      </c>
    </row>
    <row r="95" spans="1:36" x14ac:dyDescent="0.25">
      <c r="A95" s="15" t="s">
        <v>51</v>
      </c>
      <c r="B95" s="2"/>
      <c r="C95" s="2"/>
      <c r="F95" s="1">
        <f t="shared" ref="F95:AA95" si="30">IF(F5&gt;0,F50/F5,0)</f>
        <v>0</v>
      </c>
      <c r="G95" s="1">
        <f t="shared" si="30"/>
        <v>0</v>
      </c>
      <c r="H95" s="1">
        <f t="shared" si="30"/>
        <v>0</v>
      </c>
      <c r="I95" s="1">
        <f t="shared" si="30"/>
        <v>0</v>
      </c>
      <c r="J95" s="1">
        <f t="shared" si="30"/>
        <v>0</v>
      </c>
      <c r="K95" s="1">
        <f t="shared" si="30"/>
        <v>0</v>
      </c>
      <c r="L95" s="52">
        <f t="shared" si="30"/>
        <v>0</v>
      </c>
      <c r="M95" s="1">
        <f t="shared" si="30"/>
        <v>0</v>
      </c>
      <c r="N95" s="1">
        <f t="shared" si="30"/>
        <v>0</v>
      </c>
      <c r="O95" s="1">
        <f t="shared" si="30"/>
        <v>0</v>
      </c>
      <c r="P95" s="1">
        <f t="shared" si="30"/>
        <v>0</v>
      </c>
      <c r="Q95" s="1">
        <f t="shared" si="30"/>
        <v>0</v>
      </c>
      <c r="R95" s="1">
        <f t="shared" si="30"/>
        <v>0</v>
      </c>
      <c r="S95" s="1">
        <f t="shared" si="30"/>
        <v>0</v>
      </c>
      <c r="T95" s="1">
        <f t="shared" si="30"/>
        <v>0</v>
      </c>
      <c r="U95" s="1">
        <f t="shared" si="30"/>
        <v>0</v>
      </c>
      <c r="V95" s="1">
        <f t="shared" si="30"/>
        <v>0</v>
      </c>
      <c r="W95" s="1">
        <f t="shared" si="30"/>
        <v>0</v>
      </c>
      <c r="X95" s="54">
        <f t="shared" si="30"/>
        <v>0</v>
      </c>
      <c r="Y95" s="58">
        <f t="shared" si="30"/>
        <v>0</v>
      </c>
      <c r="Z95" s="1">
        <f t="shared" si="30"/>
        <v>0</v>
      </c>
      <c r="AA95" s="1">
        <f t="shared" si="30"/>
        <v>0</v>
      </c>
    </row>
    <row r="96" spans="1:36" x14ac:dyDescent="0.25">
      <c r="A96" s="30" t="s">
        <v>60</v>
      </c>
      <c r="B96" s="2"/>
      <c r="C96" s="2"/>
      <c r="F96" s="1">
        <f t="shared" ref="F96:AA108" si="31">IF(F6&gt;0,F51/F6,0)</f>
        <v>0.21062801932367151</v>
      </c>
      <c r="G96" s="1">
        <f t="shared" si="31"/>
        <v>0.2807017543859649</v>
      </c>
      <c r="H96" s="1">
        <f t="shared" si="31"/>
        <v>0.37825059101654845</v>
      </c>
      <c r="I96" s="1">
        <f t="shared" si="31"/>
        <v>0.27210884353741499</v>
      </c>
      <c r="J96" s="1">
        <f t="shared" si="31"/>
        <v>0.24521658206648941</v>
      </c>
      <c r="K96" s="1">
        <f t="shared" si="31"/>
        <v>0.27692307692307694</v>
      </c>
      <c r="L96" s="52">
        <f t="shared" si="31"/>
        <v>0.09</v>
      </c>
      <c r="M96" s="1">
        <f t="shared" si="31"/>
        <v>0.17189631650750339</v>
      </c>
      <c r="N96" s="1">
        <f t="shared" si="31"/>
        <v>0.75824175824175821</v>
      </c>
      <c r="O96" s="1">
        <f t="shared" si="31"/>
        <v>0.43574297188755012</v>
      </c>
      <c r="P96" s="1">
        <f t="shared" si="31"/>
        <v>0.4101110323647531</v>
      </c>
      <c r="Q96" s="1">
        <f t="shared" si="31"/>
        <v>0.15119589977220954</v>
      </c>
      <c r="R96" s="1">
        <f t="shared" si="31"/>
        <v>0.18570795328616485</v>
      </c>
      <c r="S96" s="1">
        <f t="shared" si="31"/>
        <v>0.3</v>
      </c>
      <c r="T96" s="1">
        <f t="shared" si="31"/>
        <v>0.16309474555233761</v>
      </c>
      <c r="U96" s="1">
        <f t="shared" si="31"/>
        <v>0.13924050632911392</v>
      </c>
      <c r="V96" s="1">
        <f t="shared" si="31"/>
        <v>0.27774130006565989</v>
      </c>
      <c r="W96" s="1">
        <f t="shared" ref="W96:W110" si="32">IF(W6&gt;0,W51/W6,0)</f>
        <v>0.19999999999999998</v>
      </c>
      <c r="X96" s="54">
        <f t="shared" si="31"/>
        <v>0.19815680880330125</v>
      </c>
      <c r="Y96" s="58">
        <f t="shared" si="31"/>
        <v>0.2758249361664421</v>
      </c>
      <c r="Z96" s="1">
        <f t="shared" si="31"/>
        <v>0.1965673392359597</v>
      </c>
      <c r="AA96" s="1">
        <f t="shared" si="31"/>
        <v>0.13798527674663147</v>
      </c>
    </row>
    <row r="97" spans="1:27" x14ac:dyDescent="0.25">
      <c r="A97" s="15" t="s">
        <v>51</v>
      </c>
      <c r="B97" s="16" t="s">
        <v>52</v>
      </c>
      <c r="C97" s="2"/>
      <c r="F97" s="1">
        <f t="shared" si="31"/>
        <v>0</v>
      </c>
      <c r="G97" s="1">
        <f t="shared" si="31"/>
        <v>0</v>
      </c>
      <c r="H97" s="1">
        <f t="shared" si="31"/>
        <v>0</v>
      </c>
      <c r="I97" s="1">
        <f t="shared" si="31"/>
        <v>0</v>
      </c>
      <c r="J97" s="1">
        <f t="shared" si="31"/>
        <v>0</v>
      </c>
      <c r="K97" s="1">
        <f t="shared" si="31"/>
        <v>0</v>
      </c>
      <c r="L97" s="52">
        <f t="shared" si="31"/>
        <v>0</v>
      </c>
      <c r="M97" s="1">
        <f t="shared" si="31"/>
        <v>0</v>
      </c>
      <c r="N97" s="1">
        <f t="shared" si="31"/>
        <v>0</v>
      </c>
      <c r="O97" s="1">
        <f t="shared" si="31"/>
        <v>0</v>
      </c>
      <c r="P97" s="1">
        <f t="shared" si="31"/>
        <v>0</v>
      </c>
      <c r="Q97" s="1">
        <f t="shared" si="31"/>
        <v>0</v>
      </c>
      <c r="R97" s="1">
        <f t="shared" si="31"/>
        <v>0</v>
      </c>
      <c r="S97" s="1">
        <f t="shared" si="31"/>
        <v>0</v>
      </c>
      <c r="T97" s="1">
        <f t="shared" si="31"/>
        <v>0</v>
      </c>
      <c r="U97" s="1">
        <f t="shared" si="31"/>
        <v>0</v>
      </c>
      <c r="V97" s="1">
        <f t="shared" si="31"/>
        <v>0</v>
      </c>
      <c r="W97" s="1">
        <f t="shared" si="32"/>
        <v>0</v>
      </c>
      <c r="X97" s="54">
        <f t="shared" si="31"/>
        <v>0</v>
      </c>
      <c r="Y97" s="58">
        <f t="shared" si="31"/>
        <v>0</v>
      </c>
      <c r="Z97" s="1">
        <f t="shared" si="31"/>
        <v>0</v>
      </c>
      <c r="AA97" s="1">
        <f t="shared" si="31"/>
        <v>0</v>
      </c>
    </row>
    <row r="98" spans="1:27" x14ac:dyDescent="0.25">
      <c r="A98" s="15" t="s">
        <v>51</v>
      </c>
      <c r="B98" s="16" t="s">
        <v>56</v>
      </c>
      <c r="C98" s="2"/>
      <c r="F98" s="1">
        <f t="shared" si="31"/>
        <v>0</v>
      </c>
      <c r="G98" s="1">
        <f t="shared" si="31"/>
        <v>0</v>
      </c>
      <c r="H98" s="1">
        <f t="shared" si="31"/>
        <v>0</v>
      </c>
      <c r="I98" s="1">
        <f t="shared" si="31"/>
        <v>0</v>
      </c>
      <c r="J98" s="1">
        <f t="shared" si="31"/>
        <v>0</v>
      </c>
      <c r="K98" s="1">
        <f t="shared" si="31"/>
        <v>0</v>
      </c>
      <c r="L98" s="52">
        <f t="shared" si="31"/>
        <v>0</v>
      </c>
      <c r="M98" s="1">
        <f t="shared" si="31"/>
        <v>0</v>
      </c>
      <c r="N98" s="1">
        <f t="shared" si="31"/>
        <v>0</v>
      </c>
      <c r="O98" s="1">
        <f t="shared" si="31"/>
        <v>0</v>
      </c>
      <c r="P98" s="1">
        <f t="shared" si="31"/>
        <v>0</v>
      </c>
      <c r="Q98" s="1">
        <f t="shared" si="31"/>
        <v>0</v>
      </c>
      <c r="R98" s="1">
        <f t="shared" si="31"/>
        <v>0</v>
      </c>
      <c r="S98" s="1">
        <f t="shared" si="31"/>
        <v>0</v>
      </c>
      <c r="T98" s="1">
        <f t="shared" si="31"/>
        <v>0</v>
      </c>
      <c r="U98" s="1">
        <f t="shared" si="31"/>
        <v>0</v>
      </c>
      <c r="V98" s="1">
        <f t="shared" si="31"/>
        <v>0</v>
      </c>
      <c r="W98" s="1">
        <f t="shared" si="32"/>
        <v>0</v>
      </c>
      <c r="X98" s="54">
        <f t="shared" si="31"/>
        <v>0</v>
      </c>
      <c r="Y98" s="58">
        <f t="shared" si="31"/>
        <v>0</v>
      </c>
      <c r="Z98" s="1">
        <f t="shared" si="31"/>
        <v>0</v>
      </c>
      <c r="AA98" s="1">
        <f t="shared" si="31"/>
        <v>0</v>
      </c>
    </row>
    <row r="99" spans="1:27" x14ac:dyDescent="0.25">
      <c r="A99" s="15" t="s">
        <v>51</v>
      </c>
      <c r="B99" s="16" t="s">
        <v>9</v>
      </c>
      <c r="C99" s="2"/>
      <c r="F99" s="1">
        <f t="shared" si="31"/>
        <v>0</v>
      </c>
      <c r="G99" s="1">
        <f t="shared" si="31"/>
        <v>0</v>
      </c>
      <c r="H99" s="1">
        <f t="shared" si="31"/>
        <v>0</v>
      </c>
      <c r="I99" s="1">
        <f t="shared" si="31"/>
        <v>0</v>
      </c>
      <c r="J99" s="1">
        <f t="shared" si="31"/>
        <v>0</v>
      </c>
      <c r="K99" s="1">
        <f t="shared" si="31"/>
        <v>0</v>
      </c>
      <c r="L99" s="52">
        <f t="shared" si="31"/>
        <v>0</v>
      </c>
      <c r="M99" s="1">
        <f t="shared" si="31"/>
        <v>0</v>
      </c>
      <c r="N99" s="1">
        <f t="shared" si="31"/>
        <v>0</v>
      </c>
      <c r="O99" s="1">
        <f t="shared" si="31"/>
        <v>0</v>
      </c>
      <c r="P99" s="1">
        <f t="shared" si="31"/>
        <v>0</v>
      </c>
      <c r="Q99" s="1">
        <f t="shared" si="31"/>
        <v>0</v>
      </c>
      <c r="R99" s="1">
        <f t="shared" si="31"/>
        <v>0</v>
      </c>
      <c r="S99" s="1">
        <f t="shared" si="31"/>
        <v>0</v>
      </c>
      <c r="T99" s="1">
        <f t="shared" si="31"/>
        <v>0</v>
      </c>
      <c r="U99" s="1">
        <f t="shared" si="31"/>
        <v>0</v>
      </c>
      <c r="V99" s="1">
        <f t="shared" si="31"/>
        <v>0</v>
      </c>
      <c r="W99" s="1">
        <f t="shared" si="32"/>
        <v>0</v>
      </c>
      <c r="X99" s="54">
        <f t="shared" si="31"/>
        <v>0</v>
      </c>
      <c r="Y99" s="58">
        <f t="shared" si="31"/>
        <v>0</v>
      </c>
      <c r="Z99" s="1">
        <f t="shared" si="31"/>
        <v>0</v>
      </c>
      <c r="AA99" s="1">
        <f t="shared" si="31"/>
        <v>0</v>
      </c>
    </row>
    <row r="100" spans="1:27" x14ac:dyDescent="0.25">
      <c r="A100" s="30" t="s">
        <v>60</v>
      </c>
      <c r="B100" s="32" t="s">
        <v>13</v>
      </c>
      <c r="C100" s="2"/>
      <c r="F100" s="51">
        <f t="shared" si="31"/>
        <v>0.21009708737864077</v>
      </c>
      <c r="G100" s="51">
        <f t="shared" si="31"/>
        <v>0.2807017543859649</v>
      </c>
      <c r="H100" s="51">
        <f t="shared" si="31"/>
        <v>0.37825059101654845</v>
      </c>
      <c r="I100" s="51">
        <f t="shared" si="31"/>
        <v>0.27210884353741499</v>
      </c>
      <c r="J100" s="51">
        <f t="shared" si="31"/>
        <v>0.42613636363636365</v>
      </c>
      <c r="K100" s="51">
        <f t="shared" si="31"/>
        <v>0.2857142857142857</v>
      </c>
      <c r="L100" s="52">
        <f t="shared" si="31"/>
        <v>0</v>
      </c>
      <c r="M100" s="51">
        <f t="shared" si="31"/>
        <v>0.45</v>
      </c>
      <c r="N100" s="51">
        <f t="shared" si="31"/>
        <v>0.59090909090909094</v>
      </c>
      <c r="O100" s="51">
        <f t="shared" si="31"/>
        <v>0.43574297188755012</v>
      </c>
      <c r="P100" s="51">
        <f t="shared" si="31"/>
        <v>0.4101110323647531</v>
      </c>
      <c r="Q100" s="51">
        <f t="shared" si="31"/>
        <v>0.5</v>
      </c>
      <c r="R100" s="51">
        <f t="shared" si="31"/>
        <v>0.49</v>
      </c>
      <c r="S100" s="51">
        <f t="shared" si="31"/>
        <v>0</v>
      </c>
      <c r="T100" s="51">
        <f t="shared" si="31"/>
        <v>0.5</v>
      </c>
      <c r="U100" s="51">
        <f t="shared" si="31"/>
        <v>0.5</v>
      </c>
      <c r="V100" s="51">
        <f t="shared" si="31"/>
        <v>1.2</v>
      </c>
      <c r="W100" s="51">
        <f t="shared" si="32"/>
        <v>0.6</v>
      </c>
      <c r="X100" s="55">
        <f t="shared" si="31"/>
        <v>0.5</v>
      </c>
      <c r="Y100" s="59">
        <f t="shared" si="31"/>
        <v>0.29227019498607243</v>
      </c>
      <c r="Z100" s="51">
        <f t="shared" si="31"/>
        <v>0.46268983314123235</v>
      </c>
      <c r="AA100" s="51">
        <f>IF(AA10&gt;0,AB55/AA10,0)</f>
        <v>0.30927835051546393</v>
      </c>
    </row>
    <row r="101" spans="1:27" x14ac:dyDescent="0.25">
      <c r="A101" s="30" t="s">
        <v>60</v>
      </c>
      <c r="B101" s="31" t="s">
        <v>23</v>
      </c>
      <c r="C101" s="2"/>
      <c r="F101" s="51">
        <f t="shared" si="31"/>
        <v>0.32</v>
      </c>
      <c r="G101" s="51">
        <f t="shared" si="31"/>
        <v>0</v>
      </c>
      <c r="H101" s="51">
        <f t="shared" si="31"/>
        <v>0</v>
      </c>
      <c r="I101" s="51">
        <f t="shared" si="31"/>
        <v>0</v>
      </c>
      <c r="J101" s="51">
        <f t="shared" si="31"/>
        <v>0.30494689018695287</v>
      </c>
      <c r="K101" s="51">
        <f t="shared" si="31"/>
        <v>0.27450980392156865</v>
      </c>
      <c r="L101" s="52">
        <f t="shared" si="31"/>
        <v>0</v>
      </c>
      <c r="M101" s="51">
        <f t="shared" si="31"/>
        <v>0</v>
      </c>
      <c r="N101" s="51">
        <f t="shared" si="31"/>
        <v>0.78125</v>
      </c>
      <c r="O101" s="51">
        <f t="shared" si="31"/>
        <v>0</v>
      </c>
      <c r="P101" s="51">
        <f t="shared" si="31"/>
        <v>0</v>
      </c>
      <c r="Q101" s="51">
        <f t="shared" si="31"/>
        <v>0</v>
      </c>
      <c r="R101" s="51">
        <f t="shared" si="31"/>
        <v>0</v>
      </c>
      <c r="S101" s="51">
        <f t="shared" si="31"/>
        <v>0.3</v>
      </c>
      <c r="T101" s="51">
        <f t="shared" si="31"/>
        <v>0.4</v>
      </c>
      <c r="U101" s="51">
        <f t="shared" si="31"/>
        <v>0</v>
      </c>
      <c r="V101" s="51">
        <f t="shared" si="31"/>
        <v>0.9</v>
      </c>
      <c r="W101" s="51">
        <f t="shared" si="32"/>
        <v>0</v>
      </c>
      <c r="X101" s="55">
        <f t="shared" si="31"/>
        <v>0.9</v>
      </c>
      <c r="Y101" s="59">
        <f t="shared" si="31"/>
        <v>0.28689123576674719</v>
      </c>
      <c r="Z101" s="51">
        <f t="shared" si="31"/>
        <v>0.65722326454033775</v>
      </c>
      <c r="AA101" s="51">
        <f t="shared" si="31"/>
        <v>0.4294718199615099</v>
      </c>
    </row>
    <row r="102" spans="1:27" x14ac:dyDescent="0.25">
      <c r="A102" s="30" t="s">
        <v>60</v>
      </c>
      <c r="B102" s="31" t="s">
        <v>65</v>
      </c>
      <c r="C102" s="46"/>
      <c r="F102" s="51">
        <f t="shared" si="31"/>
        <v>0</v>
      </c>
      <c r="G102" s="51">
        <f t="shared" si="31"/>
        <v>0</v>
      </c>
      <c r="H102" s="51">
        <f t="shared" si="31"/>
        <v>0</v>
      </c>
      <c r="I102" s="51">
        <f t="shared" si="31"/>
        <v>0</v>
      </c>
      <c r="J102" s="51">
        <f t="shared" si="31"/>
        <v>0.12</v>
      </c>
      <c r="K102" s="51">
        <f t="shared" si="31"/>
        <v>0</v>
      </c>
      <c r="L102" s="52">
        <f t="shared" si="31"/>
        <v>0.09</v>
      </c>
      <c r="M102" s="51">
        <f t="shared" si="31"/>
        <v>0.11999999999999998</v>
      </c>
      <c r="N102" s="51">
        <f t="shared" si="31"/>
        <v>0</v>
      </c>
      <c r="O102" s="51">
        <f t="shared" si="31"/>
        <v>0</v>
      </c>
      <c r="P102" s="51">
        <f t="shared" si="31"/>
        <v>0</v>
      </c>
      <c r="Q102" s="51">
        <f t="shared" si="31"/>
        <v>0.15</v>
      </c>
      <c r="R102" s="51">
        <f t="shared" si="31"/>
        <v>0.18</v>
      </c>
      <c r="S102" s="51">
        <f t="shared" si="31"/>
        <v>0</v>
      </c>
      <c r="T102" s="51">
        <f t="shared" si="31"/>
        <v>0.15</v>
      </c>
      <c r="U102" s="51">
        <f t="shared" si="31"/>
        <v>0.12</v>
      </c>
      <c r="V102" s="51">
        <f t="shared" si="31"/>
        <v>0.12</v>
      </c>
      <c r="W102" s="51">
        <f t="shared" si="32"/>
        <v>0.11999999999999998</v>
      </c>
      <c r="X102" s="55">
        <f t="shared" si="31"/>
        <v>0.12</v>
      </c>
      <c r="Y102" s="59">
        <f t="shared" si="31"/>
        <v>0.12</v>
      </c>
      <c r="Z102" s="51">
        <f t="shared" si="31"/>
        <v>0.14219543147208122</v>
      </c>
      <c r="AA102" s="51">
        <f>IF(AB12&gt;0,AA57/AB12,0)</f>
        <v>9.6515151515151512E-2</v>
      </c>
    </row>
    <row r="103" spans="1:27" ht="15.75" thickBot="1" x14ac:dyDescent="0.3">
      <c r="A103" s="48" t="s">
        <v>60</v>
      </c>
      <c r="B103" s="49" t="s">
        <v>9</v>
      </c>
      <c r="C103" s="50"/>
      <c r="D103" s="50"/>
      <c r="E103" s="50"/>
      <c r="F103" s="53">
        <f t="shared" si="31"/>
        <v>0</v>
      </c>
      <c r="G103" s="53">
        <f t="shared" si="31"/>
        <v>0</v>
      </c>
      <c r="H103" s="53">
        <f t="shared" si="31"/>
        <v>0</v>
      </c>
      <c r="I103" s="53">
        <f t="shared" si="31"/>
        <v>0</v>
      </c>
      <c r="J103" s="53">
        <f t="shared" si="31"/>
        <v>0</v>
      </c>
      <c r="K103" s="53">
        <f t="shared" si="31"/>
        <v>0</v>
      </c>
      <c r="L103" s="62">
        <f t="shared" si="31"/>
        <v>0</v>
      </c>
      <c r="M103" s="53">
        <f t="shared" si="31"/>
        <v>0</v>
      </c>
      <c r="N103" s="53">
        <f t="shared" si="31"/>
        <v>0</v>
      </c>
      <c r="O103" s="53">
        <f t="shared" si="31"/>
        <v>0</v>
      </c>
      <c r="P103" s="53">
        <f t="shared" si="31"/>
        <v>0</v>
      </c>
      <c r="Q103" s="53">
        <f t="shared" si="31"/>
        <v>0</v>
      </c>
      <c r="R103" s="53">
        <f t="shared" si="31"/>
        <v>0</v>
      </c>
      <c r="S103" s="53">
        <f t="shared" si="31"/>
        <v>0</v>
      </c>
      <c r="T103" s="53">
        <f t="shared" si="31"/>
        <v>0</v>
      </c>
      <c r="U103" s="53">
        <f t="shared" si="31"/>
        <v>0</v>
      </c>
      <c r="V103" s="53">
        <f t="shared" si="31"/>
        <v>1</v>
      </c>
      <c r="W103" s="53">
        <f t="shared" si="32"/>
        <v>0</v>
      </c>
      <c r="X103" s="56">
        <f t="shared" si="31"/>
        <v>0.42</v>
      </c>
      <c r="Y103" s="60">
        <f t="shared" si="31"/>
        <v>0</v>
      </c>
      <c r="Z103" s="53">
        <f t="shared" si="31"/>
        <v>0.61607710230883284</v>
      </c>
      <c r="AA103" s="53">
        <f t="shared" si="31"/>
        <v>0.6</v>
      </c>
    </row>
    <row r="104" spans="1:27" ht="15.75" thickTop="1" x14ac:dyDescent="0.25">
      <c r="A104" s="15" t="s">
        <v>51</v>
      </c>
      <c r="B104" s="16" t="s">
        <v>52</v>
      </c>
      <c r="C104" s="16" t="s">
        <v>53</v>
      </c>
      <c r="D104" s="2"/>
      <c r="E104" s="2"/>
      <c r="F104" s="47">
        <f t="shared" si="31"/>
        <v>0</v>
      </c>
      <c r="G104" s="47">
        <f t="shared" si="31"/>
        <v>0</v>
      </c>
      <c r="H104" s="47">
        <f t="shared" si="31"/>
        <v>0</v>
      </c>
      <c r="I104" s="47">
        <f t="shared" si="31"/>
        <v>0</v>
      </c>
      <c r="J104" s="47">
        <f t="shared" si="31"/>
        <v>0</v>
      </c>
      <c r="K104" s="47">
        <f t="shared" si="31"/>
        <v>0</v>
      </c>
      <c r="L104" s="63">
        <f t="shared" si="31"/>
        <v>0</v>
      </c>
      <c r="M104" s="47">
        <f t="shared" si="31"/>
        <v>0</v>
      </c>
      <c r="N104" s="47">
        <f t="shared" si="31"/>
        <v>0</v>
      </c>
      <c r="O104" s="47">
        <f t="shared" si="31"/>
        <v>0</v>
      </c>
      <c r="P104" s="47">
        <f t="shared" si="31"/>
        <v>0</v>
      </c>
      <c r="Q104" s="47">
        <f t="shared" si="31"/>
        <v>0</v>
      </c>
      <c r="R104" s="47">
        <f t="shared" si="31"/>
        <v>0</v>
      </c>
      <c r="S104" s="47">
        <f t="shared" si="31"/>
        <v>0</v>
      </c>
      <c r="T104" s="47">
        <f t="shared" si="31"/>
        <v>0</v>
      </c>
      <c r="U104" s="47">
        <f t="shared" si="31"/>
        <v>0</v>
      </c>
      <c r="V104" s="47">
        <f t="shared" si="31"/>
        <v>0</v>
      </c>
      <c r="W104" s="47">
        <f t="shared" si="32"/>
        <v>0</v>
      </c>
      <c r="X104" s="57">
        <f t="shared" si="31"/>
        <v>0</v>
      </c>
      <c r="Y104" s="61">
        <f t="shared" si="31"/>
        <v>0</v>
      </c>
      <c r="Z104" s="47">
        <f t="shared" si="31"/>
        <v>0</v>
      </c>
      <c r="AA104" s="47">
        <f t="shared" si="31"/>
        <v>0</v>
      </c>
    </row>
    <row r="105" spans="1:27" x14ac:dyDescent="0.25">
      <c r="A105" s="15" t="s">
        <v>51</v>
      </c>
      <c r="B105" s="16" t="s">
        <v>52</v>
      </c>
      <c r="C105" s="16" t="s">
        <v>54</v>
      </c>
      <c r="D105" s="2"/>
      <c r="E105" s="2"/>
      <c r="F105" s="1">
        <f t="shared" si="31"/>
        <v>0</v>
      </c>
      <c r="G105" s="1">
        <f t="shared" si="31"/>
        <v>0</v>
      </c>
      <c r="H105" s="1">
        <f t="shared" si="31"/>
        <v>0</v>
      </c>
      <c r="I105" s="1">
        <f t="shared" si="31"/>
        <v>0</v>
      </c>
      <c r="J105" s="1">
        <f t="shared" si="31"/>
        <v>0</v>
      </c>
      <c r="K105" s="1">
        <f t="shared" si="31"/>
        <v>0</v>
      </c>
      <c r="L105" s="52">
        <f t="shared" si="31"/>
        <v>0</v>
      </c>
      <c r="M105" s="1">
        <f t="shared" si="31"/>
        <v>0</v>
      </c>
      <c r="N105" s="1">
        <f t="shared" si="31"/>
        <v>0</v>
      </c>
      <c r="O105" s="1">
        <f t="shared" si="31"/>
        <v>0</v>
      </c>
      <c r="P105" s="1">
        <f t="shared" si="31"/>
        <v>0</v>
      </c>
      <c r="Q105" s="1">
        <f t="shared" si="31"/>
        <v>0</v>
      </c>
      <c r="R105" s="1">
        <f t="shared" si="31"/>
        <v>0</v>
      </c>
      <c r="S105" s="1">
        <f t="shared" si="31"/>
        <v>0</v>
      </c>
      <c r="T105" s="1">
        <f t="shared" si="31"/>
        <v>0</v>
      </c>
      <c r="U105" s="1">
        <f t="shared" si="31"/>
        <v>0</v>
      </c>
      <c r="V105" s="1">
        <f t="shared" si="31"/>
        <v>0</v>
      </c>
      <c r="W105" s="1">
        <f t="shared" si="32"/>
        <v>0</v>
      </c>
      <c r="X105" s="54">
        <f t="shared" si="31"/>
        <v>0</v>
      </c>
      <c r="Y105" s="58">
        <f t="shared" si="31"/>
        <v>0</v>
      </c>
      <c r="Z105" s="1">
        <f t="shared" si="31"/>
        <v>0</v>
      </c>
      <c r="AA105" s="1">
        <f t="shared" si="31"/>
        <v>0</v>
      </c>
    </row>
    <row r="106" spans="1:27" x14ac:dyDescent="0.25">
      <c r="A106" s="15" t="s">
        <v>51</v>
      </c>
      <c r="B106" s="16" t="s">
        <v>52</v>
      </c>
      <c r="C106" s="16" t="s">
        <v>55</v>
      </c>
      <c r="D106" s="2"/>
      <c r="E106" s="2"/>
      <c r="F106" s="1">
        <f t="shared" si="31"/>
        <v>0</v>
      </c>
      <c r="G106" s="1">
        <f t="shared" si="31"/>
        <v>0</v>
      </c>
      <c r="H106" s="1">
        <f t="shared" si="31"/>
        <v>0</v>
      </c>
      <c r="I106" s="1">
        <f t="shared" si="31"/>
        <v>0</v>
      </c>
      <c r="J106" s="1">
        <f t="shared" si="31"/>
        <v>0</v>
      </c>
      <c r="K106" s="1">
        <f t="shared" si="31"/>
        <v>0</v>
      </c>
      <c r="L106" s="52">
        <f t="shared" si="31"/>
        <v>0</v>
      </c>
      <c r="M106" s="1">
        <f t="shared" si="31"/>
        <v>0</v>
      </c>
      <c r="N106" s="1">
        <f t="shared" si="31"/>
        <v>0</v>
      </c>
      <c r="O106" s="1">
        <f t="shared" si="31"/>
        <v>0</v>
      </c>
      <c r="P106" s="1">
        <f t="shared" si="31"/>
        <v>0</v>
      </c>
      <c r="Q106" s="1">
        <f t="shared" si="31"/>
        <v>0</v>
      </c>
      <c r="R106" s="1">
        <f t="shared" si="31"/>
        <v>0</v>
      </c>
      <c r="S106" s="1">
        <f t="shared" si="31"/>
        <v>0</v>
      </c>
      <c r="T106" s="1">
        <f t="shared" si="31"/>
        <v>0</v>
      </c>
      <c r="U106" s="1">
        <f t="shared" si="31"/>
        <v>0</v>
      </c>
      <c r="V106" s="1">
        <f t="shared" si="31"/>
        <v>0</v>
      </c>
      <c r="W106" s="1">
        <f t="shared" si="32"/>
        <v>0</v>
      </c>
      <c r="X106" s="54">
        <f t="shared" si="31"/>
        <v>0</v>
      </c>
      <c r="Y106" s="58">
        <f t="shared" si="31"/>
        <v>0</v>
      </c>
      <c r="Z106" s="1">
        <f t="shared" si="31"/>
        <v>0</v>
      </c>
      <c r="AA106" s="1">
        <f t="shared" si="31"/>
        <v>0</v>
      </c>
    </row>
    <row r="107" spans="1:27" x14ac:dyDescent="0.25">
      <c r="A107" s="25" t="s">
        <v>51</v>
      </c>
      <c r="B107" s="26" t="s">
        <v>56</v>
      </c>
      <c r="C107" s="26" t="s">
        <v>57</v>
      </c>
      <c r="D107" s="2"/>
      <c r="E107" s="2"/>
      <c r="F107" s="1">
        <f t="shared" si="31"/>
        <v>0</v>
      </c>
      <c r="G107" s="1">
        <f t="shared" si="31"/>
        <v>0</v>
      </c>
      <c r="H107" s="1">
        <f t="shared" si="31"/>
        <v>0</v>
      </c>
      <c r="I107" s="1">
        <f t="shared" si="31"/>
        <v>0</v>
      </c>
      <c r="J107" s="1">
        <f t="shared" si="31"/>
        <v>0</v>
      </c>
      <c r="K107" s="1">
        <f t="shared" si="31"/>
        <v>0</v>
      </c>
      <c r="L107" s="52">
        <f t="shared" si="31"/>
        <v>0</v>
      </c>
      <c r="M107" s="1">
        <f t="shared" si="31"/>
        <v>0</v>
      </c>
      <c r="N107" s="1">
        <f t="shared" si="31"/>
        <v>0</v>
      </c>
      <c r="O107" s="1">
        <f t="shared" si="31"/>
        <v>0</v>
      </c>
      <c r="P107" s="1">
        <f t="shared" si="31"/>
        <v>0</v>
      </c>
      <c r="Q107" s="1">
        <f t="shared" si="31"/>
        <v>0</v>
      </c>
      <c r="R107" s="1">
        <f t="shared" si="31"/>
        <v>0</v>
      </c>
      <c r="S107" s="1">
        <f t="shared" si="31"/>
        <v>0</v>
      </c>
      <c r="T107" s="1">
        <f t="shared" si="31"/>
        <v>0</v>
      </c>
      <c r="U107" s="1">
        <f t="shared" si="31"/>
        <v>0</v>
      </c>
      <c r="V107" s="1">
        <f t="shared" si="31"/>
        <v>0</v>
      </c>
      <c r="W107" s="1">
        <f t="shared" si="32"/>
        <v>0</v>
      </c>
      <c r="X107" s="54">
        <f t="shared" si="31"/>
        <v>0</v>
      </c>
      <c r="Y107" s="58">
        <f t="shared" si="31"/>
        <v>0</v>
      </c>
      <c r="Z107" s="1">
        <f t="shared" si="31"/>
        <v>0</v>
      </c>
      <c r="AA107" s="1">
        <f t="shared" si="31"/>
        <v>0</v>
      </c>
    </row>
    <row r="108" spans="1:27" x14ac:dyDescent="0.25">
      <c r="A108" s="15" t="s">
        <v>51</v>
      </c>
      <c r="B108" s="16" t="s">
        <v>56</v>
      </c>
      <c r="C108" s="27" t="s">
        <v>58</v>
      </c>
      <c r="D108" s="2"/>
      <c r="E108" s="2"/>
      <c r="F108" s="1">
        <f t="shared" si="31"/>
        <v>0</v>
      </c>
      <c r="G108" s="1">
        <f t="shared" si="31"/>
        <v>0</v>
      </c>
      <c r="H108" s="1">
        <f t="shared" si="31"/>
        <v>0</v>
      </c>
      <c r="I108" s="1">
        <f t="shared" si="31"/>
        <v>0</v>
      </c>
      <c r="J108" s="1">
        <f t="shared" si="31"/>
        <v>0</v>
      </c>
      <c r="K108" s="1">
        <f t="shared" ref="K108:AA108" si="33">IF(K18&gt;0,K63/K18,0)</f>
        <v>0</v>
      </c>
      <c r="L108" s="52">
        <f t="shared" si="33"/>
        <v>0</v>
      </c>
      <c r="M108" s="1">
        <f t="shared" si="33"/>
        <v>0</v>
      </c>
      <c r="N108" s="1">
        <f t="shared" si="33"/>
        <v>0</v>
      </c>
      <c r="O108" s="1">
        <f t="shared" si="33"/>
        <v>0</v>
      </c>
      <c r="P108" s="1">
        <f t="shared" si="33"/>
        <v>0</v>
      </c>
      <c r="Q108" s="1">
        <f t="shared" si="33"/>
        <v>0</v>
      </c>
      <c r="R108" s="1">
        <f t="shared" si="33"/>
        <v>0</v>
      </c>
      <c r="S108" s="1">
        <f t="shared" si="33"/>
        <v>0</v>
      </c>
      <c r="T108" s="1">
        <f t="shared" si="33"/>
        <v>0</v>
      </c>
      <c r="U108" s="1">
        <f t="shared" si="33"/>
        <v>0</v>
      </c>
      <c r="V108" s="1">
        <f t="shared" si="33"/>
        <v>0</v>
      </c>
      <c r="W108" s="1">
        <f t="shared" si="32"/>
        <v>0</v>
      </c>
      <c r="X108" s="54">
        <f t="shared" si="33"/>
        <v>0</v>
      </c>
      <c r="Y108" s="58">
        <f t="shared" si="33"/>
        <v>0</v>
      </c>
      <c r="Z108" s="1">
        <f t="shared" si="33"/>
        <v>0</v>
      </c>
      <c r="AA108" s="1">
        <f t="shared" si="33"/>
        <v>0</v>
      </c>
    </row>
    <row r="109" spans="1:27" x14ac:dyDescent="0.25">
      <c r="A109" s="15" t="s">
        <v>51</v>
      </c>
      <c r="B109" s="16" t="s">
        <v>9</v>
      </c>
      <c r="C109" s="27" t="s">
        <v>59</v>
      </c>
      <c r="D109" s="2"/>
      <c r="E109" s="2"/>
      <c r="F109" s="1">
        <f t="shared" ref="F109:AA117" si="34">IF(F19&gt;0,F64/F19,0)</f>
        <v>0</v>
      </c>
      <c r="G109" s="1">
        <f t="shared" si="34"/>
        <v>0</v>
      </c>
      <c r="H109" s="1">
        <f t="shared" si="34"/>
        <v>0</v>
      </c>
      <c r="I109" s="1">
        <f t="shared" si="34"/>
        <v>0</v>
      </c>
      <c r="J109" s="1">
        <f t="shared" si="34"/>
        <v>0</v>
      </c>
      <c r="K109" s="1">
        <f t="shared" si="34"/>
        <v>0</v>
      </c>
      <c r="L109" s="52">
        <f t="shared" si="34"/>
        <v>0</v>
      </c>
      <c r="M109" s="1">
        <f t="shared" si="34"/>
        <v>0</v>
      </c>
      <c r="N109" s="1">
        <f t="shared" si="34"/>
        <v>0</v>
      </c>
      <c r="O109" s="1">
        <f t="shared" si="34"/>
        <v>0</v>
      </c>
      <c r="P109" s="1">
        <f t="shared" si="34"/>
        <v>0</v>
      </c>
      <c r="Q109" s="1">
        <f t="shared" si="34"/>
        <v>0</v>
      </c>
      <c r="R109" s="1">
        <f t="shared" si="34"/>
        <v>0</v>
      </c>
      <c r="S109" s="1">
        <f t="shared" si="34"/>
        <v>0</v>
      </c>
      <c r="T109" s="1">
        <f t="shared" si="34"/>
        <v>0</v>
      </c>
      <c r="U109" s="1">
        <f t="shared" si="34"/>
        <v>0</v>
      </c>
      <c r="V109" s="1">
        <f t="shared" si="34"/>
        <v>0</v>
      </c>
      <c r="W109" s="1">
        <f t="shared" si="32"/>
        <v>0</v>
      </c>
      <c r="X109" s="54">
        <f t="shared" si="34"/>
        <v>0</v>
      </c>
      <c r="Y109" s="58">
        <f t="shared" si="34"/>
        <v>0</v>
      </c>
      <c r="Z109" s="1">
        <f t="shared" si="34"/>
        <v>0</v>
      </c>
      <c r="AA109" s="1">
        <f t="shared" si="34"/>
        <v>0</v>
      </c>
    </row>
    <row r="110" spans="1:27" x14ac:dyDescent="0.25">
      <c r="A110" s="15" t="s">
        <v>51</v>
      </c>
      <c r="B110" s="16" t="s">
        <v>9</v>
      </c>
      <c r="C110" s="27" t="s">
        <v>9</v>
      </c>
      <c r="D110" s="2"/>
      <c r="E110" s="2"/>
      <c r="F110" s="1">
        <f t="shared" si="34"/>
        <v>0</v>
      </c>
      <c r="G110" s="1">
        <f t="shared" si="34"/>
        <v>0</v>
      </c>
      <c r="H110" s="1">
        <f t="shared" si="34"/>
        <v>0</v>
      </c>
      <c r="I110" s="1">
        <f t="shared" si="34"/>
        <v>0</v>
      </c>
      <c r="J110" s="1">
        <f t="shared" si="34"/>
        <v>0</v>
      </c>
      <c r="K110" s="1">
        <f t="shared" si="34"/>
        <v>0</v>
      </c>
      <c r="L110" s="52">
        <f t="shared" si="34"/>
        <v>0</v>
      </c>
      <c r="M110" s="1">
        <f t="shared" si="34"/>
        <v>0</v>
      </c>
      <c r="N110" s="1">
        <f t="shared" si="34"/>
        <v>0</v>
      </c>
      <c r="O110" s="1">
        <f t="shared" si="34"/>
        <v>0</v>
      </c>
      <c r="P110" s="1">
        <f t="shared" si="34"/>
        <v>0</v>
      </c>
      <c r="Q110" s="1">
        <f t="shared" si="34"/>
        <v>0</v>
      </c>
      <c r="R110" s="1">
        <f t="shared" si="34"/>
        <v>0</v>
      </c>
      <c r="S110" s="1">
        <f t="shared" si="34"/>
        <v>0</v>
      </c>
      <c r="T110" s="1">
        <f t="shared" si="34"/>
        <v>0</v>
      </c>
      <c r="U110" s="1">
        <f t="shared" si="34"/>
        <v>0</v>
      </c>
      <c r="V110" s="1">
        <f t="shared" si="34"/>
        <v>0</v>
      </c>
      <c r="W110" s="1">
        <f t="shared" si="32"/>
        <v>0</v>
      </c>
      <c r="X110" s="54">
        <f t="shared" si="34"/>
        <v>0</v>
      </c>
      <c r="Y110" s="58">
        <f t="shared" si="34"/>
        <v>0</v>
      </c>
      <c r="Z110" s="1">
        <f t="shared" si="34"/>
        <v>0</v>
      </c>
      <c r="AA110" s="1">
        <f t="shared" si="34"/>
        <v>0</v>
      </c>
    </row>
    <row r="111" spans="1:27" x14ac:dyDescent="0.25">
      <c r="A111" s="28" t="s">
        <v>60</v>
      </c>
      <c r="B111" s="29" t="s">
        <v>13</v>
      </c>
      <c r="C111" s="29" t="s">
        <v>61</v>
      </c>
      <c r="D111" s="2"/>
      <c r="F111" s="51">
        <f t="shared" si="34"/>
        <v>0.21009708737864077</v>
      </c>
      <c r="G111" s="51">
        <f t="shared" si="34"/>
        <v>0</v>
      </c>
      <c r="H111" s="51">
        <f t="shared" si="34"/>
        <v>0.37647058823529411</v>
      </c>
      <c r="I111" s="51">
        <f t="shared" si="34"/>
        <v>0.27210884353741499</v>
      </c>
      <c r="J111" s="51">
        <f t="shared" si="34"/>
        <v>0.42613636363636365</v>
      </c>
      <c r="K111" s="51">
        <f t="shared" si="34"/>
        <v>0.2857142857142857</v>
      </c>
      <c r="L111" s="52">
        <f t="shared" si="34"/>
        <v>0</v>
      </c>
      <c r="M111" s="51">
        <f t="shared" si="34"/>
        <v>0.45</v>
      </c>
      <c r="N111" s="51">
        <f t="shared" si="34"/>
        <v>0.59090909090909094</v>
      </c>
      <c r="O111" s="51">
        <f t="shared" si="34"/>
        <v>0.43574297188755012</v>
      </c>
      <c r="P111" s="51">
        <f t="shared" si="34"/>
        <v>0.4101110323647531</v>
      </c>
      <c r="Q111" s="69">
        <v>0.5</v>
      </c>
      <c r="R111" s="69">
        <v>0.49</v>
      </c>
      <c r="S111" s="51">
        <f t="shared" si="34"/>
        <v>0</v>
      </c>
      <c r="T111" s="69">
        <v>0.5</v>
      </c>
      <c r="U111" s="69">
        <v>0.5</v>
      </c>
      <c r="V111" s="77">
        <v>1.2</v>
      </c>
      <c r="W111" s="69">
        <v>0.6</v>
      </c>
      <c r="X111" s="76">
        <v>0.5</v>
      </c>
      <c r="Y111" s="59">
        <f t="shared" si="34"/>
        <v>0.28492741770599056</v>
      </c>
      <c r="Z111" s="51">
        <f t="shared" si="34"/>
        <v>0.47759740848533866</v>
      </c>
      <c r="AA111" s="51">
        <f t="shared" si="34"/>
        <v>0.33813924952137969</v>
      </c>
    </row>
    <row r="112" spans="1:27" x14ac:dyDescent="0.25">
      <c r="A112" s="36" t="s">
        <v>60</v>
      </c>
      <c r="B112" s="37" t="s">
        <v>13</v>
      </c>
      <c r="C112" s="29" t="s">
        <v>62</v>
      </c>
      <c r="D112" s="2"/>
      <c r="E112" s="2"/>
      <c r="F112" s="51">
        <f t="shared" si="34"/>
        <v>0.21009708737864077</v>
      </c>
      <c r="G112" s="51">
        <f t="shared" si="34"/>
        <v>0.2807017543859649</v>
      </c>
      <c r="H112" s="51">
        <f t="shared" si="34"/>
        <v>0.37647058823529411</v>
      </c>
      <c r="I112" s="51">
        <f t="shared" si="34"/>
        <v>0</v>
      </c>
      <c r="J112" s="51">
        <f t="shared" si="34"/>
        <v>0</v>
      </c>
      <c r="K112" s="51">
        <f t="shared" si="34"/>
        <v>0</v>
      </c>
      <c r="L112" s="52">
        <f t="shared" si="34"/>
        <v>0</v>
      </c>
      <c r="M112" s="51">
        <f t="shared" si="34"/>
        <v>0</v>
      </c>
      <c r="N112" s="51">
        <f t="shared" si="34"/>
        <v>0</v>
      </c>
      <c r="O112" s="51">
        <f t="shared" si="34"/>
        <v>0</v>
      </c>
      <c r="P112" s="51">
        <f t="shared" si="34"/>
        <v>0.4101110323647531</v>
      </c>
      <c r="Q112" s="51">
        <f t="shared" si="34"/>
        <v>0</v>
      </c>
      <c r="R112" s="51">
        <f t="shared" si="34"/>
        <v>0</v>
      </c>
      <c r="S112" s="51">
        <f t="shared" si="34"/>
        <v>0</v>
      </c>
      <c r="T112" s="51">
        <f t="shared" si="34"/>
        <v>0</v>
      </c>
      <c r="U112" s="51">
        <f t="shared" si="34"/>
        <v>0</v>
      </c>
      <c r="V112" s="51">
        <f t="shared" si="34"/>
        <v>0</v>
      </c>
      <c r="W112" s="51">
        <f t="shared" si="34"/>
        <v>0</v>
      </c>
      <c r="X112" s="55">
        <f t="shared" si="34"/>
        <v>0</v>
      </c>
      <c r="Y112" s="59">
        <f t="shared" si="34"/>
        <v>0.30662026968247069</v>
      </c>
      <c r="Z112" s="51">
        <f t="shared" si="34"/>
        <v>0.4101110323647531</v>
      </c>
      <c r="AA112" s="51">
        <f t="shared" si="34"/>
        <v>0.32598276243093927</v>
      </c>
    </row>
    <row r="113" spans="1:27" x14ac:dyDescent="0.25">
      <c r="A113" s="30" t="s">
        <v>60</v>
      </c>
      <c r="B113" s="31" t="s">
        <v>13</v>
      </c>
      <c r="C113" s="32" t="s">
        <v>63</v>
      </c>
      <c r="D113" s="2"/>
      <c r="E113" s="2"/>
      <c r="F113" s="51">
        <f t="shared" si="34"/>
        <v>0</v>
      </c>
      <c r="G113" s="51">
        <f t="shared" si="34"/>
        <v>0</v>
      </c>
      <c r="H113" s="51">
        <f t="shared" si="34"/>
        <v>0</v>
      </c>
      <c r="I113" s="51">
        <f t="shared" si="34"/>
        <v>0</v>
      </c>
      <c r="J113" s="51">
        <f t="shared" si="34"/>
        <v>0</v>
      </c>
      <c r="K113" s="51">
        <f t="shared" si="34"/>
        <v>0</v>
      </c>
      <c r="L113" s="52">
        <f t="shared" si="34"/>
        <v>0</v>
      </c>
      <c r="M113" s="51">
        <f t="shared" si="34"/>
        <v>0</v>
      </c>
      <c r="N113" s="51">
        <f t="shared" si="34"/>
        <v>0</v>
      </c>
      <c r="O113" s="51">
        <f t="shared" si="34"/>
        <v>0</v>
      </c>
      <c r="P113" s="51">
        <f t="shared" si="34"/>
        <v>0</v>
      </c>
      <c r="Q113" s="51">
        <f t="shared" si="34"/>
        <v>0</v>
      </c>
      <c r="R113" s="51">
        <f t="shared" si="34"/>
        <v>0</v>
      </c>
      <c r="S113" s="51">
        <f t="shared" si="34"/>
        <v>0</v>
      </c>
      <c r="T113" s="51">
        <f t="shared" si="34"/>
        <v>0</v>
      </c>
      <c r="U113" s="51">
        <f t="shared" si="34"/>
        <v>0</v>
      </c>
      <c r="V113" s="51">
        <f t="shared" si="34"/>
        <v>0</v>
      </c>
      <c r="W113" s="51">
        <f t="shared" si="34"/>
        <v>0</v>
      </c>
      <c r="X113" s="55">
        <f t="shared" si="34"/>
        <v>0</v>
      </c>
      <c r="Y113" s="59">
        <f t="shared" si="34"/>
        <v>0</v>
      </c>
      <c r="Z113" s="51">
        <f t="shared" si="34"/>
        <v>0</v>
      </c>
      <c r="AA113" s="51">
        <f t="shared" si="34"/>
        <v>0</v>
      </c>
    </row>
    <row r="114" spans="1:27" x14ac:dyDescent="0.25">
      <c r="A114" s="30" t="s">
        <v>60</v>
      </c>
      <c r="B114" s="32" t="s">
        <v>23</v>
      </c>
      <c r="C114" s="31" t="s">
        <v>50</v>
      </c>
      <c r="D114" s="2"/>
      <c r="E114" s="2"/>
      <c r="F114" s="77">
        <v>0.32</v>
      </c>
      <c r="G114" s="51">
        <f t="shared" si="34"/>
        <v>0</v>
      </c>
      <c r="H114" s="51">
        <f t="shared" si="34"/>
        <v>0</v>
      </c>
      <c r="I114" s="51">
        <f t="shared" si="34"/>
        <v>0</v>
      </c>
      <c r="J114" s="77">
        <v>0.3</v>
      </c>
      <c r="K114" s="51">
        <f t="shared" si="34"/>
        <v>0.27272727272727271</v>
      </c>
      <c r="L114" s="52">
        <f t="shared" si="34"/>
        <v>0</v>
      </c>
      <c r="M114" s="51">
        <f t="shared" si="34"/>
        <v>0</v>
      </c>
      <c r="N114" s="51">
        <f t="shared" si="34"/>
        <v>0.78125</v>
      </c>
      <c r="O114" s="51">
        <f t="shared" si="34"/>
        <v>0</v>
      </c>
      <c r="P114" s="51">
        <f t="shared" si="34"/>
        <v>0</v>
      </c>
      <c r="Q114" s="51">
        <f t="shared" si="34"/>
        <v>0</v>
      </c>
      <c r="R114" s="51">
        <f t="shared" si="34"/>
        <v>0</v>
      </c>
      <c r="S114" s="51">
        <f t="shared" si="34"/>
        <v>0</v>
      </c>
      <c r="T114" s="51">
        <f t="shared" si="34"/>
        <v>0</v>
      </c>
      <c r="U114" s="51">
        <f t="shared" si="34"/>
        <v>0</v>
      </c>
      <c r="V114" s="51">
        <f t="shared" si="34"/>
        <v>0</v>
      </c>
      <c r="W114" s="51">
        <f t="shared" si="34"/>
        <v>0</v>
      </c>
      <c r="X114" s="55">
        <f t="shared" si="34"/>
        <v>0</v>
      </c>
      <c r="Y114" s="59">
        <f t="shared" si="34"/>
        <v>0.27398130181689895</v>
      </c>
      <c r="Z114" s="51">
        <f t="shared" si="34"/>
        <v>0.78125</v>
      </c>
      <c r="AA114" s="51">
        <f t="shared" si="34"/>
        <v>0.44800000000000001</v>
      </c>
    </row>
    <row r="115" spans="1:27" x14ac:dyDescent="0.25">
      <c r="A115" s="30" t="s">
        <v>60</v>
      </c>
      <c r="B115" s="32" t="s">
        <v>23</v>
      </c>
      <c r="C115" s="31" t="s">
        <v>49</v>
      </c>
      <c r="D115" s="2"/>
      <c r="E115" s="2"/>
      <c r="F115" s="51">
        <f t="shared" ref="F115:AA127" si="35">IF(F25&gt;0,F70/F25,0)</f>
        <v>0</v>
      </c>
      <c r="G115" s="51">
        <f t="shared" si="35"/>
        <v>0</v>
      </c>
      <c r="H115" s="51">
        <f t="shared" si="35"/>
        <v>0</v>
      </c>
      <c r="I115" s="51">
        <f t="shared" si="35"/>
        <v>0</v>
      </c>
      <c r="J115" s="77">
        <v>0.30499999999999999</v>
      </c>
      <c r="K115" s="51">
        <f t="shared" si="35"/>
        <v>0.2857142857142857</v>
      </c>
      <c r="L115" s="52">
        <f t="shared" si="35"/>
        <v>0</v>
      </c>
      <c r="M115" s="51">
        <f t="shared" si="35"/>
        <v>0</v>
      </c>
      <c r="N115" s="51">
        <f t="shared" si="35"/>
        <v>0</v>
      </c>
      <c r="O115" s="51">
        <f t="shared" si="35"/>
        <v>0</v>
      </c>
      <c r="P115" s="51">
        <f t="shared" si="35"/>
        <v>0</v>
      </c>
      <c r="Q115" s="51">
        <f t="shared" si="35"/>
        <v>0</v>
      </c>
      <c r="R115" s="51">
        <f t="shared" si="35"/>
        <v>0</v>
      </c>
      <c r="S115" s="77">
        <v>0.3</v>
      </c>
      <c r="T115" s="77">
        <v>0.4</v>
      </c>
      <c r="U115" s="51">
        <f t="shared" si="35"/>
        <v>0</v>
      </c>
      <c r="V115" s="77">
        <v>0.9</v>
      </c>
      <c r="W115" s="51">
        <f t="shared" si="34"/>
        <v>0</v>
      </c>
      <c r="X115" s="77">
        <v>0.9</v>
      </c>
      <c r="Y115" s="59">
        <f t="shared" si="35"/>
        <v>0.30160692212608159</v>
      </c>
      <c r="Z115" s="51">
        <f t="shared" si="35"/>
        <v>0.47089201877934272</v>
      </c>
      <c r="AA115" s="51">
        <f t="shared" si="35"/>
        <v>0.52363636363636368</v>
      </c>
    </row>
    <row r="116" spans="1:27" x14ac:dyDescent="0.25">
      <c r="A116" s="30" t="s">
        <v>60</v>
      </c>
      <c r="B116" s="32" t="s">
        <v>23</v>
      </c>
      <c r="C116" s="31" t="s">
        <v>64</v>
      </c>
      <c r="D116" s="2"/>
      <c r="E116" s="2"/>
      <c r="F116" s="51">
        <f t="shared" si="35"/>
        <v>0</v>
      </c>
      <c r="G116" s="51">
        <f t="shared" si="35"/>
        <v>0</v>
      </c>
      <c r="H116" s="51">
        <f t="shared" si="35"/>
        <v>0</v>
      </c>
      <c r="I116" s="51">
        <f t="shared" si="35"/>
        <v>0</v>
      </c>
      <c r="J116" s="51">
        <f t="shared" si="35"/>
        <v>0</v>
      </c>
      <c r="K116" s="51">
        <f t="shared" si="35"/>
        <v>0</v>
      </c>
      <c r="L116" s="52">
        <f t="shared" si="35"/>
        <v>0</v>
      </c>
      <c r="M116" s="51">
        <f t="shared" si="35"/>
        <v>0</v>
      </c>
      <c r="N116" s="51">
        <f t="shared" si="35"/>
        <v>0</v>
      </c>
      <c r="O116" s="51">
        <f t="shared" si="35"/>
        <v>0</v>
      </c>
      <c r="P116" s="51">
        <f t="shared" si="35"/>
        <v>0</v>
      </c>
      <c r="Q116" s="51">
        <f t="shared" si="35"/>
        <v>0</v>
      </c>
      <c r="R116" s="51">
        <f t="shared" si="35"/>
        <v>0</v>
      </c>
      <c r="S116" s="51">
        <f t="shared" si="35"/>
        <v>0</v>
      </c>
      <c r="T116" s="51">
        <f t="shared" si="35"/>
        <v>0</v>
      </c>
      <c r="U116" s="51">
        <f t="shared" si="35"/>
        <v>0</v>
      </c>
      <c r="V116" s="51">
        <f t="shared" si="35"/>
        <v>0</v>
      </c>
      <c r="W116" s="51">
        <f t="shared" si="34"/>
        <v>0</v>
      </c>
      <c r="X116" s="55">
        <f t="shared" si="35"/>
        <v>0</v>
      </c>
      <c r="Y116" s="59">
        <f t="shared" si="35"/>
        <v>0</v>
      </c>
      <c r="Z116" s="51">
        <f t="shared" si="35"/>
        <v>0</v>
      </c>
      <c r="AA116" s="51">
        <f t="shared" si="35"/>
        <v>0</v>
      </c>
    </row>
    <row r="117" spans="1:27" x14ac:dyDescent="0.25">
      <c r="A117" s="30" t="s">
        <v>60</v>
      </c>
      <c r="B117" s="32" t="s">
        <v>65</v>
      </c>
      <c r="C117" s="31" t="s">
        <v>66</v>
      </c>
      <c r="D117" s="2"/>
      <c r="E117" s="2"/>
      <c r="F117" s="51">
        <f t="shared" si="35"/>
        <v>0</v>
      </c>
      <c r="G117" s="51">
        <f t="shared" si="35"/>
        <v>0</v>
      </c>
      <c r="H117" s="51">
        <f t="shared" si="35"/>
        <v>0</v>
      </c>
      <c r="I117" s="51">
        <f t="shared" si="35"/>
        <v>0</v>
      </c>
      <c r="J117" s="77">
        <v>0.12</v>
      </c>
      <c r="K117" s="51">
        <f t="shared" si="35"/>
        <v>0</v>
      </c>
      <c r="L117" s="52">
        <f t="shared" si="35"/>
        <v>0</v>
      </c>
      <c r="M117" s="77">
        <v>0.12</v>
      </c>
      <c r="N117" s="51">
        <f t="shared" si="35"/>
        <v>0</v>
      </c>
      <c r="O117" s="51">
        <f t="shared" si="35"/>
        <v>0</v>
      </c>
      <c r="P117" s="51">
        <f t="shared" si="35"/>
        <v>0</v>
      </c>
      <c r="Q117" s="51">
        <f t="shared" si="35"/>
        <v>0</v>
      </c>
      <c r="R117" s="51">
        <f t="shared" si="35"/>
        <v>0</v>
      </c>
      <c r="S117" s="51">
        <f t="shared" si="35"/>
        <v>0</v>
      </c>
      <c r="T117" s="51">
        <f t="shared" si="35"/>
        <v>0</v>
      </c>
      <c r="U117" s="51">
        <f t="shared" si="35"/>
        <v>0</v>
      </c>
      <c r="V117" s="51">
        <f t="shared" si="35"/>
        <v>0</v>
      </c>
      <c r="W117" s="51">
        <f t="shared" si="34"/>
        <v>0</v>
      </c>
      <c r="X117" s="55">
        <f t="shared" si="35"/>
        <v>0</v>
      </c>
      <c r="Y117" s="59">
        <f t="shared" si="35"/>
        <v>0.12</v>
      </c>
      <c r="Z117" s="51">
        <f t="shared" si="35"/>
        <v>0.11999999999999998</v>
      </c>
      <c r="AA117" s="51">
        <f t="shared" si="35"/>
        <v>0.11999999999999998</v>
      </c>
    </row>
    <row r="118" spans="1:27" x14ac:dyDescent="0.25">
      <c r="A118" s="30" t="s">
        <v>60</v>
      </c>
      <c r="B118" s="32" t="s">
        <v>65</v>
      </c>
      <c r="C118" s="31" t="s">
        <v>67</v>
      </c>
      <c r="D118" s="2"/>
      <c r="E118" s="2"/>
      <c r="F118" s="51">
        <f t="shared" si="35"/>
        <v>0</v>
      </c>
      <c r="G118" s="51">
        <f t="shared" si="35"/>
        <v>0</v>
      </c>
      <c r="H118" s="51">
        <f t="shared" si="35"/>
        <v>0</v>
      </c>
      <c r="I118" s="51">
        <f t="shared" si="35"/>
        <v>0</v>
      </c>
      <c r="J118" s="51">
        <f t="shared" si="35"/>
        <v>0</v>
      </c>
      <c r="K118" s="51">
        <f t="shared" si="35"/>
        <v>0</v>
      </c>
      <c r="L118" s="52">
        <f t="shared" si="35"/>
        <v>0</v>
      </c>
      <c r="M118" s="51">
        <f t="shared" si="35"/>
        <v>0</v>
      </c>
      <c r="N118" s="51">
        <f t="shared" si="35"/>
        <v>0</v>
      </c>
      <c r="O118" s="51">
        <f t="shared" si="35"/>
        <v>0</v>
      </c>
      <c r="P118" s="51">
        <f t="shared" si="35"/>
        <v>0</v>
      </c>
      <c r="Q118" s="77">
        <v>0.15</v>
      </c>
      <c r="R118" s="77">
        <v>0.18</v>
      </c>
      <c r="S118" s="51">
        <f t="shared" si="35"/>
        <v>0</v>
      </c>
      <c r="T118" s="77">
        <v>0.15</v>
      </c>
      <c r="U118" s="77">
        <v>0.12</v>
      </c>
      <c r="V118" s="77">
        <v>0.12</v>
      </c>
      <c r="W118" s="77">
        <v>0.12</v>
      </c>
      <c r="X118" s="77">
        <v>0.12</v>
      </c>
      <c r="Y118" s="59">
        <f t="shared" si="35"/>
        <v>0</v>
      </c>
      <c r="Z118" s="51">
        <f t="shared" si="35"/>
        <v>0.14519265394310407</v>
      </c>
      <c r="AA118" s="51">
        <f t="shared" si="35"/>
        <v>0.14519265394310407</v>
      </c>
    </row>
    <row r="119" spans="1:27" x14ac:dyDescent="0.25">
      <c r="A119" s="30" t="s">
        <v>60</v>
      </c>
      <c r="B119" s="32" t="s">
        <v>65</v>
      </c>
      <c r="C119" s="31" t="s">
        <v>68</v>
      </c>
      <c r="D119" s="2"/>
      <c r="E119" s="2"/>
      <c r="F119" s="51">
        <f t="shared" si="35"/>
        <v>0</v>
      </c>
      <c r="G119" s="51">
        <f t="shared" si="35"/>
        <v>0</v>
      </c>
      <c r="H119" s="51">
        <f t="shared" si="35"/>
        <v>0</v>
      </c>
      <c r="I119" s="51">
        <f t="shared" si="35"/>
        <v>0</v>
      </c>
      <c r="J119" s="51">
        <f t="shared" si="35"/>
        <v>0</v>
      </c>
      <c r="K119" s="51">
        <f t="shared" si="35"/>
        <v>0</v>
      </c>
      <c r="L119" s="77">
        <v>0.09</v>
      </c>
      <c r="M119" s="51">
        <f t="shared" si="35"/>
        <v>0</v>
      </c>
      <c r="N119" s="51">
        <f t="shared" si="35"/>
        <v>0</v>
      </c>
      <c r="O119" s="51">
        <f t="shared" si="35"/>
        <v>0</v>
      </c>
      <c r="P119" s="51">
        <f t="shared" si="35"/>
        <v>0</v>
      </c>
      <c r="Q119" s="51">
        <f t="shared" si="35"/>
        <v>0</v>
      </c>
      <c r="R119" s="51">
        <f t="shared" si="35"/>
        <v>0</v>
      </c>
      <c r="S119" s="51">
        <f t="shared" si="35"/>
        <v>0</v>
      </c>
      <c r="T119" s="51">
        <f t="shared" si="35"/>
        <v>0</v>
      </c>
      <c r="U119" s="51">
        <f t="shared" si="35"/>
        <v>0</v>
      </c>
      <c r="V119" s="51">
        <f t="shared" si="35"/>
        <v>0</v>
      </c>
      <c r="W119" s="51">
        <f t="shared" si="35"/>
        <v>0</v>
      </c>
      <c r="X119" s="55">
        <f t="shared" si="35"/>
        <v>0</v>
      </c>
      <c r="Y119" s="59">
        <f t="shared" si="35"/>
        <v>0</v>
      </c>
      <c r="Z119" s="51">
        <f t="shared" si="35"/>
        <v>0</v>
      </c>
      <c r="AA119" s="51">
        <f t="shared" si="35"/>
        <v>0.09</v>
      </c>
    </row>
    <row r="120" spans="1:27" x14ac:dyDescent="0.25">
      <c r="A120" s="30" t="s">
        <v>60</v>
      </c>
      <c r="B120" s="32" t="s">
        <v>9</v>
      </c>
      <c r="C120" s="31" t="s">
        <v>69</v>
      </c>
      <c r="D120" s="2"/>
      <c r="E120" s="2"/>
      <c r="F120" s="51">
        <f t="shared" si="35"/>
        <v>0</v>
      </c>
      <c r="G120" s="51">
        <f t="shared" si="35"/>
        <v>0</v>
      </c>
      <c r="H120" s="51">
        <f t="shared" si="35"/>
        <v>0</v>
      </c>
      <c r="I120" s="51">
        <f t="shared" si="35"/>
        <v>0</v>
      </c>
      <c r="J120" s="51">
        <f t="shared" si="35"/>
        <v>0</v>
      </c>
      <c r="K120" s="51">
        <f t="shared" si="35"/>
        <v>0</v>
      </c>
      <c r="L120" s="52">
        <f t="shared" si="35"/>
        <v>0</v>
      </c>
      <c r="M120" s="51">
        <f t="shared" si="35"/>
        <v>0</v>
      </c>
      <c r="N120" s="51">
        <f t="shared" si="35"/>
        <v>0</v>
      </c>
      <c r="O120" s="51">
        <f t="shared" si="35"/>
        <v>0</v>
      </c>
      <c r="P120" s="51">
        <f t="shared" si="35"/>
        <v>0</v>
      </c>
      <c r="Q120" s="51">
        <f t="shared" si="35"/>
        <v>0</v>
      </c>
      <c r="R120" s="51">
        <f t="shared" si="35"/>
        <v>0</v>
      </c>
      <c r="S120" s="51">
        <f t="shared" si="35"/>
        <v>0</v>
      </c>
      <c r="T120" s="51">
        <f t="shared" si="35"/>
        <v>0</v>
      </c>
      <c r="U120" s="51">
        <f t="shared" si="35"/>
        <v>0</v>
      </c>
      <c r="V120" s="51">
        <f t="shared" si="35"/>
        <v>1</v>
      </c>
      <c r="W120" s="51">
        <f t="shared" si="35"/>
        <v>0</v>
      </c>
      <c r="X120" s="79">
        <v>0.42</v>
      </c>
      <c r="Y120" s="59">
        <f t="shared" si="35"/>
        <v>0</v>
      </c>
      <c r="Z120" s="51">
        <f t="shared" si="35"/>
        <v>0.61607710230883284</v>
      </c>
      <c r="AA120" s="51">
        <f t="shared" si="35"/>
        <v>0.61607710230883284</v>
      </c>
    </row>
    <row r="121" spans="1:27" x14ac:dyDescent="0.25">
      <c r="A121" s="15" t="s">
        <v>51</v>
      </c>
      <c r="B121" s="16" t="s">
        <v>56</v>
      </c>
      <c r="C121" s="27" t="s">
        <v>57</v>
      </c>
      <c r="D121" s="16" t="s">
        <v>70</v>
      </c>
      <c r="E121" s="16"/>
      <c r="F121" s="1">
        <f t="shared" si="35"/>
        <v>0</v>
      </c>
      <c r="G121" s="1">
        <f t="shared" si="35"/>
        <v>0</v>
      </c>
      <c r="H121" s="1">
        <f t="shared" si="35"/>
        <v>0</v>
      </c>
      <c r="I121" s="1">
        <f t="shared" si="35"/>
        <v>0</v>
      </c>
      <c r="J121" s="1">
        <f t="shared" si="35"/>
        <v>0</v>
      </c>
      <c r="K121" s="1">
        <f t="shared" si="35"/>
        <v>0</v>
      </c>
      <c r="L121" s="52">
        <f t="shared" si="35"/>
        <v>0</v>
      </c>
      <c r="M121" s="1">
        <f t="shared" si="35"/>
        <v>0</v>
      </c>
      <c r="N121" s="1">
        <f t="shared" si="35"/>
        <v>0</v>
      </c>
      <c r="O121" s="1">
        <f t="shared" si="35"/>
        <v>0</v>
      </c>
      <c r="P121" s="1">
        <f t="shared" si="35"/>
        <v>0</v>
      </c>
      <c r="Q121" s="1">
        <f t="shared" si="35"/>
        <v>0</v>
      </c>
      <c r="R121" s="1">
        <f t="shared" si="35"/>
        <v>0</v>
      </c>
      <c r="S121" s="1">
        <f t="shared" si="35"/>
        <v>0</v>
      </c>
      <c r="T121" s="1">
        <f t="shared" si="35"/>
        <v>0</v>
      </c>
      <c r="U121" s="1">
        <f t="shared" si="35"/>
        <v>0</v>
      </c>
      <c r="V121" s="1">
        <f t="shared" si="35"/>
        <v>0</v>
      </c>
      <c r="W121" s="1">
        <f t="shared" si="35"/>
        <v>0</v>
      </c>
      <c r="X121" s="54">
        <f t="shared" si="35"/>
        <v>0</v>
      </c>
      <c r="Y121" s="58">
        <f t="shared" si="35"/>
        <v>0</v>
      </c>
      <c r="Z121" s="1">
        <f t="shared" si="35"/>
        <v>0</v>
      </c>
      <c r="AA121" s="1">
        <f t="shared" si="35"/>
        <v>0</v>
      </c>
    </row>
    <row r="122" spans="1:27" x14ac:dyDescent="0.25">
      <c r="A122" s="15" t="s">
        <v>51</v>
      </c>
      <c r="B122" s="16" t="s">
        <v>56</v>
      </c>
      <c r="C122" s="27" t="s">
        <v>57</v>
      </c>
      <c r="D122" s="16" t="s">
        <v>71</v>
      </c>
      <c r="E122" s="16"/>
      <c r="F122" s="1">
        <f t="shared" si="35"/>
        <v>0</v>
      </c>
      <c r="G122" s="1">
        <f t="shared" si="35"/>
        <v>0</v>
      </c>
      <c r="H122" s="1">
        <f t="shared" si="35"/>
        <v>0</v>
      </c>
      <c r="I122" s="1">
        <f t="shared" si="35"/>
        <v>0</v>
      </c>
      <c r="J122" s="1">
        <f t="shared" si="35"/>
        <v>0</v>
      </c>
      <c r="K122" s="1">
        <f t="shared" si="35"/>
        <v>0</v>
      </c>
      <c r="L122" s="52">
        <f t="shared" si="35"/>
        <v>0</v>
      </c>
      <c r="M122" s="1">
        <f t="shared" si="35"/>
        <v>0</v>
      </c>
      <c r="N122" s="1">
        <f t="shared" si="35"/>
        <v>0</v>
      </c>
      <c r="O122" s="1">
        <f t="shared" si="35"/>
        <v>0</v>
      </c>
      <c r="P122" s="1">
        <f t="shared" si="35"/>
        <v>0</v>
      </c>
      <c r="Q122" s="1">
        <f t="shared" si="35"/>
        <v>0</v>
      </c>
      <c r="R122" s="1">
        <f t="shared" si="35"/>
        <v>0</v>
      </c>
      <c r="S122" s="1">
        <f t="shared" si="35"/>
        <v>0</v>
      </c>
      <c r="T122" s="1">
        <f t="shared" si="35"/>
        <v>0</v>
      </c>
      <c r="U122" s="1">
        <f t="shared" si="35"/>
        <v>0</v>
      </c>
      <c r="V122" s="1">
        <f t="shared" si="35"/>
        <v>0</v>
      </c>
      <c r="W122" s="1">
        <f t="shared" si="35"/>
        <v>0</v>
      </c>
      <c r="X122" s="54">
        <f t="shared" si="35"/>
        <v>0</v>
      </c>
      <c r="Y122" s="58">
        <f t="shared" si="35"/>
        <v>0</v>
      </c>
      <c r="Z122" s="1">
        <f t="shared" si="35"/>
        <v>0</v>
      </c>
      <c r="AA122" s="1">
        <f t="shared" si="35"/>
        <v>0</v>
      </c>
    </row>
    <row r="123" spans="1:27" x14ac:dyDescent="0.25">
      <c r="A123" s="15" t="s">
        <v>51</v>
      </c>
      <c r="B123" s="16" t="s">
        <v>56</v>
      </c>
      <c r="C123" s="27" t="s">
        <v>27</v>
      </c>
      <c r="D123" s="16" t="s">
        <v>72</v>
      </c>
      <c r="E123" s="16"/>
      <c r="F123" s="1">
        <f t="shared" si="35"/>
        <v>0</v>
      </c>
      <c r="G123" s="1">
        <f t="shared" si="35"/>
        <v>0</v>
      </c>
      <c r="H123" s="1">
        <f t="shared" si="35"/>
        <v>0</v>
      </c>
      <c r="I123" s="1">
        <f t="shared" si="35"/>
        <v>0</v>
      </c>
      <c r="J123" s="1">
        <f t="shared" si="35"/>
        <v>0</v>
      </c>
      <c r="K123" s="1">
        <f t="shared" si="35"/>
        <v>0</v>
      </c>
      <c r="L123" s="52">
        <f t="shared" si="35"/>
        <v>0</v>
      </c>
      <c r="M123" s="1">
        <f t="shared" si="35"/>
        <v>0</v>
      </c>
      <c r="N123" s="1">
        <f t="shared" si="35"/>
        <v>0</v>
      </c>
      <c r="O123" s="1">
        <f t="shared" si="35"/>
        <v>0</v>
      </c>
      <c r="P123" s="1">
        <f t="shared" si="35"/>
        <v>0</v>
      </c>
      <c r="Q123" s="1">
        <f t="shared" si="35"/>
        <v>0</v>
      </c>
      <c r="R123" s="1">
        <f t="shared" si="35"/>
        <v>0</v>
      </c>
      <c r="S123" s="1">
        <f t="shared" si="35"/>
        <v>0</v>
      </c>
      <c r="T123" s="1">
        <f t="shared" si="35"/>
        <v>0</v>
      </c>
      <c r="U123" s="1">
        <f t="shared" si="35"/>
        <v>0</v>
      </c>
      <c r="V123" s="1">
        <f t="shared" si="35"/>
        <v>0</v>
      </c>
      <c r="W123" s="1">
        <f t="shared" si="35"/>
        <v>0</v>
      </c>
      <c r="X123" s="54">
        <f t="shared" si="35"/>
        <v>0</v>
      </c>
      <c r="Y123" s="58">
        <f t="shared" si="35"/>
        <v>0</v>
      </c>
      <c r="Z123" s="1">
        <f t="shared" si="35"/>
        <v>0</v>
      </c>
      <c r="AA123" s="1">
        <f t="shared" si="35"/>
        <v>0</v>
      </c>
    </row>
    <row r="124" spans="1:27" x14ac:dyDescent="0.25">
      <c r="A124" s="15" t="s">
        <v>51</v>
      </c>
      <c r="B124" s="16" t="s">
        <v>56</v>
      </c>
      <c r="C124" s="27" t="s">
        <v>57</v>
      </c>
      <c r="D124" s="16" t="s">
        <v>73</v>
      </c>
      <c r="E124" s="16"/>
      <c r="F124" s="1">
        <f t="shared" si="35"/>
        <v>0</v>
      </c>
      <c r="G124" s="1">
        <f t="shared" si="35"/>
        <v>0</v>
      </c>
      <c r="H124" s="1">
        <f t="shared" si="35"/>
        <v>0</v>
      </c>
      <c r="I124" s="1">
        <f t="shared" si="35"/>
        <v>0</v>
      </c>
      <c r="J124" s="1">
        <f t="shared" si="35"/>
        <v>0</v>
      </c>
      <c r="K124" s="1">
        <f t="shared" si="35"/>
        <v>0</v>
      </c>
      <c r="L124" s="52">
        <f t="shared" si="35"/>
        <v>0</v>
      </c>
      <c r="M124" s="1">
        <f t="shared" si="35"/>
        <v>0</v>
      </c>
      <c r="N124" s="1">
        <f t="shared" si="35"/>
        <v>0</v>
      </c>
      <c r="O124" s="1">
        <f t="shared" si="35"/>
        <v>0</v>
      </c>
      <c r="P124" s="1">
        <f t="shared" si="35"/>
        <v>0</v>
      </c>
      <c r="Q124" s="1">
        <f t="shared" si="35"/>
        <v>0</v>
      </c>
      <c r="R124" s="1">
        <f t="shared" si="35"/>
        <v>0</v>
      </c>
      <c r="S124" s="1">
        <f t="shared" si="35"/>
        <v>0</v>
      </c>
      <c r="T124" s="1">
        <f t="shared" si="35"/>
        <v>0</v>
      </c>
      <c r="U124" s="1">
        <f t="shared" si="35"/>
        <v>0</v>
      </c>
      <c r="V124" s="1">
        <f t="shared" si="35"/>
        <v>0</v>
      </c>
      <c r="W124" s="1">
        <f t="shared" si="35"/>
        <v>0</v>
      </c>
      <c r="X124" s="54">
        <f t="shared" si="35"/>
        <v>0</v>
      </c>
      <c r="Y124" s="58">
        <f t="shared" si="35"/>
        <v>0</v>
      </c>
      <c r="Z124" s="1">
        <f t="shared" si="35"/>
        <v>0</v>
      </c>
      <c r="AA124" s="1">
        <f t="shared" si="35"/>
        <v>0</v>
      </c>
    </row>
    <row r="125" spans="1:27" x14ac:dyDescent="0.25">
      <c r="A125" s="15" t="s">
        <v>51</v>
      </c>
      <c r="B125" s="16" t="s">
        <v>56</v>
      </c>
      <c r="C125" s="27" t="s">
        <v>57</v>
      </c>
      <c r="D125" s="16" t="s">
        <v>74</v>
      </c>
      <c r="E125" s="16"/>
      <c r="F125" s="1">
        <f t="shared" si="35"/>
        <v>0</v>
      </c>
      <c r="G125" s="1">
        <f t="shared" si="35"/>
        <v>0</v>
      </c>
      <c r="H125" s="1">
        <f t="shared" si="35"/>
        <v>0</v>
      </c>
      <c r="I125" s="1">
        <f t="shared" si="35"/>
        <v>0</v>
      </c>
      <c r="J125" s="1">
        <f t="shared" si="35"/>
        <v>0</v>
      </c>
      <c r="K125" s="1">
        <f t="shared" si="35"/>
        <v>0</v>
      </c>
      <c r="L125" s="52">
        <f t="shared" si="35"/>
        <v>0</v>
      </c>
      <c r="M125" s="1">
        <f t="shared" si="35"/>
        <v>0</v>
      </c>
      <c r="N125" s="1">
        <f t="shared" si="35"/>
        <v>0</v>
      </c>
      <c r="O125" s="1">
        <f t="shared" si="35"/>
        <v>0</v>
      </c>
      <c r="P125" s="1">
        <f t="shared" si="35"/>
        <v>0</v>
      </c>
      <c r="Q125" s="1">
        <f t="shared" si="35"/>
        <v>0</v>
      </c>
      <c r="R125" s="1">
        <f t="shared" si="35"/>
        <v>0</v>
      </c>
      <c r="S125" s="1">
        <f t="shared" si="35"/>
        <v>0</v>
      </c>
      <c r="T125" s="1">
        <f t="shared" si="35"/>
        <v>0</v>
      </c>
      <c r="U125" s="1">
        <f t="shared" si="35"/>
        <v>0</v>
      </c>
      <c r="V125" s="1">
        <f t="shared" si="35"/>
        <v>0</v>
      </c>
      <c r="W125" s="1">
        <f t="shared" si="35"/>
        <v>0</v>
      </c>
      <c r="X125" s="54">
        <f t="shared" si="35"/>
        <v>0</v>
      </c>
      <c r="Y125" s="58">
        <f t="shared" si="35"/>
        <v>0</v>
      </c>
      <c r="Z125" s="1">
        <f t="shared" si="35"/>
        <v>0</v>
      </c>
      <c r="AA125" s="1">
        <f t="shared" si="35"/>
        <v>0</v>
      </c>
    </row>
    <row r="126" spans="1:27" x14ac:dyDescent="0.25">
      <c r="A126" s="30" t="s">
        <v>60</v>
      </c>
      <c r="B126" s="31" t="s">
        <v>13</v>
      </c>
      <c r="C126" s="32" t="s">
        <v>61</v>
      </c>
      <c r="D126" s="31" t="s">
        <v>75</v>
      </c>
      <c r="E126" s="31"/>
      <c r="F126" s="51">
        <f t="shared" si="35"/>
        <v>0.21009708737864077</v>
      </c>
      <c r="G126" s="51">
        <f t="shared" si="35"/>
        <v>0</v>
      </c>
      <c r="H126" s="51">
        <f t="shared" si="35"/>
        <v>0.37647058823529411</v>
      </c>
      <c r="I126" s="51">
        <f t="shared" si="35"/>
        <v>0.27210884353741499</v>
      </c>
      <c r="J126" s="51">
        <f t="shared" si="35"/>
        <v>0</v>
      </c>
      <c r="K126" s="51">
        <f t="shared" si="35"/>
        <v>0</v>
      </c>
      <c r="L126" s="52">
        <f t="shared" si="35"/>
        <v>0</v>
      </c>
      <c r="M126" s="51">
        <f t="shared" si="35"/>
        <v>0.45</v>
      </c>
      <c r="N126" s="51">
        <f t="shared" si="35"/>
        <v>0</v>
      </c>
      <c r="O126" s="51">
        <f t="shared" si="35"/>
        <v>0</v>
      </c>
      <c r="P126" s="51">
        <f t="shared" si="35"/>
        <v>0</v>
      </c>
      <c r="Q126" s="51">
        <f t="shared" si="35"/>
        <v>0</v>
      </c>
      <c r="R126" s="51">
        <f t="shared" si="35"/>
        <v>0</v>
      </c>
      <c r="S126" s="51">
        <f t="shared" si="35"/>
        <v>0</v>
      </c>
      <c r="T126" s="51">
        <f t="shared" si="35"/>
        <v>0</v>
      </c>
      <c r="U126" s="51">
        <f t="shared" si="35"/>
        <v>0</v>
      </c>
      <c r="V126" s="51">
        <f t="shared" si="35"/>
        <v>0</v>
      </c>
      <c r="W126" s="51">
        <f t="shared" si="35"/>
        <v>0.6</v>
      </c>
      <c r="X126" s="55">
        <f t="shared" si="35"/>
        <v>0</v>
      </c>
      <c r="Y126" s="59">
        <f t="shared" si="35"/>
        <v>0.27787069604580367</v>
      </c>
      <c r="Z126" s="51">
        <f t="shared" si="35"/>
        <v>0.57917737789203083</v>
      </c>
      <c r="AA126" s="51">
        <f t="shared" si="35"/>
        <v>0.30582362284346037</v>
      </c>
    </row>
    <row r="127" spans="1:27" x14ac:dyDescent="0.25">
      <c r="A127" s="30" t="s">
        <v>60</v>
      </c>
      <c r="B127" s="31" t="s">
        <v>13</v>
      </c>
      <c r="C127" s="32" t="s">
        <v>61</v>
      </c>
      <c r="D127" s="31" t="s">
        <v>76</v>
      </c>
      <c r="E127" s="31"/>
      <c r="F127" s="51">
        <f t="shared" si="35"/>
        <v>0.21009708737864077</v>
      </c>
      <c r="G127" s="51">
        <f t="shared" si="35"/>
        <v>0</v>
      </c>
      <c r="H127" s="51">
        <f t="shared" si="35"/>
        <v>0</v>
      </c>
      <c r="I127" s="51">
        <f t="shared" si="35"/>
        <v>0.27210884353741499</v>
      </c>
      <c r="J127" s="51">
        <f t="shared" si="35"/>
        <v>0.42613636363636365</v>
      </c>
      <c r="K127" s="51">
        <f t="shared" si="35"/>
        <v>0.38095238095238093</v>
      </c>
      <c r="L127" s="52">
        <f t="shared" si="35"/>
        <v>0</v>
      </c>
      <c r="M127" s="51">
        <f t="shared" si="35"/>
        <v>0.45</v>
      </c>
      <c r="N127" s="51">
        <f t="shared" si="35"/>
        <v>0.59090909090909094</v>
      </c>
      <c r="O127" s="51">
        <f t="shared" si="35"/>
        <v>0.43574297188755018</v>
      </c>
      <c r="P127" s="51">
        <f t="shared" ref="P127:AA127" si="36">IF(P37&gt;0,P82/P37,0)</f>
        <v>0.41011103236475316</v>
      </c>
      <c r="Q127" s="51">
        <f t="shared" si="36"/>
        <v>0</v>
      </c>
      <c r="R127" s="51">
        <f t="shared" si="36"/>
        <v>0.49</v>
      </c>
      <c r="S127" s="51">
        <f t="shared" si="36"/>
        <v>0</v>
      </c>
      <c r="T127" s="51">
        <f t="shared" si="36"/>
        <v>0</v>
      </c>
      <c r="U127" s="51">
        <f t="shared" si="36"/>
        <v>0</v>
      </c>
      <c r="V127" s="51">
        <f t="shared" si="36"/>
        <v>0</v>
      </c>
      <c r="W127" s="51">
        <f t="shared" si="36"/>
        <v>0</v>
      </c>
      <c r="X127" s="55">
        <f t="shared" si="36"/>
        <v>0</v>
      </c>
      <c r="Y127" s="59">
        <f t="shared" si="36"/>
        <v>0.30176505456954567</v>
      </c>
      <c r="Z127" s="51">
        <f t="shared" si="36"/>
        <v>0.46660463674674857</v>
      </c>
      <c r="AA127" s="51">
        <f t="shared" si="36"/>
        <v>0.34160047135261096</v>
      </c>
    </row>
    <row r="128" spans="1:27" x14ac:dyDescent="0.25">
      <c r="A128" s="30" t="s">
        <v>60</v>
      </c>
      <c r="B128" s="31" t="s">
        <v>13</v>
      </c>
      <c r="C128" s="32" t="s">
        <v>61</v>
      </c>
      <c r="D128" s="31" t="s">
        <v>77</v>
      </c>
      <c r="E128" s="31"/>
      <c r="F128" s="51">
        <f t="shared" ref="F128:AA135" si="37">IF(F38&gt;0,F83/F38,0)</f>
        <v>0</v>
      </c>
      <c r="G128" s="51">
        <f t="shared" si="37"/>
        <v>0</v>
      </c>
      <c r="H128" s="51">
        <f t="shared" si="37"/>
        <v>0</v>
      </c>
      <c r="I128" s="51">
        <f t="shared" si="37"/>
        <v>0</v>
      </c>
      <c r="J128" s="51">
        <f t="shared" si="37"/>
        <v>0</v>
      </c>
      <c r="K128" s="51">
        <f t="shared" si="37"/>
        <v>0.2857142857142857</v>
      </c>
      <c r="L128" s="52">
        <f t="shared" si="37"/>
        <v>0</v>
      </c>
      <c r="M128" s="51">
        <f t="shared" si="37"/>
        <v>0.45</v>
      </c>
      <c r="N128" s="51">
        <f t="shared" si="37"/>
        <v>0</v>
      </c>
      <c r="O128" s="51">
        <f t="shared" si="37"/>
        <v>0</v>
      </c>
      <c r="P128" s="51">
        <f t="shared" si="37"/>
        <v>0</v>
      </c>
      <c r="Q128" s="51">
        <f t="shared" si="37"/>
        <v>0</v>
      </c>
      <c r="R128" s="51">
        <f t="shared" si="37"/>
        <v>0</v>
      </c>
      <c r="S128" s="51">
        <f t="shared" si="37"/>
        <v>0</v>
      </c>
      <c r="T128" s="51">
        <f t="shared" si="37"/>
        <v>1</v>
      </c>
      <c r="U128" s="51">
        <f t="shared" si="37"/>
        <v>0.5</v>
      </c>
      <c r="V128" s="51">
        <f t="shared" si="37"/>
        <v>0</v>
      </c>
      <c r="W128" s="51">
        <f t="shared" ref="W128:W135" si="38">IF(W38&gt;0,W83/W38,0)</f>
        <v>0</v>
      </c>
      <c r="X128" s="55">
        <f t="shared" si="37"/>
        <v>0</v>
      </c>
      <c r="Y128" s="59">
        <f t="shared" si="37"/>
        <v>0.2857142857142857</v>
      </c>
      <c r="Z128" s="51">
        <f t="shared" si="37"/>
        <v>0.49657534246575341</v>
      </c>
      <c r="AA128" s="51">
        <f t="shared" si="37"/>
        <v>0.46264367816091956</v>
      </c>
    </row>
    <row r="129" spans="1:55" x14ac:dyDescent="0.25">
      <c r="A129" s="30" t="s">
        <v>60</v>
      </c>
      <c r="B129" s="31" t="s">
        <v>13</v>
      </c>
      <c r="C129" s="32" t="s">
        <v>61</v>
      </c>
      <c r="D129" s="31" t="s">
        <v>78</v>
      </c>
      <c r="E129" s="31"/>
      <c r="F129" s="51">
        <f t="shared" si="37"/>
        <v>0</v>
      </c>
      <c r="G129" s="51">
        <f t="shared" si="37"/>
        <v>0</v>
      </c>
      <c r="H129" s="51">
        <f t="shared" si="37"/>
        <v>0</v>
      </c>
      <c r="I129" s="51">
        <f t="shared" si="37"/>
        <v>0.27210884353741499</v>
      </c>
      <c r="J129" s="51">
        <f t="shared" si="37"/>
        <v>0</v>
      </c>
      <c r="K129" s="51">
        <f t="shared" si="37"/>
        <v>0.2857142857142857</v>
      </c>
      <c r="L129" s="52">
        <f t="shared" si="37"/>
        <v>0</v>
      </c>
      <c r="M129" s="51">
        <f t="shared" si="37"/>
        <v>0.45</v>
      </c>
      <c r="N129" s="51">
        <f t="shared" si="37"/>
        <v>0</v>
      </c>
      <c r="O129" s="51">
        <f t="shared" si="37"/>
        <v>0.43574297188755012</v>
      </c>
      <c r="P129" s="51">
        <f t="shared" si="37"/>
        <v>0.20505551618237655</v>
      </c>
      <c r="Q129" s="51">
        <f t="shared" si="37"/>
        <v>0.45</v>
      </c>
      <c r="R129" s="51">
        <f t="shared" si="37"/>
        <v>0</v>
      </c>
      <c r="S129" s="51">
        <f t="shared" si="37"/>
        <v>0</v>
      </c>
      <c r="T129" s="51">
        <f t="shared" si="37"/>
        <v>0</v>
      </c>
      <c r="U129" s="51">
        <f t="shared" si="37"/>
        <v>0</v>
      </c>
      <c r="V129" s="51">
        <f t="shared" si="37"/>
        <v>0</v>
      </c>
      <c r="W129" s="51">
        <f t="shared" si="38"/>
        <v>0</v>
      </c>
      <c r="X129" s="55">
        <f t="shared" si="37"/>
        <v>0.5</v>
      </c>
      <c r="Y129" s="59">
        <f t="shared" si="37"/>
        <v>0.27649769585253459</v>
      </c>
      <c r="Z129" s="51">
        <f t="shared" si="37"/>
        <v>0.24707258723427494</v>
      </c>
      <c r="AA129" s="51">
        <f t="shared" si="37"/>
        <v>0.25160995766588562</v>
      </c>
    </row>
    <row r="130" spans="1:55" ht="15.75" thickBot="1" x14ac:dyDescent="0.3">
      <c r="A130" s="33" t="s">
        <v>60</v>
      </c>
      <c r="B130" s="34" t="s">
        <v>13</v>
      </c>
      <c r="C130" s="35" t="s">
        <v>61</v>
      </c>
      <c r="D130" s="34" t="s">
        <v>79</v>
      </c>
      <c r="E130" s="31"/>
      <c r="F130" s="51">
        <f t="shared" si="37"/>
        <v>0</v>
      </c>
      <c r="G130" s="51">
        <f t="shared" si="37"/>
        <v>0</v>
      </c>
      <c r="H130" s="51">
        <f t="shared" si="37"/>
        <v>0</v>
      </c>
      <c r="I130" s="51">
        <f t="shared" si="37"/>
        <v>0</v>
      </c>
      <c r="J130" s="51">
        <f t="shared" si="37"/>
        <v>0</v>
      </c>
      <c r="K130" s="51">
        <f t="shared" si="37"/>
        <v>0</v>
      </c>
      <c r="L130" s="52">
        <f t="shared" si="37"/>
        <v>0</v>
      </c>
      <c r="M130" s="51">
        <f t="shared" si="37"/>
        <v>0</v>
      </c>
      <c r="N130" s="51">
        <f t="shared" si="37"/>
        <v>0</v>
      </c>
      <c r="O130" s="51">
        <f t="shared" si="37"/>
        <v>0</v>
      </c>
      <c r="P130" s="51">
        <f t="shared" si="37"/>
        <v>0</v>
      </c>
      <c r="Q130" s="51">
        <f t="shared" si="37"/>
        <v>0</v>
      </c>
      <c r="R130" s="51">
        <f t="shared" si="37"/>
        <v>0</v>
      </c>
      <c r="S130" s="51">
        <f t="shared" si="37"/>
        <v>0</v>
      </c>
      <c r="T130" s="51">
        <f t="shared" si="37"/>
        <v>0</v>
      </c>
      <c r="U130" s="51">
        <f t="shared" si="37"/>
        <v>0</v>
      </c>
      <c r="V130" s="51">
        <f t="shared" si="37"/>
        <v>0</v>
      </c>
      <c r="W130" s="51">
        <f t="shared" si="38"/>
        <v>0</v>
      </c>
      <c r="X130" s="55">
        <f t="shared" si="37"/>
        <v>0</v>
      </c>
      <c r="Y130" s="59">
        <f t="shared" si="37"/>
        <v>0</v>
      </c>
      <c r="Z130" s="51">
        <f t="shared" si="37"/>
        <v>0</v>
      </c>
      <c r="AA130" s="51">
        <f t="shared" si="37"/>
        <v>0</v>
      </c>
    </row>
    <row r="131" spans="1:55" x14ac:dyDescent="0.25">
      <c r="A131" s="30" t="s">
        <v>60</v>
      </c>
      <c r="B131" s="31" t="s">
        <v>13</v>
      </c>
      <c r="C131" s="32" t="s">
        <v>62</v>
      </c>
      <c r="D131" s="31" t="s">
        <v>75</v>
      </c>
      <c r="E131" s="31"/>
      <c r="F131" s="51">
        <f t="shared" si="37"/>
        <v>0</v>
      </c>
      <c r="G131" s="51">
        <f t="shared" si="37"/>
        <v>0</v>
      </c>
      <c r="H131" s="51">
        <f t="shared" si="37"/>
        <v>0</v>
      </c>
      <c r="I131" s="51">
        <f t="shared" si="37"/>
        <v>0</v>
      </c>
      <c r="J131" s="51">
        <f t="shared" si="37"/>
        <v>0</v>
      </c>
      <c r="K131" s="51">
        <f t="shared" si="37"/>
        <v>0</v>
      </c>
      <c r="L131" s="52">
        <f t="shared" si="37"/>
        <v>0</v>
      </c>
      <c r="M131" s="51">
        <f t="shared" si="37"/>
        <v>0</v>
      </c>
      <c r="N131" s="51">
        <f t="shared" si="37"/>
        <v>0</v>
      </c>
      <c r="O131" s="51">
        <f t="shared" si="37"/>
        <v>0</v>
      </c>
      <c r="P131" s="51">
        <f t="shared" si="37"/>
        <v>0</v>
      </c>
      <c r="Q131" s="51">
        <f t="shared" si="37"/>
        <v>0</v>
      </c>
      <c r="R131" s="51">
        <f t="shared" si="37"/>
        <v>0</v>
      </c>
      <c r="S131" s="51">
        <f t="shared" si="37"/>
        <v>0</v>
      </c>
      <c r="T131" s="51">
        <f t="shared" si="37"/>
        <v>0</v>
      </c>
      <c r="U131" s="51">
        <f t="shared" si="37"/>
        <v>0</v>
      </c>
      <c r="V131" s="51">
        <f t="shared" si="37"/>
        <v>0</v>
      </c>
      <c r="W131" s="51">
        <f t="shared" si="38"/>
        <v>0</v>
      </c>
      <c r="X131" s="55">
        <f t="shared" si="37"/>
        <v>0</v>
      </c>
      <c r="Y131" s="59">
        <f t="shared" si="37"/>
        <v>0</v>
      </c>
      <c r="Z131" s="51">
        <f t="shared" si="37"/>
        <v>0</v>
      </c>
      <c r="AA131" s="51">
        <f t="shared" si="37"/>
        <v>0</v>
      </c>
    </row>
    <row r="132" spans="1:55" x14ac:dyDescent="0.25">
      <c r="A132" s="30" t="s">
        <v>60</v>
      </c>
      <c r="B132" s="31" t="s">
        <v>13</v>
      </c>
      <c r="C132" s="32" t="s">
        <v>62</v>
      </c>
      <c r="D132" s="31" t="s">
        <v>76</v>
      </c>
      <c r="E132" s="31"/>
      <c r="F132" s="51">
        <f t="shared" si="37"/>
        <v>0.21009708737864077</v>
      </c>
      <c r="G132" s="51">
        <f t="shared" si="37"/>
        <v>0.2807017543859649</v>
      </c>
      <c r="H132" s="51">
        <f t="shared" si="37"/>
        <v>0.37647058823529411</v>
      </c>
      <c r="I132" s="51">
        <f t="shared" si="37"/>
        <v>0</v>
      </c>
      <c r="J132" s="51">
        <f t="shared" si="37"/>
        <v>0</v>
      </c>
      <c r="K132" s="51">
        <f t="shared" si="37"/>
        <v>0</v>
      </c>
      <c r="L132" s="52">
        <f t="shared" si="37"/>
        <v>0</v>
      </c>
      <c r="M132" s="51">
        <f t="shared" si="37"/>
        <v>0</v>
      </c>
      <c r="N132" s="51">
        <f t="shared" si="37"/>
        <v>0</v>
      </c>
      <c r="O132" s="51">
        <f t="shared" si="37"/>
        <v>0</v>
      </c>
      <c r="P132" s="51">
        <f t="shared" si="37"/>
        <v>0</v>
      </c>
      <c r="Q132" s="51">
        <f t="shared" si="37"/>
        <v>0</v>
      </c>
      <c r="R132" s="51">
        <f t="shared" si="37"/>
        <v>0</v>
      </c>
      <c r="S132" s="51">
        <f t="shared" si="37"/>
        <v>0</v>
      </c>
      <c r="T132" s="51">
        <f t="shared" si="37"/>
        <v>0</v>
      </c>
      <c r="U132" s="51">
        <f t="shared" si="37"/>
        <v>0</v>
      </c>
      <c r="V132" s="51">
        <f t="shared" si="37"/>
        <v>0</v>
      </c>
      <c r="W132" s="51">
        <f t="shared" si="38"/>
        <v>0</v>
      </c>
      <c r="X132" s="55">
        <f t="shared" si="37"/>
        <v>0</v>
      </c>
      <c r="Y132" s="59">
        <f t="shared" si="37"/>
        <v>0.30662026968247069</v>
      </c>
      <c r="Z132" s="51">
        <f t="shared" si="37"/>
        <v>0</v>
      </c>
      <c r="AA132" s="51">
        <f t="shared" si="37"/>
        <v>0.30662026968247069</v>
      </c>
    </row>
    <row r="133" spans="1:55" x14ac:dyDescent="0.25">
      <c r="A133" s="30" t="s">
        <v>60</v>
      </c>
      <c r="B133" s="31" t="s">
        <v>13</v>
      </c>
      <c r="C133" s="32" t="s">
        <v>62</v>
      </c>
      <c r="D133" s="31" t="s">
        <v>77</v>
      </c>
      <c r="E133" s="31"/>
      <c r="F133" s="51">
        <f t="shared" si="37"/>
        <v>0</v>
      </c>
      <c r="G133" s="51">
        <f t="shared" si="37"/>
        <v>0</v>
      </c>
      <c r="H133" s="51">
        <f t="shared" si="37"/>
        <v>0</v>
      </c>
      <c r="I133" s="51">
        <f t="shared" si="37"/>
        <v>0</v>
      </c>
      <c r="J133" s="51">
        <f t="shared" si="37"/>
        <v>0</v>
      </c>
      <c r="K133" s="51">
        <f t="shared" si="37"/>
        <v>0</v>
      </c>
      <c r="L133" s="52">
        <f t="shared" si="37"/>
        <v>0</v>
      </c>
      <c r="M133" s="51">
        <f t="shared" si="37"/>
        <v>0</v>
      </c>
      <c r="N133" s="51">
        <f t="shared" si="37"/>
        <v>0</v>
      </c>
      <c r="O133" s="51">
        <f t="shared" si="37"/>
        <v>0</v>
      </c>
      <c r="P133" s="51">
        <f t="shared" si="37"/>
        <v>0</v>
      </c>
      <c r="Q133" s="51">
        <f t="shared" si="37"/>
        <v>0</v>
      </c>
      <c r="R133" s="51">
        <f t="shared" si="37"/>
        <v>0</v>
      </c>
      <c r="S133" s="51">
        <f t="shared" si="37"/>
        <v>0</v>
      </c>
      <c r="T133" s="51">
        <f t="shared" si="37"/>
        <v>0</v>
      </c>
      <c r="U133" s="51">
        <f t="shared" si="37"/>
        <v>0</v>
      </c>
      <c r="V133" s="51">
        <f t="shared" si="37"/>
        <v>0</v>
      </c>
      <c r="W133" s="51">
        <f t="shared" si="38"/>
        <v>0</v>
      </c>
      <c r="X133" s="55">
        <f t="shared" si="37"/>
        <v>0</v>
      </c>
      <c r="Y133" s="59">
        <f t="shared" si="37"/>
        <v>0</v>
      </c>
      <c r="Z133" s="51">
        <f t="shared" si="37"/>
        <v>0</v>
      </c>
      <c r="AA133" s="51">
        <f t="shared" si="37"/>
        <v>0</v>
      </c>
    </row>
    <row r="134" spans="1:55" x14ac:dyDescent="0.25">
      <c r="A134" s="30" t="s">
        <v>60</v>
      </c>
      <c r="B134" s="31" t="s">
        <v>13</v>
      </c>
      <c r="C134" s="32" t="s">
        <v>62</v>
      </c>
      <c r="D134" s="31" t="s">
        <v>78</v>
      </c>
      <c r="E134" s="31"/>
      <c r="F134" s="51">
        <f t="shared" si="37"/>
        <v>0</v>
      </c>
      <c r="G134" s="51">
        <f t="shared" si="37"/>
        <v>0</v>
      </c>
      <c r="H134" s="51">
        <f t="shared" si="37"/>
        <v>0</v>
      </c>
      <c r="I134" s="51">
        <f t="shared" si="37"/>
        <v>0</v>
      </c>
      <c r="J134" s="51">
        <f t="shared" si="37"/>
        <v>0</v>
      </c>
      <c r="K134" s="51">
        <f t="shared" si="37"/>
        <v>0</v>
      </c>
      <c r="L134" s="52">
        <f t="shared" si="37"/>
        <v>0</v>
      </c>
      <c r="M134" s="51">
        <f t="shared" si="37"/>
        <v>0</v>
      </c>
      <c r="N134" s="51">
        <f t="shared" si="37"/>
        <v>0</v>
      </c>
      <c r="O134" s="51">
        <f t="shared" si="37"/>
        <v>0</v>
      </c>
      <c r="P134" s="51">
        <f t="shared" si="37"/>
        <v>0.4101110323647531</v>
      </c>
      <c r="Q134" s="51">
        <f t="shared" si="37"/>
        <v>0</v>
      </c>
      <c r="R134" s="51">
        <f t="shared" si="37"/>
        <v>0</v>
      </c>
      <c r="S134" s="51">
        <f t="shared" si="37"/>
        <v>0</v>
      </c>
      <c r="T134" s="51">
        <f t="shared" si="37"/>
        <v>0</v>
      </c>
      <c r="U134" s="51">
        <f t="shared" si="37"/>
        <v>0</v>
      </c>
      <c r="V134" s="51">
        <f t="shared" si="37"/>
        <v>0</v>
      </c>
      <c r="W134" s="51">
        <f t="shared" si="38"/>
        <v>0</v>
      </c>
      <c r="X134" s="55">
        <f t="shared" si="37"/>
        <v>0</v>
      </c>
      <c r="Y134" s="59">
        <f t="shared" si="37"/>
        <v>0</v>
      </c>
      <c r="Z134" s="51">
        <f t="shared" si="37"/>
        <v>0.4101110323647531</v>
      </c>
      <c r="AA134" s="51">
        <f t="shared" si="37"/>
        <v>0.4101110323647531</v>
      </c>
    </row>
    <row r="135" spans="1:55" ht="15.75" thickBot="1" x14ac:dyDescent="0.3">
      <c r="A135" s="33" t="s">
        <v>60</v>
      </c>
      <c r="B135" s="34" t="s">
        <v>13</v>
      </c>
      <c r="C135" s="32" t="s">
        <v>62</v>
      </c>
      <c r="D135" s="34" t="s">
        <v>79</v>
      </c>
      <c r="E135" s="31"/>
      <c r="F135" s="51">
        <f t="shared" si="37"/>
        <v>0</v>
      </c>
      <c r="G135" s="51">
        <f t="shared" si="37"/>
        <v>0</v>
      </c>
      <c r="H135" s="51">
        <f t="shared" si="37"/>
        <v>0</v>
      </c>
      <c r="I135" s="51">
        <f t="shared" si="37"/>
        <v>0</v>
      </c>
      <c r="J135" s="51">
        <f t="shared" si="37"/>
        <v>0</v>
      </c>
      <c r="K135" s="51">
        <f t="shared" si="37"/>
        <v>0</v>
      </c>
      <c r="L135" s="52">
        <f t="shared" si="37"/>
        <v>0</v>
      </c>
      <c r="M135" s="51">
        <f t="shared" si="37"/>
        <v>0</v>
      </c>
      <c r="N135" s="51">
        <f t="shared" si="37"/>
        <v>0</v>
      </c>
      <c r="O135" s="51">
        <f t="shared" si="37"/>
        <v>0</v>
      </c>
      <c r="P135" s="51">
        <f t="shared" si="37"/>
        <v>0</v>
      </c>
      <c r="Q135" s="51">
        <f t="shared" si="37"/>
        <v>0</v>
      </c>
      <c r="R135" s="51">
        <f t="shared" si="37"/>
        <v>0</v>
      </c>
      <c r="S135" s="51">
        <f t="shared" si="37"/>
        <v>0</v>
      </c>
      <c r="T135" s="51">
        <f t="shared" si="37"/>
        <v>0</v>
      </c>
      <c r="U135" s="51">
        <f t="shared" si="37"/>
        <v>0</v>
      </c>
      <c r="V135" s="51">
        <f t="shared" si="37"/>
        <v>0</v>
      </c>
      <c r="W135" s="51">
        <f t="shared" si="38"/>
        <v>0</v>
      </c>
      <c r="X135" s="55">
        <f t="shared" si="37"/>
        <v>0</v>
      </c>
      <c r="Y135" s="59">
        <f t="shared" si="37"/>
        <v>0</v>
      </c>
      <c r="Z135" s="51">
        <f t="shared" si="37"/>
        <v>0</v>
      </c>
      <c r="AA135" s="51">
        <f t="shared" si="37"/>
        <v>0</v>
      </c>
    </row>
    <row r="136" spans="1:5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55" x14ac:dyDescent="0.25">
      <c r="D137" s="41" t="s">
        <v>17</v>
      </c>
      <c r="E137" s="41"/>
      <c r="M137" s="24" t="s">
        <v>81</v>
      </c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AF137" s="41" t="s">
        <v>22</v>
      </c>
      <c r="AG137" s="41"/>
      <c r="AO137" s="24" t="s">
        <v>81</v>
      </c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</row>
    <row r="138" spans="1:55" x14ac:dyDescent="0.25">
      <c r="F138" s="23" t="s">
        <v>44</v>
      </c>
      <c r="G138" s="23"/>
      <c r="H138" s="23"/>
      <c r="I138" s="23"/>
      <c r="J138" s="23"/>
      <c r="K138" s="23"/>
      <c r="L138" s="7" t="s">
        <v>30</v>
      </c>
      <c r="M138" s="24" t="s">
        <v>46</v>
      </c>
      <c r="N138" s="24"/>
      <c r="O138" s="24"/>
      <c r="P138" s="24"/>
      <c r="Q138" s="24"/>
      <c r="R138" s="24" t="s">
        <v>47</v>
      </c>
      <c r="S138" s="24"/>
      <c r="T138" s="24"/>
      <c r="U138" s="24"/>
      <c r="V138" s="24"/>
      <c r="W138" s="24"/>
      <c r="X138" s="24"/>
      <c r="Y138" s="44" t="s">
        <v>85</v>
      </c>
      <c r="Z138" s="44" t="s">
        <v>48</v>
      </c>
      <c r="AA138" s="44" t="s">
        <v>3</v>
      </c>
      <c r="AH138" s="23" t="s">
        <v>44</v>
      </c>
      <c r="AI138" s="23"/>
      <c r="AJ138" s="23"/>
      <c r="AK138" s="23"/>
      <c r="AL138" s="23"/>
      <c r="AM138" s="23"/>
      <c r="AN138" s="7" t="s">
        <v>30</v>
      </c>
      <c r="AO138" s="24" t="s">
        <v>46</v>
      </c>
      <c r="AP138" s="24"/>
      <c r="AQ138" s="24"/>
      <c r="AR138" s="24"/>
      <c r="AS138" s="24"/>
      <c r="AT138" s="24" t="s">
        <v>47</v>
      </c>
      <c r="AU138" s="24"/>
      <c r="AV138" s="24"/>
      <c r="AW138" s="24"/>
      <c r="AX138" s="24"/>
      <c r="AY138" s="24"/>
      <c r="AZ138" s="24"/>
      <c r="BA138" s="44" t="s">
        <v>85</v>
      </c>
      <c r="BB138" s="44" t="s">
        <v>48</v>
      </c>
      <c r="BC138" s="44" t="s">
        <v>3</v>
      </c>
    </row>
    <row r="139" spans="1:55" ht="63" x14ac:dyDescent="0.25">
      <c r="F139" s="38" t="s">
        <v>36</v>
      </c>
      <c r="G139" s="38" t="s">
        <v>37</v>
      </c>
      <c r="H139" s="38" t="s">
        <v>38</v>
      </c>
      <c r="I139" s="38" t="s">
        <v>80</v>
      </c>
      <c r="J139" s="38" t="s">
        <v>39</v>
      </c>
      <c r="K139" s="38" t="s">
        <v>45</v>
      </c>
      <c r="L139" s="39" t="s">
        <v>16</v>
      </c>
      <c r="M139" s="40" t="s">
        <v>34</v>
      </c>
      <c r="N139" s="40" t="s">
        <v>5</v>
      </c>
      <c r="O139" s="40" t="s">
        <v>7</v>
      </c>
      <c r="P139" s="40" t="s">
        <v>8</v>
      </c>
      <c r="Q139" s="40" t="s">
        <v>40</v>
      </c>
      <c r="R139" s="40" t="s">
        <v>41</v>
      </c>
      <c r="S139" s="40" t="s">
        <v>42</v>
      </c>
      <c r="T139" s="40" t="s">
        <v>31</v>
      </c>
      <c r="U139" s="40" t="s">
        <v>43</v>
      </c>
      <c r="V139" s="40" t="s">
        <v>82</v>
      </c>
      <c r="W139" s="40" t="s">
        <v>87</v>
      </c>
      <c r="X139" s="40" t="s">
        <v>83</v>
      </c>
      <c r="Y139" s="45" t="s">
        <v>3</v>
      </c>
      <c r="Z139" s="45" t="s">
        <v>3</v>
      </c>
      <c r="AA139" s="45" t="s">
        <v>3</v>
      </c>
      <c r="AH139" s="38" t="s">
        <v>36</v>
      </c>
      <c r="AI139" s="38" t="s">
        <v>37</v>
      </c>
      <c r="AJ139" s="38" t="s">
        <v>38</v>
      </c>
      <c r="AK139" s="38" t="s">
        <v>80</v>
      </c>
      <c r="AL139" s="38" t="s">
        <v>39</v>
      </c>
      <c r="AM139" s="38" t="s">
        <v>45</v>
      </c>
      <c r="AN139" s="39" t="s">
        <v>16</v>
      </c>
      <c r="AO139" s="40" t="s">
        <v>34</v>
      </c>
      <c r="AP139" s="40" t="s">
        <v>5</v>
      </c>
      <c r="AQ139" s="40" t="s">
        <v>7</v>
      </c>
      <c r="AR139" s="40" t="s">
        <v>8</v>
      </c>
      <c r="AS139" s="40" t="s">
        <v>40</v>
      </c>
      <c r="AT139" s="40" t="s">
        <v>41</v>
      </c>
      <c r="AU139" s="40" t="s">
        <v>42</v>
      </c>
      <c r="AV139" s="40" t="s">
        <v>31</v>
      </c>
      <c r="AW139" s="40" t="s">
        <v>43</v>
      </c>
      <c r="AX139" s="40" t="s">
        <v>82</v>
      </c>
      <c r="AY139" s="40" t="s">
        <v>87</v>
      </c>
      <c r="AZ139" s="40" t="s">
        <v>83</v>
      </c>
      <c r="BA139" s="45" t="s">
        <v>3</v>
      </c>
      <c r="BB139" s="45" t="s">
        <v>86</v>
      </c>
      <c r="BC139" s="45" t="s">
        <v>3</v>
      </c>
    </row>
    <row r="140" spans="1:55" x14ac:dyDescent="0.25">
      <c r="A140" s="15" t="s">
        <v>51</v>
      </c>
      <c r="B140" s="2"/>
      <c r="C140" s="2"/>
      <c r="F140" s="1">
        <f t="shared" ref="F140:F156" si="39">IF(F185&gt;0,F5/F185,0)</f>
        <v>0</v>
      </c>
      <c r="G140" s="1">
        <f t="shared" ref="G140:AA152" si="40">IF(G185&gt;0,G5/G185,0)</f>
        <v>0</v>
      </c>
      <c r="H140" s="1">
        <f t="shared" si="40"/>
        <v>0</v>
      </c>
      <c r="I140" s="1">
        <f t="shared" si="40"/>
        <v>0</v>
      </c>
      <c r="J140" s="1">
        <f t="shared" si="40"/>
        <v>0</v>
      </c>
      <c r="K140" s="1">
        <f t="shared" si="40"/>
        <v>0</v>
      </c>
      <c r="L140" s="52">
        <f t="shared" si="40"/>
        <v>0</v>
      </c>
      <c r="M140" s="1">
        <f t="shared" si="40"/>
        <v>0</v>
      </c>
      <c r="N140" s="1">
        <f t="shared" si="40"/>
        <v>0</v>
      </c>
      <c r="O140" s="1">
        <f t="shared" si="40"/>
        <v>0</v>
      </c>
      <c r="P140" s="1">
        <f t="shared" si="40"/>
        <v>0</v>
      </c>
      <c r="Q140" s="1">
        <f t="shared" si="40"/>
        <v>0</v>
      </c>
      <c r="R140" s="1">
        <f t="shared" si="40"/>
        <v>0</v>
      </c>
      <c r="S140" s="1">
        <f t="shared" si="40"/>
        <v>0</v>
      </c>
      <c r="T140" s="1">
        <f t="shared" si="40"/>
        <v>0</v>
      </c>
      <c r="U140" s="1">
        <f t="shared" si="40"/>
        <v>0</v>
      </c>
      <c r="V140" s="1">
        <f t="shared" si="40"/>
        <v>0</v>
      </c>
      <c r="W140" s="1">
        <f t="shared" si="40"/>
        <v>0</v>
      </c>
      <c r="X140" s="54">
        <f t="shared" si="40"/>
        <v>0</v>
      </c>
      <c r="Y140" s="58">
        <f t="shared" si="40"/>
        <v>0</v>
      </c>
      <c r="Z140" s="1">
        <f t="shared" si="40"/>
        <v>0</v>
      </c>
      <c r="AA140" s="1">
        <f t="shared" si="40"/>
        <v>0</v>
      </c>
      <c r="AC140" s="15" t="s">
        <v>51</v>
      </c>
      <c r="AD140" s="2"/>
      <c r="AE140" s="2"/>
      <c r="AH140" s="1" t="str">
        <f t="shared" ref="AH140:AW155" si="41">IF(F185&gt;0,F50/F185,"")</f>
        <v/>
      </c>
      <c r="AI140" s="1" t="str">
        <f t="shared" si="41"/>
        <v/>
      </c>
      <c r="AJ140" s="1" t="str">
        <f t="shared" si="41"/>
        <v/>
      </c>
      <c r="AK140" s="1" t="str">
        <f t="shared" si="41"/>
        <v/>
      </c>
      <c r="AL140" s="1" t="str">
        <f t="shared" si="41"/>
        <v/>
      </c>
      <c r="AM140" s="1" t="str">
        <f t="shared" si="41"/>
        <v/>
      </c>
      <c r="AN140" s="52" t="str">
        <f t="shared" si="41"/>
        <v/>
      </c>
      <c r="AO140" s="1" t="str">
        <f t="shared" si="41"/>
        <v/>
      </c>
      <c r="AP140" s="1" t="str">
        <f t="shared" si="41"/>
        <v/>
      </c>
      <c r="AQ140" s="1" t="str">
        <f t="shared" si="41"/>
        <v/>
      </c>
      <c r="AR140" s="1" t="str">
        <f t="shared" si="41"/>
        <v/>
      </c>
      <c r="AS140" s="1" t="str">
        <f t="shared" si="41"/>
        <v/>
      </c>
      <c r="AT140" s="1" t="str">
        <f t="shared" si="41"/>
        <v/>
      </c>
      <c r="AU140" s="1" t="str">
        <f t="shared" si="41"/>
        <v/>
      </c>
      <c r="AV140" s="1" t="str">
        <f t="shared" si="41"/>
        <v/>
      </c>
      <c r="AW140" s="1" t="str">
        <f t="shared" si="41"/>
        <v/>
      </c>
      <c r="AX140" s="1" t="str">
        <f t="shared" ref="AX140:BC155" si="42">IF(V185&gt;0,V50/V185,"")</f>
        <v/>
      </c>
      <c r="AY140" s="1" t="str">
        <f t="shared" si="42"/>
        <v/>
      </c>
      <c r="AZ140" s="1" t="str">
        <f t="shared" si="42"/>
        <v/>
      </c>
      <c r="BA140" s="1" t="str">
        <f t="shared" si="42"/>
        <v/>
      </c>
      <c r="BB140" s="1" t="str">
        <f t="shared" si="42"/>
        <v/>
      </c>
      <c r="BC140" s="1" t="str">
        <f t="shared" si="42"/>
        <v/>
      </c>
    </row>
    <row r="141" spans="1:55" x14ac:dyDescent="0.25">
      <c r="A141" s="30" t="s">
        <v>60</v>
      </c>
      <c r="B141" s="2"/>
      <c r="C141" s="2"/>
      <c r="F141" s="1">
        <f t="shared" si="39"/>
        <v>59.315720098572982</v>
      </c>
      <c r="G141" s="1">
        <f t="shared" ref="G141:T141" si="43">IF(G186&gt;0,G6/G186,0)</f>
        <v>21.714285714285715</v>
      </c>
      <c r="H141" s="1">
        <f t="shared" si="43"/>
        <v>4.7</v>
      </c>
      <c r="I141" s="1">
        <f t="shared" si="43"/>
        <v>29</v>
      </c>
      <c r="J141" s="1">
        <f t="shared" si="43"/>
        <v>52.045907858460929</v>
      </c>
      <c r="K141" s="1">
        <f t="shared" si="43"/>
        <v>3.0685332899234901</v>
      </c>
      <c r="L141" s="52">
        <f t="shared" si="43"/>
        <v>750</v>
      </c>
      <c r="M141" s="1">
        <f t="shared" si="43"/>
        <v>311.47308781869685</v>
      </c>
      <c r="N141" s="1">
        <f t="shared" si="43"/>
        <v>1065.9363525091799</v>
      </c>
      <c r="O141" s="1">
        <f t="shared" si="43"/>
        <v>10000</v>
      </c>
      <c r="P141" s="1">
        <f t="shared" si="43"/>
        <v>27999.999999999996</v>
      </c>
      <c r="Q141" s="1">
        <f t="shared" si="43"/>
        <v>940</v>
      </c>
      <c r="R141" s="1">
        <f t="shared" si="43"/>
        <v>426.00000000000006</v>
      </c>
      <c r="S141" s="1">
        <f t="shared" si="43"/>
        <v>99.999999999999986</v>
      </c>
      <c r="T141" s="1">
        <f t="shared" si="43"/>
        <v>425.19406974638974</v>
      </c>
      <c r="U141" s="1">
        <f t="shared" si="40"/>
        <v>426.00000000000006</v>
      </c>
      <c r="V141" s="1">
        <f t="shared" si="40"/>
        <v>500.43123278302329</v>
      </c>
      <c r="W141" s="1">
        <f t="shared" si="40"/>
        <v>426.00000000000006</v>
      </c>
      <c r="X141" s="54">
        <f t="shared" si="40"/>
        <v>410.53627860612102</v>
      </c>
      <c r="Y141" s="58">
        <f t="shared" si="40"/>
        <v>10.449885548310743</v>
      </c>
      <c r="Z141" s="1">
        <f t="shared" si="40"/>
        <v>493.36741631569924</v>
      </c>
      <c r="AA141" s="1">
        <f t="shared" si="40"/>
        <v>92.117785622288849</v>
      </c>
      <c r="AC141" s="30" t="s">
        <v>60</v>
      </c>
      <c r="AD141" s="2"/>
      <c r="AE141" s="2"/>
      <c r="AH141" s="1">
        <f t="shared" si="41"/>
        <v>12.49355263911972</v>
      </c>
      <c r="AI141" s="1">
        <f t="shared" si="41"/>
        <v>6.0952380952380949</v>
      </c>
      <c r="AJ141" s="1">
        <f t="shared" si="41"/>
        <v>1.7777777777777777</v>
      </c>
      <c r="AK141" s="1">
        <f t="shared" si="41"/>
        <v>7.8911564625850339</v>
      </c>
      <c r="AL141" s="1">
        <f t="shared" si="41"/>
        <v>12.762519635599231</v>
      </c>
      <c r="AM141" s="1">
        <f t="shared" si="41"/>
        <v>0.84974768028650494</v>
      </c>
      <c r="AN141" s="52">
        <f t="shared" si="41"/>
        <v>67.499999999999986</v>
      </c>
      <c r="AO141" s="1">
        <f t="shared" si="41"/>
        <v>53.541076487252113</v>
      </c>
      <c r="AP141" s="1">
        <f t="shared" si="41"/>
        <v>808.23745410036724</v>
      </c>
      <c r="AQ141" s="1">
        <f t="shared" si="41"/>
        <v>4357.4297188755017</v>
      </c>
      <c r="AR141" s="1">
        <f t="shared" si="41"/>
        <v>11483.108906213087</v>
      </c>
      <c r="AS141" s="1">
        <f t="shared" si="41"/>
        <v>142.12414578587698</v>
      </c>
      <c r="AT141" s="1">
        <f t="shared" si="41"/>
        <v>79.111588099906228</v>
      </c>
      <c r="AU141" s="1">
        <f t="shared" si="41"/>
        <v>29.999999999999996</v>
      </c>
      <c r="AV141" s="1">
        <f t="shared" si="41"/>
        <v>69.346918615650324</v>
      </c>
      <c r="AW141" s="1">
        <f t="shared" si="41"/>
        <v>59.316455696202539</v>
      </c>
      <c r="AX141" s="1">
        <f t="shared" si="42"/>
        <v>138.99042118661777</v>
      </c>
      <c r="AY141" s="1">
        <f t="shared" si="42"/>
        <v>85.2</v>
      </c>
      <c r="AZ141" s="1">
        <f t="shared" si="42"/>
        <v>81.35055886657193</v>
      </c>
      <c r="BA141" s="1">
        <f t="shared" si="42"/>
        <v>2.8823390143094363</v>
      </c>
      <c r="BB141" s="1">
        <f t="shared" si="42"/>
        <v>96.979920290897027</v>
      </c>
      <c r="BC141" s="1">
        <f t="shared" si="42"/>
        <v>12.710898142378396</v>
      </c>
    </row>
    <row r="142" spans="1:55" x14ac:dyDescent="0.25">
      <c r="A142" s="15" t="s">
        <v>51</v>
      </c>
      <c r="B142" s="16" t="s">
        <v>52</v>
      </c>
      <c r="C142" s="2"/>
      <c r="F142" s="1">
        <f t="shared" si="39"/>
        <v>0</v>
      </c>
      <c r="G142" s="1">
        <f t="shared" si="40"/>
        <v>0</v>
      </c>
      <c r="H142" s="1">
        <f t="shared" si="40"/>
        <v>0</v>
      </c>
      <c r="I142" s="1">
        <f t="shared" si="40"/>
        <v>0</v>
      </c>
      <c r="J142" s="1">
        <f t="shared" si="40"/>
        <v>0</v>
      </c>
      <c r="K142" s="1">
        <f t="shared" si="40"/>
        <v>0</v>
      </c>
      <c r="L142" s="52">
        <f t="shared" si="40"/>
        <v>0</v>
      </c>
      <c r="M142" s="1">
        <f t="shared" si="40"/>
        <v>0</v>
      </c>
      <c r="N142" s="1">
        <f t="shared" si="40"/>
        <v>0</v>
      </c>
      <c r="O142" s="1">
        <f t="shared" si="40"/>
        <v>0</v>
      </c>
      <c r="P142" s="1">
        <f t="shared" si="40"/>
        <v>0</v>
      </c>
      <c r="Q142" s="1">
        <f t="shared" si="40"/>
        <v>0</v>
      </c>
      <c r="R142" s="1">
        <f t="shared" si="40"/>
        <v>0</v>
      </c>
      <c r="S142" s="1">
        <f t="shared" si="40"/>
        <v>0</v>
      </c>
      <c r="T142" s="1">
        <f t="shared" si="40"/>
        <v>0</v>
      </c>
      <c r="U142" s="1">
        <f t="shared" si="40"/>
        <v>0</v>
      </c>
      <c r="V142" s="1">
        <f t="shared" si="40"/>
        <v>0</v>
      </c>
      <c r="W142" s="1">
        <f t="shared" si="40"/>
        <v>0</v>
      </c>
      <c r="X142" s="54">
        <f t="shared" si="40"/>
        <v>0</v>
      </c>
      <c r="Y142" s="58">
        <f t="shared" si="40"/>
        <v>0</v>
      </c>
      <c r="Z142" s="1">
        <f t="shared" si="40"/>
        <v>0</v>
      </c>
      <c r="AA142" s="1">
        <f t="shared" si="40"/>
        <v>0</v>
      </c>
      <c r="AC142" s="15" t="s">
        <v>51</v>
      </c>
      <c r="AD142" s="16" t="s">
        <v>52</v>
      </c>
      <c r="AE142" s="2"/>
      <c r="AH142" s="1" t="str">
        <f t="shared" si="41"/>
        <v/>
      </c>
      <c r="AI142" s="1" t="str">
        <f t="shared" si="41"/>
        <v/>
      </c>
      <c r="AJ142" s="1" t="str">
        <f t="shared" si="41"/>
        <v/>
      </c>
      <c r="AK142" s="1" t="str">
        <f t="shared" si="41"/>
        <v/>
      </c>
      <c r="AL142" s="1" t="str">
        <f t="shared" si="41"/>
        <v/>
      </c>
      <c r="AM142" s="1" t="str">
        <f t="shared" si="41"/>
        <v/>
      </c>
      <c r="AN142" s="52" t="str">
        <f t="shared" si="41"/>
        <v/>
      </c>
      <c r="AO142" s="1" t="str">
        <f t="shared" si="41"/>
        <v/>
      </c>
      <c r="AP142" s="1" t="str">
        <f t="shared" si="41"/>
        <v/>
      </c>
      <c r="AQ142" s="1" t="str">
        <f t="shared" si="41"/>
        <v/>
      </c>
      <c r="AR142" s="1" t="str">
        <f t="shared" si="41"/>
        <v/>
      </c>
      <c r="AS142" s="1" t="str">
        <f t="shared" si="41"/>
        <v/>
      </c>
      <c r="AT142" s="1" t="str">
        <f t="shared" si="41"/>
        <v/>
      </c>
      <c r="AU142" s="1" t="str">
        <f t="shared" si="41"/>
        <v/>
      </c>
      <c r="AV142" s="1" t="str">
        <f t="shared" si="41"/>
        <v/>
      </c>
      <c r="AW142" s="1" t="str">
        <f t="shared" si="41"/>
        <v/>
      </c>
      <c r="AX142" s="1" t="str">
        <f t="shared" si="42"/>
        <v/>
      </c>
      <c r="AY142" s="1" t="str">
        <f t="shared" si="42"/>
        <v/>
      </c>
      <c r="AZ142" s="1" t="str">
        <f t="shared" si="42"/>
        <v/>
      </c>
      <c r="BA142" s="1" t="str">
        <f t="shared" si="42"/>
        <v/>
      </c>
      <c r="BB142" s="1" t="str">
        <f t="shared" si="42"/>
        <v/>
      </c>
      <c r="BC142" s="1" t="str">
        <f t="shared" si="42"/>
        <v/>
      </c>
    </row>
    <row r="143" spans="1:55" x14ac:dyDescent="0.25">
      <c r="A143" s="15" t="s">
        <v>51</v>
      </c>
      <c r="B143" s="16" t="s">
        <v>56</v>
      </c>
      <c r="C143" s="2"/>
      <c r="F143" s="1">
        <f t="shared" si="39"/>
        <v>0</v>
      </c>
      <c r="G143" s="1">
        <f t="shared" si="40"/>
        <v>0</v>
      </c>
      <c r="H143" s="1">
        <f t="shared" si="40"/>
        <v>0</v>
      </c>
      <c r="I143" s="1">
        <f t="shared" si="40"/>
        <v>0</v>
      </c>
      <c r="J143" s="1">
        <f t="shared" si="40"/>
        <v>0</v>
      </c>
      <c r="K143" s="1">
        <f t="shared" si="40"/>
        <v>0</v>
      </c>
      <c r="L143" s="52">
        <f t="shared" si="40"/>
        <v>0</v>
      </c>
      <c r="M143" s="1">
        <f t="shared" si="40"/>
        <v>0</v>
      </c>
      <c r="N143" s="1">
        <f t="shared" si="40"/>
        <v>0</v>
      </c>
      <c r="O143" s="1">
        <f t="shared" si="40"/>
        <v>0</v>
      </c>
      <c r="P143" s="1">
        <f t="shared" si="40"/>
        <v>0</v>
      </c>
      <c r="Q143" s="1">
        <f t="shared" si="40"/>
        <v>0</v>
      </c>
      <c r="R143" s="1">
        <f t="shared" si="40"/>
        <v>0</v>
      </c>
      <c r="S143" s="1">
        <f t="shared" si="40"/>
        <v>0</v>
      </c>
      <c r="T143" s="1">
        <f t="shared" si="40"/>
        <v>0</v>
      </c>
      <c r="U143" s="1">
        <f t="shared" si="40"/>
        <v>0</v>
      </c>
      <c r="V143" s="1">
        <f t="shared" si="40"/>
        <v>0</v>
      </c>
      <c r="W143" s="1">
        <f t="shared" si="40"/>
        <v>0</v>
      </c>
      <c r="X143" s="54">
        <f t="shared" si="40"/>
        <v>0</v>
      </c>
      <c r="Y143" s="58">
        <f t="shared" si="40"/>
        <v>0</v>
      </c>
      <c r="Z143" s="1">
        <f t="shared" si="40"/>
        <v>0</v>
      </c>
      <c r="AA143" s="1">
        <f t="shared" si="40"/>
        <v>0</v>
      </c>
      <c r="AC143" s="15" t="s">
        <v>51</v>
      </c>
      <c r="AD143" s="16" t="s">
        <v>56</v>
      </c>
      <c r="AE143" s="2"/>
      <c r="AH143" s="1" t="str">
        <f t="shared" si="41"/>
        <v/>
      </c>
      <c r="AI143" s="1" t="str">
        <f t="shared" si="41"/>
        <v/>
      </c>
      <c r="AJ143" s="1" t="str">
        <f t="shared" si="41"/>
        <v/>
      </c>
      <c r="AK143" s="1" t="str">
        <f t="shared" si="41"/>
        <v/>
      </c>
      <c r="AL143" s="1" t="str">
        <f t="shared" si="41"/>
        <v/>
      </c>
      <c r="AM143" s="1" t="str">
        <f t="shared" si="41"/>
        <v/>
      </c>
      <c r="AN143" s="52" t="str">
        <f t="shared" si="41"/>
        <v/>
      </c>
      <c r="AO143" s="1" t="str">
        <f t="shared" si="41"/>
        <v/>
      </c>
      <c r="AP143" s="1" t="str">
        <f t="shared" si="41"/>
        <v/>
      </c>
      <c r="AQ143" s="1" t="str">
        <f t="shared" si="41"/>
        <v/>
      </c>
      <c r="AR143" s="1" t="str">
        <f t="shared" si="41"/>
        <v/>
      </c>
      <c r="AS143" s="1" t="str">
        <f t="shared" si="41"/>
        <v/>
      </c>
      <c r="AT143" s="1" t="str">
        <f t="shared" si="41"/>
        <v/>
      </c>
      <c r="AU143" s="1" t="str">
        <f t="shared" si="41"/>
        <v/>
      </c>
      <c r="AV143" s="1" t="str">
        <f t="shared" si="41"/>
        <v/>
      </c>
      <c r="AW143" s="1" t="str">
        <f t="shared" si="41"/>
        <v/>
      </c>
      <c r="AX143" s="1" t="str">
        <f t="shared" si="42"/>
        <v/>
      </c>
      <c r="AY143" s="1" t="str">
        <f t="shared" si="42"/>
        <v/>
      </c>
      <c r="AZ143" s="1" t="str">
        <f t="shared" si="42"/>
        <v/>
      </c>
      <c r="BA143" s="1" t="str">
        <f t="shared" si="42"/>
        <v/>
      </c>
      <c r="BB143" s="1" t="str">
        <f t="shared" si="42"/>
        <v/>
      </c>
      <c r="BC143" s="1" t="str">
        <f t="shared" si="42"/>
        <v/>
      </c>
    </row>
    <row r="144" spans="1:55" x14ac:dyDescent="0.25">
      <c r="A144" s="15" t="s">
        <v>51</v>
      </c>
      <c r="B144" s="16" t="s">
        <v>9</v>
      </c>
      <c r="C144" s="2"/>
      <c r="F144" s="1">
        <f t="shared" si="39"/>
        <v>0</v>
      </c>
      <c r="G144" s="1">
        <f t="shared" si="40"/>
        <v>0</v>
      </c>
      <c r="H144" s="1">
        <f t="shared" si="40"/>
        <v>0</v>
      </c>
      <c r="I144" s="1">
        <f t="shared" si="40"/>
        <v>0</v>
      </c>
      <c r="J144" s="1">
        <f t="shared" si="40"/>
        <v>0</v>
      </c>
      <c r="K144" s="1">
        <f t="shared" si="40"/>
        <v>0</v>
      </c>
      <c r="L144" s="52">
        <f t="shared" si="40"/>
        <v>0</v>
      </c>
      <c r="M144" s="1">
        <f t="shared" si="40"/>
        <v>0</v>
      </c>
      <c r="N144" s="1">
        <f t="shared" si="40"/>
        <v>0</v>
      </c>
      <c r="O144" s="1">
        <f t="shared" si="40"/>
        <v>0</v>
      </c>
      <c r="P144" s="1">
        <f t="shared" si="40"/>
        <v>0</v>
      </c>
      <c r="Q144" s="1">
        <f t="shared" si="40"/>
        <v>0</v>
      </c>
      <c r="R144" s="1">
        <f t="shared" si="40"/>
        <v>0</v>
      </c>
      <c r="S144" s="1">
        <f t="shared" si="40"/>
        <v>0</v>
      </c>
      <c r="T144" s="1">
        <f t="shared" si="40"/>
        <v>0</v>
      </c>
      <c r="U144" s="1">
        <f t="shared" si="40"/>
        <v>0</v>
      </c>
      <c r="V144" s="1">
        <f t="shared" si="40"/>
        <v>0</v>
      </c>
      <c r="W144" s="1">
        <f t="shared" si="40"/>
        <v>0</v>
      </c>
      <c r="X144" s="54">
        <f t="shared" si="40"/>
        <v>0</v>
      </c>
      <c r="Y144" s="58">
        <f t="shared" si="40"/>
        <v>0</v>
      </c>
      <c r="Z144" s="1">
        <f t="shared" si="40"/>
        <v>0</v>
      </c>
      <c r="AA144" s="1">
        <f t="shared" si="40"/>
        <v>0</v>
      </c>
      <c r="AC144" s="15" t="s">
        <v>51</v>
      </c>
      <c r="AD144" s="16" t="s">
        <v>9</v>
      </c>
      <c r="AE144" s="2"/>
      <c r="AH144" s="1" t="str">
        <f t="shared" si="41"/>
        <v/>
      </c>
      <c r="AI144" s="1" t="str">
        <f t="shared" si="41"/>
        <v/>
      </c>
      <c r="AJ144" s="1" t="str">
        <f t="shared" si="41"/>
        <v/>
      </c>
      <c r="AK144" s="1" t="str">
        <f t="shared" si="41"/>
        <v/>
      </c>
      <c r="AL144" s="1" t="str">
        <f t="shared" si="41"/>
        <v/>
      </c>
      <c r="AM144" s="1" t="str">
        <f t="shared" si="41"/>
        <v/>
      </c>
      <c r="AN144" s="52" t="str">
        <f t="shared" si="41"/>
        <v/>
      </c>
      <c r="AO144" s="1" t="str">
        <f t="shared" si="41"/>
        <v/>
      </c>
      <c r="AP144" s="1" t="str">
        <f t="shared" si="41"/>
        <v/>
      </c>
      <c r="AQ144" s="1" t="str">
        <f t="shared" si="41"/>
        <v/>
      </c>
      <c r="AR144" s="1" t="str">
        <f t="shared" si="41"/>
        <v/>
      </c>
      <c r="AS144" s="1" t="str">
        <f t="shared" si="41"/>
        <v/>
      </c>
      <c r="AT144" s="1" t="str">
        <f t="shared" si="41"/>
        <v/>
      </c>
      <c r="AU144" s="1" t="str">
        <f t="shared" si="41"/>
        <v/>
      </c>
      <c r="AV144" s="1" t="str">
        <f t="shared" si="41"/>
        <v/>
      </c>
      <c r="AW144" s="1" t="str">
        <f t="shared" si="41"/>
        <v/>
      </c>
      <c r="AX144" s="1" t="str">
        <f t="shared" si="42"/>
        <v/>
      </c>
      <c r="AY144" s="1" t="str">
        <f t="shared" si="42"/>
        <v/>
      </c>
      <c r="AZ144" s="1" t="str">
        <f t="shared" si="42"/>
        <v/>
      </c>
      <c r="BA144" s="1" t="str">
        <f t="shared" si="42"/>
        <v/>
      </c>
      <c r="BB144" s="1" t="str">
        <f t="shared" si="42"/>
        <v/>
      </c>
      <c r="BC144" s="1" t="str">
        <f t="shared" si="42"/>
        <v/>
      </c>
    </row>
    <row r="145" spans="1:55" x14ac:dyDescent="0.25">
      <c r="A145" s="30" t="s">
        <v>60</v>
      </c>
      <c r="B145" s="32" t="s">
        <v>13</v>
      </c>
      <c r="C145" s="2"/>
      <c r="F145" s="51">
        <f t="shared" si="39"/>
        <v>59.455091202955437</v>
      </c>
      <c r="G145" s="51">
        <f t="shared" si="40"/>
        <v>21.714285714285715</v>
      </c>
      <c r="H145" s="51">
        <f t="shared" si="40"/>
        <v>4.7</v>
      </c>
      <c r="I145" s="51">
        <f t="shared" si="40"/>
        <v>29</v>
      </c>
      <c r="J145" s="51">
        <f t="shared" si="40"/>
        <v>61.111111111111107</v>
      </c>
      <c r="K145" s="51">
        <f t="shared" si="40"/>
        <v>29</v>
      </c>
      <c r="L145" s="52">
        <f t="shared" si="40"/>
        <v>0</v>
      </c>
      <c r="M145" s="51">
        <f t="shared" si="40"/>
        <v>400</v>
      </c>
      <c r="N145" s="51">
        <f t="shared" si="40"/>
        <v>869.99999999999989</v>
      </c>
      <c r="O145" s="51">
        <f t="shared" si="40"/>
        <v>10000</v>
      </c>
      <c r="P145" s="51">
        <f t="shared" si="40"/>
        <v>27999.999999999996</v>
      </c>
      <c r="Q145" s="51">
        <f t="shared" si="40"/>
        <v>940</v>
      </c>
      <c r="R145" s="51">
        <f t="shared" si="40"/>
        <v>426</v>
      </c>
      <c r="S145" s="51">
        <f t="shared" si="40"/>
        <v>0</v>
      </c>
      <c r="T145" s="51">
        <f t="shared" si="40"/>
        <v>426</v>
      </c>
      <c r="U145" s="51">
        <f t="shared" si="40"/>
        <v>426</v>
      </c>
      <c r="V145" s="51">
        <f t="shared" si="40"/>
        <v>426</v>
      </c>
      <c r="W145" s="51">
        <f t="shared" si="40"/>
        <v>426</v>
      </c>
      <c r="X145" s="55">
        <f t="shared" si="40"/>
        <v>426</v>
      </c>
      <c r="Y145" s="59">
        <f t="shared" si="40"/>
        <v>12.286330144819615</v>
      </c>
      <c r="Z145" s="51">
        <f t="shared" si="40"/>
        <v>885.22204547092076</v>
      </c>
      <c r="AA145" s="51">
        <f t="shared" si="40"/>
        <v>16.522021433241825</v>
      </c>
      <c r="AC145" s="30" t="s">
        <v>60</v>
      </c>
      <c r="AD145" s="32" t="s">
        <v>13</v>
      </c>
      <c r="AE145" s="2"/>
      <c r="AH145" s="1">
        <f t="shared" si="41"/>
        <v>12.491341491572385</v>
      </c>
      <c r="AI145" s="1">
        <f t="shared" si="41"/>
        <v>6.0952380952380949</v>
      </c>
      <c r="AJ145" s="1">
        <f t="shared" si="41"/>
        <v>1.7777777777777777</v>
      </c>
      <c r="AK145" s="1">
        <f t="shared" si="41"/>
        <v>7.8911564625850339</v>
      </c>
      <c r="AL145" s="1">
        <f t="shared" si="41"/>
        <v>26.041666666666664</v>
      </c>
      <c r="AM145" s="1">
        <f t="shared" si="41"/>
        <v>8.2857142857142865</v>
      </c>
      <c r="AN145" s="52" t="str">
        <f t="shared" si="41"/>
        <v/>
      </c>
      <c r="AO145" s="1">
        <f t="shared" si="41"/>
        <v>180</v>
      </c>
      <c r="AP145" s="1">
        <f t="shared" si="41"/>
        <v>514.09090909090901</v>
      </c>
      <c r="AQ145" s="1">
        <f t="shared" si="41"/>
        <v>4357.4297188755017</v>
      </c>
      <c r="AR145" s="1">
        <f t="shared" si="41"/>
        <v>11483.108906213087</v>
      </c>
      <c r="AS145" s="1">
        <f t="shared" si="41"/>
        <v>470</v>
      </c>
      <c r="AT145" s="1">
        <f t="shared" si="41"/>
        <v>208.74</v>
      </c>
      <c r="AU145" s="1" t="str">
        <f t="shared" si="41"/>
        <v/>
      </c>
      <c r="AV145" s="1">
        <f t="shared" si="41"/>
        <v>213</v>
      </c>
      <c r="AW145" s="1">
        <f t="shared" si="41"/>
        <v>213</v>
      </c>
      <c r="AX145" s="1">
        <f t="shared" si="42"/>
        <v>511.2</v>
      </c>
      <c r="AY145" s="1">
        <f t="shared" si="42"/>
        <v>255.59999999999997</v>
      </c>
      <c r="AZ145" s="1">
        <f t="shared" si="42"/>
        <v>213</v>
      </c>
      <c r="BA145" s="1">
        <f t="shared" si="42"/>
        <v>3.5909281070896881</v>
      </c>
      <c r="BB145" s="1">
        <f t="shared" si="42"/>
        <v>409.58324051188072</v>
      </c>
      <c r="BC145" s="1">
        <f t="shared" si="42"/>
        <v>5.4621462198061748</v>
      </c>
    </row>
    <row r="146" spans="1:55" x14ac:dyDescent="0.25">
      <c r="A146" s="30" t="s">
        <v>60</v>
      </c>
      <c r="B146" s="31" t="s">
        <v>23</v>
      </c>
      <c r="C146" s="2"/>
      <c r="F146" s="51">
        <f t="shared" si="39"/>
        <v>40</v>
      </c>
      <c r="G146" s="51">
        <f t="shared" si="40"/>
        <v>0</v>
      </c>
      <c r="H146" s="51">
        <f t="shared" si="40"/>
        <v>0</v>
      </c>
      <c r="I146" s="51">
        <f t="shared" si="40"/>
        <v>0</v>
      </c>
      <c r="J146" s="51">
        <f t="shared" si="40"/>
        <v>40.047264505131473</v>
      </c>
      <c r="K146" s="51">
        <f t="shared" si="40"/>
        <v>2.4637681159420288</v>
      </c>
      <c r="L146" s="52">
        <f t="shared" si="40"/>
        <v>0</v>
      </c>
      <c r="M146" s="51">
        <f t="shared" si="40"/>
        <v>0</v>
      </c>
      <c r="N146" s="51">
        <f t="shared" si="40"/>
        <v>1100</v>
      </c>
      <c r="O146" s="51">
        <f t="shared" si="40"/>
        <v>0</v>
      </c>
      <c r="P146" s="51">
        <f t="shared" si="40"/>
        <v>0</v>
      </c>
      <c r="Q146" s="51">
        <f t="shared" si="40"/>
        <v>0</v>
      </c>
      <c r="R146" s="51">
        <f t="shared" si="40"/>
        <v>0</v>
      </c>
      <c r="S146" s="51">
        <f t="shared" si="40"/>
        <v>99.999999999999986</v>
      </c>
      <c r="T146" s="51">
        <f t="shared" si="40"/>
        <v>406</v>
      </c>
      <c r="U146" s="51">
        <f t="shared" si="40"/>
        <v>0</v>
      </c>
      <c r="V146" s="51">
        <f t="shared" si="40"/>
        <v>406</v>
      </c>
      <c r="W146" s="51">
        <f t="shared" si="40"/>
        <v>0</v>
      </c>
      <c r="X146" s="55">
        <f t="shared" si="40"/>
        <v>100</v>
      </c>
      <c r="Y146" s="59">
        <f t="shared" si="40"/>
        <v>3.9503030994920576</v>
      </c>
      <c r="Z146" s="51">
        <f t="shared" si="40"/>
        <v>399.07489681025493</v>
      </c>
      <c r="AA146" s="51">
        <f t="shared" si="40"/>
        <v>6.3837750325612701</v>
      </c>
      <c r="AC146" s="30" t="s">
        <v>60</v>
      </c>
      <c r="AD146" s="31" t="s">
        <v>23</v>
      </c>
      <c r="AE146" s="2"/>
      <c r="AH146" s="1">
        <f t="shared" si="41"/>
        <v>12.8</v>
      </c>
      <c r="AI146" s="1" t="str">
        <f t="shared" si="41"/>
        <v/>
      </c>
      <c r="AJ146" s="1" t="str">
        <f t="shared" si="41"/>
        <v/>
      </c>
      <c r="AK146" s="1" t="str">
        <f t="shared" si="41"/>
        <v/>
      </c>
      <c r="AL146" s="1">
        <f t="shared" si="41"/>
        <v>12.212288771334183</v>
      </c>
      <c r="AM146" s="1">
        <f t="shared" si="41"/>
        <v>0.67632850241545894</v>
      </c>
      <c r="AN146" s="52" t="str">
        <f t="shared" si="41"/>
        <v/>
      </c>
      <c r="AO146" s="1" t="str">
        <f t="shared" si="41"/>
        <v/>
      </c>
      <c r="AP146" s="1">
        <f t="shared" si="41"/>
        <v>859.375</v>
      </c>
      <c r="AQ146" s="1" t="str">
        <f t="shared" si="41"/>
        <v/>
      </c>
      <c r="AR146" s="1" t="str">
        <f t="shared" si="41"/>
        <v/>
      </c>
      <c r="AS146" s="1" t="str">
        <f t="shared" si="41"/>
        <v/>
      </c>
      <c r="AT146" s="1" t="str">
        <f t="shared" si="41"/>
        <v/>
      </c>
      <c r="AU146" s="1">
        <f t="shared" si="41"/>
        <v>29.999999999999996</v>
      </c>
      <c r="AV146" s="1">
        <f t="shared" si="41"/>
        <v>162.4</v>
      </c>
      <c r="AW146" s="1" t="str">
        <f t="shared" si="41"/>
        <v/>
      </c>
      <c r="AX146" s="1">
        <f t="shared" si="42"/>
        <v>365.4</v>
      </c>
      <c r="AY146" s="1" t="str">
        <f t="shared" si="42"/>
        <v/>
      </c>
      <c r="AZ146" s="1">
        <f t="shared" si="42"/>
        <v>90</v>
      </c>
      <c r="BA146" s="1">
        <f t="shared" si="42"/>
        <v>1.133307337866488</v>
      </c>
      <c r="BB146" s="1">
        <f t="shared" si="42"/>
        <v>262.28130647773412</v>
      </c>
      <c r="BC146" s="1">
        <f t="shared" si="42"/>
        <v>2.7416514814589354</v>
      </c>
    </row>
    <row r="147" spans="1:55" x14ac:dyDescent="0.25">
      <c r="A147" s="30" t="s">
        <v>60</v>
      </c>
      <c r="B147" s="31" t="s">
        <v>65</v>
      </c>
      <c r="C147" s="46"/>
      <c r="F147" s="51">
        <f t="shared" si="39"/>
        <v>0</v>
      </c>
      <c r="G147" s="51">
        <f t="shared" si="40"/>
        <v>0</v>
      </c>
      <c r="H147" s="51">
        <f t="shared" si="40"/>
        <v>0</v>
      </c>
      <c r="I147" s="51">
        <f t="shared" si="40"/>
        <v>0</v>
      </c>
      <c r="J147" s="51">
        <f t="shared" si="40"/>
        <v>56</v>
      </c>
      <c r="K147" s="51">
        <f t="shared" si="40"/>
        <v>0</v>
      </c>
      <c r="L147" s="52">
        <f t="shared" si="40"/>
        <v>750</v>
      </c>
      <c r="M147" s="51">
        <f t="shared" si="40"/>
        <v>300</v>
      </c>
      <c r="N147" s="51">
        <f t="shared" si="40"/>
        <v>0</v>
      </c>
      <c r="O147" s="51">
        <f t="shared" si="40"/>
        <v>0</v>
      </c>
      <c r="P147" s="51">
        <f t="shared" si="40"/>
        <v>0</v>
      </c>
      <c r="Q147" s="51">
        <f t="shared" si="40"/>
        <v>940</v>
      </c>
      <c r="R147" s="51">
        <f t="shared" si="40"/>
        <v>426</v>
      </c>
      <c r="S147" s="51">
        <f t="shared" si="40"/>
        <v>0</v>
      </c>
      <c r="T147" s="51">
        <f t="shared" si="40"/>
        <v>426</v>
      </c>
      <c r="U147" s="51">
        <f t="shared" si="40"/>
        <v>426.00000000000006</v>
      </c>
      <c r="V147" s="51">
        <f t="shared" si="40"/>
        <v>426</v>
      </c>
      <c r="W147" s="51">
        <f t="shared" si="40"/>
        <v>426</v>
      </c>
      <c r="X147" s="55">
        <f t="shared" si="40"/>
        <v>426</v>
      </c>
      <c r="Y147" s="59">
        <f t="shared" si="40"/>
        <v>56</v>
      </c>
      <c r="Z147" s="51">
        <f t="shared" si="40"/>
        <v>471.11115755999066</v>
      </c>
      <c r="AA147" s="51">
        <f>IF(AA192&gt;0,AB12/AA192,0)</f>
        <v>599.39185376762646</v>
      </c>
      <c r="AC147" s="30" t="s">
        <v>60</v>
      </c>
      <c r="AD147" s="31" t="s">
        <v>65</v>
      </c>
      <c r="AE147" s="46"/>
      <c r="AH147" s="1" t="str">
        <f t="shared" si="41"/>
        <v/>
      </c>
      <c r="AI147" s="1" t="str">
        <f t="shared" si="41"/>
        <v/>
      </c>
      <c r="AJ147" s="1" t="str">
        <f t="shared" si="41"/>
        <v/>
      </c>
      <c r="AK147" s="1" t="str">
        <f t="shared" si="41"/>
        <v/>
      </c>
      <c r="AL147" s="1">
        <f t="shared" si="41"/>
        <v>6.72</v>
      </c>
      <c r="AM147" s="1" t="str">
        <f t="shared" si="41"/>
        <v/>
      </c>
      <c r="AN147" s="52">
        <f t="shared" si="41"/>
        <v>67.499999999999986</v>
      </c>
      <c r="AO147" s="1">
        <f t="shared" si="41"/>
        <v>35.999999999999993</v>
      </c>
      <c r="AP147" s="1" t="str">
        <f t="shared" si="41"/>
        <v/>
      </c>
      <c r="AQ147" s="1" t="str">
        <f t="shared" si="41"/>
        <v/>
      </c>
      <c r="AR147" s="1" t="str">
        <f t="shared" si="41"/>
        <v/>
      </c>
      <c r="AS147" s="1">
        <f t="shared" si="41"/>
        <v>140.99999999999997</v>
      </c>
      <c r="AT147" s="1">
        <f t="shared" si="41"/>
        <v>76.679999999999993</v>
      </c>
      <c r="AU147" s="1" t="str">
        <f t="shared" si="41"/>
        <v/>
      </c>
      <c r="AV147" s="1">
        <f t="shared" si="41"/>
        <v>63.9</v>
      </c>
      <c r="AW147" s="1">
        <f t="shared" si="41"/>
        <v>51.120000000000005</v>
      </c>
      <c r="AX147" s="1">
        <f t="shared" si="42"/>
        <v>51.11999999999999</v>
      </c>
      <c r="AY147" s="1">
        <f t="shared" si="42"/>
        <v>51.12</v>
      </c>
      <c r="AZ147" s="1">
        <f t="shared" si="42"/>
        <v>51.12</v>
      </c>
      <c r="BA147" s="1">
        <f t="shared" si="42"/>
        <v>6.72</v>
      </c>
      <c r="BB147" s="1">
        <f t="shared" si="42"/>
        <v>66.9898543205545</v>
      </c>
      <c r="BC147" s="1">
        <f t="shared" si="42"/>
        <v>57.850395583330013</v>
      </c>
    </row>
    <row r="148" spans="1:55" ht="15.75" thickBot="1" x14ac:dyDescent="0.3">
      <c r="A148" s="48" t="s">
        <v>60</v>
      </c>
      <c r="B148" s="49" t="s">
        <v>9</v>
      </c>
      <c r="C148" s="50"/>
      <c r="D148" s="50"/>
      <c r="E148" s="50"/>
      <c r="F148" s="53">
        <f t="shared" si="39"/>
        <v>0</v>
      </c>
      <c r="G148" s="53">
        <f t="shared" si="40"/>
        <v>0</v>
      </c>
      <c r="H148" s="53">
        <f t="shared" si="40"/>
        <v>0</v>
      </c>
      <c r="I148" s="53">
        <f t="shared" si="40"/>
        <v>0</v>
      </c>
      <c r="J148" s="53">
        <f t="shared" si="40"/>
        <v>0</v>
      </c>
      <c r="K148" s="53">
        <f t="shared" si="40"/>
        <v>0</v>
      </c>
      <c r="L148" s="62">
        <f t="shared" si="40"/>
        <v>0</v>
      </c>
      <c r="M148" s="53">
        <f t="shared" si="40"/>
        <v>0</v>
      </c>
      <c r="N148" s="53">
        <f t="shared" si="40"/>
        <v>0</v>
      </c>
      <c r="O148" s="53">
        <f t="shared" si="40"/>
        <v>0</v>
      </c>
      <c r="P148" s="53">
        <f t="shared" si="40"/>
        <v>0</v>
      </c>
      <c r="Q148" s="53">
        <f t="shared" si="40"/>
        <v>0</v>
      </c>
      <c r="R148" s="53">
        <f t="shared" si="40"/>
        <v>0</v>
      </c>
      <c r="S148" s="53">
        <f t="shared" si="40"/>
        <v>0</v>
      </c>
      <c r="T148" s="53">
        <f t="shared" si="40"/>
        <v>0</v>
      </c>
      <c r="U148" s="53">
        <f t="shared" si="40"/>
        <v>0</v>
      </c>
      <c r="V148" s="53">
        <f t="shared" si="40"/>
        <v>0</v>
      </c>
      <c r="W148" s="53">
        <f t="shared" si="40"/>
        <v>0</v>
      </c>
      <c r="X148" s="56">
        <f t="shared" si="40"/>
        <v>426</v>
      </c>
      <c r="Y148" s="60">
        <f t="shared" si="40"/>
        <v>0</v>
      </c>
      <c r="Z148" s="53">
        <f t="shared" si="40"/>
        <v>643.56672000000003</v>
      </c>
      <c r="AA148" s="53">
        <f t="shared" si="40"/>
        <v>429.40800000000002</v>
      </c>
      <c r="AC148" s="48" t="s">
        <v>60</v>
      </c>
      <c r="AD148" s="49" t="s">
        <v>9</v>
      </c>
      <c r="AE148" s="50"/>
      <c r="AF148" s="50"/>
      <c r="AG148" s="50"/>
      <c r="AH148" s="1" t="str">
        <f t="shared" si="41"/>
        <v/>
      </c>
      <c r="AI148" s="1" t="str">
        <f t="shared" si="41"/>
        <v/>
      </c>
      <c r="AJ148" s="1" t="str">
        <f t="shared" si="41"/>
        <v/>
      </c>
      <c r="AK148" s="1" t="str">
        <f t="shared" si="41"/>
        <v/>
      </c>
      <c r="AL148" s="1" t="str">
        <f t="shared" si="41"/>
        <v/>
      </c>
      <c r="AM148" s="1" t="str">
        <f t="shared" si="41"/>
        <v/>
      </c>
      <c r="AN148" s="52" t="str">
        <f t="shared" si="41"/>
        <v/>
      </c>
      <c r="AO148" s="1" t="str">
        <f t="shared" si="41"/>
        <v/>
      </c>
      <c r="AP148" s="1" t="str">
        <f t="shared" si="41"/>
        <v/>
      </c>
      <c r="AQ148" s="1" t="str">
        <f t="shared" si="41"/>
        <v/>
      </c>
      <c r="AR148" s="1" t="str">
        <f t="shared" si="41"/>
        <v/>
      </c>
      <c r="AS148" s="1" t="str">
        <f t="shared" si="41"/>
        <v/>
      </c>
      <c r="AT148" s="1" t="str">
        <f t="shared" si="41"/>
        <v/>
      </c>
      <c r="AU148" s="1" t="str">
        <f t="shared" si="41"/>
        <v/>
      </c>
      <c r="AV148" s="1" t="str">
        <f t="shared" si="41"/>
        <v/>
      </c>
      <c r="AW148" s="1" t="str">
        <f t="shared" si="41"/>
        <v/>
      </c>
      <c r="AX148" s="1" t="str">
        <f t="shared" si="42"/>
        <v/>
      </c>
      <c r="AY148" s="1" t="str">
        <f t="shared" si="42"/>
        <v/>
      </c>
      <c r="AZ148" s="1">
        <f t="shared" si="42"/>
        <v>178.92000000000002</v>
      </c>
      <c r="BA148" s="1" t="str">
        <f t="shared" si="42"/>
        <v/>
      </c>
      <c r="BB148" s="1">
        <f t="shared" si="42"/>
        <v>396.48671999999999</v>
      </c>
      <c r="BC148" s="1">
        <f t="shared" si="42"/>
        <v>257.64480000000003</v>
      </c>
    </row>
    <row r="149" spans="1:55" ht="15.75" thickTop="1" x14ac:dyDescent="0.25">
      <c r="A149" s="15" t="s">
        <v>51</v>
      </c>
      <c r="B149" s="16" t="s">
        <v>52</v>
      </c>
      <c r="C149" s="16" t="s">
        <v>53</v>
      </c>
      <c r="D149" s="2"/>
      <c r="E149" s="2"/>
      <c r="F149" s="47">
        <f t="shared" si="39"/>
        <v>0</v>
      </c>
      <c r="G149" s="47">
        <f t="shared" si="40"/>
        <v>0</v>
      </c>
      <c r="H149" s="47">
        <f t="shared" si="40"/>
        <v>0</v>
      </c>
      <c r="I149" s="47">
        <f t="shared" si="40"/>
        <v>0</v>
      </c>
      <c r="J149" s="47">
        <f t="shared" si="40"/>
        <v>0</v>
      </c>
      <c r="K149" s="47">
        <f t="shared" si="40"/>
        <v>0</v>
      </c>
      <c r="L149" s="63">
        <f t="shared" si="40"/>
        <v>0</v>
      </c>
      <c r="M149" s="47">
        <f t="shared" si="40"/>
        <v>0</v>
      </c>
      <c r="N149" s="47">
        <f t="shared" si="40"/>
        <v>0</v>
      </c>
      <c r="O149" s="47">
        <f t="shared" si="40"/>
        <v>0</v>
      </c>
      <c r="P149" s="47">
        <f t="shared" si="40"/>
        <v>0</v>
      </c>
      <c r="Q149" s="47">
        <f t="shared" si="40"/>
        <v>0</v>
      </c>
      <c r="R149" s="47">
        <f t="shared" si="40"/>
        <v>0</v>
      </c>
      <c r="S149" s="47">
        <f t="shared" si="40"/>
        <v>0</v>
      </c>
      <c r="T149" s="47">
        <f t="shared" si="40"/>
        <v>0</v>
      </c>
      <c r="U149" s="47">
        <f t="shared" si="40"/>
        <v>0</v>
      </c>
      <c r="V149" s="47">
        <f t="shared" si="40"/>
        <v>0</v>
      </c>
      <c r="W149" s="47">
        <f t="shared" si="40"/>
        <v>0</v>
      </c>
      <c r="X149" s="57">
        <f t="shared" si="40"/>
        <v>0</v>
      </c>
      <c r="Y149" s="61">
        <f t="shared" si="40"/>
        <v>0</v>
      </c>
      <c r="Z149" s="47">
        <f t="shared" si="40"/>
        <v>0</v>
      </c>
      <c r="AA149" s="47">
        <f t="shared" si="40"/>
        <v>0</v>
      </c>
      <c r="AC149" s="15" t="s">
        <v>51</v>
      </c>
      <c r="AD149" s="16" t="s">
        <v>52</v>
      </c>
      <c r="AE149" s="16" t="s">
        <v>53</v>
      </c>
      <c r="AF149" s="2"/>
      <c r="AG149" s="2"/>
      <c r="AH149" s="90" t="str">
        <f t="shared" si="41"/>
        <v/>
      </c>
      <c r="AI149" s="90" t="str">
        <f t="shared" si="41"/>
        <v/>
      </c>
      <c r="AJ149" s="90" t="str">
        <f t="shared" si="41"/>
        <v/>
      </c>
      <c r="AK149" s="90" t="str">
        <f t="shared" si="41"/>
        <v/>
      </c>
      <c r="AL149" s="90" t="str">
        <f t="shared" si="41"/>
        <v/>
      </c>
      <c r="AM149" s="90" t="str">
        <f t="shared" si="41"/>
        <v/>
      </c>
      <c r="AN149" s="90" t="str">
        <f t="shared" si="41"/>
        <v/>
      </c>
      <c r="AO149" s="90" t="str">
        <f t="shared" si="41"/>
        <v/>
      </c>
      <c r="AP149" s="90" t="str">
        <f t="shared" si="41"/>
        <v/>
      </c>
      <c r="AQ149" s="90" t="str">
        <f t="shared" si="41"/>
        <v/>
      </c>
      <c r="AR149" s="90" t="str">
        <f t="shared" si="41"/>
        <v/>
      </c>
      <c r="AS149" s="90" t="str">
        <f t="shared" si="41"/>
        <v/>
      </c>
      <c r="AT149" s="90" t="str">
        <f t="shared" si="41"/>
        <v/>
      </c>
      <c r="AU149" s="90" t="str">
        <f t="shared" si="41"/>
        <v/>
      </c>
      <c r="AV149" s="90" t="str">
        <f t="shared" si="41"/>
        <v/>
      </c>
      <c r="AW149" s="90" t="str">
        <f t="shared" si="41"/>
        <v/>
      </c>
      <c r="AX149" s="90" t="str">
        <f t="shared" si="42"/>
        <v/>
      </c>
      <c r="AY149" s="90" t="str">
        <f t="shared" si="42"/>
        <v/>
      </c>
      <c r="AZ149" s="90" t="str">
        <f t="shared" si="42"/>
        <v/>
      </c>
      <c r="BA149" s="90" t="str">
        <f t="shared" si="42"/>
        <v/>
      </c>
      <c r="BB149" s="90" t="str">
        <f t="shared" si="42"/>
        <v/>
      </c>
      <c r="BC149" s="90" t="str">
        <f t="shared" si="42"/>
        <v/>
      </c>
    </row>
    <row r="150" spans="1:55" x14ac:dyDescent="0.25">
      <c r="A150" s="15" t="s">
        <v>51</v>
      </c>
      <c r="B150" s="16" t="s">
        <v>52</v>
      </c>
      <c r="C150" s="16" t="s">
        <v>54</v>
      </c>
      <c r="D150" s="2"/>
      <c r="E150" s="2"/>
      <c r="F150" s="1">
        <f t="shared" si="39"/>
        <v>0</v>
      </c>
      <c r="G150" s="1">
        <f t="shared" si="40"/>
        <v>0</v>
      </c>
      <c r="H150" s="1">
        <f t="shared" si="40"/>
        <v>0</v>
      </c>
      <c r="I150" s="1">
        <f t="shared" si="40"/>
        <v>0</v>
      </c>
      <c r="J150" s="1">
        <f t="shared" si="40"/>
        <v>0</v>
      </c>
      <c r="K150" s="1">
        <f t="shared" si="40"/>
        <v>0</v>
      </c>
      <c r="L150" s="52">
        <f t="shared" si="40"/>
        <v>0</v>
      </c>
      <c r="M150" s="1">
        <f t="shared" si="40"/>
        <v>0</v>
      </c>
      <c r="N150" s="1">
        <f t="shared" si="40"/>
        <v>0</v>
      </c>
      <c r="O150" s="1">
        <f t="shared" si="40"/>
        <v>0</v>
      </c>
      <c r="P150" s="1">
        <f t="shared" si="40"/>
        <v>0</v>
      </c>
      <c r="Q150" s="1">
        <f t="shared" si="40"/>
        <v>0</v>
      </c>
      <c r="R150" s="1">
        <f t="shared" si="40"/>
        <v>0</v>
      </c>
      <c r="S150" s="1">
        <f t="shared" si="40"/>
        <v>0</v>
      </c>
      <c r="T150" s="1">
        <f t="shared" si="40"/>
        <v>0</v>
      </c>
      <c r="U150" s="1">
        <f t="shared" si="40"/>
        <v>0</v>
      </c>
      <c r="V150" s="1">
        <f t="shared" si="40"/>
        <v>0</v>
      </c>
      <c r="W150" s="1">
        <f t="shared" si="40"/>
        <v>0</v>
      </c>
      <c r="X150" s="54">
        <f t="shared" si="40"/>
        <v>0</v>
      </c>
      <c r="Y150" s="58">
        <f t="shared" si="40"/>
        <v>0</v>
      </c>
      <c r="Z150" s="1">
        <f t="shared" si="40"/>
        <v>0</v>
      </c>
      <c r="AA150" s="1">
        <f t="shared" si="40"/>
        <v>0</v>
      </c>
      <c r="AC150" s="15" t="s">
        <v>51</v>
      </c>
      <c r="AD150" s="16" t="s">
        <v>52</v>
      </c>
      <c r="AE150" s="16" t="s">
        <v>54</v>
      </c>
      <c r="AF150" s="2"/>
      <c r="AG150" s="2"/>
      <c r="AH150" s="90" t="str">
        <f t="shared" si="41"/>
        <v/>
      </c>
      <c r="AI150" s="90" t="str">
        <f t="shared" si="41"/>
        <v/>
      </c>
      <c r="AJ150" s="90" t="str">
        <f t="shared" si="41"/>
        <v/>
      </c>
      <c r="AK150" s="90" t="str">
        <f t="shared" si="41"/>
        <v/>
      </c>
      <c r="AL150" s="90" t="str">
        <f t="shared" si="41"/>
        <v/>
      </c>
      <c r="AM150" s="90" t="str">
        <f t="shared" si="41"/>
        <v/>
      </c>
      <c r="AN150" s="90" t="str">
        <f t="shared" si="41"/>
        <v/>
      </c>
      <c r="AO150" s="90" t="str">
        <f t="shared" si="41"/>
        <v/>
      </c>
      <c r="AP150" s="90" t="str">
        <f t="shared" si="41"/>
        <v/>
      </c>
      <c r="AQ150" s="90" t="str">
        <f t="shared" si="41"/>
        <v/>
      </c>
      <c r="AR150" s="90" t="str">
        <f t="shared" si="41"/>
        <v/>
      </c>
      <c r="AS150" s="90" t="str">
        <f t="shared" si="41"/>
        <v/>
      </c>
      <c r="AT150" s="90" t="str">
        <f t="shared" si="41"/>
        <v/>
      </c>
      <c r="AU150" s="90" t="str">
        <f t="shared" si="41"/>
        <v/>
      </c>
      <c r="AV150" s="90" t="str">
        <f t="shared" si="41"/>
        <v/>
      </c>
      <c r="AW150" s="90" t="str">
        <f t="shared" si="41"/>
        <v/>
      </c>
      <c r="AX150" s="90" t="str">
        <f t="shared" si="42"/>
        <v/>
      </c>
      <c r="AY150" s="90" t="str">
        <f t="shared" si="42"/>
        <v/>
      </c>
      <c r="AZ150" s="90" t="str">
        <f t="shared" si="42"/>
        <v/>
      </c>
      <c r="BA150" s="90" t="str">
        <f t="shared" si="42"/>
        <v/>
      </c>
      <c r="BB150" s="90" t="str">
        <f t="shared" si="42"/>
        <v/>
      </c>
      <c r="BC150" s="90" t="str">
        <f t="shared" si="42"/>
        <v/>
      </c>
    </row>
    <row r="151" spans="1:55" x14ac:dyDescent="0.25">
      <c r="A151" s="15" t="s">
        <v>51</v>
      </c>
      <c r="B151" s="16" t="s">
        <v>52</v>
      </c>
      <c r="C151" s="16" t="s">
        <v>55</v>
      </c>
      <c r="D151" s="2"/>
      <c r="E151" s="2"/>
      <c r="F151" s="1">
        <f t="shared" si="39"/>
        <v>0</v>
      </c>
      <c r="G151" s="1">
        <f t="shared" si="40"/>
        <v>0</v>
      </c>
      <c r="H151" s="1">
        <f t="shared" si="40"/>
        <v>0</v>
      </c>
      <c r="I151" s="1">
        <f t="shared" si="40"/>
        <v>0</v>
      </c>
      <c r="J151" s="1">
        <f t="shared" si="40"/>
        <v>0</v>
      </c>
      <c r="K151" s="1">
        <f t="shared" si="40"/>
        <v>0</v>
      </c>
      <c r="L151" s="52">
        <f t="shared" si="40"/>
        <v>0</v>
      </c>
      <c r="M151" s="1">
        <f t="shared" si="40"/>
        <v>0</v>
      </c>
      <c r="N151" s="1">
        <f t="shared" si="40"/>
        <v>0</v>
      </c>
      <c r="O151" s="1">
        <f t="shared" si="40"/>
        <v>0</v>
      </c>
      <c r="P151" s="1">
        <f t="shared" si="40"/>
        <v>0</v>
      </c>
      <c r="Q151" s="1">
        <f t="shared" si="40"/>
        <v>0</v>
      </c>
      <c r="R151" s="1">
        <f t="shared" si="40"/>
        <v>0</v>
      </c>
      <c r="S151" s="1">
        <f t="shared" si="40"/>
        <v>0</v>
      </c>
      <c r="T151" s="1">
        <f t="shared" si="40"/>
        <v>0</v>
      </c>
      <c r="U151" s="1">
        <f t="shared" si="40"/>
        <v>0</v>
      </c>
      <c r="V151" s="1">
        <f t="shared" si="40"/>
        <v>0</v>
      </c>
      <c r="W151" s="1">
        <f t="shared" si="40"/>
        <v>0</v>
      </c>
      <c r="X151" s="54">
        <f t="shared" si="40"/>
        <v>0</v>
      </c>
      <c r="Y151" s="58">
        <f t="shared" si="40"/>
        <v>0</v>
      </c>
      <c r="Z151" s="1">
        <f t="shared" si="40"/>
        <v>0</v>
      </c>
      <c r="AA151" s="1">
        <f t="shared" si="40"/>
        <v>0</v>
      </c>
      <c r="AC151" s="15" t="s">
        <v>51</v>
      </c>
      <c r="AD151" s="16" t="s">
        <v>52</v>
      </c>
      <c r="AE151" s="16" t="s">
        <v>55</v>
      </c>
      <c r="AF151" s="2"/>
      <c r="AG151" s="2"/>
      <c r="AH151" s="90" t="str">
        <f t="shared" si="41"/>
        <v/>
      </c>
      <c r="AI151" s="90" t="str">
        <f t="shared" si="41"/>
        <v/>
      </c>
      <c r="AJ151" s="90" t="str">
        <f t="shared" si="41"/>
        <v/>
      </c>
      <c r="AK151" s="90" t="str">
        <f t="shared" si="41"/>
        <v/>
      </c>
      <c r="AL151" s="90" t="str">
        <f t="shared" si="41"/>
        <v/>
      </c>
      <c r="AM151" s="90" t="str">
        <f t="shared" si="41"/>
        <v/>
      </c>
      <c r="AN151" s="90" t="str">
        <f t="shared" si="41"/>
        <v/>
      </c>
      <c r="AO151" s="90" t="str">
        <f t="shared" si="41"/>
        <v/>
      </c>
      <c r="AP151" s="90" t="str">
        <f t="shared" si="41"/>
        <v/>
      </c>
      <c r="AQ151" s="90" t="str">
        <f t="shared" si="41"/>
        <v/>
      </c>
      <c r="AR151" s="90" t="str">
        <f t="shared" si="41"/>
        <v/>
      </c>
      <c r="AS151" s="90" t="str">
        <f t="shared" si="41"/>
        <v/>
      </c>
      <c r="AT151" s="90" t="str">
        <f t="shared" si="41"/>
        <v/>
      </c>
      <c r="AU151" s="90" t="str">
        <f t="shared" si="41"/>
        <v/>
      </c>
      <c r="AV151" s="90" t="str">
        <f t="shared" si="41"/>
        <v/>
      </c>
      <c r="AW151" s="90" t="str">
        <f t="shared" si="41"/>
        <v/>
      </c>
      <c r="AX151" s="90" t="str">
        <f t="shared" si="42"/>
        <v/>
      </c>
      <c r="AY151" s="90" t="str">
        <f t="shared" si="42"/>
        <v/>
      </c>
      <c r="AZ151" s="90" t="str">
        <f t="shared" si="42"/>
        <v/>
      </c>
      <c r="BA151" s="90" t="str">
        <f t="shared" si="42"/>
        <v/>
      </c>
      <c r="BB151" s="90" t="str">
        <f t="shared" si="42"/>
        <v/>
      </c>
      <c r="BC151" s="90" t="str">
        <f t="shared" si="42"/>
        <v/>
      </c>
    </row>
    <row r="152" spans="1:55" x14ac:dyDescent="0.25">
      <c r="A152" s="25" t="s">
        <v>51</v>
      </c>
      <c r="B152" s="26" t="s">
        <v>56</v>
      </c>
      <c r="C152" s="26" t="s">
        <v>57</v>
      </c>
      <c r="D152" s="2"/>
      <c r="E152" s="2"/>
      <c r="F152" s="1">
        <f t="shared" si="39"/>
        <v>0</v>
      </c>
      <c r="G152" s="1">
        <f t="shared" si="40"/>
        <v>0</v>
      </c>
      <c r="H152" s="1">
        <f t="shared" si="40"/>
        <v>0</v>
      </c>
      <c r="I152" s="1">
        <f t="shared" si="40"/>
        <v>0</v>
      </c>
      <c r="J152" s="1">
        <f t="shared" si="40"/>
        <v>0</v>
      </c>
      <c r="K152" s="1">
        <f t="shared" si="40"/>
        <v>0</v>
      </c>
      <c r="L152" s="52">
        <f t="shared" si="40"/>
        <v>0</v>
      </c>
      <c r="M152" s="1">
        <f t="shared" si="40"/>
        <v>0</v>
      </c>
      <c r="N152" s="1">
        <f t="shared" si="40"/>
        <v>0</v>
      </c>
      <c r="O152" s="1">
        <f t="shared" si="40"/>
        <v>0</v>
      </c>
      <c r="P152" s="1">
        <f t="shared" si="40"/>
        <v>0</v>
      </c>
      <c r="Q152" s="1">
        <f t="shared" si="40"/>
        <v>0</v>
      </c>
      <c r="R152" s="1">
        <f t="shared" si="40"/>
        <v>0</v>
      </c>
      <c r="S152" s="1">
        <f t="shared" si="40"/>
        <v>0</v>
      </c>
      <c r="T152" s="1">
        <f t="shared" si="40"/>
        <v>0</v>
      </c>
      <c r="U152" s="1">
        <f t="shared" si="40"/>
        <v>0</v>
      </c>
      <c r="V152" s="1">
        <f t="shared" si="40"/>
        <v>0</v>
      </c>
      <c r="W152" s="1">
        <f t="shared" si="40"/>
        <v>0</v>
      </c>
      <c r="X152" s="54">
        <f t="shared" si="40"/>
        <v>0</v>
      </c>
      <c r="Y152" s="58">
        <f t="shared" ref="G152:AA166" si="44">IF(Y197&gt;0,Y17/Y197,0)</f>
        <v>0</v>
      </c>
      <c r="Z152" s="1">
        <f t="shared" si="44"/>
        <v>0</v>
      </c>
      <c r="AA152" s="1">
        <f t="shared" si="44"/>
        <v>0</v>
      </c>
      <c r="AC152" s="25" t="s">
        <v>51</v>
      </c>
      <c r="AD152" s="26" t="s">
        <v>56</v>
      </c>
      <c r="AE152" s="26" t="s">
        <v>57</v>
      </c>
      <c r="AF152" s="2"/>
      <c r="AG152" s="2"/>
      <c r="AH152" s="90" t="str">
        <f t="shared" si="41"/>
        <v/>
      </c>
      <c r="AI152" s="90" t="str">
        <f t="shared" si="41"/>
        <v/>
      </c>
      <c r="AJ152" s="90" t="str">
        <f t="shared" si="41"/>
        <v/>
      </c>
      <c r="AK152" s="90" t="str">
        <f t="shared" si="41"/>
        <v/>
      </c>
      <c r="AL152" s="90" t="str">
        <f t="shared" si="41"/>
        <v/>
      </c>
      <c r="AM152" s="90" t="str">
        <f t="shared" si="41"/>
        <v/>
      </c>
      <c r="AN152" s="90" t="str">
        <f t="shared" si="41"/>
        <v/>
      </c>
      <c r="AO152" s="90" t="str">
        <f t="shared" si="41"/>
        <v/>
      </c>
      <c r="AP152" s="90" t="str">
        <f t="shared" si="41"/>
        <v/>
      </c>
      <c r="AQ152" s="90" t="str">
        <f t="shared" si="41"/>
        <v/>
      </c>
      <c r="AR152" s="90" t="str">
        <f t="shared" si="41"/>
        <v/>
      </c>
      <c r="AS152" s="90" t="str">
        <f t="shared" si="41"/>
        <v/>
      </c>
      <c r="AT152" s="90" t="str">
        <f t="shared" si="41"/>
        <v/>
      </c>
      <c r="AU152" s="90" t="str">
        <f t="shared" si="41"/>
        <v/>
      </c>
      <c r="AV152" s="90" t="str">
        <f t="shared" si="41"/>
        <v/>
      </c>
      <c r="AW152" s="90" t="str">
        <f t="shared" si="41"/>
        <v/>
      </c>
      <c r="AX152" s="90" t="str">
        <f t="shared" si="42"/>
        <v/>
      </c>
      <c r="AY152" s="90" t="str">
        <f t="shared" si="42"/>
        <v/>
      </c>
      <c r="AZ152" s="90" t="str">
        <f t="shared" si="42"/>
        <v/>
      </c>
      <c r="BA152" s="90" t="str">
        <f t="shared" si="42"/>
        <v/>
      </c>
      <c r="BB152" s="90" t="str">
        <f t="shared" si="42"/>
        <v/>
      </c>
      <c r="BC152" s="90" t="str">
        <f t="shared" si="42"/>
        <v/>
      </c>
    </row>
    <row r="153" spans="1:55" x14ac:dyDescent="0.25">
      <c r="A153" s="15" t="s">
        <v>51</v>
      </c>
      <c r="B153" s="16" t="s">
        <v>56</v>
      </c>
      <c r="C153" s="27" t="s">
        <v>58</v>
      </c>
      <c r="D153" s="2"/>
      <c r="E153" s="2"/>
      <c r="F153" s="1">
        <f t="shared" si="39"/>
        <v>0</v>
      </c>
      <c r="G153" s="1">
        <f t="shared" si="44"/>
        <v>0</v>
      </c>
      <c r="H153" s="1">
        <f t="shared" si="44"/>
        <v>0</v>
      </c>
      <c r="I153" s="1">
        <f t="shared" si="44"/>
        <v>0</v>
      </c>
      <c r="J153" s="1">
        <f t="shared" si="44"/>
        <v>0</v>
      </c>
      <c r="K153" s="1">
        <f t="shared" si="44"/>
        <v>0</v>
      </c>
      <c r="L153" s="52">
        <f t="shared" si="44"/>
        <v>0</v>
      </c>
      <c r="M153" s="1">
        <f t="shared" si="44"/>
        <v>0</v>
      </c>
      <c r="N153" s="1">
        <f t="shared" si="44"/>
        <v>0</v>
      </c>
      <c r="O153" s="1">
        <f t="shared" si="44"/>
        <v>0</v>
      </c>
      <c r="P153" s="1">
        <f t="shared" si="44"/>
        <v>0</v>
      </c>
      <c r="Q153" s="1">
        <f t="shared" si="44"/>
        <v>0</v>
      </c>
      <c r="R153" s="1">
        <f t="shared" si="44"/>
        <v>0</v>
      </c>
      <c r="S153" s="1">
        <f t="shared" si="44"/>
        <v>0</v>
      </c>
      <c r="T153" s="1">
        <f t="shared" si="44"/>
        <v>0</v>
      </c>
      <c r="U153" s="1">
        <f t="shared" si="44"/>
        <v>0</v>
      </c>
      <c r="V153" s="1">
        <f t="shared" si="44"/>
        <v>0</v>
      </c>
      <c r="W153" s="1">
        <f t="shared" si="44"/>
        <v>0</v>
      </c>
      <c r="X153" s="54">
        <f t="shared" si="44"/>
        <v>0</v>
      </c>
      <c r="Y153" s="58">
        <f t="shared" si="44"/>
        <v>0</v>
      </c>
      <c r="Z153" s="1">
        <f t="shared" si="44"/>
        <v>0</v>
      </c>
      <c r="AA153" s="1">
        <f t="shared" si="44"/>
        <v>0</v>
      </c>
      <c r="AC153" s="15" t="s">
        <v>51</v>
      </c>
      <c r="AD153" s="16" t="s">
        <v>56</v>
      </c>
      <c r="AE153" s="27" t="s">
        <v>58</v>
      </c>
      <c r="AF153" s="2"/>
      <c r="AG153" s="2"/>
      <c r="AH153" s="90" t="str">
        <f t="shared" si="41"/>
        <v/>
      </c>
      <c r="AI153" s="90" t="str">
        <f t="shared" si="41"/>
        <v/>
      </c>
      <c r="AJ153" s="90" t="str">
        <f t="shared" si="41"/>
        <v/>
      </c>
      <c r="AK153" s="90" t="str">
        <f t="shared" si="41"/>
        <v/>
      </c>
      <c r="AL153" s="90" t="str">
        <f t="shared" si="41"/>
        <v/>
      </c>
      <c r="AM153" s="90" t="str">
        <f t="shared" si="41"/>
        <v/>
      </c>
      <c r="AN153" s="90" t="str">
        <f t="shared" si="41"/>
        <v/>
      </c>
      <c r="AO153" s="90" t="str">
        <f t="shared" si="41"/>
        <v/>
      </c>
      <c r="AP153" s="90" t="str">
        <f t="shared" si="41"/>
        <v/>
      </c>
      <c r="AQ153" s="90" t="str">
        <f t="shared" si="41"/>
        <v/>
      </c>
      <c r="AR153" s="90" t="str">
        <f t="shared" si="41"/>
        <v/>
      </c>
      <c r="AS153" s="90" t="str">
        <f t="shared" si="41"/>
        <v/>
      </c>
      <c r="AT153" s="90" t="str">
        <f t="shared" si="41"/>
        <v/>
      </c>
      <c r="AU153" s="90" t="str">
        <f t="shared" si="41"/>
        <v/>
      </c>
      <c r="AV153" s="90" t="str">
        <f t="shared" si="41"/>
        <v/>
      </c>
      <c r="AW153" s="90" t="str">
        <f t="shared" si="41"/>
        <v/>
      </c>
      <c r="AX153" s="90" t="str">
        <f t="shared" si="42"/>
        <v/>
      </c>
      <c r="AY153" s="90" t="str">
        <f t="shared" si="42"/>
        <v/>
      </c>
      <c r="AZ153" s="90" t="str">
        <f t="shared" si="42"/>
        <v/>
      </c>
      <c r="BA153" s="90" t="str">
        <f t="shared" si="42"/>
        <v/>
      </c>
      <c r="BB153" s="90" t="str">
        <f t="shared" si="42"/>
        <v/>
      </c>
      <c r="BC153" s="90" t="str">
        <f t="shared" si="42"/>
        <v/>
      </c>
    </row>
    <row r="154" spans="1:55" x14ac:dyDescent="0.25">
      <c r="A154" s="15" t="s">
        <v>51</v>
      </c>
      <c r="B154" s="16" t="s">
        <v>9</v>
      </c>
      <c r="C154" s="27" t="s">
        <v>59</v>
      </c>
      <c r="D154" s="2"/>
      <c r="E154" s="2"/>
      <c r="F154" s="1">
        <f t="shared" si="39"/>
        <v>0</v>
      </c>
      <c r="G154" s="1">
        <f t="shared" si="44"/>
        <v>0</v>
      </c>
      <c r="H154" s="1">
        <f t="shared" si="44"/>
        <v>0</v>
      </c>
      <c r="I154" s="1">
        <f t="shared" si="44"/>
        <v>0</v>
      </c>
      <c r="J154" s="1">
        <f t="shared" si="44"/>
        <v>0</v>
      </c>
      <c r="K154" s="1">
        <f t="shared" si="44"/>
        <v>0</v>
      </c>
      <c r="L154" s="52">
        <f t="shared" si="44"/>
        <v>0</v>
      </c>
      <c r="M154" s="1">
        <f t="shared" si="44"/>
        <v>0</v>
      </c>
      <c r="N154" s="1">
        <f t="shared" si="44"/>
        <v>0</v>
      </c>
      <c r="O154" s="1">
        <f t="shared" si="44"/>
        <v>0</v>
      </c>
      <c r="P154" s="1">
        <f t="shared" si="44"/>
        <v>0</v>
      </c>
      <c r="Q154" s="1">
        <f t="shared" si="44"/>
        <v>0</v>
      </c>
      <c r="R154" s="1">
        <f t="shared" si="44"/>
        <v>0</v>
      </c>
      <c r="S154" s="1">
        <f t="shared" si="44"/>
        <v>0</v>
      </c>
      <c r="T154" s="1">
        <f t="shared" si="44"/>
        <v>0</v>
      </c>
      <c r="U154" s="1">
        <f t="shared" si="44"/>
        <v>0</v>
      </c>
      <c r="V154" s="1">
        <f t="shared" si="44"/>
        <v>0</v>
      </c>
      <c r="W154" s="1">
        <f t="shared" si="44"/>
        <v>0</v>
      </c>
      <c r="X154" s="54">
        <f t="shared" si="44"/>
        <v>0</v>
      </c>
      <c r="Y154" s="58">
        <f t="shared" si="44"/>
        <v>0</v>
      </c>
      <c r="Z154" s="1">
        <f t="shared" si="44"/>
        <v>0</v>
      </c>
      <c r="AA154" s="1">
        <f t="shared" si="44"/>
        <v>0</v>
      </c>
      <c r="AC154" s="15" t="s">
        <v>51</v>
      </c>
      <c r="AD154" s="16" t="s">
        <v>9</v>
      </c>
      <c r="AE154" s="27" t="s">
        <v>59</v>
      </c>
      <c r="AF154" s="2"/>
      <c r="AG154" s="2"/>
      <c r="AH154" s="90" t="str">
        <f t="shared" si="41"/>
        <v/>
      </c>
      <c r="AI154" s="90" t="str">
        <f t="shared" si="41"/>
        <v/>
      </c>
      <c r="AJ154" s="90" t="str">
        <f t="shared" si="41"/>
        <v/>
      </c>
      <c r="AK154" s="90" t="str">
        <f t="shared" si="41"/>
        <v/>
      </c>
      <c r="AL154" s="90" t="str">
        <f t="shared" si="41"/>
        <v/>
      </c>
      <c r="AM154" s="90" t="str">
        <f t="shared" si="41"/>
        <v/>
      </c>
      <c r="AN154" s="90" t="str">
        <f t="shared" si="41"/>
        <v/>
      </c>
      <c r="AO154" s="90" t="str">
        <f t="shared" si="41"/>
        <v/>
      </c>
      <c r="AP154" s="90" t="str">
        <f t="shared" si="41"/>
        <v/>
      </c>
      <c r="AQ154" s="90" t="str">
        <f t="shared" si="41"/>
        <v/>
      </c>
      <c r="AR154" s="90" t="str">
        <f t="shared" si="41"/>
        <v/>
      </c>
      <c r="AS154" s="90" t="str">
        <f t="shared" si="41"/>
        <v/>
      </c>
      <c r="AT154" s="90" t="str">
        <f t="shared" si="41"/>
        <v/>
      </c>
      <c r="AU154" s="90" t="str">
        <f t="shared" si="41"/>
        <v/>
      </c>
      <c r="AV154" s="90" t="str">
        <f t="shared" si="41"/>
        <v/>
      </c>
      <c r="AW154" s="90" t="str">
        <f t="shared" si="41"/>
        <v/>
      </c>
      <c r="AX154" s="90" t="str">
        <f t="shared" si="42"/>
        <v/>
      </c>
      <c r="AY154" s="90" t="str">
        <f t="shared" si="42"/>
        <v/>
      </c>
      <c r="AZ154" s="90" t="str">
        <f t="shared" si="42"/>
        <v/>
      </c>
      <c r="BA154" s="90" t="str">
        <f t="shared" si="42"/>
        <v/>
      </c>
      <c r="BB154" s="90" t="str">
        <f t="shared" si="42"/>
        <v/>
      </c>
      <c r="BC154" s="90" t="str">
        <f t="shared" si="42"/>
        <v/>
      </c>
    </row>
    <row r="155" spans="1:55" x14ac:dyDescent="0.25">
      <c r="A155" s="15" t="s">
        <v>51</v>
      </c>
      <c r="B155" s="16" t="s">
        <v>9</v>
      </c>
      <c r="C155" s="27" t="s">
        <v>9</v>
      </c>
      <c r="D155" s="2"/>
      <c r="E155" s="2"/>
      <c r="F155" s="1">
        <f t="shared" si="39"/>
        <v>0</v>
      </c>
      <c r="G155" s="1">
        <f t="shared" si="44"/>
        <v>0</v>
      </c>
      <c r="H155" s="1">
        <f t="shared" si="44"/>
        <v>0</v>
      </c>
      <c r="I155" s="1">
        <f t="shared" si="44"/>
        <v>0</v>
      </c>
      <c r="J155" s="1">
        <f t="shared" si="44"/>
        <v>0</v>
      </c>
      <c r="K155" s="1">
        <f t="shared" si="44"/>
        <v>0</v>
      </c>
      <c r="L155" s="52">
        <f t="shared" si="44"/>
        <v>0</v>
      </c>
      <c r="M155" s="1">
        <f t="shared" si="44"/>
        <v>0</v>
      </c>
      <c r="N155" s="1">
        <f t="shared" si="44"/>
        <v>0</v>
      </c>
      <c r="O155" s="1">
        <f t="shared" si="44"/>
        <v>0</v>
      </c>
      <c r="P155" s="1">
        <f t="shared" si="44"/>
        <v>0</v>
      </c>
      <c r="Q155" s="1">
        <f t="shared" si="44"/>
        <v>0</v>
      </c>
      <c r="R155" s="1">
        <f t="shared" si="44"/>
        <v>0</v>
      </c>
      <c r="S155" s="1">
        <f t="shared" si="44"/>
        <v>0</v>
      </c>
      <c r="T155" s="1">
        <f t="shared" si="44"/>
        <v>0</v>
      </c>
      <c r="U155" s="1">
        <f t="shared" si="44"/>
        <v>0</v>
      </c>
      <c r="V155" s="1">
        <f t="shared" si="44"/>
        <v>0</v>
      </c>
      <c r="W155" s="1">
        <f t="shared" si="44"/>
        <v>0</v>
      </c>
      <c r="X155" s="54">
        <f t="shared" si="44"/>
        <v>0</v>
      </c>
      <c r="Y155" s="58">
        <f t="shared" si="44"/>
        <v>0</v>
      </c>
      <c r="Z155" s="1">
        <f t="shared" si="44"/>
        <v>0</v>
      </c>
      <c r="AA155" s="1">
        <f t="shared" si="44"/>
        <v>0</v>
      </c>
      <c r="AC155" s="15" t="s">
        <v>51</v>
      </c>
      <c r="AD155" s="16" t="s">
        <v>9</v>
      </c>
      <c r="AE155" s="27" t="s">
        <v>9</v>
      </c>
      <c r="AF155" s="2"/>
      <c r="AG155" s="2"/>
      <c r="AH155" s="90" t="str">
        <f t="shared" si="41"/>
        <v/>
      </c>
      <c r="AI155" s="90" t="str">
        <f t="shared" si="41"/>
        <v/>
      </c>
      <c r="AJ155" s="90" t="str">
        <f t="shared" si="41"/>
        <v/>
      </c>
      <c r="AK155" s="90" t="str">
        <f t="shared" si="41"/>
        <v/>
      </c>
      <c r="AL155" s="90" t="str">
        <f t="shared" si="41"/>
        <v/>
      </c>
      <c r="AM155" s="90" t="str">
        <f t="shared" si="41"/>
        <v/>
      </c>
      <c r="AN155" s="90" t="str">
        <f t="shared" si="41"/>
        <v/>
      </c>
      <c r="AO155" s="90" t="str">
        <f t="shared" si="41"/>
        <v/>
      </c>
      <c r="AP155" s="90" t="str">
        <f t="shared" si="41"/>
        <v/>
      </c>
      <c r="AQ155" s="90" t="str">
        <f t="shared" si="41"/>
        <v/>
      </c>
      <c r="AR155" s="90" t="str">
        <f t="shared" si="41"/>
        <v/>
      </c>
      <c r="AS155" s="90" t="str">
        <f t="shared" si="41"/>
        <v/>
      </c>
      <c r="AT155" s="90" t="str">
        <f t="shared" si="41"/>
        <v/>
      </c>
      <c r="AU155" s="90" t="str">
        <f t="shared" si="41"/>
        <v/>
      </c>
      <c r="AV155" s="90" t="str">
        <f t="shared" si="41"/>
        <v/>
      </c>
      <c r="AW155" s="90" t="str">
        <f t="shared" ref="AW155:BC180" si="45">IF(U200&gt;0,U65/U200,"")</f>
        <v/>
      </c>
      <c r="AX155" s="90" t="str">
        <f t="shared" si="42"/>
        <v/>
      </c>
      <c r="AY155" s="90" t="str">
        <f t="shared" si="42"/>
        <v/>
      </c>
      <c r="AZ155" s="90" t="str">
        <f t="shared" si="42"/>
        <v/>
      </c>
      <c r="BA155" s="90" t="str">
        <f t="shared" si="42"/>
        <v/>
      </c>
      <c r="BB155" s="90" t="str">
        <f t="shared" si="42"/>
        <v/>
      </c>
      <c r="BC155" s="90" t="str">
        <f t="shared" si="42"/>
        <v/>
      </c>
    </row>
    <row r="156" spans="1:55" x14ac:dyDescent="0.25">
      <c r="A156" s="28" t="s">
        <v>60</v>
      </c>
      <c r="B156" s="29" t="s">
        <v>13</v>
      </c>
      <c r="C156" s="29" t="s">
        <v>61</v>
      </c>
      <c r="D156" s="2"/>
      <c r="E156" s="2"/>
      <c r="F156" s="51">
        <f t="shared" si="39"/>
        <v>59.537572254335259</v>
      </c>
      <c r="G156" s="51">
        <f t="shared" si="44"/>
        <v>0</v>
      </c>
      <c r="H156" s="51">
        <f t="shared" si="44"/>
        <v>4.7222222222222223</v>
      </c>
      <c r="I156" s="91">
        <v>29</v>
      </c>
      <c r="J156" s="51">
        <f>IF(J201&gt;0,J21/J201,0)</f>
        <v>61.111111111111107</v>
      </c>
      <c r="K156" s="91">
        <v>29</v>
      </c>
      <c r="L156" s="52">
        <f t="shared" si="44"/>
        <v>0</v>
      </c>
      <c r="M156" s="64">
        <v>400</v>
      </c>
      <c r="N156" s="64">
        <v>870</v>
      </c>
      <c r="O156" s="64">
        <v>10000</v>
      </c>
      <c r="P156" s="64">
        <v>28000</v>
      </c>
      <c r="Q156" s="77">
        <v>940</v>
      </c>
      <c r="R156" s="77">
        <v>426</v>
      </c>
      <c r="S156" s="51">
        <f t="shared" si="44"/>
        <v>0</v>
      </c>
      <c r="T156" s="77">
        <v>426</v>
      </c>
      <c r="U156" s="77">
        <v>426</v>
      </c>
      <c r="V156" s="77">
        <v>426</v>
      </c>
      <c r="W156" s="77">
        <v>426</v>
      </c>
      <c r="X156" s="79">
        <v>426</v>
      </c>
      <c r="Y156" s="59">
        <f t="shared" si="44"/>
        <v>14.10976728269671</v>
      </c>
      <c r="Z156" s="51">
        <f t="shared" si="44"/>
        <v>694.52903887104367</v>
      </c>
      <c r="AA156" s="51">
        <f t="shared" si="44"/>
        <v>19.343563577138031</v>
      </c>
      <c r="AC156" s="28" t="s">
        <v>60</v>
      </c>
      <c r="AD156" s="29" t="s">
        <v>13</v>
      </c>
      <c r="AE156" s="29" t="s">
        <v>61</v>
      </c>
      <c r="AF156" s="2"/>
      <c r="AG156" s="2"/>
      <c r="AH156" s="1">
        <f t="shared" ref="AH156:AV172" si="46">IF(F201&gt;0,F66/F201,"")</f>
        <v>12.508670520231213</v>
      </c>
      <c r="AI156" s="1" t="str">
        <f t="shared" si="46"/>
        <v/>
      </c>
      <c r="AJ156" s="1">
        <f t="shared" si="46"/>
        <v>1.7777777777777777</v>
      </c>
      <c r="AK156" s="1">
        <f t="shared" si="46"/>
        <v>7.8911564625850339</v>
      </c>
      <c r="AL156" s="1">
        <f t="shared" si="46"/>
        <v>26.041666666666664</v>
      </c>
      <c r="AM156" s="1">
        <f t="shared" si="46"/>
        <v>8.2857142857142865</v>
      </c>
      <c r="AN156" s="52" t="str">
        <f t="shared" si="46"/>
        <v/>
      </c>
      <c r="AO156" s="1">
        <f t="shared" si="46"/>
        <v>180</v>
      </c>
      <c r="AP156" s="1">
        <f t="shared" si="46"/>
        <v>514.09090909090901</v>
      </c>
      <c r="AQ156" s="1">
        <f t="shared" si="46"/>
        <v>4357.4297188755017</v>
      </c>
      <c r="AR156" s="1">
        <f t="shared" si="46"/>
        <v>11483.108906213087</v>
      </c>
      <c r="AS156" s="1">
        <f t="shared" si="46"/>
        <v>470</v>
      </c>
      <c r="AT156" s="1">
        <f t="shared" si="46"/>
        <v>208.74</v>
      </c>
      <c r="AU156" s="1" t="str">
        <f t="shared" si="46"/>
        <v/>
      </c>
      <c r="AV156" s="1">
        <f t="shared" si="46"/>
        <v>213</v>
      </c>
      <c r="AW156" s="1">
        <f t="shared" si="45"/>
        <v>213</v>
      </c>
      <c r="AX156" s="1">
        <f t="shared" si="45"/>
        <v>511.2</v>
      </c>
      <c r="AY156" s="1">
        <f t="shared" si="45"/>
        <v>255.59999999999997</v>
      </c>
      <c r="AZ156" s="1">
        <f t="shared" si="45"/>
        <v>213</v>
      </c>
      <c r="BA156" s="1">
        <f t="shared" si="45"/>
        <v>4.0202595562912453</v>
      </c>
      <c r="BB156" s="1">
        <f t="shared" si="45"/>
        <v>331.70526908262349</v>
      </c>
      <c r="BC156" s="1">
        <f t="shared" si="45"/>
        <v>6.5408180710425476</v>
      </c>
    </row>
    <row r="157" spans="1:55" x14ac:dyDescent="0.25">
      <c r="A157" s="36" t="s">
        <v>60</v>
      </c>
      <c r="B157" s="37" t="s">
        <v>13</v>
      </c>
      <c r="C157" s="29" t="s">
        <v>62</v>
      </c>
      <c r="D157" s="2"/>
      <c r="E157" s="2"/>
      <c r="F157" s="51">
        <f t="shared" ref="F157:F170" si="47">IF(F202&gt;0,F22/F202,0)</f>
        <v>58.857142857142854</v>
      </c>
      <c r="G157" s="51">
        <f t="shared" si="44"/>
        <v>21.714285714285715</v>
      </c>
      <c r="H157" s="51">
        <f t="shared" si="44"/>
        <v>4.7222222222222223</v>
      </c>
      <c r="I157" s="77">
        <v>20</v>
      </c>
      <c r="J157" s="51">
        <f t="shared" si="44"/>
        <v>0</v>
      </c>
      <c r="K157" s="51">
        <f t="shared" si="44"/>
        <v>0</v>
      </c>
      <c r="L157" s="52">
        <f t="shared" si="44"/>
        <v>0</v>
      </c>
      <c r="M157" s="51">
        <f t="shared" si="44"/>
        <v>0</v>
      </c>
      <c r="N157" s="51">
        <f t="shared" si="44"/>
        <v>0</v>
      </c>
      <c r="O157" s="51">
        <f t="shared" si="44"/>
        <v>0</v>
      </c>
      <c r="P157" s="51">
        <v>28000</v>
      </c>
      <c r="Q157" s="51">
        <f t="shared" si="44"/>
        <v>0</v>
      </c>
      <c r="R157" s="51">
        <f t="shared" si="44"/>
        <v>0</v>
      </c>
      <c r="S157" s="51">
        <f t="shared" si="44"/>
        <v>0</v>
      </c>
      <c r="T157" s="51">
        <f t="shared" si="44"/>
        <v>0</v>
      </c>
      <c r="U157" s="51">
        <f t="shared" si="44"/>
        <v>0</v>
      </c>
      <c r="V157" s="51">
        <f t="shared" si="44"/>
        <v>0</v>
      </c>
      <c r="W157" s="51">
        <f t="shared" si="44"/>
        <v>0</v>
      </c>
      <c r="X157" s="55">
        <f t="shared" si="44"/>
        <v>0</v>
      </c>
      <c r="Y157" s="59">
        <f t="shared" si="44"/>
        <v>9.6698212407991591</v>
      </c>
      <c r="Z157" s="51">
        <f t="shared" si="44"/>
        <v>27999.999999999996</v>
      </c>
      <c r="AA157" s="51">
        <f t="shared" si="44"/>
        <v>11.894427874545723</v>
      </c>
      <c r="AB157" s="14">
        <f>0.74*55</f>
        <v>40.700000000000003</v>
      </c>
      <c r="AC157" s="36" t="s">
        <v>60</v>
      </c>
      <c r="AD157" s="37" t="s">
        <v>13</v>
      </c>
      <c r="AE157" s="29" t="s">
        <v>62</v>
      </c>
      <c r="AF157" s="2"/>
      <c r="AG157" s="2"/>
      <c r="AH157" s="1">
        <f t="shared" si="46"/>
        <v>12.365714285714287</v>
      </c>
      <c r="AI157" s="1">
        <f t="shared" si="46"/>
        <v>6.0952380952380949</v>
      </c>
      <c r="AJ157" s="1">
        <f t="shared" si="46"/>
        <v>1.7777777777777777</v>
      </c>
      <c r="AK157" s="1" t="str">
        <f t="shared" si="46"/>
        <v/>
      </c>
      <c r="AL157" s="1" t="str">
        <f t="shared" si="46"/>
        <v/>
      </c>
      <c r="AM157" s="1" t="str">
        <f t="shared" si="46"/>
        <v/>
      </c>
      <c r="AN157" s="52" t="str">
        <f t="shared" si="46"/>
        <v/>
      </c>
      <c r="AO157" s="1" t="str">
        <f t="shared" si="46"/>
        <v/>
      </c>
      <c r="AP157" s="1" t="str">
        <f t="shared" si="46"/>
        <v/>
      </c>
      <c r="AQ157" s="1" t="str">
        <f t="shared" si="46"/>
        <v/>
      </c>
      <c r="AR157" s="1">
        <f t="shared" si="46"/>
        <v>11483.108906213087</v>
      </c>
      <c r="AS157" s="1" t="str">
        <f t="shared" si="46"/>
        <v/>
      </c>
      <c r="AT157" s="1" t="str">
        <f t="shared" si="46"/>
        <v/>
      </c>
      <c r="AU157" s="1" t="str">
        <f t="shared" si="46"/>
        <v/>
      </c>
      <c r="AV157" s="1" t="str">
        <f t="shared" si="46"/>
        <v/>
      </c>
      <c r="AW157" s="1" t="str">
        <f t="shared" si="45"/>
        <v/>
      </c>
      <c r="AX157" s="1" t="str">
        <f t="shared" si="45"/>
        <v/>
      </c>
      <c r="AY157" s="1" t="str">
        <f t="shared" si="45"/>
        <v/>
      </c>
      <c r="AZ157" s="1" t="str">
        <f t="shared" si="45"/>
        <v/>
      </c>
      <c r="BA157" s="1">
        <f t="shared" si="45"/>
        <v>2.9649631966351211</v>
      </c>
      <c r="BB157" s="1">
        <f t="shared" si="45"/>
        <v>11483.108906213087</v>
      </c>
      <c r="BC157" s="1">
        <f t="shared" si="45"/>
        <v>3.8773784560799802</v>
      </c>
    </row>
    <row r="158" spans="1:55" x14ac:dyDescent="0.25">
      <c r="A158" s="30" t="s">
        <v>60</v>
      </c>
      <c r="B158" s="31" t="s">
        <v>13</v>
      </c>
      <c r="C158" s="32" t="s">
        <v>63</v>
      </c>
      <c r="D158" s="2"/>
      <c r="E158" s="2"/>
      <c r="F158" s="51">
        <f t="shared" si="47"/>
        <v>0</v>
      </c>
      <c r="G158" s="51">
        <f t="shared" si="44"/>
        <v>0</v>
      </c>
      <c r="H158" s="51">
        <f t="shared" si="44"/>
        <v>0</v>
      </c>
      <c r="I158" s="51">
        <f t="shared" si="44"/>
        <v>0</v>
      </c>
      <c r="J158" s="51">
        <f t="shared" si="44"/>
        <v>0</v>
      </c>
      <c r="K158" s="51">
        <f t="shared" si="44"/>
        <v>0</v>
      </c>
      <c r="L158" s="52">
        <f t="shared" si="44"/>
        <v>0</v>
      </c>
      <c r="M158" s="51">
        <f t="shared" si="44"/>
        <v>0</v>
      </c>
      <c r="N158" s="51">
        <f t="shared" si="44"/>
        <v>0</v>
      </c>
      <c r="O158" s="51">
        <f t="shared" si="44"/>
        <v>0</v>
      </c>
      <c r="P158" s="51">
        <f t="shared" si="44"/>
        <v>0</v>
      </c>
      <c r="Q158" s="51">
        <f t="shared" si="44"/>
        <v>0</v>
      </c>
      <c r="R158" s="51">
        <f t="shared" si="44"/>
        <v>0</v>
      </c>
      <c r="S158" s="51">
        <f t="shared" si="44"/>
        <v>0</v>
      </c>
      <c r="T158" s="51">
        <f t="shared" si="44"/>
        <v>0</v>
      </c>
      <c r="U158" s="51">
        <f t="shared" si="44"/>
        <v>0</v>
      </c>
      <c r="V158" s="51">
        <f t="shared" si="44"/>
        <v>0</v>
      </c>
      <c r="W158" s="51">
        <f t="shared" si="44"/>
        <v>0</v>
      </c>
      <c r="X158" s="55">
        <f t="shared" si="44"/>
        <v>0</v>
      </c>
      <c r="Y158" s="59">
        <f t="shared" si="44"/>
        <v>0</v>
      </c>
      <c r="Z158" s="51">
        <f t="shared" si="44"/>
        <v>0</v>
      </c>
      <c r="AA158" s="51">
        <f t="shared" si="44"/>
        <v>0</v>
      </c>
      <c r="AB158" s="14">
        <f>0.75*70</f>
        <v>52.5</v>
      </c>
      <c r="AC158" s="30" t="s">
        <v>60</v>
      </c>
      <c r="AD158" s="31" t="s">
        <v>13</v>
      </c>
      <c r="AE158" s="32" t="s">
        <v>63</v>
      </c>
      <c r="AF158" s="2"/>
      <c r="AG158" s="2"/>
      <c r="AH158" s="1" t="str">
        <f t="shared" si="46"/>
        <v/>
      </c>
      <c r="AI158" s="1" t="str">
        <f t="shared" si="46"/>
        <v/>
      </c>
      <c r="AJ158" s="1" t="str">
        <f t="shared" si="46"/>
        <v/>
      </c>
      <c r="AK158" s="1" t="str">
        <f t="shared" si="46"/>
        <v/>
      </c>
      <c r="AL158" s="1" t="str">
        <f t="shared" si="46"/>
        <v/>
      </c>
      <c r="AM158" s="1" t="str">
        <f t="shared" si="46"/>
        <v/>
      </c>
      <c r="AN158" s="52" t="str">
        <f t="shared" si="46"/>
        <v/>
      </c>
      <c r="AO158" s="1" t="str">
        <f t="shared" si="46"/>
        <v/>
      </c>
      <c r="AP158" s="1" t="str">
        <f t="shared" si="46"/>
        <v/>
      </c>
      <c r="AQ158" s="1" t="str">
        <f t="shared" si="46"/>
        <v/>
      </c>
      <c r="AR158" s="1" t="str">
        <f t="shared" si="46"/>
        <v/>
      </c>
      <c r="AS158" s="1" t="str">
        <f t="shared" si="46"/>
        <v/>
      </c>
      <c r="AT158" s="1" t="str">
        <f t="shared" si="46"/>
        <v/>
      </c>
      <c r="AU158" s="1" t="str">
        <f t="shared" si="46"/>
        <v/>
      </c>
      <c r="AV158" s="1" t="str">
        <f t="shared" si="46"/>
        <v/>
      </c>
      <c r="AW158" s="1" t="str">
        <f t="shared" si="45"/>
        <v/>
      </c>
      <c r="AX158" s="1" t="str">
        <f t="shared" si="45"/>
        <v/>
      </c>
      <c r="AY158" s="1" t="str">
        <f t="shared" si="45"/>
        <v/>
      </c>
      <c r="AZ158" s="1" t="str">
        <f t="shared" si="45"/>
        <v/>
      </c>
      <c r="BA158" s="1" t="str">
        <f t="shared" si="45"/>
        <v/>
      </c>
      <c r="BB158" s="1" t="str">
        <f t="shared" si="45"/>
        <v/>
      </c>
      <c r="BC158" s="1" t="str">
        <f t="shared" si="45"/>
        <v/>
      </c>
    </row>
    <row r="159" spans="1:55" x14ac:dyDescent="0.25">
      <c r="A159" s="30" t="s">
        <v>60</v>
      </c>
      <c r="B159" s="32" t="s">
        <v>23</v>
      </c>
      <c r="C159" s="31" t="s">
        <v>50</v>
      </c>
      <c r="D159" s="2"/>
      <c r="E159" s="2"/>
      <c r="F159" s="77">
        <v>40</v>
      </c>
      <c r="G159" s="51">
        <f t="shared" si="44"/>
        <v>0</v>
      </c>
      <c r="H159" s="51">
        <f t="shared" si="44"/>
        <v>0</v>
      </c>
      <c r="I159" s="51">
        <f t="shared" si="44"/>
        <v>0</v>
      </c>
      <c r="J159" s="77">
        <v>45</v>
      </c>
      <c r="K159" s="77">
        <v>2.2000000000000002</v>
      </c>
      <c r="L159" s="52">
        <f t="shared" si="44"/>
        <v>0</v>
      </c>
      <c r="M159" s="51">
        <f t="shared" si="44"/>
        <v>0</v>
      </c>
      <c r="N159" s="77">
        <v>1100</v>
      </c>
      <c r="O159" s="51">
        <f t="shared" si="44"/>
        <v>0</v>
      </c>
      <c r="P159" s="51">
        <f t="shared" si="44"/>
        <v>0</v>
      </c>
      <c r="Q159" s="51">
        <f t="shared" si="44"/>
        <v>0</v>
      </c>
      <c r="R159" s="51">
        <f t="shared" si="44"/>
        <v>0</v>
      </c>
      <c r="S159" s="51">
        <f t="shared" si="44"/>
        <v>0</v>
      </c>
      <c r="T159" s="51">
        <f t="shared" si="44"/>
        <v>0</v>
      </c>
      <c r="U159" s="51">
        <f t="shared" si="44"/>
        <v>0</v>
      </c>
      <c r="V159" s="77">
        <v>426</v>
      </c>
      <c r="W159" s="51">
        <f t="shared" si="44"/>
        <v>0</v>
      </c>
      <c r="X159" s="55">
        <f t="shared" si="44"/>
        <v>0</v>
      </c>
      <c r="Y159" s="59">
        <f t="shared" si="44"/>
        <v>2.2638847136421676</v>
      </c>
      <c r="Z159" s="51">
        <f t="shared" si="44"/>
        <v>1100</v>
      </c>
      <c r="AA159" s="51">
        <f t="shared" si="44"/>
        <v>3.7384271135606779</v>
      </c>
      <c r="AC159" s="30" t="s">
        <v>60</v>
      </c>
      <c r="AD159" s="32" t="s">
        <v>23</v>
      </c>
      <c r="AE159" s="31" t="s">
        <v>50</v>
      </c>
      <c r="AF159" s="2"/>
      <c r="AG159" s="2"/>
      <c r="AH159" s="1">
        <f t="shared" si="46"/>
        <v>12.8</v>
      </c>
      <c r="AI159" s="1" t="str">
        <f t="shared" si="46"/>
        <v/>
      </c>
      <c r="AJ159" s="1" t="str">
        <f t="shared" si="46"/>
        <v/>
      </c>
      <c r="AK159" s="1" t="str">
        <f t="shared" si="46"/>
        <v/>
      </c>
      <c r="AL159" s="1">
        <f t="shared" si="46"/>
        <v>13.5</v>
      </c>
      <c r="AM159" s="1">
        <f t="shared" si="46"/>
        <v>0.60000000000000009</v>
      </c>
      <c r="AN159" s="52" t="str">
        <f t="shared" si="46"/>
        <v/>
      </c>
      <c r="AO159" s="1" t="str">
        <f t="shared" si="46"/>
        <v/>
      </c>
      <c r="AP159" s="1">
        <f t="shared" si="46"/>
        <v>859.375</v>
      </c>
      <c r="AQ159" s="1" t="str">
        <f t="shared" si="46"/>
        <v/>
      </c>
      <c r="AR159" s="1" t="str">
        <f t="shared" si="46"/>
        <v/>
      </c>
      <c r="AS159" s="1" t="str">
        <f t="shared" si="46"/>
        <v/>
      </c>
      <c r="AT159" s="1" t="str">
        <f t="shared" si="46"/>
        <v/>
      </c>
      <c r="AU159" s="1" t="str">
        <f t="shared" si="46"/>
        <v/>
      </c>
      <c r="AV159" s="1" t="str">
        <f t="shared" si="46"/>
        <v/>
      </c>
      <c r="AW159" s="1" t="str">
        <f t="shared" si="45"/>
        <v/>
      </c>
      <c r="AX159" s="1" t="str">
        <f t="shared" si="45"/>
        <v/>
      </c>
      <c r="AY159" s="1" t="str">
        <f t="shared" si="45"/>
        <v/>
      </c>
      <c r="AZ159" s="1" t="str">
        <f t="shared" si="45"/>
        <v/>
      </c>
      <c r="BA159" s="1">
        <f t="shared" si="45"/>
        <v>0.62026208100705849</v>
      </c>
      <c r="BB159" s="1">
        <f t="shared" si="45"/>
        <v>859.375</v>
      </c>
      <c r="BC159" s="1">
        <f t="shared" si="45"/>
        <v>1.6748153468751836</v>
      </c>
    </row>
    <row r="160" spans="1:55" x14ac:dyDescent="0.25">
      <c r="A160" s="30" t="s">
        <v>60</v>
      </c>
      <c r="B160" s="32" t="s">
        <v>23</v>
      </c>
      <c r="C160" s="31" t="s">
        <v>49</v>
      </c>
      <c r="D160" s="2"/>
      <c r="E160" s="2"/>
      <c r="F160" s="51">
        <f t="shared" si="47"/>
        <v>0</v>
      </c>
      <c r="G160" s="51">
        <f t="shared" si="44"/>
        <v>0</v>
      </c>
      <c r="H160" s="51">
        <f t="shared" si="44"/>
        <v>0</v>
      </c>
      <c r="I160" s="51">
        <f t="shared" si="44"/>
        <v>0</v>
      </c>
      <c r="J160" s="77">
        <v>40</v>
      </c>
      <c r="K160" s="51">
        <v>10</v>
      </c>
      <c r="L160" s="52">
        <f t="shared" si="44"/>
        <v>0</v>
      </c>
      <c r="M160" s="51">
        <f t="shared" si="44"/>
        <v>0</v>
      </c>
      <c r="N160" s="51">
        <f t="shared" si="44"/>
        <v>0</v>
      </c>
      <c r="O160" s="51">
        <f t="shared" si="44"/>
        <v>0</v>
      </c>
      <c r="P160" s="51">
        <f t="shared" si="44"/>
        <v>0</v>
      </c>
      <c r="Q160" s="51">
        <f t="shared" si="44"/>
        <v>0</v>
      </c>
      <c r="R160" s="51">
        <f t="shared" si="44"/>
        <v>0</v>
      </c>
      <c r="S160" s="77">
        <v>100</v>
      </c>
      <c r="T160" s="77">
        <v>406</v>
      </c>
      <c r="U160" s="51">
        <f t="shared" si="44"/>
        <v>0</v>
      </c>
      <c r="V160" s="77">
        <v>406</v>
      </c>
      <c r="W160" s="51">
        <f t="shared" si="44"/>
        <v>0</v>
      </c>
      <c r="X160" s="77">
        <v>100</v>
      </c>
      <c r="Y160" s="59">
        <f t="shared" si="44"/>
        <v>26.181229773462785</v>
      </c>
      <c r="Z160" s="51">
        <f t="shared" si="44"/>
        <v>203.89022492573207</v>
      </c>
      <c r="AA160" s="51">
        <f t="shared" si="44"/>
        <v>28.220061194479552</v>
      </c>
      <c r="AC160" s="30" t="s">
        <v>60</v>
      </c>
      <c r="AD160" s="32" t="s">
        <v>23</v>
      </c>
      <c r="AE160" s="31" t="s">
        <v>49</v>
      </c>
      <c r="AF160" s="2"/>
      <c r="AG160" s="2"/>
      <c r="AH160" s="1" t="str">
        <f t="shared" si="46"/>
        <v/>
      </c>
      <c r="AI160" s="1" t="str">
        <f t="shared" si="46"/>
        <v/>
      </c>
      <c r="AJ160" s="1" t="str">
        <f t="shared" si="46"/>
        <v/>
      </c>
      <c r="AK160" s="1" t="str">
        <f t="shared" si="46"/>
        <v/>
      </c>
      <c r="AL160" s="1">
        <f t="shared" si="46"/>
        <v>12.2</v>
      </c>
      <c r="AM160" s="1">
        <f t="shared" si="46"/>
        <v>2.8571428571428572</v>
      </c>
      <c r="AN160" s="52" t="str">
        <f t="shared" si="46"/>
        <v/>
      </c>
      <c r="AO160" s="1" t="str">
        <f t="shared" si="46"/>
        <v/>
      </c>
      <c r="AP160" s="1" t="str">
        <f t="shared" si="46"/>
        <v/>
      </c>
      <c r="AQ160" s="1" t="str">
        <f t="shared" si="46"/>
        <v/>
      </c>
      <c r="AR160" s="1" t="str">
        <f t="shared" si="46"/>
        <v/>
      </c>
      <c r="AS160" s="1" t="str">
        <f t="shared" si="46"/>
        <v/>
      </c>
      <c r="AT160" s="1" t="str">
        <f t="shared" si="46"/>
        <v/>
      </c>
      <c r="AU160" s="1">
        <f t="shared" si="46"/>
        <v>29.999999999999996</v>
      </c>
      <c r="AV160" s="1">
        <f t="shared" si="46"/>
        <v>162.4</v>
      </c>
      <c r="AW160" s="1" t="str">
        <f t="shared" si="45"/>
        <v/>
      </c>
      <c r="AX160" s="1">
        <f t="shared" si="45"/>
        <v>365.4</v>
      </c>
      <c r="AY160" s="1" t="str">
        <f t="shared" si="45"/>
        <v/>
      </c>
      <c r="AZ160" s="1">
        <f t="shared" si="45"/>
        <v>90</v>
      </c>
      <c r="BA160" s="1">
        <f t="shared" si="45"/>
        <v>7.8964401294498385</v>
      </c>
      <c r="BB160" s="1">
        <f t="shared" si="45"/>
        <v>96.010279624652242</v>
      </c>
      <c r="BC160" s="1">
        <f t="shared" si="45"/>
        <v>14.77705022547293</v>
      </c>
    </row>
    <row r="161" spans="1:55" x14ac:dyDescent="0.25">
      <c r="A161" s="30" t="s">
        <v>60</v>
      </c>
      <c r="B161" s="32" t="s">
        <v>23</v>
      </c>
      <c r="C161" s="31" t="s">
        <v>64</v>
      </c>
      <c r="D161" s="2"/>
      <c r="E161" s="2"/>
      <c r="F161" s="51">
        <f t="shared" si="47"/>
        <v>0</v>
      </c>
      <c r="G161" s="51">
        <f t="shared" si="44"/>
        <v>0</v>
      </c>
      <c r="H161" s="51">
        <f t="shared" si="44"/>
        <v>0</v>
      </c>
      <c r="I161" s="51">
        <f t="shared" si="44"/>
        <v>0</v>
      </c>
      <c r="J161" s="51">
        <f t="shared" si="44"/>
        <v>0</v>
      </c>
      <c r="K161" s="51">
        <f t="shared" si="44"/>
        <v>0</v>
      </c>
      <c r="L161" s="52">
        <f t="shared" si="44"/>
        <v>0</v>
      </c>
      <c r="M161" s="51">
        <f t="shared" si="44"/>
        <v>0</v>
      </c>
      <c r="N161" s="51">
        <f t="shared" si="44"/>
        <v>0</v>
      </c>
      <c r="O161" s="51">
        <f t="shared" si="44"/>
        <v>0</v>
      </c>
      <c r="P161" s="51">
        <f t="shared" si="44"/>
        <v>0</v>
      </c>
      <c r="Q161" s="51">
        <f t="shared" si="44"/>
        <v>0</v>
      </c>
      <c r="R161" s="51">
        <f t="shared" si="44"/>
        <v>0</v>
      </c>
      <c r="S161" s="51">
        <f t="shared" si="44"/>
        <v>0</v>
      </c>
      <c r="T161" s="51">
        <f t="shared" si="44"/>
        <v>0</v>
      </c>
      <c r="U161" s="51">
        <f t="shared" si="44"/>
        <v>0</v>
      </c>
      <c r="V161" s="51">
        <f t="shared" si="44"/>
        <v>0</v>
      </c>
      <c r="W161" s="51">
        <f t="shared" si="44"/>
        <v>0</v>
      </c>
      <c r="X161" s="55">
        <f t="shared" si="44"/>
        <v>0</v>
      </c>
      <c r="Y161" s="59">
        <f t="shared" si="44"/>
        <v>0</v>
      </c>
      <c r="Z161" s="51">
        <f t="shared" si="44"/>
        <v>0</v>
      </c>
      <c r="AA161" s="51">
        <f t="shared" si="44"/>
        <v>0</v>
      </c>
      <c r="AC161" s="30" t="s">
        <v>60</v>
      </c>
      <c r="AD161" s="32" t="s">
        <v>23</v>
      </c>
      <c r="AE161" s="31" t="s">
        <v>64</v>
      </c>
      <c r="AF161" s="2"/>
      <c r="AG161" s="2"/>
      <c r="AH161" s="1" t="str">
        <f t="shared" si="46"/>
        <v/>
      </c>
      <c r="AI161" s="1" t="str">
        <f t="shared" si="46"/>
        <v/>
      </c>
      <c r="AJ161" s="1" t="str">
        <f t="shared" si="46"/>
        <v/>
      </c>
      <c r="AK161" s="1" t="str">
        <f t="shared" si="46"/>
        <v/>
      </c>
      <c r="AL161" s="1" t="str">
        <f t="shared" si="46"/>
        <v/>
      </c>
      <c r="AM161" s="1" t="str">
        <f t="shared" si="46"/>
        <v/>
      </c>
      <c r="AN161" s="52" t="str">
        <f t="shared" si="46"/>
        <v/>
      </c>
      <c r="AO161" s="1" t="str">
        <f t="shared" si="46"/>
        <v/>
      </c>
      <c r="AP161" s="1" t="str">
        <f t="shared" si="46"/>
        <v/>
      </c>
      <c r="AQ161" s="1" t="str">
        <f t="shared" si="46"/>
        <v/>
      </c>
      <c r="AR161" s="1" t="str">
        <f t="shared" si="46"/>
        <v/>
      </c>
      <c r="AS161" s="1" t="str">
        <f t="shared" si="46"/>
        <v/>
      </c>
      <c r="AT161" s="1" t="str">
        <f t="shared" si="46"/>
        <v/>
      </c>
      <c r="AU161" s="1" t="str">
        <f t="shared" si="46"/>
        <v/>
      </c>
      <c r="AV161" s="1" t="str">
        <f t="shared" si="46"/>
        <v/>
      </c>
      <c r="AW161" s="1" t="str">
        <f t="shared" si="45"/>
        <v/>
      </c>
      <c r="AX161" s="1" t="str">
        <f t="shared" si="45"/>
        <v/>
      </c>
      <c r="AY161" s="1" t="str">
        <f t="shared" si="45"/>
        <v/>
      </c>
      <c r="AZ161" s="1" t="str">
        <f t="shared" si="45"/>
        <v/>
      </c>
      <c r="BA161" s="1" t="str">
        <f t="shared" si="45"/>
        <v/>
      </c>
      <c r="BB161" s="1" t="str">
        <f t="shared" si="45"/>
        <v/>
      </c>
      <c r="BC161" s="1" t="str">
        <f t="shared" si="45"/>
        <v/>
      </c>
    </row>
    <row r="162" spans="1:55" x14ac:dyDescent="0.25">
      <c r="A162" s="30" t="s">
        <v>60</v>
      </c>
      <c r="B162" s="32" t="s">
        <v>65</v>
      </c>
      <c r="C162" s="31" t="s">
        <v>66</v>
      </c>
      <c r="D162" s="2"/>
      <c r="E162" s="2"/>
      <c r="F162" s="51">
        <f t="shared" si="47"/>
        <v>0</v>
      </c>
      <c r="G162" s="51">
        <f t="shared" si="44"/>
        <v>0</v>
      </c>
      <c r="H162" s="51">
        <f t="shared" si="44"/>
        <v>0</v>
      </c>
      <c r="I162" s="51">
        <f t="shared" si="44"/>
        <v>0</v>
      </c>
      <c r="J162" s="77">
        <v>56</v>
      </c>
      <c r="K162" s="51">
        <f t="shared" si="44"/>
        <v>0</v>
      </c>
      <c r="L162" s="52">
        <f t="shared" si="44"/>
        <v>0</v>
      </c>
      <c r="M162" s="77">
        <f>300</f>
        <v>300</v>
      </c>
      <c r="N162" s="51">
        <f t="shared" si="44"/>
        <v>0</v>
      </c>
      <c r="O162" s="51">
        <f t="shared" si="44"/>
        <v>0</v>
      </c>
      <c r="P162" s="51">
        <f t="shared" si="44"/>
        <v>0</v>
      </c>
      <c r="Q162" s="51">
        <f t="shared" si="44"/>
        <v>0</v>
      </c>
      <c r="R162" s="51">
        <f t="shared" si="44"/>
        <v>0</v>
      </c>
      <c r="S162" s="51">
        <f t="shared" si="44"/>
        <v>0</v>
      </c>
      <c r="T162" s="51">
        <f t="shared" si="44"/>
        <v>0</v>
      </c>
      <c r="U162" s="51">
        <f t="shared" si="44"/>
        <v>0</v>
      </c>
      <c r="V162" s="51">
        <f t="shared" si="44"/>
        <v>0</v>
      </c>
      <c r="W162" s="51">
        <f t="shared" si="44"/>
        <v>0</v>
      </c>
      <c r="X162" s="55">
        <f t="shared" si="44"/>
        <v>0</v>
      </c>
      <c r="Y162" s="59">
        <f t="shared" si="44"/>
        <v>56</v>
      </c>
      <c r="Z162" s="51">
        <f t="shared" si="44"/>
        <v>300</v>
      </c>
      <c r="AA162" s="51">
        <f t="shared" si="44"/>
        <v>145.89473684210529</v>
      </c>
      <c r="AC162" s="30" t="s">
        <v>60</v>
      </c>
      <c r="AD162" s="32" t="s">
        <v>65</v>
      </c>
      <c r="AE162" s="31" t="s">
        <v>66</v>
      </c>
      <c r="AF162" s="2"/>
      <c r="AG162" s="2"/>
      <c r="AH162" s="1" t="str">
        <f t="shared" si="46"/>
        <v/>
      </c>
      <c r="AI162" s="1" t="str">
        <f t="shared" si="46"/>
        <v/>
      </c>
      <c r="AJ162" s="1" t="str">
        <f t="shared" si="46"/>
        <v/>
      </c>
      <c r="AK162" s="1" t="str">
        <f t="shared" si="46"/>
        <v/>
      </c>
      <c r="AL162" s="1">
        <f t="shared" si="46"/>
        <v>6.72</v>
      </c>
      <c r="AM162" s="1" t="str">
        <f t="shared" si="46"/>
        <v/>
      </c>
      <c r="AN162" s="52" t="str">
        <f t="shared" si="46"/>
        <v/>
      </c>
      <c r="AO162" s="1">
        <f t="shared" si="46"/>
        <v>35.999999999999993</v>
      </c>
      <c r="AP162" s="1" t="str">
        <f t="shared" si="46"/>
        <v/>
      </c>
      <c r="AQ162" s="1" t="str">
        <f t="shared" si="46"/>
        <v/>
      </c>
      <c r="AR162" s="1" t="str">
        <f t="shared" si="46"/>
        <v/>
      </c>
      <c r="AS162" s="1" t="str">
        <f t="shared" si="46"/>
        <v/>
      </c>
      <c r="AT162" s="1" t="str">
        <f t="shared" si="46"/>
        <v/>
      </c>
      <c r="AU162" s="1" t="str">
        <f t="shared" si="46"/>
        <v/>
      </c>
      <c r="AV162" s="1" t="str">
        <f t="shared" si="46"/>
        <v/>
      </c>
      <c r="AW162" s="1" t="str">
        <f t="shared" si="45"/>
        <v/>
      </c>
      <c r="AX162" s="1" t="str">
        <f t="shared" si="45"/>
        <v/>
      </c>
      <c r="AY162" s="1" t="str">
        <f t="shared" si="45"/>
        <v/>
      </c>
      <c r="AZ162" s="1" t="str">
        <f t="shared" si="45"/>
        <v/>
      </c>
      <c r="BA162" s="1">
        <f t="shared" si="45"/>
        <v>6.72</v>
      </c>
      <c r="BB162" s="1">
        <f t="shared" si="45"/>
        <v>35.999999999999993</v>
      </c>
      <c r="BC162" s="1">
        <f t="shared" si="45"/>
        <v>17.507368421052632</v>
      </c>
    </row>
    <row r="163" spans="1:55" x14ac:dyDescent="0.25">
      <c r="A163" s="30" t="s">
        <v>60</v>
      </c>
      <c r="B163" s="32" t="s">
        <v>65</v>
      </c>
      <c r="C163" s="31" t="s">
        <v>67</v>
      </c>
      <c r="D163" s="2"/>
      <c r="E163" s="2"/>
      <c r="F163" s="51">
        <f t="shared" si="47"/>
        <v>0</v>
      </c>
      <c r="G163" s="51">
        <f t="shared" si="44"/>
        <v>0</v>
      </c>
      <c r="H163" s="51">
        <f t="shared" si="44"/>
        <v>0</v>
      </c>
      <c r="I163" s="51">
        <f t="shared" si="44"/>
        <v>0</v>
      </c>
      <c r="J163" s="51">
        <f t="shared" si="44"/>
        <v>0</v>
      </c>
      <c r="K163" s="51">
        <f t="shared" si="44"/>
        <v>0</v>
      </c>
      <c r="L163" s="52">
        <f t="shared" si="44"/>
        <v>0</v>
      </c>
      <c r="M163" s="51">
        <f t="shared" si="44"/>
        <v>0</v>
      </c>
      <c r="N163" s="51">
        <f t="shared" si="44"/>
        <v>0</v>
      </c>
      <c r="O163" s="51">
        <f t="shared" si="44"/>
        <v>0</v>
      </c>
      <c r="P163" s="51">
        <f t="shared" si="44"/>
        <v>0</v>
      </c>
      <c r="Q163" s="77">
        <v>940</v>
      </c>
      <c r="R163" s="77">
        <v>426</v>
      </c>
      <c r="S163" s="51">
        <f t="shared" si="44"/>
        <v>0</v>
      </c>
      <c r="T163" s="77">
        <v>426</v>
      </c>
      <c r="U163" s="77">
        <v>426</v>
      </c>
      <c r="V163" s="77">
        <v>426</v>
      </c>
      <c r="W163" s="77">
        <v>426</v>
      </c>
      <c r="X163" s="79">
        <v>426</v>
      </c>
      <c r="Y163" s="59">
        <f t="shared" si="44"/>
        <v>0</v>
      </c>
      <c r="Z163" s="51">
        <f t="shared" si="44"/>
        <v>510.42489282206174</v>
      </c>
      <c r="AA163" s="51">
        <f t="shared" si="44"/>
        <v>510.42489282206174</v>
      </c>
      <c r="AC163" s="30" t="s">
        <v>60</v>
      </c>
      <c r="AD163" s="32" t="s">
        <v>65</v>
      </c>
      <c r="AE163" s="31" t="s">
        <v>67</v>
      </c>
      <c r="AF163" s="2"/>
      <c r="AG163" s="2"/>
      <c r="AH163" s="1" t="str">
        <f t="shared" si="46"/>
        <v/>
      </c>
      <c r="AI163" s="1" t="str">
        <f t="shared" si="46"/>
        <v/>
      </c>
      <c r="AJ163" s="1" t="str">
        <f t="shared" si="46"/>
        <v/>
      </c>
      <c r="AK163" s="1" t="str">
        <f t="shared" si="46"/>
        <v/>
      </c>
      <c r="AL163" s="1" t="str">
        <f t="shared" si="46"/>
        <v/>
      </c>
      <c r="AM163" s="1" t="str">
        <f t="shared" si="46"/>
        <v/>
      </c>
      <c r="AN163" s="52" t="str">
        <f t="shared" si="46"/>
        <v/>
      </c>
      <c r="AO163" s="1" t="str">
        <f t="shared" si="46"/>
        <v/>
      </c>
      <c r="AP163" s="1" t="str">
        <f t="shared" si="46"/>
        <v/>
      </c>
      <c r="AQ163" s="1" t="str">
        <f t="shared" si="46"/>
        <v/>
      </c>
      <c r="AR163" s="1" t="str">
        <f t="shared" si="46"/>
        <v/>
      </c>
      <c r="AS163" s="1">
        <f t="shared" si="46"/>
        <v>140.99999999999997</v>
      </c>
      <c r="AT163" s="1">
        <f t="shared" si="46"/>
        <v>76.679999999999993</v>
      </c>
      <c r="AU163" s="1" t="str">
        <f t="shared" si="46"/>
        <v/>
      </c>
      <c r="AV163" s="1">
        <f t="shared" si="46"/>
        <v>63.9</v>
      </c>
      <c r="AW163" s="1">
        <f t="shared" si="45"/>
        <v>51.120000000000005</v>
      </c>
      <c r="AX163" s="1">
        <f t="shared" si="45"/>
        <v>51.11999999999999</v>
      </c>
      <c r="AY163" s="1">
        <f t="shared" si="45"/>
        <v>51.12</v>
      </c>
      <c r="AZ163" s="1">
        <f t="shared" si="45"/>
        <v>51.12</v>
      </c>
      <c r="BA163" s="1" t="str">
        <f t="shared" si="45"/>
        <v/>
      </c>
      <c r="BB163" s="1">
        <f t="shared" si="45"/>
        <v>74.109944827459586</v>
      </c>
      <c r="BC163" s="1">
        <f t="shared" si="45"/>
        <v>74.109944827459586</v>
      </c>
    </row>
    <row r="164" spans="1:55" x14ac:dyDescent="0.25">
      <c r="A164" s="30" t="s">
        <v>60</v>
      </c>
      <c r="B164" s="32" t="s">
        <v>65</v>
      </c>
      <c r="C164" s="31" t="s">
        <v>68</v>
      </c>
      <c r="D164" s="2"/>
      <c r="E164" s="2"/>
      <c r="F164" s="51">
        <f t="shared" si="47"/>
        <v>0</v>
      </c>
      <c r="G164" s="51">
        <f t="shared" si="44"/>
        <v>0</v>
      </c>
      <c r="H164" s="51">
        <f t="shared" si="44"/>
        <v>0</v>
      </c>
      <c r="I164" s="51">
        <f t="shared" si="44"/>
        <v>0</v>
      </c>
      <c r="J164" s="51">
        <f t="shared" si="44"/>
        <v>0</v>
      </c>
      <c r="K164" s="51">
        <f t="shared" si="44"/>
        <v>0</v>
      </c>
      <c r="L164" s="77">
        <v>750</v>
      </c>
      <c r="M164" s="51">
        <f t="shared" si="44"/>
        <v>0</v>
      </c>
      <c r="N164" s="51">
        <f t="shared" si="44"/>
        <v>0</v>
      </c>
      <c r="O164" s="51">
        <f t="shared" si="44"/>
        <v>0</v>
      </c>
      <c r="P164" s="51">
        <f t="shared" si="44"/>
        <v>0</v>
      </c>
      <c r="Q164" s="51">
        <f t="shared" si="44"/>
        <v>0</v>
      </c>
      <c r="R164" s="51">
        <f t="shared" si="44"/>
        <v>0</v>
      </c>
      <c r="S164" s="51">
        <f t="shared" si="44"/>
        <v>0</v>
      </c>
      <c r="T164" s="51">
        <f t="shared" si="44"/>
        <v>0</v>
      </c>
      <c r="U164" s="51">
        <f t="shared" si="44"/>
        <v>0</v>
      </c>
      <c r="V164" s="51">
        <f t="shared" si="44"/>
        <v>0</v>
      </c>
      <c r="W164" s="51">
        <f t="shared" si="44"/>
        <v>0</v>
      </c>
      <c r="X164" s="55">
        <f t="shared" si="44"/>
        <v>0</v>
      </c>
      <c r="Y164" s="59">
        <f t="shared" si="44"/>
        <v>0</v>
      </c>
      <c r="Z164" s="51">
        <f t="shared" si="44"/>
        <v>0</v>
      </c>
      <c r="AA164" s="51">
        <f t="shared" si="44"/>
        <v>750</v>
      </c>
      <c r="AC164" s="30" t="s">
        <v>60</v>
      </c>
      <c r="AD164" s="32" t="s">
        <v>65</v>
      </c>
      <c r="AE164" s="31" t="s">
        <v>68</v>
      </c>
      <c r="AF164" s="2"/>
      <c r="AG164" s="2"/>
      <c r="AH164" s="1" t="str">
        <f t="shared" si="46"/>
        <v/>
      </c>
      <c r="AI164" s="1" t="str">
        <f t="shared" si="46"/>
        <v/>
      </c>
      <c r="AJ164" s="1" t="str">
        <f t="shared" si="46"/>
        <v/>
      </c>
      <c r="AK164" s="1" t="str">
        <f t="shared" si="46"/>
        <v/>
      </c>
      <c r="AL164" s="1" t="str">
        <f t="shared" si="46"/>
        <v/>
      </c>
      <c r="AM164" s="1" t="str">
        <f t="shared" si="46"/>
        <v/>
      </c>
      <c r="AN164" s="52">
        <f t="shared" si="46"/>
        <v>67.499999999999986</v>
      </c>
      <c r="AO164" s="1" t="str">
        <f t="shared" si="46"/>
        <v/>
      </c>
      <c r="AP164" s="1" t="str">
        <f t="shared" si="46"/>
        <v/>
      </c>
      <c r="AQ164" s="1" t="str">
        <f t="shared" si="46"/>
        <v/>
      </c>
      <c r="AR164" s="1" t="str">
        <f t="shared" si="46"/>
        <v/>
      </c>
      <c r="AS164" s="1" t="str">
        <f t="shared" si="46"/>
        <v/>
      </c>
      <c r="AT164" s="1" t="str">
        <f t="shared" si="46"/>
        <v/>
      </c>
      <c r="AU164" s="1" t="str">
        <f t="shared" si="46"/>
        <v/>
      </c>
      <c r="AV164" s="1" t="str">
        <f t="shared" si="46"/>
        <v/>
      </c>
      <c r="AW164" s="1" t="str">
        <f t="shared" si="45"/>
        <v/>
      </c>
      <c r="AX164" s="1" t="str">
        <f t="shared" si="45"/>
        <v/>
      </c>
      <c r="AY164" s="1" t="str">
        <f t="shared" si="45"/>
        <v/>
      </c>
      <c r="AZ164" s="1" t="str">
        <f t="shared" si="45"/>
        <v/>
      </c>
      <c r="BA164" s="1" t="str">
        <f t="shared" si="45"/>
        <v/>
      </c>
      <c r="BB164" s="1" t="str">
        <f t="shared" si="45"/>
        <v/>
      </c>
      <c r="BC164" s="1">
        <f t="shared" si="45"/>
        <v>67.499999999999986</v>
      </c>
    </row>
    <row r="165" spans="1:55" x14ac:dyDescent="0.25">
      <c r="A165" s="30" t="s">
        <v>60</v>
      </c>
      <c r="B165" s="32" t="s">
        <v>9</v>
      </c>
      <c r="C165" s="31" t="s">
        <v>69</v>
      </c>
      <c r="D165" s="2"/>
      <c r="E165" s="2"/>
      <c r="F165" s="51">
        <f t="shared" si="47"/>
        <v>0</v>
      </c>
      <c r="G165" s="51">
        <f t="shared" si="44"/>
        <v>0</v>
      </c>
      <c r="H165" s="51">
        <f t="shared" si="44"/>
        <v>0</v>
      </c>
      <c r="I165" s="51">
        <f t="shared" si="44"/>
        <v>0</v>
      </c>
      <c r="J165" s="51">
        <f t="shared" si="44"/>
        <v>0</v>
      </c>
      <c r="K165" s="51">
        <f t="shared" si="44"/>
        <v>0</v>
      </c>
      <c r="L165" s="52">
        <f t="shared" si="44"/>
        <v>0</v>
      </c>
      <c r="M165" s="51">
        <f t="shared" si="44"/>
        <v>0</v>
      </c>
      <c r="N165" s="51">
        <f t="shared" si="44"/>
        <v>0</v>
      </c>
      <c r="O165" s="51">
        <f t="shared" si="44"/>
        <v>0</v>
      </c>
      <c r="P165" s="51">
        <f t="shared" si="44"/>
        <v>0</v>
      </c>
      <c r="Q165" s="51">
        <f t="shared" si="44"/>
        <v>0</v>
      </c>
      <c r="R165" s="51">
        <f t="shared" si="44"/>
        <v>0</v>
      </c>
      <c r="S165" s="51">
        <f t="shared" si="44"/>
        <v>0</v>
      </c>
      <c r="T165" s="51">
        <f t="shared" si="44"/>
        <v>0</v>
      </c>
      <c r="U165" s="51">
        <f t="shared" si="44"/>
        <v>0</v>
      </c>
      <c r="V165" s="51">
        <f t="shared" si="44"/>
        <v>0</v>
      </c>
      <c r="W165" s="51">
        <f t="shared" si="44"/>
        <v>0</v>
      </c>
      <c r="X165" s="79">
        <v>426</v>
      </c>
      <c r="Y165" s="59">
        <f t="shared" si="44"/>
        <v>0</v>
      </c>
      <c r="Z165" s="51">
        <f t="shared" si="44"/>
        <v>643.56672000000003</v>
      </c>
      <c r="AA165" s="51">
        <f t="shared" si="44"/>
        <v>643.56672000000003</v>
      </c>
      <c r="AC165" s="30" t="s">
        <v>60</v>
      </c>
      <c r="AD165" s="32" t="s">
        <v>9</v>
      </c>
      <c r="AE165" s="31" t="s">
        <v>69</v>
      </c>
      <c r="AF165" s="2"/>
      <c r="AG165" s="2"/>
      <c r="AH165" s="1" t="str">
        <f t="shared" si="46"/>
        <v/>
      </c>
      <c r="AI165" s="1" t="str">
        <f t="shared" si="46"/>
        <v/>
      </c>
      <c r="AJ165" s="1" t="str">
        <f t="shared" si="46"/>
        <v/>
      </c>
      <c r="AK165" s="1" t="str">
        <f t="shared" si="46"/>
        <v/>
      </c>
      <c r="AL165" s="1" t="str">
        <f t="shared" si="46"/>
        <v/>
      </c>
      <c r="AM165" s="1" t="str">
        <f t="shared" si="46"/>
        <v/>
      </c>
      <c r="AN165" s="52" t="str">
        <f t="shared" si="46"/>
        <v/>
      </c>
      <c r="AO165" s="1" t="str">
        <f t="shared" si="46"/>
        <v/>
      </c>
      <c r="AP165" s="1" t="str">
        <f t="shared" si="46"/>
        <v/>
      </c>
      <c r="AQ165" s="1" t="str">
        <f t="shared" si="46"/>
        <v/>
      </c>
      <c r="AR165" s="1" t="str">
        <f t="shared" si="46"/>
        <v/>
      </c>
      <c r="AS165" s="1" t="str">
        <f t="shared" si="46"/>
        <v/>
      </c>
      <c r="AT165" s="1" t="str">
        <f t="shared" si="46"/>
        <v/>
      </c>
      <c r="AU165" s="1" t="str">
        <f t="shared" si="46"/>
        <v/>
      </c>
      <c r="AV165" s="1" t="str">
        <f t="shared" si="46"/>
        <v/>
      </c>
      <c r="AW165" s="1" t="str">
        <f t="shared" si="45"/>
        <v/>
      </c>
      <c r="AX165" s="1" t="str">
        <f t="shared" si="45"/>
        <v/>
      </c>
      <c r="AY165" s="1" t="str">
        <f t="shared" si="45"/>
        <v/>
      </c>
      <c r="AZ165" s="1">
        <f t="shared" si="45"/>
        <v>178.92000000000002</v>
      </c>
      <c r="BA165" s="1" t="str">
        <f t="shared" si="45"/>
        <v/>
      </c>
      <c r="BB165" s="1">
        <f t="shared" si="45"/>
        <v>396.48671999999999</v>
      </c>
      <c r="BC165" s="1">
        <f t="shared" si="45"/>
        <v>396.48671999999999</v>
      </c>
    </row>
    <row r="166" spans="1:55" x14ac:dyDescent="0.25">
      <c r="A166" s="15" t="s">
        <v>51</v>
      </c>
      <c r="B166" s="16" t="s">
        <v>56</v>
      </c>
      <c r="C166" s="27" t="s">
        <v>57</v>
      </c>
      <c r="D166" s="16" t="s">
        <v>70</v>
      </c>
      <c r="E166" s="16"/>
      <c r="F166" s="1">
        <f t="shared" si="47"/>
        <v>0</v>
      </c>
      <c r="G166" s="1">
        <f t="shared" si="44"/>
        <v>0</v>
      </c>
      <c r="H166" s="1">
        <f t="shared" si="44"/>
        <v>0</v>
      </c>
      <c r="I166" s="1">
        <f t="shared" si="44"/>
        <v>0</v>
      </c>
      <c r="J166" s="1">
        <f t="shared" si="44"/>
        <v>0</v>
      </c>
      <c r="K166" s="1">
        <f t="shared" si="44"/>
        <v>0</v>
      </c>
      <c r="L166" s="52">
        <f t="shared" si="44"/>
        <v>0</v>
      </c>
      <c r="M166" s="1">
        <f t="shared" si="44"/>
        <v>0</v>
      </c>
      <c r="N166" s="1">
        <f t="shared" si="44"/>
        <v>0</v>
      </c>
      <c r="O166" s="1">
        <f t="shared" si="44"/>
        <v>0</v>
      </c>
      <c r="P166" s="1">
        <f t="shared" si="44"/>
        <v>0</v>
      </c>
      <c r="Q166" s="1">
        <f t="shared" si="44"/>
        <v>0</v>
      </c>
      <c r="R166" s="1">
        <f t="shared" si="44"/>
        <v>0</v>
      </c>
      <c r="S166" s="1">
        <f t="shared" si="44"/>
        <v>0</v>
      </c>
      <c r="T166" s="1">
        <f t="shared" si="44"/>
        <v>0</v>
      </c>
      <c r="U166" s="1">
        <f t="shared" ref="G166:AA180" si="48">IF(U211&gt;0,U31/U211,0)</f>
        <v>0</v>
      </c>
      <c r="V166" s="1">
        <f t="shared" si="48"/>
        <v>0</v>
      </c>
      <c r="W166" s="1">
        <f t="shared" si="48"/>
        <v>0</v>
      </c>
      <c r="X166" s="54">
        <f t="shared" si="48"/>
        <v>0</v>
      </c>
      <c r="Y166" s="58">
        <f t="shared" si="48"/>
        <v>0</v>
      </c>
      <c r="Z166" s="1">
        <f t="shared" si="48"/>
        <v>0</v>
      </c>
      <c r="AA166" s="1">
        <f t="shared" si="48"/>
        <v>0</v>
      </c>
      <c r="AC166" s="15" t="s">
        <v>51</v>
      </c>
      <c r="AD166" s="16" t="s">
        <v>56</v>
      </c>
      <c r="AE166" s="27" t="s">
        <v>57</v>
      </c>
      <c r="AF166" s="16" t="s">
        <v>70</v>
      </c>
      <c r="AG166" s="16"/>
      <c r="AH166" s="90" t="str">
        <f t="shared" si="46"/>
        <v/>
      </c>
      <c r="AI166" s="90" t="str">
        <f t="shared" si="46"/>
        <v/>
      </c>
      <c r="AJ166" s="90" t="str">
        <f t="shared" si="46"/>
        <v/>
      </c>
      <c r="AK166" s="90" t="str">
        <f t="shared" si="46"/>
        <v/>
      </c>
      <c r="AL166" s="90" t="str">
        <f t="shared" si="46"/>
        <v/>
      </c>
      <c r="AM166" s="90" t="str">
        <f t="shared" si="46"/>
        <v/>
      </c>
      <c r="AN166" s="90" t="str">
        <f t="shared" si="46"/>
        <v/>
      </c>
      <c r="AO166" s="90" t="str">
        <f t="shared" si="46"/>
        <v/>
      </c>
      <c r="AP166" s="90" t="str">
        <f t="shared" si="46"/>
        <v/>
      </c>
      <c r="AQ166" s="90" t="str">
        <f t="shared" si="46"/>
        <v/>
      </c>
      <c r="AR166" s="90" t="str">
        <f t="shared" si="46"/>
        <v/>
      </c>
      <c r="AS166" s="90" t="str">
        <f t="shared" si="46"/>
        <v/>
      </c>
      <c r="AT166" s="90" t="str">
        <f t="shared" si="46"/>
        <v/>
      </c>
      <c r="AU166" s="90" t="str">
        <f t="shared" si="46"/>
        <v/>
      </c>
      <c r="AV166" s="90" t="str">
        <f t="shared" si="46"/>
        <v/>
      </c>
      <c r="AW166" s="90" t="str">
        <f t="shared" si="45"/>
        <v/>
      </c>
      <c r="AX166" s="90" t="str">
        <f t="shared" si="45"/>
        <v/>
      </c>
      <c r="AY166" s="90" t="str">
        <f t="shared" si="45"/>
        <v/>
      </c>
      <c r="AZ166" s="90" t="str">
        <f t="shared" si="45"/>
        <v/>
      </c>
      <c r="BA166" s="90" t="str">
        <f t="shared" si="45"/>
        <v/>
      </c>
      <c r="BB166" s="90" t="str">
        <f t="shared" si="45"/>
        <v/>
      </c>
      <c r="BC166" s="90" t="str">
        <f t="shared" si="45"/>
        <v/>
      </c>
    </row>
    <row r="167" spans="1:55" x14ac:dyDescent="0.25">
      <c r="A167" s="15" t="s">
        <v>51</v>
      </c>
      <c r="B167" s="16" t="s">
        <v>56</v>
      </c>
      <c r="C167" s="27" t="s">
        <v>57</v>
      </c>
      <c r="D167" s="16" t="s">
        <v>71</v>
      </c>
      <c r="E167" s="16"/>
      <c r="F167" s="1">
        <f t="shared" si="47"/>
        <v>0</v>
      </c>
      <c r="G167" s="1">
        <f t="shared" si="48"/>
        <v>0</v>
      </c>
      <c r="H167" s="1">
        <f t="shared" si="48"/>
        <v>0</v>
      </c>
      <c r="I167" s="1">
        <f t="shared" si="48"/>
        <v>0</v>
      </c>
      <c r="J167" s="1">
        <f t="shared" si="48"/>
        <v>0</v>
      </c>
      <c r="K167" s="1">
        <f t="shared" si="48"/>
        <v>0</v>
      </c>
      <c r="L167" s="52">
        <f t="shared" si="48"/>
        <v>0</v>
      </c>
      <c r="M167" s="1">
        <f t="shared" si="48"/>
        <v>0</v>
      </c>
      <c r="N167" s="1">
        <f t="shared" si="48"/>
        <v>0</v>
      </c>
      <c r="O167" s="1">
        <f t="shared" si="48"/>
        <v>0</v>
      </c>
      <c r="P167" s="1">
        <f t="shared" si="48"/>
        <v>0</v>
      </c>
      <c r="Q167" s="1">
        <f t="shared" si="48"/>
        <v>0</v>
      </c>
      <c r="R167" s="1">
        <f t="shared" si="48"/>
        <v>0</v>
      </c>
      <c r="S167" s="1">
        <f t="shared" si="48"/>
        <v>0</v>
      </c>
      <c r="T167" s="1">
        <f t="shared" si="48"/>
        <v>0</v>
      </c>
      <c r="U167" s="1">
        <f t="shared" si="48"/>
        <v>0</v>
      </c>
      <c r="V167" s="1">
        <f t="shared" si="48"/>
        <v>0</v>
      </c>
      <c r="W167" s="1">
        <f t="shared" si="48"/>
        <v>0</v>
      </c>
      <c r="X167" s="54">
        <f t="shared" si="48"/>
        <v>0</v>
      </c>
      <c r="Y167" s="58">
        <f t="shared" si="48"/>
        <v>0</v>
      </c>
      <c r="Z167" s="1">
        <f t="shared" si="48"/>
        <v>0</v>
      </c>
      <c r="AA167" s="1">
        <f t="shared" si="48"/>
        <v>0</v>
      </c>
      <c r="AC167" s="15" t="s">
        <v>51</v>
      </c>
      <c r="AD167" s="16" t="s">
        <v>56</v>
      </c>
      <c r="AE167" s="27" t="s">
        <v>57</v>
      </c>
      <c r="AF167" s="16" t="s">
        <v>71</v>
      </c>
      <c r="AG167" s="16"/>
      <c r="AH167" s="90" t="str">
        <f t="shared" si="46"/>
        <v/>
      </c>
      <c r="AI167" s="90" t="str">
        <f t="shared" si="46"/>
        <v/>
      </c>
      <c r="AJ167" s="90" t="str">
        <f t="shared" si="46"/>
        <v/>
      </c>
      <c r="AK167" s="90" t="str">
        <f t="shared" si="46"/>
        <v/>
      </c>
      <c r="AL167" s="90" t="str">
        <f t="shared" si="46"/>
        <v/>
      </c>
      <c r="AM167" s="90" t="str">
        <f t="shared" si="46"/>
        <v/>
      </c>
      <c r="AN167" s="90" t="str">
        <f t="shared" si="46"/>
        <v/>
      </c>
      <c r="AO167" s="90" t="str">
        <f t="shared" si="46"/>
        <v/>
      </c>
      <c r="AP167" s="90" t="str">
        <f t="shared" si="46"/>
        <v/>
      </c>
      <c r="AQ167" s="90" t="str">
        <f t="shared" si="46"/>
        <v/>
      </c>
      <c r="AR167" s="90" t="str">
        <f t="shared" si="46"/>
        <v/>
      </c>
      <c r="AS167" s="90" t="str">
        <f t="shared" si="46"/>
        <v/>
      </c>
      <c r="AT167" s="90" t="str">
        <f t="shared" si="46"/>
        <v/>
      </c>
      <c r="AU167" s="90" t="str">
        <f t="shared" si="46"/>
        <v/>
      </c>
      <c r="AV167" s="90" t="str">
        <f t="shared" si="46"/>
        <v/>
      </c>
      <c r="AW167" s="90" t="str">
        <f t="shared" si="45"/>
        <v/>
      </c>
      <c r="AX167" s="90" t="str">
        <f t="shared" si="45"/>
        <v/>
      </c>
      <c r="AY167" s="90" t="str">
        <f t="shared" si="45"/>
        <v/>
      </c>
      <c r="AZ167" s="90" t="str">
        <f t="shared" si="45"/>
        <v/>
      </c>
      <c r="BA167" s="90" t="str">
        <f t="shared" si="45"/>
        <v/>
      </c>
      <c r="BB167" s="90" t="str">
        <f t="shared" si="45"/>
        <v/>
      </c>
      <c r="BC167" s="90" t="str">
        <f t="shared" si="45"/>
        <v/>
      </c>
    </row>
    <row r="168" spans="1:55" x14ac:dyDescent="0.25">
      <c r="A168" s="15" t="s">
        <v>51</v>
      </c>
      <c r="B168" s="16" t="s">
        <v>56</v>
      </c>
      <c r="C168" s="27" t="s">
        <v>27</v>
      </c>
      <c r="D168" s="16" t="s">
        <v>72</v>
      </c>
      <c r="E168" s="16"/>
      <c r="F168" s="1">
        <f t="shared" si="47"/>
        <v>0</v>
      </c>
      <c r="G168" s="1">
        <f t="shared" si="48"/>
        <v>0</v>
      </c>
      <c r="H168" s="1">
        <f t="shared" si="48"/>
        <v>0</v>
      </c>
      <c r="I168" s="1">
        <f t="shared" si="48"/>
        <v>0</v>
      </c>
      <c r="J168" s="1">
        <f t="shared" si="48"/>
        <v>0</v>
      </c>
      <c r="K168" s="1">
        <f t="shared" si="48"/>
        <v>0</v>
      </c>
      <c r="L168" s="52">
        <f t="shared" si="48"/>
        <v>0</v>
      </c>
      <c r="M168" s="1">
        <f t="shared" si="48"/>
        <v>0</v>
      </c>
      <c r="N168" s="1">
        <f t="shared" si="48"/>
        <v>0</v>
      </c>
      <c r="O168" s="1">
        <f t="shared" si="48"/>
        <v>0</v>
      </c>
      <c r="P168" s="1">
        <f t="shared" si="48"/>
        <v>0</v>
      </c>
      <c r="Q168" s="1">
        <f t="shared" si="48"/>
        <v>0</v>
      </c>
      <c r="R168" s="1">
        <f t="shared" si="48"/>
        <v>0</v>
      </c>
      <c r="S168" s="1">
        <f t="shared" si="48"/>
        <v>0</v>
      </c>
      <c r="T168" s="1">
        <f t="shared" si="48"/>
        <v>0</v>
      </c>
      <c r="U168" s="1">
        <f t="shared" si="48"/>
        <v>0</v>
      </c>
      <c r="V168" s="1">
        <f t="shared" si="48"/>
        <v>0</v>
      </c>
      <c r="W168" s="1">
        <f t="shared" si="48"/>
        <v>0</v>
      </c>
      <c r="X168" s="54">
        <f t="shared" si="48"/>
        <v>0</v>
      </c>
      <c r="Y168" s="58">
        <f t="shared" si="48"/>
        <v>0</v>
      </c>
      <c r="Z168" s="1">
        <f t="shared" si="48"/>
        <v>0</v>
      </c>
      <c r="AA168" s="1">
        <f t="shared" si="48"/>
        <v>0</v>
      </c>
      <c r="AC168" s="15" t="s">
        <v>51</v>
      </c>
      <c r="AD168" s="16" t="s">
        <v>56</v>
      </c>
      <c r="AE168" s="27" t="s">
        <v>27</v>
      </c>
      <c r="AF168" s="16" t="s">
        <v>72</v>
      </c>
      <c r="AG168" s="16"/>
      <c r="AH168" s="90" t="str">
        <f t="shared" si="46"/>
        <v/>
      </c>
      <c r="AI168" s="90" t="str">
        <f t="shared" si="46"/>
        <v/>
      </c>
      <c r="AJ168" s="90" t="str">
        <f t="shared" si="46"/>
        <v/>
      </c>
      <c r="AK168" s="90" t="str">
        <f t="shared" si="46"/>
        <v/>
      </c>
      <c r="AL168" s="90" t="str">
        <f t="shared" si="46"/>
        <v/>
      </c>
      <c r="AM168" s="90" t="str">
        <f t="shared" si="46"/>
        <v/>
      </c>
      <c r="AN168" s="90" t="str">
        <f t="shared" si="46"/>
        <v/>
      </c>
      <c r="AO168" s="90" t="str">
        <f t="shared" si="46"/>
        <v/>
      </c>
      <c r="AP168" s="90" t="str">
        <f t="shared" si="46"/>
        <v/>
      </c>
      <c r="AQ168" s="90" t="str">
        <f t="shared" si="46"/>
        <v/>
      </c>
      <c r="AR168" s="90" t="str">
        <f t="shared" si="46"/>
        <v/>
      </c>
      <c r="AS168" s="90" t="str">
        <f t="shared" si="46"/>
        <v/>
      </c>
      <c r="AT168" s="90" t="str">
        <f t="shared" si="46"/>
        <v/>
      </c>
      <c r="AU168" s="90" t="str">
        <f t="shared" si="46"/>
        <v/>
      </c>
      <c r="AV168" s="90" t="str">
        <f t="shared" si="46"/>
        <v/>
      </c>
      <c r="AW168" s="90" t="str">
        <f t="shared" si="45"/>
        <v/>
      </c>
      <c r="AX168" s="90" t="str">
        <f t="shared" si="45"/>
        <v/>
      </c>
      <c r="AY168" s="90" t="str">
        <f t="shared" si="45"/>
        <v/>
      </c>
      <c r="AZ168" s="90" t="str">
        <f t="shared" si="45"/>
        <v/>
      </c>
      <c r="BA168" s="90" t="str">
        <f t="shared" si="45"/>
        <v/>
      </c>
      <c r="BB168" s="90" t="str">
        <f t="shared" si="45"/>
        <v/>
      </c>
      <c r="BC168" s="90" t="str">
        <f t="shared" si="45"/>
        <v/>
      </c>
    </row>
    <row r="169" spans="1:55" x14ac:dyDescent="0.25">
      <c r="A169" s="15" t="s">
        <v>51</v>
      </c>
      <c r="B169" s="16" t="s">
        <v>56</v>
      </c>
      <c r="C169" s="27" t="s">
        <v>57</v>
      </c>
      <c r="D169" s="16" t="s">
        <v>73</v>
      </c>
      <c r="E169" s="16"/>
      <c r="F169" s="1">
        <f t="shared" si="47"/>
        <v>0</v>
      </c>
      <c r="G169" s="1">
        <f t="shared" si="48"/>
        <v>0</v>
      </c>
      <c r="H169" s="1">
        <f t="shared" si="48"/>
        <v>0</v>
      </c>
      <c r="I169" s="1">
        <f t="shared" si="48"/>
        <v>0</v>
      </c>
      <c r="J169" s="1">
        <f t="shared" si="48"/>
        <v>0</v>
      </c>
      <c r="K169" s="1">
        <f t="shared" si="48"/>
        <v>0</v>
      </c>
      <c r="L169" s="52">
        <f t="shared" si="48"/>
        <v>0</v>
      </c>
      <c r="M169" s="1">
        <f t="shared" si="48"/>
        <v>0</v>
      </c>
      <c r="N169" s="1">
        <f t="shared" si="48"/>
        <v>0</v>
      </c>
      <c r="O169" s="1">
        <f t="shared" si="48"/>
        <v>0</v>
      </c>
      <c r="P169" s="1">
        <f t="shared" si="48"/>
        <v>0</v>
      </c>
      <c r="Q169" s="1">
        <f t="shared" si="48"/>
        <v>0</v>
      </c>
      <c r="R169" s="1">
        <f t="shared" si="48"/>
        <v>0</v>
      </c>
      <c r="S169" s="1">
        <f t="shared" si="48"/>
        <v>0</v>
      </c>
      <c r="T169" s="1">
        <f t="shared" si="48"/>
        <v>0</v>
      </c>
      <c r="U169" s="1">
        <f t="shared" si="48"/>
        <v>0</v>
      </c>
      <c r="V169" s="1">
        <f t="shared" si="48"/>
        <v>0</v>
      </c>
      <c r="W169" s="1">
        <f t="shared" si="48"/>
        <v>0</v>
      </c>
      <c r="X169" s="54">
        <f t="shared" si="48"/>
        <v>0</v>
      </c>
      <c r="Y169" s="58">
        <f t="shared" si="48"/>
        <v>0</v>
      </c>
      <c r="Z169" s="1">
        <f t="shared" si="48"/>
        <v>0</v>
      </c>
      <c r="AA169" s="1">
        <f t="shared" si="48"/>
        <v>0</v>
      </c>
      <c r="AC169" s="15" t="s">
        <v>51</v>
      </c>
      <c r="AD169" s="16" t="s">
        <v>56</v>
      </c>
      <c r="AE169" s="27" t="s">
        <v>57</v>
      </c>
      <c r="AF169" s="16" t="s">
        <v>73</v>
      </c>
      <c r="AG169" s="16"/>
      <c r="AH169" s="90" t="str">
        <f t="shared" si="46"/>
        <v/>
      </c>
      <c r="AI169" s="90" t="str">
        <f t="shared" si="46"/>
        <v/>
      </c>
      <c r="AJ169" s="90" t="str">
        <f t="shared" si="46"/>
        <v/>
      </c>
      <c r="AK169" s="90" t="str">
        <f t="shared" si="46"/>
        <v/>
      </c>
      <c r="AL169" s="90" t="str">
        <f t="shared" si="46"/>
        <v/>
      </c>
      <c r="AM169" s="90" t="str">
        <f t="shared" si="46"/>
        <v/>
      </c>
      <c r="AN169" s="90" t="str">
        <f t="shared" si="46"/>
        <v/>
      </c>
      <c r="AO169" s="90" t="str">
        <f t="shared" si="46"/>
        <v/>
      </c>
      <c r="AP169" s="90" t="str">
        <f t="shared" si="46"/>
        <v/>
      </c>
      <c r="AQ169" s="90" t="str">
        <f t="shared" si="46"/>
        <v/>
      </c>
      <c r="AR169" s="90" t="str">
        <f t="shared" si="46"/>
        <v/>
      </c>
      <c r="AS169" s="90" t="str">
        <f t="shared" si="46"/>
        <v/>
      </c>
      <c r="AT169" s="90" t="str">
        <f t="shared" si="46"/>
        <v/>
      </c>
      <c r="AU169" s="90" t="str">
        <f t="shared" si="46"/>
        <v/>
      </c>
      <c r="AV169" s="90" t="str">
        <f t="shared" si="46"/>
        <v/>
      </c>
      <c r="AW169" s="90" t="str">
        <f t="shared" si="45"/>
        <v/>
      </c>
      <c r="AX169" s="90" t="str">
        <f t="shared" si="45"/>
        <v/>
      </c>
      <c r="AY169" s="90" t="str">
        <f t="shared" si="45"/>
        <v/>
      </c>
      <c r="AZ169" s="90" t="str">
        <f t="shared" si="45"/>
        <v/>
      </c>
      <c r="BA169" s="90" t="str">
        <f t="shared" si="45"/>
        <v/>
      </c>
      <c r="BB169" s="90" t="str">
        <f t="shared" si="45"/>
        <v/>
      </c>
      <c r="BC169" s="90" t="str">
        <f t="shared" si="45"/>
        <v/>
      </c>
    </row>
    <row r="170" spans="1:55" x14ac:dyDescent="0.25">
      <c r="A170" s="15" t="s">
        <v>51</v>
      </c>
      <c r="B170" s="16" t="s">
        <v>56</v>
      </c>
      <c r="C170" s="27" t="s">
        <v>57</v>
      </c>
      <c r="D170" s="16" t="s">
        <v>74</v>
      </c>
      <c r="E170" s="16"/>
      <c r="F170" s="1">
        <f t="shared" si="47"/>
        <v>0</v>
      </c>
      <c r="G170" s="1">
        <f t="shared" si="48"/>
        <v>0</v>
      </c>
      <c r="H170" s="1">
        <f t="shared" si="48"/>
        <v>0</v>
      </c>
      <c r="I170" s="1">
        <f t="shared" si="48"/>
        <v>0</v>
      </c>
      <c r="J170" s="1">
        <f t="shared" si="48"/>
        <v>0</v>
      </c>
      <c r="K170" s="1">
        <f t="shared" si="48"/>
        <v>0</v>
      </c>
      <c r="L170" s="52">
        <f t="shared" si="48"/>
        <v>0</v>
      </c>
      <c r="M170" s="1">
        <f t="shared" si="48"/>
        <v>0</v>
      </c>
      <c r="N170" s="1">
        <f t="shared" si="48"/>
        <v>0</v>
      </c>
      <c r="O170" s="1">
        <f t="shared" si="48"/>
        <v>0</v>
      </c>
      <c r="P170" s="1">
        <f t="shared" si="48"/>
        <v>0</v>
      </c>
      <c r="Q170" s="1">
        <f t="shared" si="48"/>
        <v>0</v>
      </c>
      <c r="R170" s="1">
        <f t="shared" si="48"/>
        <v>0</v>
      </c>
      <c r="S170" s="1">
        <f t="shared" si="48"/>
        <v>0</v>
      </c>
      <c r="T170" s="1">
        <f t="shared" si="48"/>
        <v>0</v>
      </c>
      <c r="U170" s="1">
        <f t="shared" si="48"/>
        <v>0</v>
      </c>
      <c r="V170" s="1">
        <f t="shared" si="48"/>
        <v>0</v>
      </c>
      <c r="W170" s="1">
        <f t="shared" si="48"/>
        <v>0</v>
      </c>
      <c r="X170" s="54">
        <f t="shared" si="48"/>
        <v>0</v>
      </c>
      <c r="Y170" s="58">
        <f t="shared" si="48"/>
        <v>0</v>
      </c>
      <c r="Z170" s="1">
        <f t="shared" si="48"/>
        <v>0</v>
      </c>
      <c r="AA170" s="1">
        <f t="shared" si="48"/>
        <v>0</v>
      </c>
      <c r="AC170" s="15" t="s">
        <v>51</v>
      </c>
      <c r="AD170" s="16" t="s">
        <v>56</v>
      </c>
      <c r="AE170" s="27" t="s">
        <v>57</v>
      </c>
      <c r="AF170" s="16" t="s">
        <v>74</v>
      </c>
      <c r="AG170" s="16"/>
      <c r="AH170" s="90" t="str">
        <f t="shared" si="46"/>
        <v/>
      </c>
      <c r="AI170" s="90" t="str">
        <f t="shared" si="46"/>
        <v/>
      </c>
      <c r="AJ170" s="90" t="str">
        <f t="shared" si="46"/>
        <v/>
      </c>
      <c r="AK170" s="90" t="str">
        <f t="shared" si="46"/>
        <v/>
      </c>
      <c r="AL170" s="90" t="str">
        <f t="shared" si="46"/>
        <v/>
      </c>
      <c r="AM170" s="90" t="str">
        <f t="shared" si="46"/>
        <v/>
      </c>
      <c r="AN170" s="90" t="str">
        <f t="shared" si="46"/>
        <v/>
      </c>
      <c r="AO170" s="90" t="str">
        <f t="shared" si="46"/>
        <v/>
      </c>
      <c r="AP170" s="90" t="str">
        <f t="shared" si="46"/>
        <v/>
      </c>
      <c r="AQ170" s="90" t="str">
        <f t="shared" si="46"/>
        <v/>
      </c>
      <c r="AR170" s="90" t="str">
        <f t="shared" si="46"/>
        <v/>
      </c>
      <c r="AS170" s="90" t="str">
        <f t="shared" si="46"/>
        <v/>
      </c>
      <c r="AT170" s="90" t="str">
        <f t="shared" si="46"/>
        <v/>
      </c>
      <c r="AU170" s="90" t="str">
        <f t="shared" si="46"/>
        <v/>
      </c>
      <c r="AV170" s="90" t="str">
        <f t="shared" si="46"/>
        <v/>
      </c>
      <c r="AW170" s="90" t="str">
        <f t="shared" si="45"/>
        <v/>
      </c>
      <c r="AX170" s="90" t="str">
        <f t="shared" si="45"/>
        <v/>
      </c>
      <c r="AY170" s="90" t="str">
        <f t="shared" si="45"/>
        <v/>
      </c>
      <c r="AZ170" s="90" t="str">
        <f t="shared" si="45"/>
        <v/>
      </c>
      <c r="BA170" s="90" t="str">
        <f t="shared" si="45"/>
        <v/>
      </c>
      <c r="BB170" s="90" t="str">
        <f t="shared" si="45"/>
        <v/>
      </c>
      <c r="BC170" s="90" t="str">
        <f t="shared" si="45"/>
        <v/>
      </c>
    </row>
    <row r="171" spans="1:55" x14ac:dyDescent="0.25">
      <c r="A171" s="30" t="s">
        <v>60</v>
      </c>
      <c r="B171" s="31" t="s">
        <v>13</v>
      </c>
      <c r="C171" s="32" t="s">
        <v>61</v>
      </c>
      <c r="D171" s="31" t="s">
        <v>75</v>
      </c>
      <c r="E171" s="31"/>
      <c r="F171" s="51">
        <f t="shared" ref="F171:K171" si="49">F156</f>
        <v>59.537572254335259</v>
      </c>
      <c r="G171" s="51">
        <f t="shared" si="49"/>
        <v>0</v>
      </c>
      <c r="H171" s="51">
        <f t="shared" si="49"/>
        <v>4.7222222222222223</v>
      </c>
      <c r="I171" s="51">
        <f t="shared" si="49"/>
        <v>29</v>
      </c>
      <c r="J171" s="51">
        <f t="shared" si="49"/>
        <v>61.111111111111107</v>
      </c>
      <c r="K171" s="51">
        <f t="shared" si="49"/>
        <v>29</v>
      </c>
      <c r="L171" s="52">
        <f t="shared" si="48"/>
        <v>0</v>
      </c>
      <c r="M171" s="51">
        <f t="shared" si="48"/>
        <v>400</v>
      </c>
      <c r="N171" s="51">
        <f t="shared" si="48"/>
        <v>0</v>
      </c>
      <c r="O171" s="51">
        <f t="shared" si="48"/>
        <v>0</v>
      </c>
      <c r="P171" s="51">
        <f t="shared" si="48"/>
        <v>0</v>
      </c>
      <c r="Q171" s="51">
        <f t="shared" si="48"/>
        <v>0</v>
      </c>
      <c r="R171" s="51">
        <f t="shared" si="48"/>
        <v>0</v>
      </c>
      <c r="S171" s="51">
        <f t="shared" si="48"/>
        <v>0</v>
      </c>
      <c r="T171" s="51">
        <f t="shared" si="48"/>
        <v>0</v>
      </c>
      <c r="U171" s="51">
        <f t="shared" si="48"/>
        <v>0</v>
      </c>
      <c r="V171" s="51">
        <f t="shared" si="48"/>
        <v>0</v>
      </c>
      <c r="W171" s="51">
        <f t="shared" si="48"/>
        <v>426</v>
      </c>
      <c r="X171" s="55">
        <f t="shared" si="48"/>
        <v>0</v>
      </c>
      <c r="Y171" s="59">
        <f t="shared" si="48"/>
        <v>10.46281610453865</v>
      </c>
      <c r="Z171" s="51">
        <f t="shared" si="48"/>
        <v>422.19051743904612</v>
      </c>
      <c r="AA171" s="51">
        <f t="shared" si="48"/>
        <v>11.50358246747858</v>
      </c>
      <c r="AC171" s="30" t="s">
        <v>60</v>
      </c>
      <c r="AD171" s="31" t="s">
        <v>13</v>
      </c>
      <c r="AE171" s="32" t="s">
        <v>61</v>
      </c>
      <c r="AF171" s="31" t="s">
        <v>75</v>
      </c>
      <c r="AG171" s="31"/>
      <c r="AH171" s="1">
        <f t="shared" si="46"/>
        <v>12.508670520231213</v>
      </c>
      <c r="AI171" s="1" t="str">
        <f t="shared" si="46"/>
        <v/>
      </c>
      <c r="AJ171" s="1">
        <f t="shared" si="46"/>
        <v>1.7777777777777777</v>
      </c>
      <c r="AK171" s="1">
        <f t="shared" si="46"/>
        <v>7.891156462585033</v>
      </c>
      <c r="AL171" s="1" t="str">
        <f t="shared" si="46"/>
        <v/>
      </c>
      <c r="AM171" s="1" t="str">
        <f t="shared" si="46"/>
        <v/>
      </c>
      <c r="AN171" s="52" t="str">
        <f t="shared" si="46"/>
        <v/>
      </c>
      <c r="AO171" s="1">
        <f t="shared" si="46"/>
        <v>180</v>
      </c>
      <c r="AP171" s="1" t="str">
        <f t="shared" si="46"/>
        <v/>
      </c>
      <c r="AQ171" s="1" t="str">
        <f t="shared" si="46"/>
        <v/>
      </c>
      <c r="AR171" s="1" t="str">
        <f t="shared" si="46"/>
        <v/>
      </c>
      <c r="AS171" s="1" t="str">
        <f t="shared" si="46"/>
        <v/>
      </c>
      <c r="AT171" s="1" t="str">
        <f t="shared" si="46"/>
        <v/>
      </c>
      <c r="AU171" s="1" t="str">
        <f t="shared" si="46"/>
        <v/>
      </c>
      <c r="AV171" s="1" t="str">
        <f t="shared" si="46"/>
        <v/>
      </c>
      <c r="AW171" s="1" t="str">
        <f t="shared" si="45"/>
        <v/>
      </c>
      <c r="AX171" s="1" t="str">
        <f t="shared" si="45"/>
        <v/>
      </c>
      <c r="AY171" s="1">
        <f t="shared" si="45"/>
        <v>255.59999999999997</v>
      </c>
      <c r="AZ171" s="1" t="str">
        <f t="shared" si="45"/>
        <v/>
      </c>
      <c r="BA171" s="1">
        <f t="shared" si="45"/>
        <v>2.9073099935673987</v>
      </c>
      <c r="BB171" s="1">
        <f t="shared" si="45"/>
        <v>244.52319686122644</v>
      </c>
      <c r="BC171" s="1">
        <f t="shared" si="45"/>
        <v>3.5180672658828125</v>
      </c>
    </row>
    <row r="172" spans="1:55" x14ac:dyDescent="0.25">
      <c r="A172" s="30" t="s">
        <v>60</v>
      </c>
      <c r="B172" s="31" t="s">
        <v>13</v>
      </c>
      <c r="C172" s="32" t="s">
        <v>61</v>
      </c>
      <c r="D172" s="31" t="s">
        <v>76</v>
      </c>
      <c r="E172" s="31"/>
      <c r="F172" s="51">
        <f t="shared" ref="F172:K172" si="50">F156</f>
        <v>59.537572254335259</v>
      </c>
      <c r="G172" s="51">
        <f t="shared" si="50"/>
        <v>0</v>
      </c>
      <c r="H172" s="51">
        <f t="shared" si="50"/>
        <v>4.7222222222222223</v>
      </c>
      <c r="I172" s="51">
        <f t="shared" si="50"/>
        <v>29</v>
      </c>
      <c r="J172" s="51">
        <f t="shared" si="50"/>
        <v>61.111111111111107</v>
      </c>
      <c r="K172" s="51">
        <f t="shared" si="50"/>
        <v>29</v>
      </c>
      <c r="L172" s="52">
        <f t="shared" si="48"/>
        <v>0</v>
      </c>
      <c r="M172" s="51">
        <f t="shared" si="48"/>
        <v>400.00000000000006</v>
      </c>
      <c r="N172" s="51">
        <f t="shared" si="48"/>
        <v>869.99999999999989</v>
      </c>
      <c r="O172" s="51">
        <f>IF(O217&gt;0,O37/O217,0)</f>
        <v>10000.000000000002</v>
      </c>
      <c r="P172" s="51">
        <f t="shared" si="48"/>
        <v>27999.999999999996</v>
      </c>
      <c r="Q172" s="51">
        <f t="shared" si="48"/>
        <v>0</v>
      </c>
      <c r="R172" s="51">
        <f>R156</f>
        <v>426</v>
      </c>
      <c r="S172" s="51">
        <f t="shared" si="48"/>
        <v>0</v>
      </c>
      <c r="T172" s="51">
        <f t="shared" si="48"/>
        <v>0</v>
      </c>
      <c r="U172" s="51">
        <f t="shared" si="48"/>
        <v>0</v>
      </c>
      <c r="V172" s="51">
        <f t="shared" si="48"/>
        <v>0</v>
      </c>
      <c r="W172" s="51">
        <f t="shared" si="48"/>
        <v>0</v>
      </c>
      <c r="X172" s="55">
        <f t="shared" si="48"/>
        <v>0</v>
      </c>
      <c r="Y172" s="59">
        <f t="shared" si="48"/>
        <v>42.474475204484357</v>
      </c>
      <c r="Z172" s="51">
        <f t="shared" si="48"/>
        <v>811.20547935347918</v>
      </c>
      <c r="AA172" s="51">
        <f t="shared" si="48"/>
        <v>55.090709575702469</v>
      </c>
      <c r="AC172" s="30" t="s">
        <v>60</v>
      </c>
      <c r="AD172" s="31" t="s">
        <v>13</v>
      </c>
      <c r="AE172" s="32" t="s">
        <v>61</v>
      </c>
      <c r="AF172" s="31" t="s">
        <v>76</v>
      </c>
      <c r="AG172" s="31"/>
      <c r="AH172" s="1">
        <f t="shared" si="46"/>
        <v>12.508670520231213</v>
      </c>
      <c r="AI172" s="1" t="str">
        <f t="shared" si="46"/>
        <v/>
      </c>
      <c r="AJ172" s="1" t="str">
        <f t="shared" si="46"/>
        <v/>
      </c>
      <c r="AK172" s="1">
        <f t="shared" si="46"/>
        <v>7.8911564625850348</v>
      </c>
      <c r="AL172" s="1">
        <f t="shared" si="46"/>
        <v>26.041666666666664</v>
      </c>
      <c r="AM172" s="1">
        <f t="shared" si="46"/>
        <v>8.2857142857142865</v>
      </c>
      <c r="AN172" s="52" t="str">
        <f t="shared" si="46"/>
        <v/>
      </c>
      <c r="AO172" s="1">
        <f t="shared" si="46"/>
        <v>180.00000000000003</v>
      </c>
      <c r="AP172" s="1">
        <f t="shared" si="46"/>
        <v>514.09090909090901</v>
      </c>
      <c r="AQ172" s="1">
        <f t="shared" si="46"/>
        <v>4357.4297188755027</v>
      </c>
      <c r="AR172" s="1">
        <f t="shared" si="46"/>
        <v>11483.108906213089</v>
      </c>
      <c r="AS172" s="1" t="str">
        <f t="shared" si="46"/>
        <v/>
      </c>
      <c r="AT172" s="1">
        <f t="shared" si="46"/>
        <v>208.74</v>
      </c>
      <c r="AU172" s="1" t="str">
        <f t="shared" si="46"/>
        <v/>
      </c>
      <c r="AV172" s="1" t="str">
        <f t="shared" si="46"/>
        <v/>
      </c>
      <c r="AW172" s="1" t="str">
        <f t="shared" si="45"/>
        <v/>
      </c>
      <c r="AX172" s="1" t="str">
        <f t="shared" si="45"/>
        <v/>
      </c>
      <c r="AY172" s="1" t="str">
        <f t="shared" si="45"/>
        <v/>
      </c>
      <c r="AZ172" s="1" t="str">
        <f t="shared" si="45"/>
        <v/>
      </c>
      <c r="BA172" s="1">
        <f t="shared" si="45"/>
        <v>12.817312327894037</v>
      </c>
      <c r="BB172" s="1">
        <f t="shared" si="45"/>
        <v>378.51223802070217</v>
      </c>
      <c r="BC172" s="1">
        <f t="shared" si="45"/>
        <v>18.819012358209761</v>
      </c>
    </row>
    <row r="173" spans="1:55" x14ac:dyDescent="0.25">
      <c r="A173" s="30" t="s">
        <v>60</v>
      </c>
      <c r="B173" s="31" t="s">
        <v>13</v>
      </c>
      <c r="C173" s="32" t="s">
        <v>61</v>
      </c>
      <c r="D173" s="31" t="s">
        <v>77</v>
      </c>
      <c r="E173" s="31"/>
      <c r="F173" s="51">
        <f t="shared" ref="F173:K173" si="51">F156</f>
        <v>59.537572254335259</v>
      </c>
      <c r="G173" s="51">
        <f t="shared" si="51"/>
        <v>0</v>
      </c>
      <c r="H173" s="51">
        <f t="shared" si="51"/>
        <v>4.7222222222222223</v>
      </c>
      <c r="I173" s="51">
        <f t="shared" si="51"/>
        <v>29</v>
      </c>
      <c r="J173" s="51">
        <f t="shared" si="51"/>
        <v>61.111111111111107</v>
      </c>
      <c r="K173" s="51">
        <f t="shared" si="51"/>
        <v>29</v>
      </c>
      <c r="L173" s="52">
        <f t="shared" si="48"/>
        <v>0</v>
      </c>
      <c r="M173" s="51">
        <f t="shared" si="48"/>
        <v>400</v>
      </c>
      <c r="N173" s="51">
        <f t="shared" si="48"/>
        <v>0</v>
      </c>
      <c r="O173" s="51">
        <f t="shared" si="48"/>
        <v>0</v>
      </c>
      <c r="P173" s="51">
        <f t="shared" si="48"/>
        <v>0</v>
      </c>
      <c r="Q173" s="51">
        <f t="shared" si="48"/>
        <v>0</v>
      </c>
      <c r="R173" s="51">
        <f t="shared" si="48"/>
        <v>0</v>
      </c>
      <c r="S173" s="51">
        <f t="shared" si="48"/>
        <v>0</v>
      </c>
      <c r="T173" s="51">
        <f t="shared" si="48"/>
        <v>213</v>
      </c>
      <c r="U173" s="51">
        <f t="shared" si="48"/>
        <v>426</v>
      </c>
      <c r="V173" s="51">
        <f t="shared" si="48"/>
        <v>0</v>
      </c>
      <c r="W173" s="51">
        <f t="shared" si="48"/>
        <v>0</v>
      </c>
      <c r="X173" s="55">
        <f t="shared" si="48"/>
        <v>0</v>
      </c>
      <c r="Y173" s="59">
        <f t="shared" si="48"/>
        <v>29</v>
      </c>
      <c r="Z173" s="51">
        <f t="shared" si="48"/>
        <v>389.08977166093206</v>
      </c>
      <c r="AA173" s="51">
        <f t="shared" si="48"/>
        <v>129.77791730687377</v>
      </c>
      <c r="AC173" s="30" t="s">
        <v>60</v>
      </c>
      <c r="AD173" s="31" t="s">
        <v>13</v>
      </c>
      <c r="AE173" s="32" t="s">
        <v>61</v>
      </c>
      <c r="AF173" s="31" t="s">
        <v>77</v>
      </c>
      <c r="AG173" s="31"/>
      <c r="AH173" s="1" t="str">
        <f t="shared" ref="AH173:AV180" si="52">IF(F218&gt;0,F83/F218,"")</f>
        <v/>
      </c>
      <c r="AI173" s="1" t="str">
        <f t="shared" si="52"/>
        <v/>
      </c>
      <c r="AJ173" s="1" t="str">
        <f t="shared" si="52"/>
        <v/>
      </c>
      <c r="AK173" s="1" t="str">
        <f t="shared" si="52"/>
        <v/>
      </c>
      <c r="AL173" s="1" t="str">
        <f t="shared" si="52"/>
        <v/>
      </c>
      <c r="AM173" s="1">
        <f t="shared" si="52"/>
        <v>8.2857142857142865</v>
      </c>
      <c r="AN173" s="52" t="str">
        <f t="shared" si="52"/>
        <v/>
      </c>
      <c r="AO173" s="1">
        <f t="shared" si="52"/>
        <v>180</v>
      </c>
      <c r="AP173" s="1" t="str">
        <f t="shared" si="52"/>
        <v/>
      </c>
      <c r="AQ173" s="1" t="str">
        <f t="shared" si="52"/>
        <v/>
      </c>
      <c r="AR173" s="1" t="str">
        <f t="shared" si="52"/>
        <v/>
      </c>
      <c r="AS173" s="1" t="str">
        <f t="shared" si="52"/>
        <v/>
      </c>
      <c r="AT173" s="1" t="str">
        <f t="shared" si="52"/>
        <v/>
      </c>
      <c r="AU173" s="1" t="str">
        <f t="shared" si="52"/>
        <v/>
      </c>
      <c r="AV173" s="1">
        <f t="shared" si="52"/>
        <v>213</v>
      </c>
      <c r="AW173" s="1">
        <f t="shared" si="45"/>
        <v>213</v>
      </c>
      <c r="AX173" s="1" t="str">
        <f t="shared" si="45"/>
        <v/>
      </c>
      <c r="AY173" s="1" t="str">
        <f t="shared" si="45"/>
        <v/>
      </c>
      <c r="AZ173" s="1" t="str">
        <f t="shared" si="45"/>
        <v/>
      </c>
      <c r="BA173" s="1">
        <f t="shared" si="45"/>
        <v>8.2857142857142865</v>
      </c>
      <c r="BB173" s="1">
        <f t="shared" si="45"/>
        <v>193.21238661244917</v>
      </c>
      <c r="BC173" s="1">
        <f t="shared" si="45"/>
        <v>60.040933006915743</v>
      </c>
    </row>
    <row r="174" spans="1:55" x14ac:dyDescent="0.25">
      <c r="A174" s="30" t="s">
        <v>60</v>
      </c>
      <c r="B174" s="31" t="s">
        <v>13</v>
      </c>
      <c r="C174" s="32" t="s">
        <v>61</v>
      </c>
      <c r="D174" s="31" t="s">
        <v>78</v>
      </c>
      <c r="E174" s="31"/>
      <c r="F174" s="51">
        <f t="shared" ref="F174:K174" si="53">F156</f>
        <v>59.537572254335259</v>
      </c>
      <c r="G174" s="51">
        <f t="shared" si="53"/>
        <v>0</v>
      </c>
      <c r="H174" s="51">
        <f t="shared" si="53"/>
        <v>4.7222222222222223</v>
      </c>
      <c r="I174" s="51">
        <f t="shared" si="53"/>
        <v>29</v>
      </c>
      <c r="J174" s="51">
        <f t="shared" si="53"/>
        <v>61.111111111111107</v>
      </c>
      <c r="K174" s="51">
        <f t="shared" si="53"/>
        <v>29</v>
      </c>
      <c r="L174" s="52">
        <f t="shared" si="48"/>
        <v>0</v>
      </c>
      <c r="M174" s="51">
        <f t="shared" si="48"/>
        <v>400</v>
      </c>
      <c r="N174" s="51">
        <f t="shared" si="48"/>
        <v>0</v>
      </c>
      <c r="O174" s="51">
        <f t="shared" si="48"/>
        <v>10000</v>
      </c>
      <c r="P174" s="51">
        <f t="shared" si="48"/>
        <v>56000</v>
      </c>
      <c r="Q174" s="51">
        <f t="shared" si="48"/>
        <v>940</v>
      </c>
      <c r="R174" s="51">
        <f t="shared" si="48"/>
        <v>0</v>
      </c>
      <c r="S174" s="51">
        <f t="shared" si="48"/>
        <v>0</v>
      </c>
      <c r="T174" s="51">
        <f t="shared" si="48"/>
        <v>0</v>
      </c>
      <c r="U174" s="51">
        <f t="shared" si="48"/>
        <v>0</v>
      </c>
      <c r="V174" s="51">
        <f t="shared" si="48"/>
        <v>0</v>
      </c>
      <c r="W174" s="51">
        <f t="shared" si="48"/>
        <v>0</v>
      </c>
      <c r="X174" s="55">
        <f t="shared" si="48"/>
        <v>426</v>
      </c>
      <c r="Y174" s="59">
        <f t="shared" si="48"/>
        <v>28.999999999999996</v>
      </c>
      <c r="Z174" s="51">
        <f t="shared" si="48"/>
        <v>3064.0189802788459</v>
      </c>
      <c r="AA174" s="51">
        <f t="shared" si="48"/>
        <v>178.78514889933055</v>
      </c>
      <c r="AC174" s="30" t="s">
        <v>60</v>
      </c>
      <c r="AD174" s="31" t="s">
        <v>13</v>
      </c>
      <c r="AE174" s="32" t="s">
        <v>61</v>
      </c>
      <c r="AF174" s="31" t="s">
        <v>78</v>
      </c>
      <c r="AG174" s="31"/>
      <c r="AH174" s="1" t="str">
        <f t="shared" si="52"/>
        <v/>
      </c>
      <c r="AI174" s="1" t="str">
        <f t="shared" si="52"/>
        <v/>
      </c>
      <c r="AJ174" s="1" t="str">
        <f t="shared" si="52"/>
        <v/>
      </c>
      <c r="AK174" s="1">
        <f t="shared" si="52"/>
        <v>7.891156462585033</v>
      </c>
      <c r="AL174" s="1" t="str">
        <f t="shared" si="52"/>
        <v/>
      </c>
      <c r="AM174" s="1">
        <f t="shared" si="52"/>
        <v>8.2857142857142865</v>
      </c>
      <c r="AN174" s="52" t="str">
        <f t="shared" si="52"/>
        <v/>
      </c>
      <c r="AO174" s="1">
        <f t="shared" si="52"/>
        <v>180</v>
      </c>
      <c r="AP174" s="1" t="str">
        <f t="shared" si="52"/>
        <v/>
      </c>
      <c r="AQ174" s="1">
        <f t="shared" si="52"/>
        <v>4357.4297188755008</v>
      </c>
      <c r="AR174" s="1">
        <f t="shared" si="52"/>
        <v>11483.108906213087</v>
      </c>
      <c r="AS174" s="1">
        <f t="shared" si="52"/>
        <v>423</v>
      </c>
      <c r="AT174" s="1" t="str">
        <f t="shared" si="52"/>
        <v/>
      </c>
      <c r="AU174" s="1" t="str">
        <f t="shared" si="52"/>
        <v/>
      </c>
      <c r="AV174" s="1" t="str">
        <f t="shared" si="52"/>
        <v/>
      </c>
      <c r="AW174" s="1" t="str">
        <f t="shared" si="45"/>
        <v/>
      </c>
      <c r="AX174" s="1" t="str">
        <f t="shared" si="45"/>
        <v/>
      </c>
      <c r="AY174" s="1" t="str">
        <f t="shared" si="45"/>
        <v/>
      </c>
      <c r="AZ174" s="1">
        <f t="shared" si="45"/>
        <v>213</v>
      </c>
      <c r="BA174" s="1">
        <f t="shared" si="45"/>
        <v>8.0184331797235018</v>
      </c>
      <c r="BB174" s="1">
        <f t="shared" si="45"/>
        <v>757.03509679241927</v>
      </c>
      <c r="BC174" s="1">
        <f t="shared" si="45"/>
        <v>44.984123745849615</v>
      </c>
    </row>
    <row r="175" spans="1:55" ht="15.75" thickBot="1" x14ac:dyDescent="0.3">
      <c r="A175" s="33" t="s">
        <v>60</v>
      </c>
      <c r="B175" s="34" t="s">
        <v>13</v>
      </c>
      <c r="C175" s="35" t="s">
        <v>61</v>
      </c>
      <c r="D175" s="34" t="s">
        <v>79</v>
      </c>
      <c r="E175" s="31"/>
      <c r="F175" s="51">
        <f>F156</f>
        <v>59.537572254335259</v>
      </c>
      <c r="G175" s="51">
        <f t="shared" ref="G175:K176" si="54">G156</f>
        <v>0</v>
      </c>
      <c r="H175" s="51">
        <f t="shared" si="54"/>
        <v>4.7222222222222223</v>
      </c>
      <c r="I175" s="51">
        <f t="shared" si="54"/>
        <v>29</v>
      </c>
      <c r="J175" s="51">
        <f t="shared" si="54"/>
        <v>61.111111111111107</v>
      </c>
      <c r="K175" s="51">
        <f t="shared" si="54"/>
        <v>29</v>
      </c>
      <c r="L175" s="52">
        <f t="shared" si="48"/>
        <v>0</v>
      </c>
      <c r="M175" s="51">
        <f t="shared" si="48"/>
        <v>0</v>
      </c>
      <c r="N175" s="51">
        <f t="shared" si="48"/>
        <v>0</v>
      </c>
      <c r="O175" s="51">
        <f t="shared" si="48"/>
        <v>0</v>
      </c>
      <c r="P175" s="51">
        <f t="shared" si="48"/>
        <v>0</v>
      </c>
      <c r="Q175" s="51">
        <f t="shared" si="48"/>
        <v>0</v>
      </c>
      <c r="R175" s="51">
        <f t="shared" si="48"/>
        <v>0</v>
      </c>
      <c r="S175" s="51">
        <f t="shared" si="48"/>
        <v>0</v>
      </c>
      <c r="T175" s="51">
        <f t="shared" si="48"/>
        <v>0</v>
      </c>
      <c r="U175" s="51">
        <f t="shared" si="48"/>
        <v>0</v>
      </c>
      <c r="V175" s="51">
        <f t="shared" si="48"/>
        <v>0</v>
      </c>
      <c r="W175" s="51">
        <f t="shared" si="48"/>
        <v>0</v>
      </c>
      <c r="X175" s="55">
        <f t="shared" si="48"/>
        <v>0</v>
      </c>
      <c r="Y175" s="59">
        <f t="shared" si="48"/>
        <v>0</v>
      </c>
      <c r="Z175" s="51">
        <f t="shared" si="48"/>
        <v>0</v>
      </c>
      <c r="AA175" s="51">
        <f t="shared" si="48"/>
        <v>0</v>
      </c>
      <c r="AC175" s="33" t="s">
        <v>60</v>
      </c>
      <c r="AD175" s="34" t="s">
        <v>13</v>
      </c>
      <c r="AE175" s="35" t="s">
        <v>61</v>
      </c>
      <c r="AF175" s="34" t="s">
        <v>79</v>
      </c>
      <c r="AG175" s="31"/>
      <c r="AH175" s="1" t="str">
        <f t="shared" si="52"/>
        <v/>
      </c>
      <c r="AI175" s="1" t="str">
        <f t="shared" si="52"/>
        <v/>
      </c>
      <c r="AJ175" s="1" t="str">
        <f t="shared" si="52"/>
        <v/>
      </c>
      <c r="AK175" s="1" t="str">
        <f t="shared" si="52"/>
        <v/>
      </c>
      <c r="AL175" s="1" t="str">
        <f t="shared" si="52"/>
        <v/>
      </c>
      <c r="AM175" s="1" t="str">
        <f t="shared" si="52"/>
        <v/>
      </c>
      <c r="AN175" s="52" t="str">
        <f t="shared" si="52"/>
        <v/>
      </c>
      <c r="AO175" s="1" t="str">
        <f t="shared" si="52"/>
        <v/>
      </c>
      <c r="AP175" s="1" t="str">
        <f t="shared" si="52"/>
        <v/>
      </c>
      <c r="AQ175" s="1" t="str">
        <f t="shared" si="52"/>
        <v/>
      </c>
      <c r="AR175" s="1" t="str">
        <f t="shared" si="52"/>
        <v/>
      </c>
      <c r="AS175" s="1" t="str">
        <f t="shared" si="52"/>
        <v/>
      </c>
      <c r="AT175" s="1" t="str">
        <f t="shared" si="52"/>
        <v/>
      </c>
      <c r="AU175" s="1" t="str">
        <f t="shared" si="52"/>
        <v/>
      </c>
      <c r="AV175" s="1" t="str">
        <f t="shared" si="52"/>
        <v/>
      </c>
      <c r="AW175" s="1" t="str">
        <f t="shared" si="45"/>
        <v/>
      </c>
      <c r="AX175" s="1" t="str">
        <f t="shared" si="45"/>
        <v/>
      </c>
      <c r="AY175" s="1" t="str">
        <f t="shared" si="45"/>
        <v/>
      </c>
      <c r="AZ175" s="1" t="str">
        <f t="shared" si="45"/>
        <v/>
      </c>
      <c r="BA175" s="1" t="str">
        <f t="shared" si="45"/>
        <v/>
      </c>
      <c r="BB175" s="1" t="str">
        <f t="shared" si="45"/>
        <v/>
      </c>
      <c r="BC175" s="1" t="str">
        <f t="shared" si="45"/>
        <v/>
      </c>
    </row>
    <row r="176" spans="1:55" x14ac:dyDescent="0.25">
      <c r="A176" s="30" t="s">
        <v>60</v>
      </c>
      <c r="B176" s="31" t="s">
        <v>13</v>
      </c>
      <c r="C176" s="32" t="s">
        <v>62</v>
      </c>
      <c r="D176" s="31" t="s">
        <v>75</v>
      </c>
      <c r="E176" s="31"/>
      <c r="F176" s="51">
        <f>F157</f>
        <v>58.857142857142854</v>
      </c>
      <c r="G176" s="51">
        <f t="shared" si="54"/>
        <v>21.714285714285715</v>
      </c>
      <c r="H176" s="51">
        <f t="shared" si="54"/>
        <v>4.7222222222222223</v>
      </c>
      <c r="I176" s="51">
        <f t="shared" si="54"/>
        <v>20</v>
      </c>
      <c r="J176" s="51">
        <f t="shared" si="54"/>
        <v>0</v>
      </c>
      <c r="K176" s="51">
        <f t="shared" si="54"/>
        <v>0</v>
      </c>
      <c r="L176" s="52">
        <f t="shared" si="48"/>
        <v>0</v>
      </c>
      <c r="M176" s="51">
        <f t="shared" si="48"/>
        <v>0</v>
      </c>
      <c r="N176" s="51">
        <f t="shared" si="48"/>
        <v>0</v>
      </c>
      <c r="O176" s="51">
        <f t="shared" si="48"/>
        <v>0</v>
      </c>
      <c r="P176" s="51">
        <f t="shared" si="48"/>
        <v>0</v>
      </c>
      <c r="Q176" s="51">
        <f t="shared" si="48"/>
        <v>0</v>
      </c>
      <c r="R176" s="51">
        <f t="shared" si="48"/>
        <v>0</v>
      </c>
      <c r="S176" s="51">
        <f t="shared" si="48"/>
        <v>0</v>
      </c>
      <c r="T176" s="51">
        <f t="shared" si="48"/>
        <v>0</v>
      </c>
      <c r="U176" s="51">
        <f t="shared" si="48"/>
        <v>0</v>
      </c>
      <c r="V176" s="51">
        <f t="shared" si="48"/>
        <v>0</v>
      </c>
      <c r="W176" s="51">
        <f t="shared" si="48"/>
        <v>0</v>
      </c>
      <c r="X176" s="55">
        <f t="shared" si="48"/>
        <v>0</v>
      </c>
      <c r="Y176" s="59">
        <f t="shared" si="48"/>
        <v>0</v>
      </c>
      <c r="Z176" s="51">
        <f t="shared" si="48"/>
        <v>0</v>
      </c>
      <c r="AA176" s="51">
        <f t="shared" si="48"/>
        <v>0</v>
      </c>
      <c r="AC176" s="30" t="s">
        <v>60</v>
      </c>
      <c r="AD176" s="31" t="s">
        <v>13</v>
      </c>
      <c r="AE176" s="32" t="s">
        <v>62</v>
      </c>
      <c r="AF176" s="31" t="s">
        <v>75</v>
      </c>
      <c r="AG176" s="31"/>
      <c r="AH176" s="1" t="str">
        <f t="shared" si="52"/>
        <v/>
      </c>
      <c r="AI176" s="1" t="str">
        <f t="shared" si="52"/>
        <v/>
      </c>
      <c r="AJ176" s="1" t="str">
        <f t="shared" si="52"/>
        <v/>
      </c>
      <c r="AK176" s="1" t="str">
        <f t="shared" si="52"/>
        <v/>
      </c>
      <c r="AL176" s="1" t="str">
        <f t="shared" si="52"/>
        <v/>
      </c>
      <c r="AM176" s="1" t="str">
        <f t="shared" si="52"/>
        <v/>
      </c>
      <c r="AN176" s="52" t="str">
        <f t="shared" si="52"/>
        <v/>
      </c>
      <c r="AO176" s="1" t="str">
        <f t="shared" si="52"/>
        <v/>
      </c>
      <c r="AP176" s="1" t="str">
        <f t="shared" si="52"/>
        <v/>
      </c>
      <c r="AQ176" s="1" t="str">
        <f t="shared" si="52"/>
        <v/>
      </c>
      <c r="AR176" s="1" t="str">
        <f t="shared" si="52"/>
        <v/>
      </c>
      <c r="AS176" s="1" t="str">
        <f t="shared" si="52"/>
        <v/>
      </c>
      <c r="AT176" s="1" t="str">
        <f t="shared" si="52"/>
        <v/>
      </c>
      <c r="AU176" s="1" t="str">
        <f t="shared" si="52"/>
        <v/>
      </c>
      <c r="AV176" s="1" t="str">
        <f t="shared" si="52"/>
        <v/>
      </c>
      <c r="AW176" s="1" t="str">
        <f t="shared" si="45"/>
        <v/>
      </c>
      <c r="AX176" s="1" t="str">
        <f t="shared" si="45"/>
        <v/>
      </c>
      <c r="AY176" s="1" t="str">
        <f t="shared" si="45"/>
        <v/>
      </c>
      <c r="AZ176" s="1" t="str">
        <f t="shared" si="45"/>
        <v/>
      </c>
      <c r="BA176" s="1" t="str">
        <f t="shared" si="45"/>
        <v/>
      </c>
      <c r="BB176" s="1" t="str">
        <f t="shared" si="45"/>
        <v/>
      </c>
      <c r="BC176" s="1" t="str">
        <f t="shared" si="45"/>
        <v/>
      </c>
    </row>
    <row r="177" spans="1:55" x14ac:dyDescent="0.25">
      <c r="A177" s="30" t="s">
        <v>60</v>
      </c>
      <c r="B177" s="31" t="s">
        <v>13</v>
      </c>
      <c r="C177" s="32" t="s">
        <v>62</v>
      </c>
      <c r="D177" s="31" t="s">
        <v>76</v>
      </c>
      <c r="E177" s="31"/>
      <c r="F177" s="51">
        <f t="shared" ref="F177:K177" si="55">F157</f>
        <v>58.857142857142854</v>
      </c>
      <c r="G177" s="51">
        <f t="shared" si="55"/>
        <v>21.714285714285715</v>
      </c>
      <c r="H177" s="51">
        <f t="shared" si="55"/>
        <v>4.7222222222222223</v>
      </c>
      <c r="I177" s="51">
        <f t="shared" si="55"/>
        <v>20</v>
      </c>
      <c r="J177" s="51">
        <f t="shared" si="55"/>
        <v>0</v>
      </c>
      <c r="K177" s="51">
        <f t="shared" si="55"/>
        <v>0</v>
      </c>
      <c r="L177" s="52">
        <f t="shared" si="48"/>
        <v>0</v>
      </c>
      <c r="M177" s="51">
        <f t="shared" si="48"/>
        <v>0</v>
      </c>
      <c r="N177" s="51">
        <f t="shared" si="48"/>
        <v>0</v>
      </c>
      <c r="O177" s="51">
        <f t="shared" si="48"/>
        <v>0</v>
      </c>
      <c r="P177" s="51">
        <f t="shared" si="48"/>
        <v>0</v>
      </c>
      <c r="Q177" s="51">
        <f t="shared" si="48"/>
        <v>0</v>
      </c>
      <c r="R177" s="51">
        <f t="shared" si="48"/>
        <v>0</v>
      </c>
      <c r="S177" s="51">
        <f t="shared" si="48"/>
        <v>0</v>
      </c>
      <c r="T177" s="51">
        <f t="shared" si="48"/>
        <v>0</v>
      </c>
      <c r="U177" s="51">
        <f t="shared" si="48"/>
        <v>0</v>
      </c>
      <c r="V177" s="51">
        <f t="shared" si="48"/>
        <v>0</v>
      </c>
      <c r="W177" s="51">
        <f t="shared" si="48"/>
        <v>0</v>
      </c>
      <c r="X177" s="55">
        <f t="shared" si="48"/>
        <v>0</v>
      </c>
      <c r="Y177" s="59">
        <f t="shared" si="48"/>
        <v>9.6698212407991591</v>
      </c>
      <c r="Z177" s="51">
        <f t="shared" si="48"/>
        <v>0</v>
      </c>
      <c r="AA177" s="51">
        <f t="shared" si="48"/>
        <v>9.6698212407991591</v>
      </c>
      <c r="AC177" s="30" t="s">
        <v>60</v>
      </c>
      <c r="AD177" s="31" t="s">
        <v>13</v>
      </c>
      <c r="AE177" s="32" t="s">
        <v>62</v>
      </c>
      <c r="AF177" s="31" t="s">
        <v>76</v>
      </c>
      <c r="AG177" s="31"/>
      <c r="AH177" s="1">
        <f t="shared" si="52"/>
        <v>12.365714285714287</v>
      </c>
      <c r="AI177" s="1">
        <f t="shared" si="52"/>
        <v>6.0952380952380949</v>
      </c>
      <c r="AJ177" s="1">
        <f t="shared" si="52"/>
        <v>1.7777777777777777</v>
      </c>
      <c r="AK177" s="1" t="str">
        <f t="shared" si="52"/>
        <v/>
      </c>
      <c r="AL177" s="1" t="str">
        <f t="shared" si="52"/>
        <v/>
      </c>
      <c r="AM177" s="1" t="str">
        <f t="shared" si="52"/>
        <v/>
      </c>
      <c r="AN177" s="52" t="str">
        <f t="shared" si="52"/>
        <v/>
      </c>
      <c r="AO177" s="1" t="str">
        <f t="shared" si="52"/>
        <v/>
      </c>
      <c r="AP177" s="1" t="str">
        <f t="shared" si="52"/>
        <v/>
      </c>
      <c r="AQ177" s="1" t="str">
        <f t="shared" si="52"/>
        <v/>
      </c>
      <c r="AR177" s="1" t="str">
        <f t="shared" si="52"/>
        <v/>
      </c>
      <c r="AS177" s="1" t="str">
        <f t="shared" si="52"/>
        <v/>
      </c>
      <c r="AT177" s="1" t="str">
        <f t="shared" si="52"/>
        <v/>
      </c>
      <c r="AU177" s="1" t="str">
        <f t="shared" si="52"/>
        <v/>
      </c>
      <c r="AV177" s="1" t="str">
        <f t="shared" si="52"/>
        <v/>
      </c>
      <c r="AW177" s="1" t="str">
        <f t="shared" si="45"/>
        <v/>
      </c>
      <c r="AX177" s="1" t="str">
        <f t="shared" si="45"/>
        <v/>
      </c>
      <c r="AY177" s="1" t="str">
        <f t="shared" si="45"/>
        <v/>
      </c>
      <c r="AZ177" s="1" t="str">
        <f t="shared" si="45"/>
        <v/>
      </c>
      <c r="BA177" s="1">
        <f t="shared" si="45"/>
        <v>2.9649631966351211</v>
      </c>
      <c r="BB177" s="1" t="str">
        <f t="shared" si="45"/>
        <v/>
      </c>
      <c r="BC177" s="1">
        <f t="shared" si="45"/>
        <v>2.9649631966351211</v>
      </c>
    </row>
    <row r="178" spans="1:55" x14ac:dyDescent="0.25">
      <c r="A178" s="30" t="s">
        <v>60</v>
      </c>
      <c r="B178" s="31" t="s">
        <v>13</v>
      </c>
      <c r="C178" s="32" t="s">
        <v>62</v>
      </c>
      <c r="D178" s="31" t="s">
        <v>77</v>
      </c>
      <c r="E178" s="31"/>
      <c r="F178" s="51">
        <f t="shared" ref="F178:K178" si="56">F157</f>
        <v>58.857142857142854</v>
      </c>
      <c r="G178" s="51">
        <f t="shared" si="56"/>
        <v>21.714285714285715</v>
      </c>
      <c r="H178" s="51">
        <f t="shared" si="56"/>
        <v>4.7222222222222223</v>
      </c>
      <c r="I178" s="51">
        <f t="shared" si="56"/>
        <v>20</v>
      </c>
      <c r="J178" s="51">
        <f t="shared" si="56"/>
        <v>0</v>
      </c>
      <c r="K178" s="51">
        <f t="shared" si="56"/>
        <v>0</v>
      </c>
      <c r="L178" s="52">
        <f t="shared" si="48"/>
        <v>0</v>
      </c>
      <c r="M178" s="51">
        <f t="shared" si="48"/>
        <v>0</v>
      </c>
      <c r="N178" s="51">
        <f t="shared" si="48"/>
        <v>0</v>
      </c>
      <c r="O178" s="51">
        <f t="shared" si="48"/>
        <v>0</v>
      </c>
      <c r="P178" s="51">
        <f t="shared" si="48"/>
        <v>0</v>
      </c>
      <c r="Q178" s="51">
        <f t="shared" si="48"/>
        <v>0</v>
      </c>
      <c r="R178" s="51">
        <f t="shared" si="48"/>
        <v>0</v>
      </c>
      <c r="S178" s="51">
        <f t="shared" si="48"/>
        <v>0</v>
      </c>
      <c r="T178" s="51">
        <f t="shared" si="48"/>
        <v>0</v>
      </c>
      <c r="U178" s="51">
        <f t="shared" si="48"/>
        <v>0</v>
      </c>
      <c r="V178" s="51">
        <f t="shared" si="48"/>
        <v>0</v>
      </c>
      <c r="W178" s="51">
        <f t="shared" si="48"/>
        <v>0</v>
      </c>
      <c r="X178" s="55">
        <f t="shared" si="48"/>
        <v>0</v>
      </c>
      <c r="Y178" s="59">
        <f t="shared" si="48"/>
        <v>0</v>
      </c>
      <c r="Z178" s="51">
        <f t="shared" si="48"/>
        <v>0</v>
      </c>
      <c r="AA178" s="51">
        <f t="shared" si="48"/>
        <v>0</v>
      </c>
      <c r="AC178" s="30" t="s">
        <v>60</v>
      </c>
      <c r="AD178" s="31" t="s">
        <v>13</v>
      </c>
      <c r="AE178" s="32" t="s">
        <v>62</v>
      </c>
      <c r="AF178" s="31" t="s">
        <v>77</v>
      </c>
      <c r="AG178" s="31"/>
      <c r="AH178" s="1" t="str">
        <f t="shared" si="52"/>
        <v/>
      </c>
      <c r="AI178" s="1" t="str">
        <f t="shared" si="52"/>
        <v/>
      </c>
      <c r="AJ178" s="1" t="str">
        <f t="shared" si="52"/>
        <v/>
      </c>
      <c r="AK178" s="1" t="str">
        <f t="shared" si="52"/>
        <v/>
      </c>
      <c r="AL178" s="1" t="str">
        <f t="shared" si="52"/>
        <v/>
      </c>
      <c r="AM178" s="1" t="str">
        <f t="shared" si="52"/>
        <v/>
      </c>
      <c r="AN178" s="52" t="str">
        <f t="shared" si="52"/>
        <v/>
      </c>
      <c r="AO178" s="1" t="str">
        <f t="shared" si="52"/>
        <v/>
      </c>
      <c r="AP178" s="1" t="str">
        <f t="shared" si="52"/>
        <v/>
      </c>
      <c r="AQ178" s="1" t="str">
        <f t="shared" si="52"/>
        <v/>
      </c>
      <c r="AR178" s="1" t="str">
        <f t="shared" si="52"/>
        <v/>
      </c>
      <c r="AS178" s="1" t="str">
        <f t="shared" si="52"/>
        <v/>
      </c>
      <c r="AT178" s="1" t="str">
        <f t="shared" si="52"/>
        <v/>
      </c>
      <c r="AU178" s="1" t="str">
        <f t="shared" si="52"/>
        <v/>
      </c>
      <c r="AV178" s="1" t="str">
        <f t="shared" si="52"/>
        <v/>
      </c>
      <c r="AW178" s="1" t="str">
        <f t="shared" si="45"/>
        <v/>
      </c>
      <c r="AX178" s="1" t="str">
        <f t="shared" si="45"/>
        <v/>
      </c>
      <c r="AY178" s="1" t="str">
        <f t="shared" si="45"/>
        <v/>
      </c>
      <c r="AZ178" s="1" t="str">
        <f t="shared" si="45"/>
        <v/>
      </c>
      <c r="BA178" s="1" t="str">
        <f t="shared" si="45"/>
        <v/>
      </c>
      <c r="BB178" s="1" t="str">
        <f t="shared" si="45"/>
        <v/>
      </c>
      <c r="BC178" s="1" t="str">
        <f t="shared" si="45"/>
        <v/>
      </c>
    </row>
    <row r="179" spans="1:55" x14ac:dyDescent="0.25">
      <c r="A179" s="30" t="s">
        <v>60</v>
      </c>
      <c r="B179" s="31" t="s">
        <v>13</v>
      </c>
      <c r="C179" s="32" t="s">
        <v>62</v>
      </c>
      <c r="D179" s="31" t="s">
        <v>78</v>
      </c>
      <c r="E179" s="31"/>
      <c r="F179" s="51">
        <f t="shared" ref="F179:K179" si="57">F157</f>
        <v>58.857142857142854</v>
      </c>
      <c r="G179" s="51">
        <f t="shared" si="57"/>
        <v>21.714285714285715</v>
      </c>
      <c r="H179" s="51">
        <f t="shared" si="57"/>
        <v>4.7222222222222223</v>
      </c>
      <c r="I179" s="51">
        <f t="shared" si="57"/>
        <v>20</v>
      </c>
      <c r="J179" s="51">
        <f t="shared" si="57"/>
        <v>0</v>
      </c>
      <c r="K179" s="51">
        <f t="shared" si="57"/>
        <v>0</v>
      </c>
      <c r="L179" s="52">
        <f t="shared" si="48"/>
        <v>0</v>
      </c>
      <c r="M179" s="51">
        <f t="shared" si="48"/>
        <v>0</v>
      </c>
      <c r="N179" s="51">
        <f t="shared" si="48"/>
        <v>0</v>
      </c>
      <c r="O179" s="51">
        <f t="shared" si="48"/>
        <v>0</v>
      </c>
      <c r="P179" s="51">
        <f t="shared" si="48"/>
        <v>27999.999999999996</v>
      </c>
      <c r="Q179" s="51">
        <f t="shared" si="48"/>
        <v>0</v>
      </c>
      <c r="R179" s="51">
        <f t="shared" si="48"/>
        <v>0</v>
      </c>
      <c r="S179" s="51">
        <f t="shared" si="48"/>
        <v>0</v>
      </c>
      <c r="T179" s="51">
        <f t="shared" si="48"/>
        <v>0</v>
      </c>
      <c r="U179" s="51">
        <f t="shared" si="48"/>
        <v>0</v>
      </c>
      <c r="V179" s="51">
        <f t="shared" si="48"/>
        <v>0</v>
      </c>
      <c r="W179" s="51">
        <f t="shared" si="48"/>
        <v>0</v>
      </c>
      <c r="X179" s="55">
        <f t="shared" si="48"/>
        <v>0</v>
      </c>
      <c r="Y179" s="59">
        <f t="shared" si="48"/>
        <v>0</v>
      </c>
      <c r="Z179" s="51">
        <f t="shared" si="48"/>
        <v>27999.999999999996</v>
      </c>
      <c r="AA179" s="51">
        <f t="shared" si="48"/>
        <v>27999.999999999996</v>
      </c>
      <c r="AC179" s="30" t="s">
        <v>60</v>
      </c>
      <c r="AD179" s="31" t="s">
        <v>13</v>
      </c>
      <c r="AE179" s="32" t="s">
        <v>62</v>
      </c>
      <c r="AF179" s="31" t="s">
        <v>78</v>
      </c>
      <c r="AG179" s="31"/>
      <c r="AH179" s="1" t="str">
        <f t="shared" si="52"/>
        <v/>
      </c>
      <c r="AI179" s="1" t="str">
        <f t="shared" si="52"/>
        <v/>
      </c>
      <c r="AJ179" s="1" t="str">
        <f t="shared" si="52"/>
        <v/>
      </c>
      <c r="AK179" s="1" t="str">
        <f t="shared" si="52"/>
        <v/>
      </c>
      <c r="AL179" s="1" t="str">
        <f t="shared" si="52"/>
        <v/>
      </c>
      <c r="AM179" s="1" t="str">
        <f t="shared" si="52"/>
        <v/>
      </c>
      <c r="AN179" s="52" t="str">
        <f t="shared" si="52"/>
        <v/>
      </c>
      <c r="AO179" s="1" t="str">
        <f t="shared" si="52"/>
        <v/>
      </c>
      <c r="AP179" s="1" t="str">
        <f t="shared" si="52"/>
        <v/>
      </c>
      <c r="AQ179" s="1" t="str">
        <f t="shared" si="52"/>
        <v/>
      </c>
      <c r="AR179" s="1">
        <f t="shared" si="52"/>
        <v>11483.108906213087</v>
      </c>
      <c r="AS179" s="1" t="str">
        <f t="shared" si="52"/>
        <v/>
      </c>
      <c r="AT179" s="1" t="str">
        <f t="shared" si="52"/>
        <v/>
      </c>
      <c r="AU179" s="1" t="str">
        <f t="shared" si="52"/>
        <v/>
      </c>
      <c r="AV179" s="1" t="str">
        <f t="shared" si="52"/>
        <v/>
      </c>
      <c r="AW179" s="1" t="str">
        <f t="shared" si="45"/>
        <v/>
      </c>
      <c r="AX179" s="1" t="str">
        <f t="shared" si="45"/>
        <v/>
      </c>
      <c r="AY179" s="1" t="str">
        <f t="shared" si="45"/>
        <v/>
      </c>
      <c r="AZ179" s="1" t="str">
        <f t="shared" si="45"/>
        <v/>
      </c>
      <c r="BA179" s="1" t="str">
        <f t="shared" si="45"/>
        <v/>
      </c>
      <c r="BB179" s="1">
        <f t="shared" si="45"/>
        <v>11483.108906213087</v>
      </c>
      <c r="BC179" s="1">
        <f t="shared" si="45"/>
        <v>11483.108906213087</v>
      </c>
    </row>
    <row r="180" spans="1:55" ht="15.75" thickBot="1" x14ac:dyDescent="0.3">
      <c r="A180" s="33" t="s">
        <v>60</v>
      </c>
      <c r="B180" s="34" t="s">
        <v>13</v>
      </c>
      <c r="C180" s="32" t="s">
        <v>62</v>
      </c>
      <c r="D180" s="34" t="s">
        <v>79</v>
      </c>
      <c r="E180" s="31"/>
      <c r="F180" s="51">
        <f t="shared" ref="F180:K180" si="58">F157</f>
        <v>58.857142857142854</v>
      </c>
      <c r="G180" s="51">
        <f t="shared" si="58"/>
        <v>21.714285714285715</v>
      </c>
      <c r="H180" s="51">
        <f t="shared" si="58"/>
        <v>4.7222222222222223</v>
      </c>
      <c r="I180" s="51">
        <f t="shared" si="58"/>
        <v>20</v>
      </c>
      <c r="J180" s="51">
        <f t="shared" si="58"/>
        <v>0</v>
      </c>
      <c r="K180" s="51">
        <f t="shared" si="58"/>
        <v>0</v>
      </c>
      <c r="L180" s="52">
        <f t="shared" si="48"/>
        <v>0</v>
      </c>
      <c r="M180" s="51">
        <f t="shared" si="48"/>
        <v>0</v>
      </c>
      <c r="N180" s="51">
        <f t="shared" si="48"/>
        <v>0</v>
      </c>
      <c r="O180" s="51">
        <f t="shared" si="48"/>
        <v>0</v>
      </c>
      <c r="P180" s="51">
        <f t="shared" si="48"/>
        <v>0</v>
      </c>
      <c r="Q180" s="51">
        <f t="shared" si="48"/>
        <v>0</v>
      </c>
      <c r="R180" s="51">
        <f t="shared" si="48"/>
        <v>0</v>
      </c>
      <c r="S180" s="51">
        <f t="shared" si="48"/>
        <v>0</v>
      </c>
      <c r="T180" s="51">
        <f t="shared" si="48"/>
        <v>0</v>
      </c>
      <c r="U180" s="51">
        <f t="shared" si="48"/>
        <v>0</v>
      </c>
      <c r="V180" s="51">
        <f t="shared" si="48"/>
        <v>0</v>
      </c>
      <c r="W180" s="51">
        <f t="shared" si="48"/>
        <v>0</v>
      </c>
      <c r="X180" s="55">
        <f t="shared" si="48"/>
        <v>0</v>
      </c>
      <c r="Y180" s="59">
        <f t="shared" si="48"/>
        <v>0</v>
      </c>
      <c r="Z180" s="51">
        <f t="shared" si="48"/>
        <v>0</v>
      </c>
      <c r="AA180" s="51">
        <f t="shared" si="48"/>
        <v>0</v>
      </c>
      <c r="AC180" s="33" t="s">
        <v>60</v>
      </c>
      <c r="AD180" s="34" t="s">
        <v>13</v>
      </c>
      <c r="AE180" s="32" t="s">
        <v>62</v>
      </c>
      <c r="AF180" s="34" t="s">
        <v>79</v>
      </c>
      <c r="AG180" s="31"/>
      <c r="AH180" s="1" t="str">
        <f t="shared" si="52"/>
        <v/>
      </c>
      <c r="AI180" s="1" t="str">
        <f t="shared" si="52"/>
        <v/>
      </c>
      <c r="AJ180" s="1" t="str">
        <f t="shared" si="52"/>
        <v/>
      </c>
      <c r="AK180" s="1" t="str">
        <f t="shared" si="52"/>
        <v/>
      </c>
      <c r="AL180" s="1" t="str">
        <f t="shared" si="52"/>
        <v/>
      </c>
      <c r="AM180" s="1" t="str">
        <f t="shared" si="52"/>
        <v/>
      </c>
      <c r="AN180" s="52" t="str">
        <f t="shared" si="52"/>
        <v/>
      </c>
      <c r="AO180" s="1" t="str">
        <f t="shared" si="52"/>
        <v/>
      </c>
      <c r="AP180" s="1" t="str">
        <f t="shared" si="52"/>
        <v/>
      </c>
      <c r="AQ180" s="1" t="str">
        <f t="shared" si="52"/>
        <v/>
      </c>
      <c r="AR180" s="1" t="str">
        <f t="shared" si="52"/>
        <v/>
      </c>
      <c r="AS180" s="1" t="str">
        <f t="shared" si="52"/>
        <v/>
      </c>
      <c r="AT180" s="1" t="str">
        <f t="shared" si="52"/>
        <v/>
      </c>
      <c r="AU180" s="1" t="str">
        <f t="shared" si="52"/>
        <v/>
      </c>
      <c r="AV180" s="1" t="str">
        <f t="shared" si="52"/>
        <v/>
      </c>
      <c r="AW180" s="1" t="str">
        <f t="shared" si="45"/>
        <v/>
      </c>
      <c r="AX180" s="1" t="str">
        <f t="shared" si="45"/>
        <v/>
      </c>
      <c r="AY180" s="1" t="str">
        <f t="shared" si="45"/>
        <v/>
      </c>
      <c r="AZ180" s="1" t="str">
        <f t="shared" si="45"/>
        <v/>
      </c>
      <c r="BA180" s="1" t="str">
        <f t="shared" si="45"/>
        <v/>
      </c>
      <c r="BB180" s="1" t="str">
        <f t="shared" si="45"/>
        <v/>
      </c>
      <c r="BC180" s="1" t="str">
        <f t="shared" si="45"/>
        <v/>
      </c>
    </row>
    <row r="182" spans="1:55" x14ac:dyDescent="0.25">
      <c r="D182" s="41" t="s">
        <v>35</v>
      </c>
      <c r="E182" s="41"/>
      <c r="F182" s="99">
        <v>195</v>
      </c>
      <c r="G182" s="99">
        <v>210</v>
      </c>
      <c r="H182" s="99">
        <v>1800</v>
      </c>
      <c r="M182" s="24" t="s">
        <v>81</v>
      </c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AF182" s="41" t="s">
        <v>101</v>
      </c>
      <c r="AG182" s="41"/>
      <c r="AO182" s="24" t="s">
        <v>81</v>
      </c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</row>
    <row r="183" spans="1:55" x14ac:dyDescent="0.25">
      <c r="F183" s="23" t="s">
        <v>44</v>
      </c>
      <c r="G183" s="23"/>
      <c r="H183" s="23"/>
      <c r="I183" s="23"/>
      <c r="J183" s="23"/>
      <c r="K183" s="23"/>
      <c r="L183" s="7" t="s">
        <v>30</v>
      </c>
      <c r="M183" s="24" t="s">
        <v>46</v>
      </c>
      <c r="N183" s="24"/>
      <c r="O183" s="24"/>
      <c r="P183" s="24"/>
      <c r="Q183" s="24"/>
      <c r="R183" s="24" t="s">
        <v>47</v>
      </c>
      <c r="S183" s="24"/>
      <c r="T183" s="24"/>
      <c r="U183" s="24"/>
      <c r="V183" s="24"/>
      <c r="W183" s="24"/>
      <c r="X183" s="24"/>
      <c r="Y183" s="44" t="s">
        <v>85</v>
      </c>
      <c r="Z183" s="44" t="s">
        <v>48</v>
      </c>
      <c r="AA183" s="44" t="s">
        <v>3</v>
      </c>
      <c r="AH183" s="23" t="s">
        <v>44</v>
      </c>
      <c r="AI183" s="23"/>
      <c r="AJ183" s="23"/>
      <c r="AK183" s="23"/>
      <c r="AL183" s="23"/>
      <c r="AM183" s="23"/>
      <c r="AN183" s="7" t="s">
        <v>30</v>
      </c>
      <c r="AO183" s="24" t="s">
        <v>46</v>
      </c>
      <c r="AP183" s="24"/>
      <c r="AQ183" s="24"/>
      <c r="AR183" s="24"/>
      <c r="AS183" s="24"/>
      <c r="AT183" s="24" t="s">
        <v>47</v>
      </c>
      <c r="AU183" s="24"/>
      <c r="AV183" s="24"/>
      <c r="AW183" s="24"/>
      <c r="AX183" s="24"/>
      <c r="AY183" s="24"/>
      <c r="AZ183" s="24"/>
      <c r="BA183" s="44" t="s">
        <v>85</v>
      </c>
      <c r="BB183" s="44" t="s">
        <v>48</v>
      </c>
      <c r="BC183" s="44" t="s">
        <v>3</v>
      </c>
    </row>
    <row r="184" spans="1:55" ht="63" x14ac:dyDescent="0.25">
      <c r="F184" s="38" t="s">
        <v>36</v>
      </c>
      <c r="G184" s="38" t="s">
        <v>37</v>
      </c>
      <c r="H184" s="38" t="s">
        <v>38</v>
      </c>
      <c r="I184" s="38" t="s">
        <v>80</v>
      </c>
      <c r="J184" s="38" t="s">
        <v>39</v>
      </c>
      <c r="K184" s="38" t="s">
        <v>45</v>
      </c>
      <c r="L184" s="39" t="s">
        <v>16</v>
      </c>
      <c r="M184" s="40" t="s">
        <v>34</v>
      </c>
      <c r="N184" s="40" t="s">
        <v>5</v>
      </c>
      <c r="O184" s="40" t="s">
        <v>7</v>
      </c>
      <c r="P184" s="40" t="s">
        <v>8</v>
      </c>
      <c r="Q184" s="40" t="s">
        <v>40</v>
      </c>
      <c r="R184" s="40" t="s">
        <v>41</v>
      </c>
      <c r="S184" s="40" t="s">
        <v>42</v>
      </c>
      <c r="T184" s="40" t="s">
        <v>31</v>
      </c>
      <c r="U184" s="40" t="s">
        <v>43</v>
      </c>
      <c r="V184" s="40" t="s">
        <v>82</v>
      </c>
      <c r="W184" s="40" t="s">
        <v>87</v>
      </c>
      <c r="X184" s="40" t="s">
        <v>83</v>
      </c>
      <c r="Y184" s="45" t="s">
        <v>3</v>
      </c>
      <c r="Z184" s="45" t="s">
        <v>3</v>
      </c>
      <c r="AA184" s="45" t="s">
        <v>3</v>
      </c>
      <c r="AH184" s="38" t="s">
        <v>36</v>
      </c>
      <c r="AI184" s="38" t="s">
        <v>37</v>
      </c>
      <c r="AJ184" s="38" t="s">
        <v>38</v>
      </c>
      <c r="AK184" s="38" t="s">
        <v>80</v>
      </c>
      <c r="AL184" s="38" t="s">
        <v>39</v>
      </c>
      <c r="AM184" s="38" t="s">
        <v>45</v>
      </c>
      <c r="AN184" s="39" t="s">
        <v>16</v>
      </c>
      <c r="AO184" s="40" t="s">
        <v>34</v>
      </c>
      <c r="AP184" s="40" t="s">
        <v>5</v>
      </c>
      <c r="AQ184" s="40" t="s">
        <v>7</v>
      </c>
      <c r="AR184" s="40" t="s">
        <v>8</v>
      </c>
      <c r="AS184" s="40" t="s">
        <v>40</v>
      </c>
      <c r="AT184" s="40" t="s">
        <v>41</v>
      </c>
      <c r="AU184" s="40" t="s">
        <v>42</v>
      </c>
      <c r="AV184" s="40" t="s">
        <v>31</v>
      </c>
      <c r="AW184" s="40" t="s">
        <v>43</v>
      </c>
      <c r="AX184" s="40" t="s">
        <v>82</v>
      </c>
      <c r="AY184" s="40" t="s">
        <v>87</v>
      </c>
      <c r="AZ184" s="40" t="s">
        <v>83</v>
      </c>
      <c r="BA184" s="45" t="s">
        <v>3</v>
      </c>
      <c r="BB184" s="45" t="s">
        <v>86</v>
      </c>
      <c r="BC184" s="45" t="s">
        <v>3</v>
      </c>
    </row>
    <row r="185" spans="1:55" x14ac:dyDescent="0.25">
      <c r="A185" s="15" t="s">
        <v>51</v>
      </c>
      <c r="B185" s="2"/>
      <c r="C185" s="2"/>
      <c r="F185" s="1">
        <f t="shared" ref="F185:M185" si="59">F187+F188+F189</f>
        <v>0</v>
      </c>
      <c r="G185" s="1">
        <f t="shared" si="59"/>
        <v>0</v>
      </c>
      <c r="H185" s="1">
        <f t="shared" si="59"/>
        <v>0</v>
      </c>
      <c r="I185" s="1">
        <f t="shared" si="59"/>
        <v>0</v>
      </c>
      <c r="J185" s="1">
        <f t="shared" si="59"/>
        <v>0</v>
      </c>
      <c r="K185" s="1">
        <f t="shared" si="59"/>
        <v>0</v>
      </c>
      <c r="L185" s="52">
        <f t="shared" si="59"/>
        <v>0</v>
      </c>
      <c r="M185" s="1">
        <f t="shared" si="59"/>
        <v>0</v>
      </c>
      <c r="N185" s="1">
        <f t="shared" ref="N185:X185" si="60">N187+N188+N189</f>
        <v>0</v>
      </c>
      <c r="O185" s="1">
        <f t="shared" si="60"/>
        <v>0</v>
      </c>
      <c r="P185" s="1">
        <f t="shared" si="60"/>
        <v>0</v>
      </c>
      <c r="Q185" s="1">
        <f t="shared" si="60"/>
        <v>0</v>
      </c>
      <c r="R185" s="1">
        <f t="shared" si="60"/>
        <v>0</v>
      </c>
      <c r="S185" s="1">
        <f t="shared" si="60"/>
        <v>0</v>
      </c>
      <c r="T185" s="1">
        <f t="shared" si="60"/>
        <v>0</v>
      </c>
      <c r="U185" s="1">
        <f t="shared" si="60"/>
        <v>0</v>
      </c>
      <c r="V185" s="1">
        <f t="shared" si="60"/>
        <v>0</v>
      </c>
      <c r="W185" s="1">
        <f t="shared" si="60"/>
        <v>0</v>
      </c>
      <c r="X185" s="1">
        <f t="shared" si="60"/>
        <v>0</v>
      </c>
      <c r="Y185" s="58">
        <f t="shared" ref="Y185:Y225" si="61">SUM(F185:K185)</f>
        <v>0</v>
      </c>
      <c r="Z185" s="1">
        <f t="shared" ref="Z185:Z225" si="62">SUM(M185:X185)</f>
        <v>0</v>
      </c>
      <c r="AA185" s="1">
        <f t="shared" ref="AA185:AA225" si="63">L185+Y185+Z185</f>
        <v>0</v>
      </c>
      <c r="AC185" s="15" t="s">
        <v>51</v>
      </c>
      <c r="AD185" s="2"/>
      <c r="AE185" s="2"/>
      <c r="AH185" s="1" t="str">
        <f t="shared" ref="AH185:AW200" si="64">IF(F185&gt;0,F230/F185*1000,"")</f>
        <v/>
      </c>
      <c r="AI185" s="1" t="str">
        <f t="shared" si="64"/>
        <v/>
      </c>
      <c r="AJ185" s="1" t="str">
        <f t="shared" si="64"/>
        <v/>
      </c>
      <c r="AK185" s="1" t="str">
        <f t="shared" si="64"/>
        <v/>
      </c>
      <c r="AL185" s="1" t="str">
        <f t="shared" si="64"/>
        <v/>
      </c>
      <c r="AM185" s="1" t="str">
        <f t="shared" si="64"/>
        <v/>
      </c>
      <c r="AN185" s="52" t="str">
        <f t="shared" si="64"/>
        <v/>
      </c>
      <c r="AO185" s="1" t="str">
        <f t="shared" si="64"/>
        <v/>
      </c>
      <c r="AP185" s="1" t="str">
        <f t="shared" si="64"/>
        <v/>
      </c>
      <c r="AQ185" s="1" t="str">
        <f t="shared" si="64"/>
        <v/>
      </c>
      <c r="AR185" s="1" t="str">
        <f t="shared" si="64"/>
        <v/>
      </c>
      <c r="AS185" s="1" t="str">
        <f t="shared" si="64"/>
        <v/>
      </c>
      <c r="AT185" s="1" t="str">
        <f t="shared" si="64"/>
        <v/>
      </c>
      <c r="AU185" s="1" t="str">
        <f t="shared" si="64"/>
        <v/>
      </c>
      <c r="AV185" s="1" t="str">
        <f t="shared" si="64"/>
        <v/>
      </c>
      <c r="AW185" s="1" t="str">
        <f t="shared" si="64"/>
        <v/>
      </c>
      <c r="AX185" s="1" t="str">
        <f t="shared" ref="AX185:BC200" si="65">IF(V185&gt;0,V230/V185*1000,"")</f>
        <v/>
      </c>
      <c r="AY185" s="1" t="str">
        <f t="shared" si="65"/>
        <v/>
      </c>
      <c r="AZ185" s="1" t="str">
        <f t="shared" si="65"/>
        <v/>
      </c>
      <c r="BA185" s="1" t="str">
        <f t="shared" si="65"/>
        <v/>
      </c>
      <c r="BB185" s="1" t="str">
        <f t="shared" si="65"/>
        <v/>
      </c>
      <c r="BC185" s="1" t="str">
        <f t="shared" si="65"/>
        <v/>
      </c>
    </row>
    <row r="186" spans="1:55" x14ac:dyDescent="0.25">
      <c r="A186" s="30" t="s">
        <v>60</v>
      </c>
      <c r="B186" s="2"/>
      <c r="C186" s="2"/>
      <c r="F186" s="1">
        <f>F190+F191+F192+F193</f>
        <v>174.49</v>
      </c>
      <c r="G186" s="1">
        <f t="shared" ref="G186:X186" si="66">G190+G191+G192+G193</f>
        <v>210</v>
      </c>
      <c r="H186" s="1">
        <f t="shared" si="66"/>
        <v>1800</v>
      </c>
      <c r="I186" s="1">
        <f t="shared" si="66"/>
        <v>101.37931034482759</v>
      </c>
      <c r="J186" s="1">
        <f t="shared" si="66"/>
        <v>129.69852719229769</v>
      </c>
      <c r="K186" s="1">
        <f t="shared" si="66"/>
        <v>1059.1379310344828</v>
      </c>
      <c r="L186" s="52">
        <f t="shared" si="66"/>
        <v>305.18518518518522</v>
      </c>
      <c r="M186" s="1">
        <f t="shared" si="66"/>
        <v>39.222222222222229</v>
      </c>
      <c r="N186" s="1">
        <f t="shared" si="66"/>
        <v>1.7074190177638453</v>
      </c>
      <c r="O186" s="1">
        <f t="shared" si="66"/>
        <v>7.9680000000000001E-2</v>
      </c>
      <c r="P186" s="1">
        <f t="shared" si="66"/>
        <v>0.15117857142857144</v>
      </c>
      <c r="Q186" s="1">
        <f t="shared" si="66"/>
        <v>24.907801418439718</v>
      </c>
      <c r="R186" s="1">
        <f t="shared" si="66"/>
        <v>31.221721865585046</v>
      </c>
      <c r="S186" s="1">
        <f t="shared" si="66"/>
        <v>2.4500000000000002</v>
      </c>
      <c r="T186" s="1">
        <f t="shared" si="66"/>
        <v>37.896420669611537</v>
      </c>
      <c r="U186" s="1">
        <f t="shared" si="66"/>
        <v>22.25352112676056</v>
      </c>
      <c r="V186" s="1">
        <f t="shared" si="66"/>
        <v>10.144583978969605</v>
      </c>
      <c r="W186" s="1">
        <f t="shared" si="66"/>
        <v>15.727699530516432</v>
      </c>
      <c r="X186" s="54">
        <f t="shared" si="66"/>
        <v>21.081600715403532</v>
      </c>
      <c r="Y186" s="58">
        <f t="shared" si="61"/>
        <v>3474.7057685716077</v>
      </c>
      <c r="Z186" s="1">
        <f t="shared" si="62"/>
        <v>206.84384911670108</v>
      </c>
      <c r="AA186" s="1">
        <f t="shared" si="63"/>
        <v>3986.7348028734941</v>
      </c>
      <c r="AC186" s="30" t="s">
        <v>60</v>
      </c>
      <c r="AD186" s="2"/>
      <c r="AE186" s="2"/>
      <c r="AH186" s="1">
        <f t="shared" si="64"/>
        <v>332.34828925126357</v>
      </c>
      <c r="AI186" s="1">
        <f t="shared" si="64"/>
        <v>120.63492063492062</v>
      </c>
      <c r="AJ186" s="1">
        <f t="shared" si="64"/>
        <v>27.777777777777775</v>
      </c>
      <c r="AK186" s="1">
        <f t="shared" si="64"/>
        <v>170.58823529411762</v>
      </c>
      <c r="AL186" s="1">
        <f t="shared" si="64"/>
        <v>1005.3076087957506</v>
      </c>
      <c r="AM186" s="1">
        <f t="shared" si="64"/>
        <v>40.904961474524143</v>
      </c>
      <c r="AN186" s="52">
        <f t="shared" si="64"/>
        <v>18750</v>
      </c>
      <c r="AO186" s="1">
        <f t="shared" si="64"/>
        <v>6894.4759206798863</v>
      </c>
      <c r="AP186" s="1">
        <f t="shared" si="64"/>
        <v>15222.030646831749</v>
      </c>
      <c r="AQ186" s="1">
        <f t="shared" si="64"/>
        <v>55555.555555555555</v>
      </c>
      <c r="AR186" s="1">
        <f t="shared" si="64"/>
        <v>155555.55555555553</v>
      </c>
      <c r="AS186" s="1">
        <f t="shared" si="64"/>
        <v>26783.219438116932</v>
      </c>
      <c r="AT186" s="1">
        <f t="shared" si="64"/>
        <v>11990.895916801637</v>
      </c>
      <c r="AU186" s="1">
        <f t="shared" si="64"/>
        <v>2222.2222222222222</v>
      </c>
      <c r="AV186" s="1">
        <f t="shared" si="64"/>
        <v>12051.228180096467</v>
      </c>
      <c r="AW186" s="1">
        <f t="shared" si="64"/>
        <v>11674.984930681136</v>
      </c>
      <c r="AX186" s="1">
        <f t="shared" si="65"/>
        <v>11981.528202595131</v>
      </c>
      <c r="AY186" s="1">
        <f t="shared" si="65"/>
        <v>10537.301587301588</v>
      </c>
      <c r="AZ186" s="1">
        <f t="shared" si="65"/>
        <v>10422.463891068739</v>
      </c>
      <c r="BA186" s="1">
        <f t="shared" si="65"/>
        <v>93.34022448938569</v>
      </c>
      <c r="BB186" s="1">
        <f t="shared" si="65"/>
        <v>12544.669128381067</v>
      </c>
      <c r="BC186" s="1">
        <f t="shared" si="65"/>
        <v>2167.523076999425</v>
      </c>
    </row>
    <row r="187" spans="1:55" x14ac:dyDescent="0.25">
      <c r="A187" s="15" t="s">
        <v>51</v>
      </c>
      <c r="B187" s="16" t="s">
        <v>52</v>
      </c>
      <c r="C187" s="2"/>
      <c r="F187" s="1">
        <f>F194+F195+F196</f>
        <v>0</v>
      </c>
      <c r="G187" s="1">
        <f t="shared" ref="G187:X187" si="67">G194+G195+G196</f>
        <v>0</v>
      </c>
      <c r="H187" s="1">
        <f t="shared" si="67"/>
        <v>0</v>
      </c>
      <c r="I187" s="1">
        <f t="shared" si="67"/>
        <v>0</v>
      </c>
      <c r="J187" s="1">
        <f t="shared" si="67"/>
        <v>0</v>
      </c>
      <c r="K187" s="1">
        <f t="shared" si="67"/>
        <v>0</v>
      </c>
      <c r="L187" s="52">
        <f t="shared" si="67"/>
        <v>0</v>
      </c>
      <c r="M187" s="1">
        <f t="shared" si="67"/>
        <v>0</v>
      </c>
      <c r="N187" s="1">
        <f t="shared" si="67"/>
        <v>0</v>
      </c>
      <c r="O187" s="1">
        <f t="shared" si="67"/>
        <v>0</v>
      </c>
      <c r="P187" s="1">
        <f t="shared" si="67"/>
        <v>0</v>
      </c>
      <c r="Q187" s="1">
        <f t="shared" si="67"/>
        <v>0</v>
      </c>
      <c r="R187" s="1">
        <f t="shared" si="67"/>
        <v>0</v>
      </c>
      <c r="S187" s="1">
        <f t="shared" si="67"/>
        <v>0</v>
      </c>
      <c r="T187" s="1">
        <f t="shared" si="67"/>
        <v>0</v>
      </c>
      <c r="U187" s="1">
        <f t="shared" si="67"/>
        <v>0</v>
      </c>
      <c r="V187" s="1">
        <f t="shared" si="67"/>
        <v>0</v>
      </c>
      <c r="W187" s="1">
        <f t="shared" si="67"/>
        <v>0</v>
      </c>
      <c r="X187" s="54">
        <f t="shared" si="67"/>
        <v>0</v>
      </c>
      <c r="Y187" s="58">
        <f t="shared" si="61"/>
        <v>0</v>
      </c>
      <c r="Z187" s="1">
        <f t="shared" si="62"/>
        <v>0</v>
      </c>
      <c r="AA187" s="1">
        <f t="shared" si="63"/>
        <v>0</v>
      </c>
      <c r="AC187" s="15" t="s">
        <v>51</v>
      </c>
      <c r="AD187" s="16" t="s">
        <v>52</v>
      </c>
      <c r="AE187" s="2"/>
      <c r="AH187" s="1" t="str">
        <f t="shared" si="64"/>
        <v/>
      </c>
      <c r="AI187" s="1" t="str">
        <f t="shared" si="64"/>
        <v/>
      </c>
      <c r="AJ187" s="1" t="str">
        <f t="shared" si="64"/>
        <v/>
      </c>
      <c r="AK187" s="1" t="str">
        <f t="shared" si="64"/>
        <v/>
      </c>
      <c r="AL187" s="1" t="str">
        <f t="shared" si="64"/>
        <v/>
      </c>
      <c r="AM187" s="1" t="str">
        <f t="shared" si="64"/>
        <v/>
      </c>
      <c r="AN187" s="52" t="str">
        <f t="shared" si="64"/>
        <v/>
      </c>
      <c r="AO187" s="1" t="str">
        <f t="shared" si="64"/>
        <v/>
      </c>
      <c r="AP187" s="1" t="str">
        <f t="shared" si="64"/>
        <v/>
      </c>
      <c r="AQ187" s="1" t="str">
        <f t="shared" si="64"/>
        <v/>
      </c>
      <c r="AR187" s="1" t="str">
        <f t="shared" si="64"/>
        <v/>
      </c>
      <c r="AS187" s="1" t="str">
        <f t="shared" si="64"/>
        <v/>
      </c>
      <c r="AT187" s="1" t="str">
        <f t="shared" si="64"/>
        <v/>
      </c>
      <c r="AU187" s="1" t="str">
        <f t="shared" si="64"/>
        <v/>
      </c>
      <c r="AV187" s="1" t="str">
        <f t="shared" si="64"/>
        <v/>
      </c>
      <c r="AW187" s="1" t="str">
        <f t="shared" si="64"/>
        <v/>
      </c>
      <c r="AX187" s="1" t="str">
        <f t="shared" si="65"/>
        <v/>
      </c>
      <c r="AY187" s="1" t="str">
        <f t="shared" si="65"/>
        <v/>
      </c>
      <c r="AZ187" s="1" t="str">
        <f t="shared" si="65"/>
        <v/>
      </c>
      <c r="BA187" s="1" t="str">
        <f t="shared" si="65"/>
        <v/>
      </c>
      <c r="BB187" s="1" t="str">
        <f t="shared" si="65"/>
        <v/>
      </c>
      <c r="BC187" s="1" t="str">
        <f t="shared" si="65"/>
        <v/>
      </c>
    </row>
    <row r="188" spans="1:55" x14ac:dyDescent="0.25">
      <c r="A188" s="15" t="s">
        <v>51</v>
      </c>
      <c r="B188" s="16" t="s">
        <v>56</v>
      </c>
      <c r="C188" s="2"/>
      <c r="F188" s="1">
        <f>F197+F198+F199</f>
        <v>0</v>
      </c>
      <c r="G188" s="1">
        <f t="shared" ref="G188:X188" si="68">G197+G198+G199</f>
        <v>0</v>
      </c>
      <c r="H188" s="1">
        <f t="shared" si="68"/>
        <v>0</v>
      </c>
      <c r="I188" s="1">
        <f t="shared" si="68"/>
        <v>0</v>
      </c>
      <c r="J188" s="1">
        <f t="shared" si="68"/>
        <v>0</v>
      </c>
      <c r="K188" s="1">
        <f t="shared" si="68"/>
        <v>0</v>
      </c>
      <c r="L188" s="52">
        <f t="shared" si="68"/>
        <v>0</v>
      </c>
      <c r="M188" s="1">
        <f t="shared" si="68"/>
        <v>0</v>
      </c>
      <c r="N188" s="1">
        <f t="shared" si="68"/>
        <v>0</v>
      </c>
      <c r="O188" s="1">
        <f t="shared" si="68"/>
        <v>0</v>
      </c>
      <c r="P188" s="1">
        <f t="shared" si="68"/>
        <v>0</v>
      </c>
      <c r="Q188" s="1">
        <f t="shared" si="68"/>
        <v>0</v>
      </c>
      <c r="R188" s="1">
        <f t="shared" si="68"/>
        <v>0</v>
      </c>
      <c r="S188" s="1">
        <f t="shared" si="68"/>
        <v>0</v>
      </c>
      <c r="T188" s="1">
        <f t="shared" si="68"/>
        <v>0</v>
      </c>
      <c r="U188" s="1">
        <f t="shared" si="68"/>
        <v>0</v>
      </c>
      <c r="V188" s="1">
        <f t="shared" si="68"/>
        <v>0</v>
      </c>
      <c r="W188" s="1">
        <f t="shared" si="68"/>
        <v>0</v>
      </c>
      <c r="X188" s="54">
        <f t="shared" si="68"/>
        <v>0</v>
      </c>
      <c r="Y188" s="58">
        <f t="shared" si="61"/>
        <v>0</v>
      </c>
      <c r="Z188" s="1">
        <f t="shared" si="62"/>
        <v>0</v>
      </c>
      <c r="AA188" s="1">
        <f t="shared" si="63"/>
        <v>0</v>
      </c>
      <c r="AC188" s="15" t="s">
        <v>51</v>
      </c>
      <c r="AD188" s="16" t="s">
        <v>56</v>
      </c>
      <c r="AE188" s="2"/>
      <c r="AH188" s="1" t="str">
        <f t="shared" si="64"/>
        <v/>
      </c>
      <c r="AI188" s="1" t="str">
        <f t="shared" si="64"/>
        <v/>
      </c>
      <c r="AJ188" s="1" t="str">
        <f t="shared" si="64"/>
        <v/>
      </c>
      <c r="AK188" s="1" t="str">
        <f t="shared" si="64"/>
        <v/>
      </c>
      <c r="AL188" s="1" t="str">
        <f t="shared" si="64"/>
        <v/>
      </c>
      <c r="AM188" s="1" t="str">
        <f t="shared" si="64"/>
        <v/>
      </c>
      <c r="AN188" s="52" t="str">
        <f t="shared" si="64"/>
        <v/>
      </c>
      <c r="AO188" s="1" t="str">
        <f t="shared" si="64"/>
        <v/>
      </c>
      <c r="AP188" s="1" t="str">
        <f t="shared" si="64"/>
        <v/>
      </c>
      <c r="AQ188" s="1" t="str">
        <f t="shared" si="64"/>
        <v/>
      </c>
      <c r="AR188" s="1" t="str">
        <f t="shared" si="64"/>
        <v/>
      </c>
      <c r="AS188" s="1" t="str">
        <f t="shared" si="64"/>
        <v/>
      </c>
      <c r="AT188" s="1" t="str">
        <f t="shared" si="64"/>
        <v/>
      </c>
      <c r="AU188" s="1" t="str">
        <f t="shared" si="64"/>
        <v/>
      </c>
      <c r="AV188" s="1" t="str">
        <f t="shared" si="64"/>
        <v/>
      </c>
      <c r="AW188" s="1" t="str">
        <f t="shared" si="64"/>
        <v/>
      </c>
      <c r="AX188" s="1" t="str">
        <f t="shared" si="65"/>
        <v/>
      </c>
      <c r="AY188" s="1" t="str">
        <f t="shared" si="65"/>
        <v/>
      </c>
      <c r="AZ188" s="1" t="str">
        <f t="shared" si="65"/>
        <v/>
      </c>
      <c r="BA188" s="1" t="str">
        <f t="shared" si="65"/>
        <v/>
      </c>
      <c r="BB188" s="1" t="str">
        <f t="shared" si="65"/>
        <v/>
      </c>
      <c r="BC188" s="1" t="str">
        <f t="shared" si="65"/>
        <v/>
      </c>
    </row>
    <row r="189" spans="1:55" x14ac:dyDescent="0.25">
      <c r="A189" s="15" t="s">
        <v>51</v>
      </c>
      <c r="B189" s="16" t="s">
        <v>9</v>
      </c>
      <c r="C189" s="2"/>
      <c r="F189" s="1">
        <f>F200</f>
        <v>0</v>
      </c>
      <c r="G189" s="1">
        <f t="shared" ref="G189:X189" si="69">G200</f>
        <v>0</v>
      </c>
      <c r="H189" s="1">
        <f t="shared" si="69"/>
        <v>0</v>
      </c>
      <c r="I189" s="1">
        <f t="shared" si="69"/>
        <v>0</v>
      </c>
      <c r="J189" s="1">
        <f t="shared" si="69"/>
        <v>0</v>
      </c>
      <c r="K189" s="1">
        <f t="shared" si="69"/>
        <v>0</v>
      </c>
      <c r="L189" s="52">
        <f t="shared" si="69"/>
        <v>0</v>
      </c>
      <c r="M189" s="1">
        <f t="shared" si="69"/>
        <v>0</v>
      </c>
      <c r="N189" s="1">
        <f t="shared" si="69"/>
        <v>0</v>
      </c>
      <c r="O189" s="1">
        <f t="shared" si="69"/>
        <v>0</v>
      </c>
      <c r="P189" s="1">
        <f t="shared" si="69"/>
        <v>0</v>
      </c>
      <c r="Q189" s="1">
        <f t="shared" si="69"/>
        <v>0</v>
      </c>
      <c r="R189" s="1">
        <f t="shared" si="69"/>
        <v>0</v>
      </c>
      <c r="S189" s="1">
        <f t="shared" si="69"/>
        <v>0</v>
      </c>
      <c r="T189" s="1">
        <f t="shared" si="69"/>
        <v>0</v>
      </c>
      <c r="U189" s="1">
        <f t="shared" si="69"/>
        <v>0</v>
      </c>
      <c r="V189" s="1">
        <f t="shared" si="69"/>
        <v>0</v>
      </c>
      <c r="W189" s="1">
        <f t="shared" si="69"/>
        <v>0</v>
      </c>
      <c r="X189" s="54">
        <f t="shared" si="69"/>
        <v>0</v>
      </c>
      <c r="Y189" s="58">
        <f t="shared" si="61"/>
        <v>0</v>
      </c>
      <c r="Z189" s="1">
        <f t="shared" si="62"/>
        <v>0</v>
      </c>
      <c r="AA189" s="1">
        <f t="shared" si="63"/>
        <v>0</v>
      </c>
      <c r="AC189" s="15" t="s">
        <v>51</v>
      </c>
      <c r="AD189" s="16" t="s">
        <v>9</v>
      </c>
      <c r="AE189" s="2"/>
      <c r="AH189" s="1" t="str">
        <f t="shared" si="64"/>
        <v/>
      </c>
      <c r="AI189" s="1" t="str">
        <f t="shared" si="64"/>
        <v/>
      </c>
      <c r="AJ189" s="1" t="str">
        <f t="shared" si="64"/>
        <v/>
      </c>
      <c r="AK189" s="1" t="str">
        <f t="shared" si="64"/>
        <v/>
      </c>
      <c r="AL189" s="1" t="str">
        <f t="shared" si="64"/>
        <v/>
      </c>
      <c r="AM189" s="1" t="str">
        <f t="shared" si="64"/>
        <v/>
      </c>
      <c r="AN189" s="52" t="str">
        <f t="shared" si="64"/>
        <v/>
      </c>
      <c r="AO189" s="1" t="str">
        <f t="shared" si="64"/>
        <v/>
      </c>
      <c r="AP189" s="1" t="str">
        <f t="shared" si="64"/>
        <v/>
      </c>
      <c r="AQ189" s="1" t="str">
        <f t="shared" si="64"/>
        <v/>
      </c>
      <c r="AR189" s="1" t="str">
        <f t="shared" si="64"/>
        <v/>
      </c>
      <c r="AS189" s="1" t="str">
        <f t="shared" si="64"/>
        <v/>
      </c>
      <c r="AT189" s="1" t="str">
        <f t="shared" si="64"/>
        <v/>
      </c>
      <c r="AU189" s="1" t="str">
        <f t="shared" si="64"/>
        <v/>
      </c>
      <c r="AV189" s="1" t="str">
        <f t="shared" si="64"/>
        <v/>
      </c>
      <c r="AW189" s="1" t="str">
        <f t="shared" si="64"/>
        <v/>
      </c>
      <c r="AX189" s="1" t="str">
        <f t="shared" si="65"/>
        <v/>
      </c>
      <c r="AY189" s="1" t="str">
        <f t="shared" si="65"/>
        <v/>
      </c>
      <c r="AZ189" s="1" t="str">
        <f t="shared" si="65"/>
        <v/>
      </c>
      <c r="BA189" s="1" t="str">
        <f t="shared" si="65"/>
        <v/>
      </c>
      <c r="BB189" s="1" t="str">
        <f t="shared" si="65"/>
        <v/>
      </c>
      <c r="BC189" s="1" t="str">
        <f t="shared" si="65"/>
        <v/>
      </c>
    </row>
    <row r="190" spans="1:55" x14ac:dyDescent="0.25">
      <c r="A190" s="30" t="s">
        <v>60</v>
      </c>
      <c r="B190" s="32" t="s">
        <v>13</v>
      </c>
      <c r="C190" s="2"/>
      <c r="F190" s="51">
        <f>F201+F202+F203</f>
        <v>173.24</v>
      </c>
      <c r="G190" s="51">
        <f t="shared" ref="G190:X190" si="70">G201+G202+G203</f>
        <v>210</v>
      </c>
      <c r="H190" s="51">
        <f t="shared" si="70"/>
        <v>1800</v>
      </c>
      <c r="I190" s="51">
        <f t="shared" si="70"/>
        <v>101.37931034482759</v>
      </c>
      <c r="J190" s="51">
        <f t="shared" si="70"/>
        <v>28.8</v>
      </c>
      <c r="K190" s="51">
        <f t="shared" si="70"/>
        <v>24.137931034482758</v>
      </c>
      <c r="L190" s="52">
        <f t="shared" si="70"/>
        <v>0</v>
      </c>
      <c r="M190" s="51">
        <f t="shared" si="70"/>
        <v>4.5</v>
      </c>
      <c r="N190" s="51">
        <f t="shared" si="70"/>
        <v>0.25287356321839083</v>
      </c>
      <c r="O190" s="51">
        <f t="shared" si="70"/>
        <v>7.9680000000000001E-2</v>
      </c>
      <c r="P190" s="51">
        <f t="shared" si="70"/>
        <v>0.15117857142857144</v>
      </c>
      <c r="Q190" s="51">
        <f t="shared" si="70"/>
        <v>8.5106382978723402E-2</v>
      </c>
      <c r="R190" s="51">
        <f t="shared" si="70"/>
        <v>0.57487783845932738</v>
      </c>
      <c r="S190" s="51">
        <f t="shared" si="70"/>
        <v>0</v>
      </c>
      <c r="T190" s="51">
        <f t="shared" si="70"/>
        <v>0.37558685446009388</v>
      </c>
      <c r="U190" s="51">
        <f t="shared" si="70"/>
        <v>1.1267605633802817</v>
      </c>
      <c r="V190" s="51">
        <f t="shared" si="70"/>
        <v>0.11737089201877934</v>
      </c>
      <c r="W190" s="51">
        <f t="shared" si="70"/>
        <v>2.6212832550860723</v>
      </c>
      <c r="X190" s="55">
        <f t="shared" si="70"/>
        <v>0.93896713615023475</v>
      </c>
      <c r="Y190" s="59">
        <f t="shared" si="61"/>
        <v>2337.5572413793102</v>
      </c>
      <c r="Z190" s="51">
        <f t="shared" si="62"/>
        <v>10.823685057180475</v>
      </c>
      <c r="AA190" s="51">
        <f t="shared" si="63"/>
        <v>2348.3809264364909</v>
      </c>
      <c r="AB190" s="97">
        <v>5200</v>
      </c>
      <c r="AC190" s="30" t="s">
        <v>60</v>
      </c>
      <c r="AD190" s="32" t="s">
        <v>13</v>
      </c>
      <c r="AE190" s="2"/>
      <c r="AH190" s="1">
        <f t="shared" si="64"/>
        <v>330.30606223864129</v>
      </c>
      <c r="AI190" s="1">
        <f t="shared" si="64"/>
        <v>120.63492063492062</v>
      </c>
      <c r="AJ190" s="1">
        <f t="shared" si="64"/>
        <v>27.777777777777775</v>
      </c>
      <c r="AK190" s="1">
        <f t="shared" si="64"/>
        <v>170.58823529411762</v>
      </c>
      <c r="AL190" s="1">
        <f t="shared" si="64"/>
        <v>359.47712418300654</v>
      </c>
      <c r="AM190" s="1">
        <f t="shared" si="64"/>
        <v>170.58823529411762</v>
      </c>
      <c r="AN190" s="52" t="str">
        <f t="shared" si="64"/>
        <v/>
      </c>
      <c r="AO190" s="1">
        <f t="shared" si="64"/>
        <v>2222.2222222222222</v>
      </c>
      <c r="AP190" s="1">
        <f t="shared" si="64"/>
        <v>5437.4999999999991</v>
      </c>
      <c r="AQ190" s="1">
        <f t="shared" si="64"/>
        <v>55555.555555555555</v>
      </c>
      <c r="AR190" s="1">
        <f t="shared" si="64"/>
        <v>155555.55555555553</v>
      </c>
      <c r="AS190" s="1">
        <f t="shared" si="64"/>
        <v>5222.2222222222226</v>
      </c>
      <c r="AT190" s="1">
        <f t="shared" si="64"/>
        <v>2366.6666666666665</v>
      </c>
      <c r="AU190" s="1" t="str">
        <f t="shared" si="64"/>
        <v/>
      </c>
      <c r="AV190" s="1">
        <f t="shared" si="64"/>
        <v>2366.6666666666665</v>
      </c>
      <c r="AW190" s="1">
        <f t="shared" si="64"/>
        <v>2366.6666666666661</v>
      </c>
      <c r="AX190" s="1">
        <f t="shared" si="65"/>
        <v>2366.6666666666665</v>
      </c>
      <c r="AY190" s="1">
        <f t="shared" si="65"/>
        <v>2366.6666666666665</v>
      </c>
      <c r="AZ190" s="1">
        <f t="shared" si="65"/>
        <v>2366.6666666666665</v>
      </c>
      <c r="BA190" s="1">
        <f t="shared" si="65"/>
        <v>70.295716626365433</v>
      </c>
      <c r="BB190" s="1">
        <f t="shared" si="65"/>
        <v>4932.0153878008387</v>
      </c>
      <c r="BC190" s="1">
        <f t="shared" si="65"/>
        <v>92.703377140344045</v>
      </c>
    </row>
    <row r="191" spans="1:55" x14ac:dyDescent="0.25">
      <c r="A191" s="30" t="s">
        <v>60</v>
      </c>
      <c r="B191" s="31" t="s">
        <v>23</v>
      </c>
      <c r="C191" s="2"/>
      <c r="F191" s="51">
        <f>F204+F205+F206</f>
        <v>1.25</v>
      </c>
      <c r="G191" s="51">
        <f t="shared" ref="G191:X191" si="71">G204+G205+G206</f>
        <v>0</v>
      </c>
      <c r="H191" s="51">
        <f t="shared" si="71"/>
        <v>0</v>
      </c>
      <c r="I191" s="51">
        <f t="shared" si="71"/>
        <v>0</v>
      </c>
      <c r="J191" s="51">
        <f t="shared" si="71"/>
        <v>41.374717668488159</v>
      </c>
      <c r="K191" s="51">
        <f t="shared" si="71"/>
        <v>1035</v>
      </c>
      <c r="L191" s="52">
        <f t="shared" si="71"/>
        <v>0</v>
      </c>
      <c r="M191" s="51">
        <f t="shared" si="71"/>
        <v>0</v>
      </c>
      <c r="N191" s="51">
        <f t="shared" si="71"/>
        <v>1.4545454545454546</v>
      </c>
      <c r="O191" s="51">
        <f t="shared" si="71"/>
        <v>0</v>
      </c>
      <c r="P191" s="51">
        <f t="shared" si="71"/>
        <v>0</v>
      </c>
      <c r="Q191" s="51">
        <f t="shared" si="71"/>
        <v>0</v>
      </c>
      <c r="R191" s="51">
        <f t="shared" si="71"/>
        <v>0</v>
      </c>
      <c r="S191" s="51">
        <f t="shared" si="71"/>
        <v>2.4500000000000002</v>
      </c>
      <c r="T191" s="51">
        <f t="shared" si="71"/>
        <v>1.5270935960591132</v>
      </c>
      <c r="U191" s="51">
        <f t="shared" si="71"/>
        <v>0</v>
      </c>
      <c r="V191" s="51">
        <f t="shared" si="71"/>
        <v>0.24630541871921183</v>
      </c>
      <c r="W191" s="51">
        <f t="shared" si="71"/>
        <v>0</v>
      </c>
      <c r="X191" s="55">
        <f t="shared" si="71"/>
        <v>1</v>
      </c>
      <c r="Y191" s="59">
        <f t="shared" si="61"/>
        <v>1077.6247176684881</v>
      </c>
      <c r="Z191" s="51">
        <f t="shared" si="62"/>
        <v>6.6779444693237799</v>
      </c>
      <c r="AA191" s="51">
        <f t="shared" si="63"/>
        <v>1084.3026621378119</v>
      </c>
      <c r="AC191" s="30" t="s">
        <v>60</v>
      </c>
      <c r="AD191" s="31" t="s">
        <v>23</v>
      </c>
      <c r="AE191" s="2"/>
      <c r="AH191" s="1">
        <f t="shared" si="64"/>
        <v>615.38461538461547</v>
      </c>
      <c r="AI191" s="1" t="str">
        <f t="shared" si="64"/>
        <v/>
      </c>
      <c r="AJ191" s="1" t="str">
        <f t="shared" si="64"/>
        <v/>
      </c>
      <c r="AK191" s="1" t="str">
        <f t="shared" si="64"/>
        <v/>
      </c>
      <c r="AL191" s="1">
        <f t="shared" si="64"/>
        <v>887.0306262939763</v>
      </c>
      <c r="AM191" s="1">
        <f t="shared" si="64"/>
        <v>37.880530634153814</v>
      </c>
      <c r="AN191" s="52" t="str">
        <f t="shared" si="64"/>
        <v/>
      </c>
      <c r="AO191" s="1" t="str">
        <f t="shared" si="64"/>
        <v/>
      </c>
      <c r="AP191" s="1">
        <f t="shared" si="64"/>
        <v>16923.076923076922</v>
      </c>
      <c r="AQ191" s="1" t="str">
        <f t="shared" si="64"/>
        <v/>
      </c>
      <c r="AR191" s="1" t="str">
        <f t="shared" si="64"/>
        <v/>
      </c>
      <c r="AS191" s="1" t="str">
        <f t="shared" si="64"/>
        <v/>
      </c>
      <c r="AT191" s="1" t="str">
        <f t="shared" si="64"/>
        <v/>
      </c>
      <c r="AU191" s="1">
        <f t="shared" si="64"/>
        <v>2222.2222222222222</v>
      </c>
      <c r="AV191" s="1">
        <f t="shared" si="64"/>
        <v>11600.000000000002</v>
      </c>
      <c r="AW191" s="1" t="str">
        <f t="shared" si="64"/>
        <v/>
      </c>
      <c r="AX191" s="1">
        <f t="shared" si="65"/>
        <v>9022.2222222222226</v>
      </c>
      <c r="AY191" s="1" t="str">
        <f t="shared" si="65"/>
        <v/>
      </c>
      <c r="AZ191" s="1">
        <f t="shared" si="65"/>
        <v>2222.2222222222222</v>
      </c>
      <c r="BA191" s="1">
        <f t="shared" si="65"/>
        <v>71.152990873937554</v>
      </c>
      <c r="BB191" s="1">
        <f t="shared" si="65"/>
        <v>7819.5557717548618</v>
      </c>
      <c r="BC191" s="1">
        <f t="shared" si="65"/>
        <v>118.87343397850343</v>
      </c>
    </row>
    <row r="192" spans="1:55" x14ac:dyDescent="0.25">
      <c r="A192" s="30" t="s">
        <v>60</v>
      </c>
      <c r="B192" s="31" t="s">
        <v>65</v>
      </c>
      <c r="C192" s="46"/>
      <c r="F192" s="51">
        <f>F207+F208+F209</f>
        <v>0</v>
      </c>
      <c r="G192" s="51">
        <f t="shared" ref="G192:X192" si="72">G207+G208+G209</f>
        <v>0</v>
      </c>
      <c r="H192" s="51">
        <f t="shared" si="72"/>
        <v>0</v>
      </c>
      <c r="I192" s="51">
        <f t="shared" si="72"/>
        <v>0</v>
      </c>
      <c r="J192" s="51">
        <f t="shared" si="72"/>
        <v>59.523809523809526</v>
      </c>
      <c r="K192" s="51">
        <f t="shared" si="72"/>
        <v>0</v>
      </c>
      <c r="L192" s="52">
        <f t="shared" si="72"/>
        <v>305.18518518518522</v>
      </c>
      <c r="M192" s="51">
        <f t="shared" si="72"/>
        <v>34.722222222222229</v>
      </c>
      <c r="N192" s="51">
        <f t="shared" si="72"/>
        <v>0</v>
      </c>
      <c r="O192" s="51">
        <f t="shared" si="72"/>
        <v>0</v>
      </c>
      <c r="P192" s="51">
        <f t="shared" si="72"/>
        <v>0</v>
      </c>
      <c r="Q192" s="51">
        <f t="shared" si="72"/>
        <v>24.822695035460995</v>
      </c>
      <c r="R192" s="51">
        <f t="shared" si="72"/>
        <v>30.64684402712572</v>
      </c>
      <c r="S192" s="51">
        <f t="shared" si="72"/>
        <v>0</v>
      </c>
      <c r="T192" s="51">
        <f t="shared" si="72"/>
        <v>35.993740219092331</v>
      </c>
      <c r="U192" s="51">
        <f t="shared" si="72"/>
        <v>21.12676056338028</v>
      </c>
      <c r="V192" s="51">
        <f t="shared" si="72"/>
        <v>9.7809076682316132</v>
      </c>
      <c r="W192" s="51">
        <f t="shared" si="72"/>
        <v>13.106416275430361</v>
      </c>
      <c r="X192" s="55">
        <f t="shared" si="72"/>
        <v>15.649452269170579</v>
      </c>
      <c r="Y192" s="59">
        <f t="shared" si="61"/>
        <v>59.523809523809526</v>
      </c>
      <c r="Z192" s="51">
        <f t="shared" si="62"/>
        <v>185.84903828011409</v>
      </c>
      <c r="AA192" s="51">
        <f t="shared" si="63"/>
        <v>550.55803298910882</v>
      </c>
      <c r="AC192" s="30" t="s">
        <v>60</v>
      </c>
      <c r="AD192" s="31" t="s">
        <v>65</v>
      </c>
      <c r="AE192" s="46"/>
      <c r="AH192" s="1" t="str">
        <f t="shared" si="64"/>
        <v/>
      </c>
      <c r="AI192" s="1" t="str">
        <f t="shared" si="64"/>
        <v/>
      </c>
      <c r="AJ192" s="1" t="str">
        <f t="shared" si="64"/>
        <v/>
      </c>
      <c r="AK192" s="1" t="str">
        <f t="shared" si="64"/>
        <v/>
      </c>
      <c r="AL192" s="1">
        <f t="shared" si="64"/>
        <v>1400.0000000000002</v>
      </c>
      <c r="AM192" s="1" t="str">
        <f t="shared" si="64"/>
        <v/>
      </c>
      <c r="AN192" s="52">
        <f t="shared" si="64"/>
        <v>18750</v>
      </c>
      <c r="AO192" s="1">
        <f t="shared" si="64"/>
        <v>7499.9999999999991</v>
      </c>
      <c r="AP192" s="1" t="str">
        <f t="shared" si="64"/>
        <v/>
      </c>
      <c r="AQ192" s="1" t="str">
        <f t="shared" si="64"/>
        <v/>
      </c>
      <c r="AR192" s="1" t="str">
        <f t="shared" si="64"/>
        <v/>
      </c>
      <c r="AS192" s="1">
        <f t="shared" si="64"/>
        <v>26857.142857142859</v>
      </c>
      <c r="AT192" s="1">
        <f t="shared" si="64"/>
        <v>12171.428571428572</v>
      </c>
      <c r="AU192" s="1" t="str">
        <f t="shared" si="64"/>
        <v/>
      </c>
      <c r="AV192" s="1">
        <f t="shared" si="64"/>
        <v>12171.428571428572</v>
      </c>
      <c r="AW192" s="1">
        <f t="shared" si="64"/>
        <v>12171.428571428572</v>
      </c>
      <c r="AX192" s="1">
        <f t="shared" si="65"/>
        <v>12171.428571428571</v>
      </c>
      <c r="AY192" s="1">
        <f t="shared" si="65"/>
        <v>12171.428571428572</v>
      </c>
      <c r="AZ192" s="1">
        <f t="shared" si="65"/>
        <v>12171.428571428571</v>
      </c>
      <c r="BA192" s="1">
        <f t="shared" si="65"/>
        <v>1400.0000000000002</v>
      </c>
      <c r="BB192" s="1">
        <f t="shared" si="65"/>
        <v>13260.143519928082</v>
      </c>
      <c r="BC192" s="1">
        <f t="shared" si="65"/>
        <v>15021.015007793145</v>
      </c>
    </row>
    <row r="193" spans="1:55" ht="15.75" thickBot="1" x14ac:dyDescent="0.3">
      <c r="A193" s="48" t="s">
        <v>60</v>
      </c>
      <c r="B193" s="49" t="s">
        <v>9</v>
      </c>
      <c r="C193" s="50"/>
      <c r="D193" s="50"/>
      <c r="E193" s="50"/>
      <c r="F193" s="53">
        <f>F210</f>
        <v>0</v>
      </c>
      <c r="G193" s="53">
        <f t="shared" ref="G193:X193" si="73">G210</f>
        <v>0</v>
      </c>
      <c r="H193" s="53">
        <f t="shared" si="73"/>
        <v>0</v>
      </c>
      <c r="I193" s="53">
        <f t="shared" si="73"/>
        <v>0</v>
      </c>
      <c r="J193" s="53">
        <f t="shared" si="73"/>
        <v>0</v>
      </c>
      <c r="K193" s="53">
        <f t="shared" si="73"/>
        <v>0</v>
      </c>
      <c r="L193" s="62">
        <f t="shared" si="73"/>
        <v>0</v>
      </c>
      <c r="M193" s="53">
        <f t="shared" si="73"/>
        <v>0</v>
      </c>
      <c r="N193" s="53">
        <f t="shared" si="73"/>
        <v>0</v>
      </c>
      <c r="O193" s="53">
        <f t="shared" si="73"/>
        <v>0</v>
      </c>
      <c r="P193" s="53">
        <f t="shared" si="73"/>
        <v>0</v>
      </c>
      <c r="Q193" s="53">
        <f t="shared" si="73"/>
        <v>0</v>
      </c>
      <c r="R193" s="53">
        <f t="shared" si="73"/>
        <v>0</v>
      </c>
      <c r="S193" s="53">
        <f t="shared" si="73"/>
        <v>0</v>
      </c>
      <c r="T193" s="53">
        <f t="shared" si="73"/>
        <v>0</v>
      </c>
      <c r="U193" s="53">
        <f t="shared" si="73"/>
        <v>0</v>
      </c>
      <c r="V193" s="53">
        <f t="shared" si="73"/>
        <v>0</v>
      </c>
      <c r="W193" s="53">
        <f t="shared" si="73"/>
        <v>0</v>
      </c>
      <c r="X193" s="56">
        <f t="shared" si="73"/>
        <v>3.4931813100827185</v>
      </c>
      <c r="Y193" s="60">
        <f t="shared" si="61"/>
        <v>0</v>
      </c>
      <c r="Z193" s="53">
        <f t="shared" si="62"/>
        <v>3.4931813100827185</v>
      </c>
      <c r="AA193" s="53">
        <f t="shared" si="63"/>
        <v>3.4931813100827185</v>
      </c>
      <c r="AC193" s="48" t="s">
        <v>60</v>
      </c>
      <c r="AD193" s="49" t="s">
        <v>9</v>
      </c>
      <c r="AE193" s="50"/>
      <c r="AF193" s="50"/>
      <c r="AG193" s="50"/>
      <c r="AH193" s="1" t="str">
        <f t="shared" si="64"/>
        <v/>
      </c>
      <c r="AI193" s="1" t="str">
        <f t="shared" si="64"/>
        <v/>
      </c>
      <c r="AJ193" s="1" t="str">
        <f t="shared" si="64"/>
        <v/>
      </c>
      <c r="AK193" s="1" t="str">
        <f t="shared" si="64"/>
        <v/>
      </c>
      <c r="AL193" s="1" t="str">
        <f t="shared" si="64"/>
        <v/>
      </c>
      <c r="AM193" s="1" t="str">
        <f t="shared" si="64"/>
        <v/>
      </c>
      <c r="AN193" s="52" t="str">
        <f t="shared" si="64"/>
        <v/>
      </c>
      <c r="AO193" s="1" t="str">
        <f t="shared" si="64"/>
        <v/>
      </c>
      <c r="AP193" s="1" t="str">
        <f t="shared" si="64"/>
        <v/>
      </c>
      <c r="AQ193" s="1" t="str">
        <f t="shared" si="64"/>
        <v/>
      </c>
      <c r="AR193" s="1" t="str">
        <f t="shared" si="64"/>
        <v/>
      </c>
      <c r="AS193" s="1" t="str">
        <f t="shared" si="64"/>
        <v/>
      </c>
      <c r="AT193" s="1" t="str">
        <f t="shared" si="64"/>
        <v/>
      </c>
      <c r="AU193" s="1" t="str">
        <f t="shared" si="64"/>
        <v/>
      </c>
      <c r="AV193" s="1" t="str">
        <f t="shared" si="64"/>
        <v/>
      </c>
      <c r="AW193" s="1" t="str">
        <f t="shared" si="64"/>
        <v/>
      </c>
      <c r="AX193" s="1" t="str">
        <f t="shared" si="65"/>
        <v/>
      </c>
      <c r="AY193" s="1" t="str">
        <f t="shared" si="65"/>
        <v/>
      </c>
      <c r="AZ193" s="1">
        <f t="shared" si="65"/>
        <v>7100</v>
      </c>
      <c r="BA193" s="1" t="str">
        <f t="shared" si="65"/>
        <v/>
      </c>
      <c r="BB193" s="1">
        <f t="shared" si="65"/>
        <v>7100</v>
      </c>
      <c r="BC193" s="1">
        <f t="shared" si="65"/>
        <v>7100</v>
      </c>
    </row>
    <row r="194" spans="1:55" ht="15.75" thickTop="1" x14ac:dyDescent="0.25">
      <c r="A194" s="15" t="s">
        <v>51</v>
      </c>
      <c r="B194" s="16" t="s">
        <v>52</v>
      </c>
      <c r="C194" s="16" t="s">
        <v>53</v>
      </c>
      <c r="D194" s="2"/>
      <c r="E194" s="2"/>
      <c r="F194" s="47">
        <v>0</v>
      </c>
      <c r="G194" s="47">
        <v>0</v>
      </c>
      <c r="H194" s="47">
        <v>0</v>
      </c>
      <c r="I194" s="47">
        <v>0</v>
      </c>
      <c r="J194" s="47">
        <v>0</v>
      </c>
      <c r="K194" s="47">
        <v>0</v>
      </c>
      <c r="L194" s="63">
        <v>0</v>
      </c>
      <c r="M194" s="47">
        <v>0</v>
      </c>
      <c r="N194" s="47">
        <v>0</v>
      </c>
      <c r="O194" s="47">
        <v>0</v>
      </c>
      <c r="P194" s="47">
        <v>0</v>
      </c>
      <c r="Q194" s="47">
        <v>0</v>
      </c>
      <c r="R194" s="47">
        <v>0</v>
      </c>
      <c r="S194" s="47">
        <v>0</v>
      </c>
      <c r="T194" s="47">
        <v>0</v>
      </c>
      <c r="U194" s="47">
        <v>0</v>
      </c>
      <c r="V194" s="47">
        <v>0</v>
      </c>
      <c r="W194" s="47">
        <v>0</v>
      </c>
      <c r="X194" s="57">
        <v>0</v>
      </c>
      <c r="Y194" s="61">
        <f t="shared" si="61"/>
        <v>0</v>
      </c>
      <c r="Z194" s="47">
        <f t="shared" si="62"/>
        <v>0</v>
      </c>
      <c r="AA194" s="47">
        <f t="shared" si="63"/>
        <v>0</v>
      </c>
      <c r="AC194" s="15" t="s">
        <v>51</v>
      </c>
      <c r="AD194" s="16" t="s">
        <v>52</v>
      </c>
      <c r="AE194" s="16" t="s">
        <v>53</v>
      </c>
      <c r="AF194" s="2"/>
      <c r="AG194" s="2"/>
      <c r="AH194" s="90" t="str">
        <f t="shared" si="64"/>
        <v/>
      </c>
      <c r="AI194" s="90" t="str">
        <f t="shared" si="64"/>
        <v/>
      </c>
      <c r="AJ194" s="90" t="str">
        <f t="shared" si="64"/>
        <v/>
      </c>
      <c r="AK194" s="90" t="str">
        <f t="shared" si="64"/>
        <v/>
      </c>
      <c r="AL194" s="90" t="str">
        <f t="shared" si="64"/>
        <v/>
      </c>
      <c r="AM194" s="90" t="str">
        <f t="shared" si="64"/>
        <v/>
      </c>
      <c r="AN194" s="90" t="str">
        <f t="shared" si="64"/>
        <v/>
      </c>
      <c r="AO194" s="90" t="str">
        <f t="shared" si="64"/>
        <v/>
      </c>
      <c r="AP194" s="90" t="str">
        <f t="shared" si="64"/>
        <v/>
      </c>
      <c r="AQ194" s="90" t="str">
        <f t="shared" si="64"/>
        <v/>
      </c>
      <c r="AR194" s="90" t="str">
        <f t="shared" si="64"/>
        <v/>
      </c>
      <c r="AS194" s="90" t="str">
        <f t="shared" si="64"/>
        <v/>
      </c>
      <c r="AT194" s="90" t="str">
        <f t="shared" si="64"/>
        <v/>
      </c>
      <c r="AU194" s="90" t="str">
        <f t="shared" si="64"/>
        <v/>
      </c>
      <c r="AV194" s="90" t="str">
        <f t="shared" si="64"/>
        <v/>
      </c>
      <c r="AW194" s="90" t="str">
        <f t="shared" si="64"/>
        <v/>
      </c>
      <c r="AX194" s="90" t="str">
        <f t="shared" si="65"/>
        <v/>
      </c>
      <c r="AY194" s="90" t="str">
        <f t="shared" si="65"/>
        <v/>
      </c>
      <c r="AZ194" s="90" t="str">
        <f t="shared" si="65"/>
        <v/>
      </c>
      <c r="BA194" s="90" t="str">
        <f t="shared" si="65"/>
        <v/>
      </c>
      <c r="BB194" s="90" t="str">
        <f t="shared" si="65"/>
        <v/>
      </c>
      <c r="BC194" s="90" t="str">
        <f t="shared" si="65"/>
        <v/>
      </c>
    </row>
    <row r="195" spans="1:55" x14ac:dyDescent="0.25">
      <c r="A195" s="15" t="s">
        <v>51</v>
      </c>
      <c r="B195" s="16" t="s">
        <v>52</v>
      </c>
      <c r="C195" s="16" t="s">
        <v>54</v>
      </c>
      <c r="D195" s="2"/>
      <c r="E195" s="2"/>
      <c r="F195" s="47">
        <v>0</v>
      </c>
      <c r="G195" s="47">
        <v>0</v>
      </c>
      <c r="H195" s="1">
        <v>0</v>
      </c>
      <c r="I195" s="1">
        <v>0</v>
      </c>
      <c r="J195" s="1">
        <v>0</v>
      </c>
      <c r="K195" s="1">
        <v>0</v>
      </c>
      <c r="L195" s="52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54">
        <v>0</v>
      </c>
      <c r="Y195" s="58">
        <f t="shared" si="61"/>
        <v>0</v>
      </c>
      <c r="Z195" s="1">
        <f t="shared" si="62"/>
        <v>0</v>
      </c>
      <c r="AA195" s="1">
        <f t="shared" si="63"/>
        <v>0</v>
      </c>
      <c r="AC195" s="15" t="s">
        <v>51</v>
      </c>
      <c r="AD195" s="16" t="s">
        <v>52</v>
      </c>
      <c r="AE195" s="16" t="s">
        <v>54</v>
      </c>
      <c r="AF195" s="2"/>
      <c r="AG195" s="2"/>
      <c r="AH195" s="90" t="str">
        <f t="shared" si="64"/>
        <v/>
      </c>
      <c r="AI195" s="90" t="str">
        <f t="shared" si="64"/>
        <v/>
      </c>
      <c r="AJ195" s="90" t="str">
        <f t="shared" si="64"/>
        <v/>
      </c>
      <c r="AK195" s="90" t="str">
        <f t="shared" si="64"/>
        <v/>
      </c>
      <c r="AL195" s="90" t="str">
        <f t="shared" si="64"/>
        <v/>
      </c>
      <c r="AM195" s="90" t="str">
        <f t="shared" si="64"/>
        <v/>
      </c>
      <c r="AN195" s="90" t="str">
        <f t="shared" si="64"/>
        <v/>
      </c>
      <c r="AO195" s="90" t="str">
        <f t="shared" si="64"/>
        <v/>
      </c>
      <c r="AP195" s="90" t="str">
        <f t="shared" si="64"/>
        <v/>
      </c>
      <c r="AQ195" s="90" t="str">
        <f t="shared" si="64"/>
        <v/>
      </c>
      <c r="AR195" s="90" t="str">
        <f t="shared" si="64"/>
        <v/>
      </c>
      <c r="AS195" s="90" t="str">
        <f t="shared" si="64"/>
        <v/>
      </c>
      <c r="AT195" s="90" t="str">
        <f t="shared" si="64"/>
        <v/>
      </c>
      <c r="AU195" s="90" t="str">
        <f t="shared" si="64"/>
        <v/>
      </c>
      <c r="AV195" s="90" t="str">
        <f t="shared" si="64"/>
        <v/>
      </c>
      <c r="AW195" s="90" t="str">
        <f t="shared" si="64"/>
        <v/>
      </c>
      <c r="AX195" s="90" t="str">
        <f t="shared" si="65"/>
        <v/>
      </c>
      <c r="AY195" s="90" t="str">
        <f t="shared" si="65"/>
        <v/>
      </c>
      <c r="AZ195" s="90" t="str">
        <f t="shared" si="65"/>
        <v/>
      </c>
      <c r="BA195" s="90" t="str">
        <f t="shared" si="65"/>
        <v/>
      </c>
      <c r="BB195" s="90" t="str">
        <f t="shared" si="65"/>
        <v/>
      </c>
      <c r="BC195" s="90" t="str">
        <f t="shared" si="65"/>
        <v/>
      </c>
    </row>
    <row r="196" spans="1:55" x14ac:dyDescent="0.25">
      <c r="A196" s="15" t="s">
        <v>51</v>
      </c>
      <c r="B196" s="16" t="s">
        <v>52</v>
      </c>
      <c r="C196" s="16" t="s">
        <v>55</v>
      </c>
      <c r="D196" s="2"/>
      <c r="E196" s="2"/>
      <c r="F196" s="47">
        <v>0</v>
      </c>
      <c r="G196" s="47">
        <v>0</v>
      </c>
      <c r="H196" s="1">
        <v>0</v>
      </c>
      <c r="I196" s="1">
        <v>0</v>
      </c>
      <c r="J196" s="1">
        <v>0</v>
      </c>
      <c r="K196" s="1">
        <v>0</v>
      </c>
      <c r="L196" s="52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54">
        <v>0</v>
      </c>
      <c r="Y196" s="58">
        <f t="shared" si="61"/>
        <v>0</v>
      </c>
      <c r="Z196" s="1">
        <f t="shared" si="62"/>
        <v>0</v>
      </c>
      <c r="AA196" s="1">
        <f t="shared" si="63"/>
        <v>0</v>
      </c>
      <c r="AC196" s="15" t="s">
        <v>51</v>
      </c>
      <c r="AD196" s="16" t="s">
        <v>52</v>
      </c>
      <c r="AE196" s="16" t="s">
        <v>55</v>
      </c>
      <c r="AF196" s="2"/>
      <c r="AG196" s="2"/>
      <c r="AH196" s="90" t="str">
        <f t="shared" si="64"/>
        <v/>
      </c>
      <c r="AI196" s="90" t="str">
        <f t="shared" si="64"/>
        <v/>
      </c>
      <c r="AJ196" s="90" t="str">
        <f t="shared" si="64"/>
        <v/>
      </c>
      <c r="AK196" s="90" t="str">
        <f t="shared" si="64"/>
        <v/>
      </c>
      <c r="AL196" s="90" t="str">
        <f t="shared" si="64"/>
        <v/>
      </c>
      <c r="AM196" s="90" t="str">
        <f t="shared" si="64"/>
        <v/>
      </c>
      <c r="AN196" s="90" t="str">
        <f t="shared" si="64"/>
        <v/>
      </c>
      <c r="AO196" s="90" t="str">
        <f t="shared" si="64"/>
        <v/>
      </c>
      <c r="AP196" s="90" t="str">
        <f t="shared" si="64"/>
        <v/>
      </c>
      <c r="AQ196" s="90" t="str">
        <f t="shared" si="64"/>
        <v/>
      </c>
      <c r="AR196" s="90" t="str">
        <f t="shared" si="64"/>
        <v/>
      </c>
      <c r="AS196" s="90" t="str">
        <f t="shared" si="64"/>
        <v/>
      </c>
      <c r="AT196" s="90" t="str">
        <f t="shared" si="64"/>
        <v/>
      </c>
      <c r="AU196" s="90" t="str">
        <f t="shared" si="64"/>
        <v/>
      </c>
      <c r="AV196" s="90" t="str">
        <f t="shared" si="64"/>
        <v/>
      </c>
      <c r="AW196" s="90" t="str">
        <f t="shared" si="64"/>
        <v/>
      </c>
      <c r="AX196" s="90" t="str">
        <f t="shared" si="65"/>
        <v/>
      </c>
      <c r="AY196" s="90" t="str">
        <f t="shared" si="65"/>
        <v/>
      </c>
      <c r="AZ196" s="90" t="str">
        <f t="shared" si="65"/>
        <v/>
      </c>
      <c r="BA196" s="90" t="str">
        <f t="shared" si="65"/>
        <v/>
      </c>
      <c r="BB196" s="90" t="str">
        <f t="shared" si="65"/>
        <v/>
      </c>
      <c r="BC196" s="90" t="str">
        <f t="shared" si="65"/>
        <v/>
      </c>
    </row>
    <row r="197" spans="1:55" x14ac:dyDescent="0.25">
      <c r="A197" s="25" t="s">
        <v>51</v>
      </c>
      <c r="B197" s="26" t="s">
        <v>56</v>
      </c>
      <c r="C197" s="26" t="s">
        <v>57</v>
      </c>
      <c r="D197" s="2"/>
      <c r="E197" s="2"/>
      <c r="F197" s="47">
        <v>0</v>
      </c>
      <c r="G197" s="47">
        <v>0</v>
      </c>
      <c r="H197" s="1">
        <v>0</v>
      </c>
      <c r="I197" s="1">
        <v>0</v>
      </c>
      <c r="J197" s="1">
        <v>0</v>
      </c>
      <c r="K197" s="1">
        <v>0</v>
      </c>
      <c r="L197" s="52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54">
        <v>0</v>
      </c>
      <c r="Y197" s="58">
        <f t="shared" si="61"/>
        <v>0</v>
      </c>
      <c r="Z197" s="1">
        <f t="shared" si="62"/>
        <v>0</v>
      </c>
      <c r="AA197" s="1">
        <f t="shared" si="63"/>
        <v>0</v>
      </c>
      <c r="AC197" s="25" t="s">
        <v>51</v>
      </c>
      <c r="AD197" s="26" t="s">
        <v>56</v>
      </c>
      <c r="AE197" s="26" t="s">
        <v>57</v>
      </c>
      <c r="AF197" s="2"/>
      <c r="AG197" s="2"/>
      <c r="AH197" s="90" t="str">
        <f t="shared" si="64"/>
        <v/>
      </c>
      <c r="AI197" s="90" t="str">
        <f t="shared" si="64"/>
        <v/>
      </c>
      <c r="AJ197" s="90" t="str">
        <f t="shared" si="64"/>
        <v/>
      </c>
      <c r="AK197" s="90" t="str">
        <f t="shared" si="64"/>
        <v/>
      </c>
      <c r="AL197" s="90" t="str">
        <f t="shared" si="64"/>
        <v/>
      </c>
      <c r="AM197" s="90" t="str">
        <f t="shared" si="64"/>
        <v/>
      </c>
      <c r="AN197" s="90" t="str">
        <f t="shared" si="64"/>
        <v/>
      </c>
      <c r="AO197" s="90" t="str">
        <f t="shared" si="64"/>
        <v/>
      </c>
      <c r="AP197" s="90" t="str">
        <f t="shared" si="64"/>
        <v/>
      </c>
      <c r="AQ197" s="90" t="str">
        <f t="shared" si="64"/>
        <v/>
      </c>
      <c r="AR197" s="90" t="str">
        <f t="shared" si="64"/>
        <v/>
      </c>
      <c r="AS197" s="90" t="str">
        <f t="shared" si="64"/>
        <v/>
      </c>
      <c r="AT197" s="90" t="str">
        <f t="shared" si="64"/>
        <v/>
      </c>
      <c r="AU197" s="90" t="str">
        <f t="shared" si="64"/>
        <v/>
      </c>
      <c r="AV197" s="90" t="str">
        <f t="shared" si="64"/>
        <v/>
      </c>
      <c r="AW197" s="90" t="str">
        <f t="shared" si="64"/>
        <v/>
      </c>
      <c r="AX197" s="90" t="str">
        <f t="shared" si="65"/>
        <v/>
      </c>
      <c r="AY197" s="90" t="str">
        <f t="shared" si="65"/>
        <v/>
      </c>
      <c r="AZ197" s="90" t="str">
        <f t="shared" si="65"/>
        <v/>
      </c>
      <c r="BA197" s="90" t="str">
        <f t="shared" si="65"/>
        <v/>
      </c>
      <c r="BB197" s="90" t="str">
        <f t="shared" si="65"/>
        <v/>
      </c>
      <c r="BC197" s="90" t="str">
        <f t="shared" si="65"/>
        <v/>
      </c>
    </row>
    <row r="198" spans="1:55" x14ac:dyDescent="0.25">
      <c r="A198" s="15" t="s">
        <v>51</v>
      </c>
      <c r="B198" s="16" t="s">
        <v>56</v>
      </c>
      <c r="C198" s="27" t="s">
        <v>58</v>
      </c>
      <c r="D198" s="2"/>
      <c r="E198" s="2"/>
      <c r="F198" s="47">
        <v>0</v>
      </c>
      <c r="G198" s="47">
        <v>0</v>
      </c>
      <c r="H198" s="1">
        <v>0</v>
      </c>
      <c r="I198" s="1">
        <v>0</v>
      </c>
      <c r="J198" s="1">
        <v>0</v>
      </c>
      <c r="K198" s="1">
        <v>0</v>
      </c>
      <c r="L198" s="52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54">
        <v>0</v>
      </c>
      <c r="Y198" s="58">
        <f t="shared" si="61"/>
        <v>0</v>
      </c>
      <c r="Z198" s="1">
        <f t="shared" si="62"/>
        <v>0</v>
      </c>
      <c r="AA198" s="1">
        <f t="shared" si="63"/>
        <v>0</v>
      </c>
      <c r="AC198" s="15" t="s">
        <v>51</v>
      </c>
      <c r="AD198" s="16" t="s">
        <v>56</v>
      </c>
      <c r="AE198" s="27" t="s">
        <v>58</v>
      </c>
      <c r="AF198" s="2"/>
      <c r="AG198" s="2"/>
      <c r="AH198" s="90" t="str">
        <f t="shared" si="64"/>
        <v/>
      </c>
      <c r="AI198" s="90" t="str">
        <f t="shared" si="64"/>
        <v/>
      </c>
      <c r="AJ198" s="90" t="str">
        <f t="shared" si="64"/>
        <v/>
      </c>
      <c r="AK198" s="90" t="str">
        <f t="shared" si="64"/>
        <v/>
      </c>
      <c r="AL198" s="90" t="str">
        <f t="shared" si="64"/>
        <v/>
      </c>
      <c r="AM198" s="90" t="str">
        <f t="shared" si="64"/>
        <v/>
      </c>
      <c r="AN198" s="90" t="str">
        <f t="shared" si="64"/>
        <v/>
      </c>
      <c r="AO198" s="90" t="str">
        <f t="shared" si="64"/>
        <v/>
      </c>
      <c r="AP198" s="90" t="str">
        <f t="shared" si="64"/>
        <v/>
      </c>
      <c r="AQ198" s="90" t="str">
        <f t="shared" si="64"/>
        <v/>
      </c>
      <c r="AR198" s="90" t="str">
        <f t="shared" si="64"/>
        <v/>
      </c>
      <c r="AS198" s="90" t="str">
        <f t="shared" si="64"/>
        <v/>
      </c>
      <c r="AT198" s="90" t="str">
        <f t="shared" si="64"/>
        <v/>
      </c>
      <c r="AU198" s="90" t="str">
        <f t="shared" si="64"/>
        <v/>
      </c>
      <c r="AV198" s="90" t="str">
        <f t="shared" si="64"/>
        <v/>
      </c>
      <c r="AW198" s="90" t="str">
        <f t="shared" si="64"/>
        <v/>
      </c>
      <c r="AX198" s="90" t="str">
        <f t="shared" si="65"/>
        <v/>
      </c>
      <c r="AY198" s="90" t="str">
        <f t="shared" si="65"/>
        <v/>
      </c>
      <c r="AZ198" s="90" t="str">
        <f t="shared" si="65"/>
        <v/>
      </c>
      <c r="BA198" s="90" t="str">
        <f t="shared" si="65"/>
        <v/>
      </c>
      <c r="BB198" s="90" t="str">
        <f t="shared" si="65"/>
        <v/>
      </c>
      <c r="BC198" s="90" t="str">
        <f t="shared" si="65"/>
        <v/>
      </c>
    </row>
    <row r="199" spans="1:55" x14ac:dyDescent="0.25">
      <c r="A199" s="15" t="s">
        <v>51</v>
      </c>
      <c r="B199" s="16" t="s">
        <v>9</v>
      </c>
      <c r="C199" s="27" t="s">
        <v>59</v>
      </c>
      <c r="D199" s="2"/>
      <c r="E199" s="2"/>
      <c r="F199" s="47">
        <v>0</v>
      </c>
      <c r="G199" s="47">
        <v>0</v>
      </c>
      <c r="H199" s="1">
        <v>0</v>
      </c>
      <c r="I199" s="1">
        <v>0</v>
      </c>
      <c r="J199" s="1">
        <v>0</v>
      </c>
      <c r="K199" s="1">
        <v>0</v>
      </c>
      <c r="L199" s="52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54">
        <v>0</v>
      </c>
      <c r="Y199" s="58">
        <f t="shared" si="61"/>
        <v>0</v>
      </c>
      <c r="Z199" s="1">
        <f t="shared" si="62"/>
        <v>0</v>
      </c>
      <c r="AA199" s="1">
        <f t="shared" si="63"/>
        <v>0</v>
      </c>
      <c r="AC199" s="15" t="s">
        <v>51</v>
      </c>
      <c r="AD199" s="16" t="s">
        <v>9</v>
      </c>
      <c r="AE199" s="27" t="s">
        <v>59</v>
      </c>
      <c r="AF199" s="2"/>
      <c r="AG199" s="2"/>
      <c r="AH199" s="90" t="str">
        <f t="shared" si="64"/>
        <v/>
      </c>
      <c r="AI199" s="90" t="str">
        <f t="shared" si="64"/>
        <v/>
      </c>
      <c r="AJ199" s="90" t="str">
        <f t="shared" si="64"/>
        <v/>
      </c>
      <c r="AK199" s="90" t="str">
        <f t="shared" si="64"/>
        <v/>
      </c>
      <c r="AL199" s="90" t="str">
        <f t="shared" si="64"/>
        <v/>
      </c>
      <c r="AM199" s="90" t="str">
        <f t="shared" si="64"/>
        <v/>
      </c>
      <c r="AN199" s="90" t="str">
        <f t="shared" si="64"/>
        <v/>
      </c>
      <c r="AO199" s="90" t="str">
        <f t="shared" si="64"/>
        <v/>
      </c>
      <c r="AP199" s="90" t="str">
        <f t="shared" si="64"/>
        <v/>
      </c>
      <c r="AQ199" s="90" t="str">
        <f t="shared" si="64"/>
        <v/>
      </c>
      <c r="AR199" s="90" t="str">
        <f t="shared" si="64"/>
        <v/>
      </c>
      <c r="AS199" s="90" t="str">
        <f t="shared" si="64"/>
        <v/>
      </c>
      <c r="AT199" s="90" t="str">
        <f t="shared" si="64"/>
        <v/>
      </c>
      <c r="AU199" s="90" t="str">
        <f t="shared" si="64"/>
        <v/>
      </c>
      <c r="AV199" s="90" t="str">
        <f t="shared" si="64"/>
        <v/>
      </c>
      <c r="AW199" s="90" t="str">
        <f t="shared" si="64"/>
        <v/>
      </c>
      <c r="AX199" s="90" t="str">
        <f t="shared" si="65"/>
        <v/>
      </c>
      <c r="AY199" s="90" t="str">
        <f t="shared" si="65"/>
        <v/>
      </c>
      <c r="AZ199" s="90" t="str">
        <f t="shared" si="65"/>
        <v/>
      </c>
      <c r="BA199" s="90" t="str">
        <f t="shared" si="65"/>
        <v/>
      </c>
      <c r="BB199" s="90" t="str">
        <f t="shared" si="65"/>
        <v/>
      </c>
      <c r="BC199" s="90" t="str">
        <f t="shared" si="65"/>
        <v/>
      </c>
    </row>
    <row r="200" spans="1:55" x14ac:dyDescent="0.25">
      <c r="A200" s="15" t="s">
        <v>51</v>
      </c>
      <c r="B200" s="16" t="s">
        <v>9</v>
      </c>
      <c r="C200" s="27" t="s">
        <v>9</v>
      </c>
      <c r="D200" s="2"/>
      <c r="E200" s="2"/>
      <c r="F200" s="47">
        <v>0</v>
      </c>
      <c r="G200" s="47">
        <v>0</v>
      </c>
      <c r="H200" s="1">
        <v>0</v>
      </c>
      <c r="I200" s="1">
        <v>0</v>
      </c>
      <c r="J200" s="1">
        <v>0</v>
      </c>
      <c r="K200" s="1">
        <v>0</v>
      </c>
      <c r="L200" s="52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54">
        <v>0</v>
      </c>
      <c r="Y200" s="58">
        <f t="shared" si="61"/>
        <v>0</v>
      </c>
      <c r="Z200" s="1">
        <f t="shared" si="62"/>
        <v>0</v>
      </c>
      <c r="AA200" s="1">
        <f t="shared" si="63"/>
        <v>0</v>
      </c>
      <c r="AC200" s="15" t="s">
        <v>51</v>
      </c>
      <c r="AD200" s="16" t="s">
        <v>9</v>
      </c>
      <c r="AE200" s="27" t="s">
        <v>9</v>
      </c>
      <c r="AF200" s="2"/>
      <c r="AG200" s="2"/>
      <c r="AH200" s="90" t="str">
        <f t="shared" si="64"/>
        <v/>
      </c>
      <c r="AI200" s="90" t="str">
        <f t="shared" si="64"/>
        <v/>
      </c>
      <c r="AJ200" s="90" t="str">
        <f t="shared" si="64"/>
        <v/>
      </c>
      <c r="AK200" s="90" t="str">
        <f t="shared" si="64"/>
        <v/>
      </c>
      <c r="AL200" s="90" t="str">
        <f t="shared" si="64"/>
        <v/>
      </c>
      <c r="AM200" s="90" t="str">
        <f t="shared" si="64"/>
        <v/>
      </c>
      <c r="AN200" s="90" t="str">
        <f t="shared" si="64"/>
        <v/>
      </c>
      <c r="AO200" s="90" t="str">
        <f t="shared" si="64"/>
        <v/>
      </c>
      <c r="AP200" s="90" t="str">
        <f t="shared" si="64"/>
        <v/>
      </c>
      <c r="AQ200" s="90" t="str">
        <f t="shared" si="64"/>
        <v/>
      </c>
      <c r="AR200" s="90" t="str">
        <f t="shared" si="64"/>
        <v/>
      </c>
      <c r="AS200" s="90" t="str">
        <f t="shared" si="64"/>
        <v/>
      </c>
      <c r="AT200" s="90" t="str">
        <f t="shared" si="64"/>
        <v/>
      </c>
      <c r="AU200" s="90" t="str">
        <f t="shared" si="64"/>
        <v/>
      </c>
      <c r="AV200" s="90" t="str">
        <f t="shared" si="64"/>
        <v/>
      </c>
      <c r="AW200" s="90" t="str">
        <f t="shared" ref="AW200:BC225" si="74">IF(U200&gt;0,U245/U200*1000,"")</f>
        <v/>
      </c>
      <c r="AX200" s="90" t="str">
        <f t="shared" si="65"/>
        <v/>
      </c>
      <c r="AY200" s="90" t="str">
        <f t="shared" si="65"/>
        <v/>
      </c>
      <c r="AZ200" s="90" t="str">
        <f t="shared" si="65"/>
        <v/>
      </c>
      <c r="BA200" s="90" t="str">
        <f t="shared" si="65"/>
        <v/>
      </c>
      <c r="BB200" s="90" t="str">
        <f t="shared" si="65"/>
        <v/>
      </c>
      <c r="BC200" s="90" t="str">
        <f t="shared" si="65"/>
        <v/>
      </c>
    </row>
    <row r="201" spans="1:55" x14ac:dyDescent="0.25">
      <c r="A201" s="28" t="s">
        <v>60</v>
      </c>
      <c r="B201" s="29" t="s">
        <v>13</v>
      </c>
      <c r="C201" s="29" t="s">
        <v>61</v>
      </c>
      <c r="D201" s="2"/>
      <c r="E201" s="2"/>
      <c r="F201" s="83">
        <f>173*0.88</f>
        <v>152.24</v>
      </c>
      <c r="G201" s="51">
        <v>0</v>
      </c>
      <c r="H201" s="64">
        <f>1800*0.6</f>
        <v>1080</v>
      </c>
      <c r="I201" s="77">
        <f>I21/I156</f>
        <v>101.37931034482759</v>
      </c>
      <c r="J201" s="83">
        <f>64*0.45</f>
        <v>28.8</v>
      </c>
      <c r="K201" s="77">
        <f>K21/K156</f>
        <v>24.137931034482758</v>
      </c>
      <c r="L201" s="52">
        <v>0</v>
      </c>
      <c r="M201" s="80">
        <f>M21/M156</f>
        <v>4.5</v>
      </c>
      <c r="N201" s="84">
        <f t="shared" ref="N201:X202" si="75">N21/N156</f>
        <v>0.25287356321839083</v>
      </c>
      <c r="O201" s="84">
        <f t="shared" si="75"/>
        <v>7.9680000000000001E-2</v>
      </c>
      <c r="P201" s="84">
        <f t="shared" si="75"/>
        <v>7.558928571428572E-2</v>
      </c>
      <c r="Q201" s="84">
        <f t="shared" si="75"/>
        <v>8.5106382978723402E-2</v>
      </c>
      <c r="R201" s="80">
        <f t="shared" si="75"/>
        <v>0.57487783845932738</v>
      </c>
      <c r="S201" s="51">
        <v>0</v>
      </c>
      <c r="T201" s="80">
        <f t="shared" si="75"/>
        <v>0.37558685446009388</v>
      </c>
      <c r="U201" s="80">
        <f t="shared" si="75"/>
        <v>1.1267605633802817</v>
      </c>
      <c r="V201" s="80">
        <f t="shared" si="75"/>
        <v>0.11737089201877934</v>
      </c>
      <c r="W201" s="80">
        <f t="shared" si="75"/>
        <v>2.6212832550860723</v>
      </c>
      <c r="X201" s="80">
        <f t="shared" si="75"/>
        <v>0.93896713615023475</v>
      </c>
      <c r="Y201" s="59">
        <f t="shared" si="61"/>
        <v>1386.5572413793104</v>
      </c>
      <c r="Z201" s="51">
        <f t="shared" si="62"/>
        <v>10.748095771466188</v>
      </c>
      <c r="AA201" s="51">
        <f t="shared" si="63"/>
        <v>1397.3053371507767</v>
      </c>
      <c r="AC201" s="28" t="s">
        <v>60</v>
      </c>
      <c r="AD201" s="29" t="s">
        <v>13</v>
      </c>
      <c r="AE201" s="29" t="s">
        <v>61</v>
      </c>
      <c r="AF201" s="2"/>
      <c r="AG201" s="2"/>
      <c r="AH201" s="1">
        <f t="shared" ref="AH201:AV217" si="76">IF(F201&gt;0,F246/F201*1000,"")</f>
        <v>330.76429030186256</v>
      </c>
      <c r="AI201" s="1" t="str">
        <f t="shared" si="76"/>
        <v/>
      </c>
      <c r="AJ201" s="1">
        <f t="shared" si="76"/>
        <v>27.777777777777775</v>
      </c>
      <c r="AK201" s="1">
        <f t="shared" si="76"/>
        <v>170.58823529411762</v>
      </c>
      <c r="AL201" s="1">
        <f t="shared" si="76"/>
        <v>359.47712418300654</v>
      </c>
      <c r="AM201" s="1">
        <f t="shared" si="76"/>
        <v>170.58823529411762</v>
      </c>
      <c r="AN201" s="52" t="str">
        <f t="shared" si="76"/>
        <v/>
      </c>
      <c r="AO201" s="1">
        <f t="shared" si="76"/>
        <v>2222.2222222222222</v>
      </c>
      <c r="AP201" s="1">
        <f t="shared" si="76"/>
        <v>5437.4999999999991</v>
      </c>
      <c r="AQ201" s="1">
        <f t="shared" si="76"/>
        <v>55555.555555555555</v>
      </c>
      <c r="AR201" s="1">
        <f t="shared" si="76"/>
        <v>155555.55555555553</v>
      </c>
      <c r="AS201" s="1">
        <f t="shared" si="76"/>
        <v>5222.2222222222226</v>
      </c>
      <c r="AT201" s="1">
        <f t="shared" si="76"/>
        <v>2366.6666666666665</v>
      </c>
      <c r="AU201" s="1" t="str">
        <f t="shared" si="76"/>
        <v/>
      </c>
      <c r="AV201" s="1">
        <f t="shared" si="76"/>
        <v>2366.6666666666665</v>
      </c>
      <c r="AW201" s="1">
        <f t="shared" si="74"/>
        <v>2366.6666666666661</v>
      </c>
      <c r="AX201" s="1">
        <f t="shared" si="74"/>
        <v>2366.6666666666665</v>
      </c>
      <c r="AY201" s="1">
        <f t="shared" si="74"/>
        <v>2366.6666666666665</v>
      </c>
      <c r="AZ201" s="1">
        <f t="shared" si="74"/>
        <v>2366.6666666666665</v>
      </c>
      <c r="BA201" s="1">
        <f t="shared" si="74"/>
        <v>0</v>
      </c>
      <c r="BB201" s="1">
        <f t="shared" si="74"/>
        <v>0</v>
      </c>
      <c r="BC201" s="1">
        <f t="shared" si="74"/>
        <v>0</v>
      </c>
    </row>
    <row r="202" spans="1:55" x14ac:dyDescent="0.25">
      <c r="A202" s="36" t="s">
        <v>60</v>
      </c>
      <c r="B202" s="37" t="s">
        <v>13</v>
      </c>
      <c r="C202" s="29" t="s">
        <v>62</v>
      </c>
      <c r="D202" s="2"/>
      <c r="E202" s="2"/>
      <c r="F202" s="83">
        <f>175*0.12</f>
        <v>21</v>
      </c>
      <c r="G202" s="64">
        <v>210</v>
      </c>
      <c r="H202" s="64">
        <f>1800*0.4</f>
        <v>720</v>
      </c>
      <c r="I202" s="51">
        <v>0</v>
      </c>
      <c r="J202" s="51">
        <v>0</v>
      </c>
      <c r="K202" s="51">
        <v>0</v>
      </c>
      <c r="L202" s="52">
        <v>0</v>
      </c>
      <c r="M202" s="51">
        <v>0</v>
      </c>
      <c r="N202" s="51">
        <v>0</v>
      </c>
      <c r="O202" s="51">
        <v>0</v>
      </c>
      <c r="P202" s="84">
        <f t="shared" si="75"/>
        <v>7.558928571428572E-2</v>
      </c>
      <c r="Q202" s="51">
        <v>0</v>
      </c>
      <c r="R202" s="51">
        <v>0</v>
      </c>
      <c r="S202" s="51">
        <v>0</v>
      </c>
      <c r="T202" s="51">
        <v>0</v>
      </c>
      <c r="U202" s="51">
        <v>0</v>
      </c>
      <c r="V202" s="51">
        <v>0</v>
      </c>
      <c r="W202" s="51">
        <v>0</v>
      </c>
      <c r="X202" s="55">
        <v>0</v>
      </c>
      <c r="Y202" s="59">
        <f t="shared" si="61"/>
        <v>951</v>
      </c>
      <c r="Z202" s="51">
        <f t="shared" si="62"/>
        <v>7.558928571428572E-2</v>
      </c>
      <c r="AA202" s="51">
        <f t="shared" si="63"/>
        <v>951.07558928571427</v>
      </c>
      <c r="AC202" s="36" t="s">
        <v>60</v>
      </c>
      <c r="AD202" s="37" t="s">
        <v>13</v>
      </c>
      <c r="AE202" s="29" t="s">
        <v>62</v>
      </c>
      <c r="AF202" s="2"/>
      <c r="AG202" s="2"/>
      <c r="AH202" s="1">
        <f t="shared" si="76"/>
        <v>326.98412698412699</v>
      </c>
      <c r="AI202" s="1">
        <f t="shared" si="76"/>
        <v>120.63492063492062</v>
      </c>
      <c r="AJ202" s="1">
        <f t="shared" si="76"/>
        <v>27.777777777777775</v>
      </c>
      <c r="AK202" s="1" t="str">
        <f t="shared" si="76"/>
        <v/>
      </c>
      <c r="AL202" s="1" t="str">
        <f t="shared" si="76"/>
        <v/>
      </c>
      <c r="AM202" s="1" t="str">
        <f t="shared" si="76"/>
        <v/>
      </c>
      <c r="AN202" s="52" t="str">
        <f t="shared" si="76"/>
        <v/>
      </c>
      <c r="AO202" s="1" t="str">
        <f t="shared" si="76"/>
        <v/>
      </c>
      <c r="AP202" s="1" t="str">
        <f t="shared" si="76"/>
        <v/>
      </c>
      <c r="AQ202" s="1" t="str">
        <f t="shared" si="76"/>
        <v/>
      </c>
      <c r="AR202" s="1">
        <f t="shared" si="76"/>
        <v>155555.55555555553</v>
      </c>
      <c r="AS202" s="1" t="str">
        <f t="shared" si="76"/>
        <v/>
      </c>
      <c r="AT202" s="1" t="str">
        <f t="shared" si="76"/>
        <v/>
      </c>
      <c r="AU202" s="1" t="str">
        <f t="shared" si="76"/>
        <v/>
      </c>
      <c r="AV202" s="1" t="str">
        <f t="shared" si="76"/>
        <v/>
      </c>
      <c r="AW202" s="1" t="str">
        <f t="shared" si="74"/>
        <v/>
      </c>
      <c r="AX202" s="1" t="str">
        <f t="shared" si="74"/>
        <v/>
      </c>
      <c r="AY202" s="1" t="str">
        <f t="shared" si="74"/>
        <v/>
      </c>
      <c r="AZ202" s="1" t="str">
        <f t="shared" si="74"/>
        <v/>
      </c>
      <c r="BA202" s="1">
        <f t="shared" si="74"/>
        <v>0</v>
      </c>
      <c r="BB202" s="1">
        <f t="shared" si="74"/>
        <v>0</v>
      </c>
      <c r="BC202" s="1">
        <f t="shared" si="74"/>
        <v>0</v>
      </c>
    </row>
    <row r="203" spans="1:55" x14ac:dyDescent="0.25">
      <c r="A203" s="30" t="s">
        <v>60</v>
      </c>
      <c r="B203" s="31" t="s">
        <v>13</v>
      </c>
      <c r="C203" s="32" t="s">
        <v>63</v>
      </c>
      <c r="D203" s="2"/>
      <c r="E203" s="2"/>
      <c r="F203" s="51">
        <v>0</v>
      </c>
      <c r="G203" s="51">
        <v>0</v>
      </c>
      <c r="H203" s="51">
        <v>0</v>
      </c>
      <c r="I203" s="51">
        <v>0</v>
      </c>
      <c r="J203" s="51">
        <v>0</v>
      </c>
      <c r="K203" s="51">
        <v>0</v>
      </c>
      <c r="L203" s="52">
        <v>0</v>
      </c>
      <c r="M203" s="51">
        <v>0</v>
      </c>
      <c r="N203" s="51">
        <v>0</v>
      </c>
      <c r="O203" s="51">
        <v>0</v>
      </c>
      <c r="P203" s="51">
        <v>0</v>
      </c>
      <c r="Q203" s="51">
        <v>0</v>
      </c>
      <c r="R203" s="51">
        <v>0</v>
      </c>
      <c r="S203" s="51">
        <v>0</v>
      </c>
      <c r="T203" s="51">
        <v>0</v>
      </c>
      <c r="U203" s="51">
        <v>0</v>
      </c>
      <c r="V203" s="51">
        <v>0</v>
      </c>
      <c r="W203" s="51">
        <v>0</v>
      </c>
      <c r="X203" s="55">
        <v>0</v>
      </c>
      <c r="Y203" s="59">
        <f t="shared" si="61"/>
        <v>0</v>
      </c>
      <c r="Z203" s="51">
        <f t="shared" si="62"/>
        <v>0</v>
      </c>
      <c r="AA203" s="51">
        <f t="shared" si="63"/>
        <v>0</v>
      </c>
      <c r="AC203" s="30" t="s">
        <v>60</v>
      </c>
      <c r="AD203" s="31" t="s">
        <v>13</v>
      </c>
      <c r="AE203" s="32" t="s">
        <v>63</v>
      </c>
      <c r="AF203" s="2"/>
      <c r="AG203" s="2"/>
      <c r="AH203" s="1" t="str">
        <f t="shared" si="76"/>
        <v/>
      </c>
      <c r="AI203" s="1" t="str">
        <f t="shared" si="76"/>
        <v/>
      </c>
      <c r="AJ203" s="1" t="str">
        <f t="shared" si="76"/>
        <v/>
      </c>
      <c r="AK203" s="1" t="str">
        <f t="shared" si="76"/>
        <v/>
      </c>
      <c r="AL203" s="1" t="str">
        <f t="shared" si="76"/>
        <v/>
      </c>
      <c r="AM203" s="1" t="str">
        <f t="shared" si="76"/>
        <v/>
      </c>
      <c r="AN203" s="52" t="str">
        <f t="shared" si="76"/>
        <v/>
      </c>
      <c r="AO203" s="1" t="str">
        <f t="shared" si="76"/>
        <v/>
      </c>
      <c r="AP203" s="1" t="str">
        <f t="shared" si="76"/>
        <v/>
      </c>
      <c r="AQ203" s="1" t="str">
        <f t="shared" si="76"/>
        <v/>
      </c>
      <c r="AR203" s="1" t="str">
        <f t="shared" si="76"/>
        <v/>
      </c>
      <c r="AS203" s="1" t="str">
        <f t="shared" si="76"/>
        <v/>
      </c>
      <c r="AT203" s="1" t="str">
        <f t="shared" si="76"/>
        <v/>
      </c>
      <c r="AU203" s="1" t="str">
        <f t="shared" si="76"/>
        <v/>
      </c>
      <c r="AV203" s="1" t="str">
        <f t="shared" si="76"/>
        <v/>
      </c>
      <c r="AW203" s="1" t="str">
        <f t="shared" si="74"/>
        <v/>
      </c>
      <c r="AX203" s="1" t="str">
        <f t="shared" si="74"/>
        <v/>
      </c>
      <c r="AY203" s="1" t="str">
        <f t="shared" si="74"/>
        <v/>
      </c>
      <c r="AZ203" s="1" t="str">
        <f t="shared" si="74"/>
        <v/>
      </c>
      <c r="BA203" s="1" t="str">
        <f t="shared" si="74"/>
        <v/>
      </c>
      <c r="BB203" s="1" t="str">
        <f t="shared" si="74"/>
        <v/>
      </c>
      <c r="BC203" s="1" t="str">
        <f t="shared" si="74"/>
        <v/>
      </c>
    </row>
    <row r="204" spans="1:55" x14ac:dyDescent="0.25">
      <c r="A204" s="30" t="s">
        <v>60</v>
      </c>
      <c r="B204" s="32" t="s">
        <v>23</v>
      </c>
      <c r="C204" s="31" t="s">
        <v>50</v>
      </c>
      <c r="D204" s="2"/>
      <c r="E204" s="2"/>
      <c r="F204" s="64">
        <f>1/40*50</f>
        <v>1.25</v>
      </c>
      <c r="G204" s="51">
        <v>0</v>
      </c>
      <c r="H204" s="51">
        <v>0</v>
      </c>
      <c r="I204" s="51">
        <v>0</v>
      </c>
      <c r="J204" s="80">
        <f>J24/J159</f>
        <v>0.39111111111111113</v>
      </c>
      <c r="K204" s="77">
        <f>K24/K159</f>
        <v>999.99999999999989</v>
      </c>
      <c r="L204" s="52">
        <v>0</v>
      </c>
      <c r="M204" s="51">
        <v>0</v>
      </c>
      <c r="N204" s="84">
        <f>N24/N159</f>
        <v>1.4545454545454546</v>
      </c>
      <c r="O204" s="51">
        <v>0</v>
      </c>
      <c r="P204" s="51">
        <v>0</v>
      </c>
      <c r="Q204" s="51">
        <v>0</v>
      </c>
      <c r="R204" s="51">
        <v>0</v>
      </c>
      <c r="S204" s="51">
        <v>0</v>
      </c>
      <c r="T204" s="51">
        <v>0</v>
      </c>
      <c r="U204" s="51">
        <v>0</v>
      </c>
      <c r="V204" s="51">
        <v>0</v>
      </c>
      <c r="W204" s="51">
        <v>0</v>
      </c>
      <c r="X204" s="55">
        <v>0</v>
      </c>
      <c r="Y204" s="59">
        <f t="shared" si="61"/>
        <v>1001.6411111111109</v>
      </c>
      <c r="Z204" s="51">
        <f t="shared" si="62"/>
        <v>1.4545454545454546</v>
      </c>
      <c r="AA204" s="51">
        <f t="shared" si="63"/>
        <v>1003.0956565656564</v>
      </c>
      <c r="AB204" s="64">
        <v>1200</v>
      </c>
      <c r="AC204" s="30" t="s">
        <v>60</v>
      </c>
      <c r="AD204" s="32" t="s">
        <v>23</v>
      </c>
      <c r="AE204" s="31" t="s">
        <v>50</v>
      </c>
      <c r="AF204" s="2"/>
      <c r="AG204" s="2"/>
      <c r="AH204" s="1">
        <f t="shared" si="76"/>
        <v>615.38461538461547</v>
      </c>
      <c r="AI204" s="1" t="str">
        <f t="shared" si="76"/>
        <v/>
      </c>
      <c r="AJ204" s="1" t="str">
        <f t="shared" si="76"/>
        <v/>
      </c>
      <c r="AK204" s="1" t="str">
        <f t="shared" si="76"/>
        <v/>
      </c>
      <c r="AL204" s="1">
        <f t="shared" si="76"/>
        <v>692.30769230769238</v>
      </c>
      <c r="AM204" s="1">
        <f t="shared" si="76"/>
        <v>31.428571428571431</v>
      </c>
      <c r="AN204" s="52" t="str">
        <f t="shared" si="76"/>
        <v/>
      </c>
      <c r="AO204" s="1" t="str">
        <f t="shared" si="76"/>
        <v/>
      </c>
      <c r="AP204" s="1">
        <f t="shared" si="76"/>
        <v>16923.076923076922</v>
      </c>
      <c r="AQ204" s="1" t="str">
        <f t="shared" si="76"/>
        <v/>
      </c>
      <c r="AR204" s="1" t="str">
        <f t="shared" si="76"/>
        <v/>
      </c>
      <c r="AS204" s="1" t="str">
        <f t="shared" si="76"/>
        <v/>
      </c>
      <c r="AT204" s="1" t="str">
        <f t="shared" si="76"/>
        <v/>
      </c>
      <c r="AU204" s="1" t="str">
        <f t="shared" si="76"/>
        <v/>
      </c>
      <c r="AV204" s="1" t="str">
        <f t="shared" si="76"/>
        <v/>
      </c>
      <c r="AW204" s="1" t="str">
        <f t="shared" si="74"/>
        <v/>
      </c>
      <c r="AX204" s="1" t="str">
        <f t="shared" si="74"/>
        <v/>
      </c>
      <c r="AY204" s="1" t="str">
        <f t="shared" si="74"/>
        <v/>
      </c>
      <c r="AZ204" s="1" t="str">
        <f t="shared" si="74"/>
        <v/>
      </c>
      <c r="BA204" s="1">
        <f t="shared" si="74"/>
        <v>0</v>
      </c>
      <c r="BB204" s="1">
        <f t="shared" si="74"/>
        <v>0</v>
      </c>
      <c r="BC204" s="1">
        <f t="shared" si="74"/>
        <v>0</v>
      </c>
    </row>
    <row r="205" spans="1:55" x14ac:dyDescent="0.25">
      <c r="A205" s="30" t="s">
        <v>60</v>
      </c>
      <c r="B205" s="32" t="s">
        <v>23</v>
      </c>
      <c r="C205" s="31" t="s">
        <v>49</v>
      </c>
      <c r="D205" s="2"/>
      <c r="E205" s="2"/>
      <c r="F205" s="51">
        <v>0</v>
      </c>
      <c r="G205" s="51">
        <v>0</v>
      </c>
      <c r="H205" s="51">
        <v>0</v>
      </c>
      <c r="I205" s="51">
        <v>0</v>
      </c>
      <c r="J205" s="80">
        <f>J25/J160</f>
        <v>40.983606557377051</v>
      </c>
      <c r="K205" s="80">
        <f>K25/K160</f>
        <v>35</v>
      </c>
      <c r="L205" s="52">
        <v>0</v>
      </c>
      <c r="M205" s="51">
        <v>0</v>
      </c>
      <c r="N205" s="51">
        <v>0</v>
      </c>
      <c r="O205" s="51">
        <v>0</v>
      </c>
      <c r="P205" s="51">
        <v>0</v>
      </c>
      <c r="Q205" s="51">
        <v>0</v>
      </c>
      <c r="R205" s="51">
        <v>0</v>
      </c>
      <c r="S205" s="77">
        <f t="shared" ref="S205:X205" si="77">S25/S160</f>
        <v>2.4500000000000002</v>
      </c>
      <c r="T205" s="80">
        <f t="shared" si="77"/>
        <v>1.5270935960591132</v>
      </c>
      <c r="U205" s="86">
        <v>0</v>
      </c>
      <c r="V205" s="80">
        <f t="shared" si="77"/>
        <v>0.24630541871921183</v>
      </c>
      <c r="W205" s="86">
        <v>0</v>
      </c>
      <c r="X205" s="80">
        <f t="shared" si="77"/>
        <v>1</v>
      </c>
      <c r="Y205" s="59">
        <f t="shared" si="61"/>
        <v>75.983606557377044</v>
      </c>
      <c r="Z205" s="51">
        <f t="shared" si="62"/>
        <v>5.2233990147783249</v>
      </c>
      <c r="AA205" s="51">
        <f t="shared" si="63"/>
        <v>81.207005572155367</v>
      </c>
      <c r="AB205" s="97">
        <v>900</v>
      </c>
      <c r="AC205" s="30" t="s">
        <v>60</v>
      </c>
      <c r="AD205" s="32" t="s">
        <v>23</v>
      </c>
      <c r="AE205" s="31" t="s">
        <v>49</v>
      </c>
      <c r="AF205" s="2"/>
      <c r="AG205" s="2"/>
      <c r="AH205" s="1" t="str">
        <f t="shared" si="76"/>
        <v/>
      </c>
      <c r="AI205" s="1" t="str">
        <f t="shared" si="76"/>
        <v/>
      </c>
      <c r="AJ205" s="1" t="str">
        <f t="shared" si="76"/>
        <v/>
      </c>
      <c r="AK205" s="1" t="str">
        <f t="shared" si="76"/>
        <v/>
      </c>
      <c r="AL205" s="1">
        <f t="shared" si="76"/>
        <v>888.88888888888891</v>
      </c>
      <c r="AM205" s="1">
        <f t="shared" si="76"/>
        <v>222.2222222222222</v>
      </c>
      <c r="AN205" s="52" t="str">
        <f t="shared" si="76"/>
        <v/>
      </c>
      <c r="AO205" s="1" t="str">
        <f t="shared" si="76"/>
        <v/>
      </c>
      <c r="AP205" s="1" t="str">
        <f t="shared" si="76"/>
        <v/>
      </c>
      <c r="AQ205" s="1" t="str">
        <f t="shared" si="76"/>
        <v/>
      </c>
      <c r="AR205" s="1" t="str">
        <f t="shared" si="76"/>
        <v/>
      </c>
      <c r="AS205" s="1" t="str">
        <f t="shared" si="76"/>
        <v/>
      </c>
      <c r="AT205" s="1" t="str">
        <f t="shared" si="76"/>
        <v/>
      </c>
      <c r="AU205" s="1">
        <f t="shared" si="76"/>
        <v>2222.2222222222222</v>
      </c>
      <c r="AV205" s="1">
        <f t="shared" si="76"/>
        <v>11600.000000000002</v>
      </c>
      <c r="AW205" s="1" t="str">
        <f t="shared" si="74"/>
        <v/>
      </c>
      <c r="AX205" s="1">
        <f t="shared" si="74"/>
        <v>9022.2222222222226</v>
      </c>
      <c r="AY205" s="1" t="str">
        <f t="shared" si="74"/>
        <v/>
      </c>
      <c r="AZ205" s="1">
        <f t="shared" si="74"/>
        <v>2222.2222222222222</v>
      </c>
      <c r="BA205" s="1">
        <f t="shared" si="74"/>
        <v>0</v>
      </c>
      <c r="BB205" s="1">
        <f t="shared" si="74"/>
        <v>0</v>
      </c>
      <c r="BC205" s="1">
        <f t="shared" si="74"/>
        <v>0</v>
      </c>
    </row>
    <row r="206" spans="1:55" x14ac:dyDescent="0.25">
      <c r="A206" s="30" t="s">
        <v>60</v>
      </c>
      <c r="B206" s="32" t="s">
        <v>23</v>
      </c>
      <c r="C206" s="31" t="s">
        <v>64</v>
      </c>
      <c r="D206" s="2"/>
      <c r="E206" s="2"/>
      <c r="F206" s="51">
        <v>0</v>
      </c>
      <c r="G206" s="51">
        <v>0</v>
      </c>
      <c r="H206" s="51">
        <v>0</v>
      </c>
      <c r="I206" s="51">
        <v>0</v>
      </c>
      <c r="J206" s="51">
        <v>0</v>
      </c>
      <c r="K206" s="51">
        <v>0</v>
      </c>
      <c r="L206" s="52">
        <v>0</v>
      </c>
      <c r="M206" s="51">
        <v>0</v>
      </c>
      <c r="N206" s="51">
        <v>0</v>
      </c>
      <c r="O206" s="51">
        <v>0</v>
      </c>
      <c r="P206" s="51">
        <v>0</v>
      </c>
      <c r="Q206" s="51">
        <v>0</v>
      </c>
      <c r="R206" s="51">
        <v>0</v>
      </c>
      <c r="S206" s="51">
        <v>0</v>
      </c>
      <c r="T206" s="51">
        <v>0</v>
      </c>
      <c r="U206" s="51">
        <v>0</v>
      </c>
      <c r="V206" s="51">
        <v>0</v>
      </c>
      <c r="W206" s="51">
        <v>0</v>
      </c>
      <c r="X206" s="55">
        <v>0</v>
      </c>
      <c r="Y206" s="59">
        <f t="shared" si="61"/>
        <v>0</v>
      </c>
      <c r="Z206" s="51">
        <f t="shared" si="62"/>
        <v>0</v>
      </c>
      <c r="AA206" s="51">
        <f t="shared" si="63"/>
        <v>0</v>
      </c>
      <c r="AC206" s="30" t="s">
        <v>60</v>
      </c>
      <c r="AD206" s="32" t="s">
        <v>23</v>
      </c>
      <c r="AE206" s="31" t="s">
        <v>64</v>
      </c>
      <c r="AF206" s="2"/>
      <c r="AG206" s="2"/>
      <c r="AH206" s="1" t="str">
        <f t="shared" si="76"/>
        <v/>
      </c>
      <c r="AI206" s="1" t="str">
        <f t="shared" si="76"/>
        <v/>
      </c>
      <c r="AJ206" s="1" t="str">
        <f t="shared" si="76"/>
        <v/>
      </c>
      <c r="AK206" s="1" t="str">
        <f t="shared" si="76"/>
        <v/>
      </c>
      <c r="AL206" s="1" t="str">
        <f t="shared" si="76"/>
        <v/>
      </c>
      <c r="AM206" s="1" t="str">
        <f t="shared" si="76"/>
        <v/>
      </c>
      <c r="AN206" s="52" t="str">
        <f t="shared" si="76"/>
        <v/>
      </c>
      <c r="AO206" s="1" t="str">
        <f t="shared" si="76"/>
        <v/>
      </c>
      <c r="AP206" s="1" t="str">
        <f t="shared" si="76"/>
        <v/>
      </c>
      <c r="AQ206" s="1" t="str">
        <f t="shared" si="76"/>
        <v/>
      </c>
      <c r="AR206" s="1" t="str">
        <f t="shared" si="76"/>
        <v/>
      </c>
      <c r="AS206" s="1" t="str">
        <f t="shared" si="76"/>
        <v/>
      </c>
      <c r="AT206" s="1" t="str">
        <f t="shared" si="76"/>
        <v/>
      </c>
      <c r="AU206" s="1" t="str">
        <f t="shared" si="76"/>
        <v/>
      </c>
      <c r="AV206" s="1" t="str">
        <f t="shared" si="76"/>
        <v/>
      </c>
      <c r="AW206" s="1" t="str">
        <f t="shared" si="74"/>
        <v/>
      </c>
      <c r="AX206" s="1" t="str">
        <f t="shared" si="74"/>
        <v/>
      </c>
      <c r="AY206" s="1" t="str">
        <f t="shared" si="74"/>
        <v/>
      </c>
      <c r="AZ206" s="1" t="str">
        <f t="shared" si="74"/>
        <v/>
      </c>
      <c r="BA206" s="1" t="str">
        <f t="shared" si="74"/>
        <v/>
      </c>
      <c r="BB206" s="1" t="str">
        <f t="shared" si="74"/>
        <v/>
      </c>
      <c r="BC206" s="1" t="str">
        <f t="shared" si="74"/>
        <v/>
      </c>
    </row>
    <row r="207" spans="1:55" x14ac:dyDescent="0.25">
      <c r="A207" s="30" t="s">
        <v>60</v>
      </c>
      <c r="B207" s="32" t="s">
        <v>65</v>
      </c>
      <c r="C207" s="31" t="s">
        <v>66</v>
      </c>
      <c r="D207" s="2"/>
      <c r="E207" s="2"/>
      <c r="F207" s="51">
        <v>0</v>
      </c>
      <c r="G207" s="51">
        <v>0</v>
      </c>
      <c r="H207" s="51">
        <v>0</v>
      </c>
      <c r="I207" s="51">
        <v>0</v>
      </c>
      <c r="J207" s="80">
        <f>J27/J162</f>
        <v>59.523809523809526</v>
      </c>
      <c r="K207" s="51">
        <v>0</v>
      </c>
      <c r="L207" s="52">
        <v>0</v>
      </c>
      <c r="M207" s="81">
        <f>M27/M162</f>
        <v>34.722222222222229</v>
      </c>
      <c r="N207" s="51">
        <v>0</v>
      </c>
      <c r="O207" s="51">
        <v>0</v>
      </c>
      <c r="P207" s="51">
        <v>0</v>
      </c>
      <c r="Q207" s="51">
        <v>0</v>
      </c>
      <c r="R207" s="51">
        <v>0</v>
      </c>
      <c r="S207" s="51">
        <v>0</v>
      </c>
      <c r="T207" s="51">
        <v>0</v>
      </c>
      <c r="U207" s="51">
        <v>0</v>
      </c>
      <c r="V207" s="51">
        <v>0</v>
      </c>
      <c r="W207" s="51">
        <v>0</v>
      </c>
      <c r="X207" s="55">
        <v>0</v>
      </c>
      <c r="Y207" s="59">
        <f t="shared" si="61"/>
        <v>59.523809523809526</v>
      </c>
      <c r="Z207" s="51">
        <f t="shared" si="62"/>
        <v>34.722222222222229</v>
      </c>
      <c r="AA207" s="51">
        <f t="shared" si="63"/>
        <v>94.246031746031747</v>
      </c>
      <c r="AC207" s="30" t="s">
        <v>60</v>
      </c>
      <c r="AD207" s="32" t="s">
        <v>65</v>
      </c>
      <c r="AE207" s="31" t="s">
        <v>66</v>
      </c>
      <c r="AF207" s="2"/>
      <c r="AG207" s="2"/>
      <c r="AH207" s="1" t="str">
        <f t="shared" si="76"/>
        <v/>
      </c>
      <c r="AI207" s="1" t="str">
        <f t="shared" si="76"/>
        <v/>
      </c>
      <c r="AJ207" s="1" t="str">
        <f t="shared" si="76"/>
        <v/>
      </c>
      <c r="AK207" s="1" t="str">
        <f t="shared" si="76"/>
        <v/>
      </c>
      <c r="AL207" s="1">
        <f t="shared" si="76"/>
        <v>1400.0000000000002</v>
      </c>
      <c r="AM207" s="1" t="str">
        <f t="shared" si="76"/>
        <v/>
      </c>
      <c r="AN207" s="52" t="str">
        <f t="shared" si="76"/>
        <v/>
      </c>
      <c r="AO207" s="1">
        <f t="shared" si="76"/>
        <v>7499.9999999999991</v>
      </c>
      <c r="AP207" s="1" t="str">
        <f t="shared" si="76"/>
        <v/>
      </c>
      <c r="AQ207" s="1" t="str">
        <f t="shared" si="76"/>
        <v/>
      </c>
      <c r="AR207" s="1" t="str">
        <f t="shared" si="76"/>
        <v/>
      </c>
      <c r="AS207" s="1" t="str">
        <f t="shared" si="76"/>
        <v/>
      </c>
      <c r="AT207" s="1" t="str">
        <f t="shared" si="76"/>
        <v/>
      </c>
      <c r="AU207" s="1" t="str">
        <f t="shared" si="76"/>
        <v/>
      </c>
      <c r="AV207" s="1" t="str">
        <f t="shared" si="76"/>
        <v/>
      </c>
      <c r="AW207" s="1" t="str">
        <f t="shared" si="74"/>
        <v/>
      </c>
      <c r="AX207" s="1" t="str">
        <f t="shared" si="74"/>
        <v/>
      </c>
      <c r="AY207" s="1" t="str">
        <f t="shared" si="74"/>
        <v/>
      </c>
      <c r="AZ207" s="1" t="str">
        <f t="shared" si="74"/>
        <v/>
      </c>
      <c r="BA207" s="1">
        <f t="shared" si="74"/>
        <v>0</v>
      </c>
      <c r="BB207" s="1">
        <f t="shared" si="74"/>
        <v>0</v>
      </c>
      <c r="BC207" s="1">
        <f t="shared" si="74"/>
        <v>0</v>
      </c>
    </row>
    <row r="208" spans="1:55" x14ac:dyDescent="0.25">
      <c r="A208" s="30" t="s">
        <v>60</v>
      </c>
      <c r="B208" s="32" t="s">
        <v>65</v>
      </c>
      <c r="C208" s="31" t="s">
        <v>67</v>
      </c>
      <c r="D208" s="2"/>
      <c r="E208" s="2"/>
      <c r="F208" s="51">
        <v>0</v>
      </c>
      <c r="G208" s="51">
        <v>0</v>
      </c>
      <c r="H208" s="51">
        <v>0</v>
      </c>
      <c r="I208" s="51">
        <v>0</v>
      </c>
      <c r="J208" s="51">
        <v>0</v>
      </c>
      <c r="K208" s="51">
        <v>0</v>
      </c>
      <c r="L208" s="52">
        <v>0</v>
      </c>
      <c r="M208" s="51">
        <v>0</v>
      </c>
      <c r="N208" s="51">
        <v>0</v>
      </c>
      <c r="O208" s="51">
        <v>0</v>
      </c>
      <c r="P208" s="51">
        <v>0</v>
      </c>
      <c r="Q208" s="80">
        <f>Q28/Q163</f>
        <v>24.822695035460995</v>
      </c>
      <c r="R208" s="80">
        <f>R28/R163</f>
        <v>30.64684402712572</v>
      </c>
      <c r="S208" s="51">
        <v>0</v>
      </c>
      <c r="T208" s="80">
        <f>T28/T163</f>
        <v>35.993740219092331</v>
      </c>
      <c r="U208" s="80">
        <f>U28/U163</f>
        <v>21.12676056338028</v>
      </c>
      <c r="V208" s="80">
        <f>V28/V163</f>
        <v>9.7809076682316132</v>
      </c>
      <c r="W208" s="80">
        <f>W28/W163</f>
        <v>13.106416275430361</v>
      </c>
      <c r="X208" s="80">
        <f>X28/X163</f>
        <v>15.649452269170579</v>
      </c>
      <c r="Y208" s="59">
        <f t="shared" si="61"/>
        <v>0</v>
      </c>
      <c r="Z208" s="51">
        <f t="shared" si="62"/>
        <v>151.12681605789186</v>
      </c>
      <c r="AA208" s="51">
        <f t="shared" si="63"/>
        <v>151.12681605789186</v>
      </c>
      <c r="AC208" s="30" t="s">
        <v>60</v>
      </c>
      <c r="AD208" s="32" t="s">
        <v>65</v>
      </c>
      <c r="AE208" s="31" t="s">
        <v>67</v>
      </c>
      <c r="AF208" s="2"/>
      <c r="AG208" s="2"/>
      <c r="AH208" s="1" t="str">
        <f t="shared" si="76"/>
        <v/>
      </c>
      <c r="AI208" s="1" t="str">
        <f t="shared" si="76"/>
        <v/>
      </c>
      <c r="AJ208" s="1" t="str">
        <f t="shared" si="76"/>
        <v/>
      </c>
      <c r="AK208" s="1" t="str">
        <f t="shared" si="76"/>
        <v/>
      </c>
      <c r="AL208" s="1" t="str">
        <f t="shared" si="76"/>
        <v/>
      </c>
      <c r="AM208" s="1" t="str">
        <f t="shared" si="76"/>
        <v/>
      </c>
      <c r="AN208" s="52" t="str">
        <f t="shared" si="76"/>
        <v/>
      </c>
      <c r="AO208" s="1" t="str">
        <f t="shared" si="76"/>
        <v/>
      </c>
      <c r="AP208" s="1" t="str">
        <f t="shared" si="76"/>
        <v/>
      </c>
      <c r="AQ208" s="1" t="str">
        <f t="shared" si="76"/>
        <v/>
      </c>
      <c r="AR208" s="1" t="str">
        <f t="shared" si="76"/>
        <v/>
      </c>
      <c r="AS208" s="1">
        <f t="shared" si="76"/>
        <v>26857.142857142859</v>
      </c>
      <c r="AT208" s="1">
        <f t="shared" si="76"/>
        <v>12171.428571428572</v>
      </c>
      <c r="AU208" s="1" t="str">
        <f t="shared" si="76"/>
        <v/>
      </c>
      <c r="AV208" s="1">
        <f t="shared" si="76"/>
        <v>12171.428571428572</v>
      </c>
      <c r="AW208" s="1">
        <f t="shared" si="74"/>
        <v>12171.428571428572</v>
      </c>
      <c r="AX208" s="1">
        <f t="shared" si="74"/>
        <v>12171.428571428571</v>
      </c>
      <c r="AY208" s="1">
        <f t="shared" si="74"/>
        <v>12171.428571428572</v>
      </c>
      <c r="AZ208" s="1">
        <f t="shared" si="74"/>
        <v>12171.428571428571</v>
      </c>
      <c r="BA208" s="1" t="str">
        <f t="shared" si="74"/>
        <v/>
      </c>
      <c r="BB208" s="1">
        <f t="shared" si="74"/>
        <v>0</v>
      </c>
      <c r="BC208" s="1">
        <f t="shared" si="74"/>
        <v>0</v>
      </c>
    </row>
    <row r="209" spans="1:55" x14ac:dyDescent="0.25">
      <c r="A209" s="30" t="s">
        <v>60</v>
      </c>
      <c r="B209" s="32" t="s">
        <v>65</v>
      </c>
      <c r="C209" s="31" t="s">
        <v>68</v>
      </c>
      <c r="D209" s="2"/>
      <c r="E209" s="2"/>
      <c r="F209" s="51">
        <v>0</v>
      </c>
      <c r="G209" s="51">
        <v>0</v>
      </c>
      <c r="H209" s="51">
        <v>0</v>
      </c>
      <c r="I209" s="51">
        <v>0</v>
      </c>
      <c r="J209" s="51">
        <v>0</v>
      </c>
      <c r="K209" s="51">
        <v>0</v>
      </c>
      <c r="L209" s="80">
        <f>L29/L164</f>
        <v>305.18518518518522</v>
      </c>
      <c r="M209" s="51">
        <v>0</v>
      </c>
      <c r="N209" s="51">
        <v>0</v>
      </c>
      <c r="O209" s="51">
        <v>0</v>
      </c>
      <c r="P209" s="51">
        <v>0</v>
      </c>
      <c r="Q209" s="51">
        <v>0</v>
      </c>
      <c r="R209" s="51">
        <v>0</v>
      </c>
      <c r="S209" s="51">
        <v>0</v>
      </c>
      <c r="T209" s="51">
        <v>0</v>
      </c>
      <c r="U209" s="51">
        <v>0</v>
      </c>
      <c r="V209" s="51">
        <v>0</v>
      </c>
      <c r="W209" s="51">
        <v>0</v>
      </c>
      <c r="X209" s="55">
        <v>0</v>
      </c>
      <c r="Y209" s="59">
        <f t="shared" si="61"/>
        <v>0</v>
      </c>
      <c r="Z209" s="51">
        <f t="shared" si="62"/>
        <v>0</v>
      </c>
      <c r="AA209" s="51">
        <f t="shared" si="63"/>
        <v>305.18518518518522</v>
      </c>
      <c r="AC209" s="30" t="s">
        <v>60</v>
      </c>
      <c r="AD209" s="32" t="s">
        <v>65</v>
      </c>
      <c r="AE209" s="31" t="s">
        <v>68</v>
      </c>
      <c r="AF209" s="2"/>
      <c r="AG209" s="2"/>
      <c r="AH209" s="1" t="str">
        <f t="shared" si="76"/>
        <v/>
      </c>
      <c r="AI209" s="1" t="str">
        <f t="shared" si="76"/>
        <v/>
      </c>
      <c r="AJ209" s="1" t="str">
        <f t="shared" si="76"/>
        <v/>
      </c>
      <c r="AK209" s="1" t="str">
        <f t="shared" si="76"/>
        <v/>
      </c>
      <c r="AL209" s="1" t="str">
        <f t="shared" si="76"/>
        <v/>
      </c>
      <c r="AM209" s="1" t="str">
        <f t="shared" si="76"/>
        <v/>
      </c>
      <c r="AN209" s="52">
        <f t="shared" si="76"/>
        <v>18750</v>
      </c>
      <c r="AO209" s="1" t="str">
        <f t="shared" si="76"/>
        <v/>
      </c>
      <c r="AP209" s="1" t="str">
        <f t="shared" si="76"/>
        <v/>
      </c>
      <c r="AQ209" s="1" t="str">
        <f t="shared" si="76"/>
        <v/>
      </c>
      <c r="AR209" s="1" t="str">
        <f t="shared" si="76"/>
        <v/>
      </c>
      <c r="AS209" s="1" t="str">
        <f t="shared" si="76"/>
        <v/>
      </c>
      <c r="AT209" s="1" t="str">
        <f t="shared" si="76"/>
        <v/>
      </c>
      <c r="AU209" s="1" t="str">
        <f t="shared" si="76"/>
        <v/>
      </c>
      <c r="AV209" s="1" t="str">
        <f t="shared" si="76"/>
        <v/>
      </c>
      <c r="AW209" s="1" t="str">
        <f t="shared" si="74"/>
        <v/>
      </c>
      <c r="AX209" s="1" t="str">
        <f t="shared" si="74"/>
        <v/>
      </c>
      <c r="AY209" s="1" t="str">
        <f t="shared" si="74"/>
        <v/>
      </c>
      <c r="AZ209" s="1" t="str">
        <f t="shared" si="74"/>
        <v/>
      </c>
      <c r="BA209" s="1" t="str">
        <f t="shared" si="74"/>
        <v/>
      </c>
      <c r="BB209" s="1" t="str">
        <f t="shared" si="74"/>
        <v/>
      </c>
      <c r="BC209" s="1">
        <f t="shared" si="74"/>
        <v>0</v>
      </c>
    </row>
    <row r="210" spans="1:55" x14ac:dyDescent="0.25">
      <c r="A210" s="30" t="s">
        <v>60</v>
      </c>
      <c r="B210" s="32" t="s">
        <v>9</v>
      </c>
      <c r="C210" s="31" t="s">
        <v>69</v>
      </c>
      <c r="D210" s="2"/>
      <c r="E210" s="2"/>
      <c r="F210" s="51">
        <v>0</v>
      </c>
      <c r="G210" s="51">
        <v>0</v>
      </c>
      <c r="H210" s="51">
        <v>0</v>
      </c>
      <c r="I210" s="51">
        <v>0</v>
      </c>
      <c r="J210" s="51">
        <v>0</v>
      </c>
      <c r="K210" s="51">
        <v>0</v>
      </c>
      <c r="L210" s="52">
        <v>0</v>
      </c>
      <c r="M210" s="51">
        <v>0</v>
      </c>
      <c r="N210" s="51">
        <v>0</v>
      </c>
      <c r="O210" s="51">
        <v>0</v>
      </c>
      <c r="P210" s="51">
        <v>0</v>
      </c>
      <c r="Q210" s="51">
        <v>0</v>
      </c>
      <c r="R210" s="51">
        <v>0</v>
      </c>
      <c r="S210" s="51">
        <v>0</v>
      </c>
      <c r="T210" s="51">
        <v>0</v>
      </c>
      <c r="U210" s="51">
        <v>0</v>
      </c>
      <c r="V210" s="51">
        <v>0</v>
      </c>
      <c r="W210" s="51">
        <v>0</v>
      </c>
      <c r="X210" s="80">
        <f>X30/X165</f>
        <v>3.4931813100827185</v>
      </c>
      <c r="Y210" s="80">
        <f t="shared" si="61"/>
        <v>0</v>
      </c>
      <c r="Z210" s="80">
        <f t="shared" si="62"/>
        <v>3.4931813100827185</v>
      </c>
      <c r="AA210" s="51">
        <f t="shared" si="63"/>
        <v>3.4931813100827185</v>
      </c>
      <c r="AC210" s="30" t="s">
        <v>60</v>
      </c>
      <c r="AD210" s="32" t="s">
        <v>9</v>
      </c>
      <c r="AE210" s="31" t="s">
        <v>69</v>
      </c>
      <c r="AF210" s="2"/>
      <c r="AG210" s="2"/>
      <c r="AH210" s="1" t="str">
        <f t="shared" si="76"/>
        <v/>
      </c>
      <c r="AI210" s="1" t="str">
        <f t="shared" si="76"/>
        <v/>
      </c>
      <c r="AJ210" s="1" t="str">
        <f t="shared" si="76"/>
        <v/>
      </c>
      <c r="AK210" s="1" t="str">
        <f t="shared" si="76"/>
        <v/>
      </c>
      <c r="AL210" s="1" t="str">
        <f t="shared" si="76"/>
        <v/>
      </c>
      <c r="AM210" s="1" t="str">
        <f t="shared" si="76"/>
        <v/>
      </c>
      <c r="AN210" s="52" t="str">
        <f t="shared" si="76"/>
        <v/>
      </c>
      <c r="AO210" s="1" t="str">
        <f t="shared" si="76"/>
        <v/>
      </c>
      <c r="AP210" s="1" t="str">
        <f t="shared" si="76"/>
        <v/>
      </c>
      <c r="AQ210" s="1" t="str">
        <f t="shared" si="76"/>
        <v/>
      </c>
      <c r="AR210" s="1" t="str">
        <f t="shared" si="76"/>
        <v/>
      </c>
      <c r="AS210" s="1" t="str">
        <f t="shared" si="76"/>
        <v/>
      </c>
      <c r="AT210" s="1" t="str">
        <f t="shared" si="76"/>
        <v/>
      </c>
      <c r="AU210" s="1" t="str">
        <f t="shared" si="76"/>
        <v/>
      </c>
      <c r="AV210" s="1" t="str">
        <f t="shared" si="76"/>
        <v/>
      </c>
      <c r="AW210" s="1" t="str">
        <f t="shared" si="74"/>
        <v/>
      </c>
      <c r="AX210" s="1" t="str">
        <f t="shared" si="74"/>
        <v/>
      </c>
      <c r="AY210" s="1" t="str">
        <f t="shared" si="74"/>
        <v/>
      </c>
      <c r="AZ210" s="1">
        <f t="shared" si="74"/>
        <v>7100</v>
      </c>
      <c r="BA210" s="1" t="str">
        <f t="shared" si="74"/>
        <v/>
      </c>
      <c r="BB210" s="1">
        <f t="shared" si="74"/>
        <v>0</v>
      </c>
      <c r="BC210" s="1">
        <f t="shared" si="74"/>
        <v>0</v>
      </c>
    </row>
    <row r="211" spans="1:55" x14ac:dyDescent="0.25">
      <c r="A211" s="15" t="s">
        <v>51</v>
      </c>
      <c r="B211" s="16" t="s">
        <v>56</v>
      </c>
      <c r="C211" s="27" t="s">
        <v>57</v>
      </c>
      <c r="D211" s="16" t="s">
        <v>70</v>
      </c>
      <c r="E211" s="16"/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52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54">
        <v>0</v>
      </c>
      <c r="Y211" s="58">
        <f t="shared" si="61"/>
        <v>0</v>
      </c>
      <c r="Z211" s="1">
        <f t="shared" si="62"/>
        <v>0</v>
      </c>
      <c r="AA211" s="1">
        <f t="shared" si="63"/>
        <v>0</v>
      </c>
      <c r="AC211" s="15" t="s">
        <v>51</v>
      </c>
      <c r="AD211" s="16" t="s">
        <v>56</v>
      </c>
      <c r="AE211" s="27" t="s">
        <v>57</v>
      </c>
      <c r="AF211" s="16" t="s">
        <v>70</v>
      </c>
      <c r="AG211" s="16"/>
      <c r="AH211" s="90" t="str">
        <f t="shared" si="76"/>
        <v/>
      </c>
      <c r="AI211" s="90" t="str">
        <f t="shared" si="76"/>
        <v/>
      </c>
      <c r="AJ211" s="90" t="str">
        <f t="shared" si="76"/>
        <v/>
      </c>
      <c r="AK211" s="90" t="str">
        <f t="shared" si="76"/>
        <v/>
      </c>
      <c r="AL211" s="90" t="str">
        <f t="shared" si="76"/>
        <v/>
      </c>
      <c r="AM211" s="90" t="str">
        <f t="shared" si="76"/>
        <v/>
      </c>
      <c r="AN211" s="90" t="str">
        <f t="shared" si="76"/>
        <v/>
      </c>
      <c r="AO211" s="90" t="str">
        <f t="shared" si="76"/>
        <v/>
      </c>
      <c r="AP211" s="90" t="str">
        <f t="shared" si="76"/>
        <v/>
      </c>
      <c r="AQ211" s="90" t="str">
        <f t="shared" si="76"/>
        <v/>
      </c>
      <c r="AR211" s="90" t="str">
        <f t="shared" si="76"/>
        <v/>
      </c>
      <c r="AS211" s="90" t="str">
        <f t="shared" si="76"/>
        <v/>
      </c>
      <c r="AT211" s="90" t="str">
        <f t="shared" si="76"/>
        <v/>
      </c>
      <c r="AU211" s="90" t="str">
        <f t="shared" si="76"/>
        <v/>
      </c>
      <c r="AV211" s="90" t="str">
        <f t="shared" si="76"/>
        <v/>
      </c>
      <c r="AW211" s="90" t="str">
        <f t="shared" si="74"/>
        <v/>
      </c>
      <c r="AX211" s="90" t="str">
        <f t="shared" si="74"/>
        <v/>
      </c>
      <c r="AY211" s="90" t="str">
        <f t="shared" si="74"/>
        <v/>
      </c>
      <c r="AZ211" s="90" t="str">
        <f t="shared" si="74"/>
        <v/>
      </c>
      <c r="BA211" s="90" t="str">
        <f t="shared" si="74"/>
        <v/>
      </c>
      <c r="BB211" s="90" t="str">
        <f t="shared" si="74"/>
        <v/>
      </c>
      <c r="BC211" s="90" t="str">
        <f t="shared" si="74"/>
        <v/>
      </c>
    </row>
    <row r="212" spans="1:55" x14ac:dyDescent="0.25">
      <c r="A212" s="15" t="s">
        <v>51</v>
      </c>
      <c r="B212" s="16" t="s">
        <v>56</v>
      </c>
      <c r="C212" s="27" t="s">
        <v>57</v>
      </c>
      <c r="D212" s="16" t="s">
        <v>71</v>
      </c>
      <c r="E212" s="16"/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52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54">
        <v>0</v>
      </c>
      <c r="Y212" s="58">
        <f t="shared" si="61"/>
        <v>0</v>
      </c>
      <c r="Z212" s="1">
        <f t="shared" si="62"/>
        <v>0</v>
      </c>
      <c r="AA212" s="1">
        <f t="shared" si="63"/>
        <v>0</v>
      </c>
      <c r="AC212" s="15" t="s">
        <v>51</v>
      </c>
      <c r="AD212" s="16" t="s">
        <v>56</v>
      </c>
      <c r="AE212" s="27" t="s">
        <v>57</v>
      </c>
      <c r="AF212" s="16" t="s">
        <v>71</v>
      </c>
      <c r="AG212" s="16"/>
      <c r="AH212" s="90" t="str">
        <f t="shared" si="76"/>
        <v/>
      </c>
      <c r="AI212" s="90" t="str">
        <f t="shared" si="76"/>
        <v/>
      </c>
      <c r="AJ212" s="90" t="str">
        <f t="shared" si="76"/>
        <v/>
      </c>
      <c r="AK212" s="90" t="str">
        <f t="shared" si="76"/>
        <v/>
      </c>
      <c r="AL212" s="90" t="str">
        <f t="shared" si="76"/>
        <v/>
      </c>
      <c r="AM212" s="90" t="str">
        <f t="shared" si="76"/>
        <v/>
      </c>
      <c r="AN212" s="90" t="str">
        <f t="shared" si="76"/>
        <v/>
      </c>
      <c r="AO212" s="90" t="str">
        <f t="shared" si="76"/>
        <v/>
      </c>
      <c r="AP212" s="90" t="str">
        <f t="shared" si="76"/>
        <v/>
      </c>
      <c r="AQ212" s="90" t="str">
        <f t="shared" si="76"/>
        <v/>
      </c>
      <c r="AR212" s="90" t="str">
        <f t="shared" si="76"/>
        <v/>
      </c>
      <c r="AS212" s="90" t="str">
        <f t="shared" si="76"/>
        <v/>
      </c>
      <c r="AT212" s="90" t="str">
        <f t="shared" si="76"/>
        <v/>
      </c>
      <c r="AU212" s="90" t="str">
        <f t="shared" si="76"/>
        <v/>
      </c>
      <c r="AV212" s="90" t="str">
        <f t="shared" si="76"/>
        <v/>
      </c>
      <c r="AW212" s="90" t="str">
        <f t="shared" si="74"/>
        <v/>
      </c>
      <c r="AX212" s="90" t="str">
        <f t="shared" si="74"/>
        <v/>
      </c>
      <c r="AY212" s="90" t="str">
        <f t="shared" si="74"/>
        <v/>
      </c>
      <c r="AZ212" s="90" t="str">
        <f t="shared" si="74"/>
        <v/>
      </c>
      <c r="BA212" s="90" t="str">
        <f t="shared" si="74"/>
        <v/>
      </c>
      <c r="BB212" s="90" t="str">
        <f t="shared" si="74"/>
        <v/>
      </c>
      <c r="BC212" s="90" t="str">
        <f t="shared" si="74"/>
        <v/>
      </c>
    </row>
    <row r="213" spans="1:55" x14ac:dyDescent="0.25">
      <c r="A213" s="15" t="s">
        <v>51</v>
      </c>
      <c r="B213" s="16" t="s">
        <v>56</v>
      </c>
      <c r="C213" s="27" t="s">
        <v>27</v>
      </c>
      <c r="D213" s="16" t="s">
        <v>72</v>
      </c>
      <c r="E213" s="16"/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52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54">
        <v>0</v>
      </c>
      <c r="Y213" s="58">
        <f t="shared" si="61"/>
        <v>0</v>
      </c>
      <c r="Z213" s="1">
        <f t="shared" si="62"/>
        <v>0</v>
      </c>
      <c r="AA213" s="1">
        <f t="shared" si="63"/>
        <v>0</v>
      </c>
      <c r="AC213" s="15" t="s">
        <v>51</v>
      </c>
      <c r="AD213" s="16" t="s">
        <v>56</v>
      </c>
      <c r="AE213" s="27" t="s">
        <v>27</v>
      </c>
      <c r="AF213" s="16" t="s">
        <v>72</v>
      </c>
      <c r="AG213" s="16"/>
      <c r="AH213" s="90" t="str">
        <f t="shared" si="76"/>
        <v/>
      </c>
      <c r="AI213" s="90" t="str">
        <f t="shared" si="76"/>
        <v/>
      </c>
      <c r="AJ213" s="90" t="str">
        <f t="shared" si="76"/>
        <v/>
      </c>
      <c r="AK213" s="90" t="str">
        <f t="shared" si="76"/>
        <v/>
      </c>
      <c r="AL213" s="90" t="str">
        <f t="shared" si="76"/>
        <v/>
      </c>
      <c r="AM213" s="90" t="str">
        <f t="shared" si="76"/>
        <v/>
      </c>
      <c r="AN213" s="90" t="str">
        <f t="shared" si="76"/>
        <v/>
      </c>
      <c r="AO213" s="90" t="str">
        <f t="shared" si="76"/>
        <v/>
      </c>
      <c r="AP213" s="90" t="str">
        <f t="shared" si="76"/>
        <v/>
      </c>
      <c r="AQ213" s="90" t="str">
        <f t="shared" si="76"/>
        <v/>
      </c>
      <c r="AR213" s="90" t="str">
        <f t="shared" si="76"/>
        <v/>
      </c>
      <c r="AS213" s="90" t="str">
        <f t="shared" si="76"/>
        <v/>
      </c>
      <c r="AT213" s="90" t="str">
        <f t="shared" si="76"/>
        <v/>
      </c>
      <c r="AU213" s="90" t="str">
        <f t="shared" si="76"/>
        <v/>
      </c>
      <c r="AV213" s="90" t="str">
        <f t="shared" si="76"/>
        <v/>
      </c>
      <c r="AW213" s="90" t="str">
        <f t="shared" si="74"/>
        <v/>
      </c>
      <c r="AX213" s="90" t="str">
        <f t="shared" si="74"/>
        <v/>
      </c>
      <c r="AY213" s="90" t="str">
        <f t="shared" si="74"/>
        <v/>
      </c>
      <c r="AZ213" s="90" t="str">
        <f t="shared" si="74"/>
        <v/>
      </c>
      <c r="BA213" s="90" t="str">
        <f t="shared" si="74"/>
        <v/>
      </c>
      <c r="BB213" s="90" t="str">
        <f t="shared" si="74"/>
        <v/>
      </c>
      <c r="BC213" s="90" t="str">
        <f t="shared" si="74"/>
        <v/>
      </c>
    </row>
    <row r="214" spans="1:55" x14ac:dyDescent="0.25">
      <c r="A214" s="15" t="s">
        <v>51</v>
      </c>
      <c r="B214" s="16" t="s">
        <v>56</v>
      </c>
      <c r="C214" s="27" t="s">
        <v>57</v>
      </c>
      <c r="D214" s="16" t="s">
        <v>73</v>
      </c>
      <c r="E214" s="16"/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52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54">
        <v>0</v>
      </c>
      <c r="Y214" s="58">
        <f t="shared" si="61"/>
        <v>0</v>
      </c>
      <c r="Z214" s="1">
        <f t="shared" si="62"/>
        <v>0</v>
      </c>
      <c r="AA214" s="1">
        <f t="shared" si="63"/>
        <v>0</v>
      </c>
      <c r="AC214" s="15" t="s">
        <v>51</v>
      </c>
      <c r="AD214" s="16" t="s">
        <v>56</v>
      </c>
      <c r="AE214" s="27" t="s">
        <v>57</v>
      </c>
      <c r="AF214" s="16" t="s">
        <v>73</v>
      </c>
      <c r="AG214" s="16"/>
      <c r="AH214" s="90" t="str">
        <f t="shared" si="76"/>
        <v/>
      </c>
      <c r="AI214" s="90" t="str">
        <f t="shared" si="76"/>
        <v/>
      </c>
      <c r="AJ214" s="90" t="str">
        <f t="shared" si="76"/>
        <v/>
      </c>
      <c r="AK214" s="90" t="str">
        <f t="shared" si="76"/>
        <v/>
      </c>
      <c r="AL214" s="90" t="str">
        <f t="shared" si="76"/>
        <v/>
      </c>
      <c r="AM214" s="90" t="str">
        <f t="shared" si="76"/>
        <v/>
      </c>
      <c r="AN214" s="90" t="str">
        <f t="shared" si="76"/>
        <v/>
      </c>
      <c r="AO214" s="90" t="str">
        <f t="shared" si="76"/>
        <v/>
      </c>
      <c r="AP214" s="90" t="str">
        <f t="shared" si="76"/>
        <v/>
      </c>
      <c r="AQ214" s="90" t="str">
        <f t="shared" si="76"/>
        <v/>
      </c>
      <c r="AR214" s="90" t="str">
        <f t="shared" si="76"/>
        <v/>
      </c>
      <c r="AS214" s="90" t="str">
        <f t="shared" si="76"/>
        <v/>
      </c>
      <c r="AT214" s="90" t="str">
        <f t="shared" si="76"/>
        <v/>
      </c>
      <c r="AU214" s="90" t="str">
        <f t="shared" si="76"/>
        <v/>
      </c>
      <c r="AV214" s="90" t="str">
        <f t="shared" si="76"/>
        <v/>
      </c>
      <c r="AW214" s="90" t="str">
        <f t="shared" si="74"/>
        <v/>
      </c>
      <c r="AX214" s="90" t="str">
        <f t="shared" si="74"/>
        <v/>
      </c>
      <c r="AY214" s="90" t="str">
        <f t="shared" si="74"/>
        <v/>
      </c>
      <c r="AZ214" s="90" t="str">
        <f t="shared" si="74"/>
        <v/>
      </c>
      <c r="BA214" s="90" t="str">
        <f t="shared" si="74"/>
        <v/>
      </c>
      <c r="BB214" s="90" t="str">
        <f t="shared" si="74"/>
        <v/>
      </c>
      <c r="BC214" s="90" t="str">
        <f t="shared" si="74"/>
        <v/>
      </c>
    </row>
    <row r="215" spans="1:55" x14ac:dyDescent="0.25">
      <c r="A215" s="15" t="s">
        <v>51</v>
      </c>
      <c r="B215" s="16" t="s">
        <v>56</v>
      </c>
      <c r="C215" s="27" t="s">
        <v>57</v>
      </c>
      <c r="D215" s="16" t="s">
        <v>74</v>
      </c>
      <c r="E215" s="16"/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52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54">
        <v>0</v>
      </c>
      <c r="Y215" s="58">
        <f t="shared" si="61"/>
        <v>0</v>
      </c>
      <c r="Z215" s="1">
        <f t="shared" si="62"/>
        <v>0</v>
      </c>
      <c r="AA215" s="1">
        <f t="shared" si="63"/>
        <v>0</v>
      </c>
      <c r="AC215" s="15" t="s">
        <v>51</v>
      </c>
      <c r="AD215" s="16" t="s">
        <v>56</v>
      </c>
      <c r="AE215" s="27" t="s">
        <v>57</v>
      </c>
      <c r="AF215" s="16" t="s">
        <v>74</v>
      </c>
      <c r="AG215" s="16"/>
      <c r="AH215" s="90" t="str">
        <f t="shared" si="76"/>
        <v/>
      </c>
      <c r="AI215" s="90" t="str">
        <f t="shared" si="76"/>
        <v/>
      </c>
      <c r="AJ215" s="90" t="str">
        <f t="shared" si="76"/>
        <v/>
      </c>
      <c r="AK215" s="90" t="str">
        <f t="shared" si="76"/>
        <v/>
      </c>
      <c r="AL215" s="90" t="str">
        <f t="shared" si="76"/>
        <v/>
      </c>
      <c r="AM215" s="90" t="str">
        <f t="shared" si="76"/>
        <v/>
      </c>
      <c r="AN215" s="90" t="str">
        <f t="shared" si="76"/>
        <v/>
      </c>
      <c r="AO215" s="90" t="str">
        <f t="shared" si="76"/>
        <v/>
      </c>
      <c r="AP215" s="90" t="str">
        <f t="shared" si="76"/>
        <v/>
      </c>
      <c r="AQ215" s="90" t="str">
        <f t="shared" si="76"/>
        <v/>
      </c>
      <c r="AR215" s="90" t="str">
        <f t="shared" si="76"/>
        <v/>
      </c>
      <c r="AS215" s="90" t="str">
        <f t="shared" si="76"/>
        <v/>
      </c>
      <c r="AT215" s="90" t="str">
        <f t="shared" si="76"/>
        <v/>
      </c>
      <c r="AU215" s="90" t="str">
        <f t="shared" si="76"/>
        <v/>
      </c>
      <c r="AV215" s="90" t="str">
        <f t="shared" si="76"/>
        <v/>
      </c>
      <c r="AW215" s="90" t="str">
        <f t="shared" si="74"/>
        <v/>
      </c>
      <c r="AX215" s="90" t="str">
        <f t="shared" si="74"/>
        <v/>
      </c>
      <c r="AY215" s="90" t="str">
        <f t="shared" si="74"/>
        <v/>
      </c>
      <c r="AZ215" s="90" t="str">
        <f t="shared" si="74"/>
        <v/>
      </c>
      <c r="BA215" s="90" t="str">
        <f t="shared" si="74"/>
        <v/>
      </c>
      <c r="BB215" s="90" t="str">
        <f t="shared" si="74"/>
        <v/>
      </c>
      <c r="BC215" s="90" t="str">
        <f t="shared" si="74"/>
        <v/>
      </c>
    </row>
    <row r="216" spans="1:55" x14ac:dyDescent="0.25">
      <c r="A216" s="30" t="s">
        <v>60</v>
      </c>
      <c r="B216" s="31" t="s">
        <v>13</v>
      </c>
      <c r="C216" s="32" t="s">
        <v>61</v>
      </c>
      <c r="D216" s="31" t="s">
        <v>75</v>
      </c>
      <c r="E216" s="31"/>
      <c r="F216" s="51">
        <f>F201*0.8</f>
        <v>121.79200000000002</v>
      </c>
      <c r="G216" s="51">
        <v>0</v>
      </c>
      <c r="H216" s="51">
        <f>H201</f>
        <v>1080</v>
      </c>
      <c r="I216" s="51">
        <f>I201*0.1</f>
        <v>10.13793103448276</v>
      </c>
      <c r="J216" s="51">
        <v>0</v>
      </c>
      <c r="K216" s="51">
        <v>0</v>
      </c>
      <c r="L216" s="52">
        <v>0</v>
      </c>
      <c r="M216" s="51">
        <f>M201*0.1</f>
        <v>0.45</v>
      </c>
      <c r="N216" s="51">
        <v>0</v>
      </c>
      <c r="O216" s="51">
        <v>0</v>
      </c>
      <c r="P216" s="51">
        <v>0</v>
      </c>
      <c r="Q216" s="51"/>
      <c r="R216" s="51"/>
      <c r="S216" s="51"/>
      <c r="T216" s="51"/>
      <c r="U216" s="51"/>
      <c r="V216" s="51"/>
      <c r="W216" s="51">
        <f>W201</f>
        <v>2.6212832550860723</v>
      </c>
      <c r="X216" s="55"/>
      <c r="Y216" s="59">
        <f t="shared" si="61"/>
        <v>1211.9299310344827</v>
      </c>
      <c r="Z216" s="51">
        <f t="shared" si="62"/>
        <v>3.0712832550860725</v>
      </c>
      <c r="AA216" s="51">
        <f t="shared" si="63"/>
        <v>1215.0012142895687</v>
      </c>
      <c r="AC216" s="30" t="s">
        <v>60</v>
      </c>
      <c r="AD216" s="31" t="s">
        <v>13</v>
      </c>
      <c r="AE216" s="32" t="s">
        <v>61</v>
      </c>
      <c r="AF216" s="31" t="s">
        <v>75</v>
      </c>
      <c r="AG216" s="31"/>
      <c r="AH216" s="1">
        <f t="shared" si="76"/>
        <v>330.76429030186256</v>
      </c>
      <c r="AI216" s="1" t="str">
        <f t="shared" si="76"/>
        <v/>
      </c>
      <c r="AJ216" s="1">
        <f t="shared" si="76"/>
        <v>27.777777777777775</v>
      </c>
      <c r="AK216" s="1">
        <f t="shared" si="76"/>
        <v>170.58823529411762</v>
      </c>
      <c r="AL216" s="1" t="str">
        <f t="shared" si="76"/>
        <v/>
      </c>
      <c r="AM216" s="1" t="str">
        <f t="shared" si="76"/>
        <v/>
      </c>
      <c r="AN216" s="52" t="str">
        <f t="shared" si="76"/>
        <v/>
      </c>
      <c r="AO216" s="1">
        <f t="shared" si="76"/>
        <v>2222.2222222222222</v>
      </c>
      <c r="AP216" s="1" t="str">
        <f t="shared" si="76"/>
        <v/>
      </c>
      <c r="AQ216" s="1" t="str">
        <f t="shared" si="76"/>
        <v/>
      </c>
      <c r="AR216" s="1" t="str">
        <f t="shared" si="76"/>
        <v/>
      </c>
      <c r="AS216" s="1" t="str">
        <f t="shared" si="76"/>
        <v/>
      </c>
      <c r="AT216" s="1" t="str">
        <f t="shared" si="76"/>
        <v/>
      </c>
      <c r="AU216" s="1" t="str">
        <f t="shared" si="76"/>
        <v/>
      </c>
      <c r="AV216" s="1" t="str">
        <f t="shared" si="76"/>
        <v/>
      </c>
      <c r="AW216" s="1" t="str">
        <f t="shared" si="74"/>
        <v/>
      </c>
      <c r="AX216" s="1" t="str">
        <f t="shared" si="74"/>
        <v/>
      </c>
      <c r="AY216" s="1">
        <f t="shared" si="74"/>
        <v>2366.6666666666665</v>
      </c>
      <c r="AZ216" s="1" t="str">
        <f t="shared" si="74"/>
        <v/>
      </c>
      <c r="BA216" s="1">
        <f t="shared" si="74"/>
        <v>0</v>
      </c>
      <c r="BB216" s="1">
        <f t="shared" si="74"/>
        <v>0</v>
      </c>
      <c r="BC216" s="1">
        <f t="shared" si="74"/>
        <v>0</v>
      </c>
    </row>
    <row r="217" spans="1:55" x14ac:dyDescent="0.25">
      <c r="A217" s="30" t="s">
        <v>60</v>
      </c>
      <c r="B217" s="31" t="s">
        <v>13</v>
      </c>
      <c r="C217" s="32" t="s">
        <v>61</v>
      </c>
      <c r="D217" s="31" t="s">
        <v>76</v>
      </c>
      <c r="E217" s="31"/>
      <c r="F217" s="51">
        <f>F201*0.2</f>
        <v>30.448000000000004</v>
      </c>
      <c r="G217" s="51">
        <v>0</v>
      </c>
      <c r="H217" s="51">
        <v>0</v>
      </c>
      <c r="I217" s="51">
        <f>I201*0.7</f>
        <v>70.965517241379303</v>
      </c>
      <c r="J217" s="51">
        <f>J201</f>
        <v>28.8</v>
      </c>
      <c r="K217" s="51">
        <f>K201*0.2</f>
        <v>4.8275862068965516</v>
      </c>
      <c r="L217" s="52">
        <v>0</v>
      </c>
      <c r="M217" s="51">
        <f>M201*0.3</f>
        <v>1.3499999999999999</v>
      </c>
      <c r="N217" s="51">
        <f>N201</f>
        <v>0.25287356321839083</v>
      </c>
      <c r="O217" s="51">
        <f>O201*0.9</f>
        <v>7.1711999999999998E-2</v>
      </c>
      <c r="P217" s="51">
        <f>P201*0.05</f>
        <v>3.7794642857142862E-3</v>
      </c>
      <c r="Q217" s="51"/>
      <c r="R217" s="86">
        <f>R201</f>
        <v>0.57487783845932738</v>
      </c>
      <c r="S217" s="51"/>
      <c r="T217" s="51"/>
      <c r="U217" s="51"/>
      <c r="V217" s="51"/>
      <c r="W217" s="51"/>
      <c r="X217" s="55"/>
      <c r="Y217" s="59">
        <f t="shared" si="61"/>
        <v>135.04110344827586</v>
      </c>
      <c r="Z217" s="51">
        <f t="shared" si="62"/>
        <v>2.2532428659634327</v>
      </c>
      <c r="AA217" s="51">
        <f t="shared" si="63"/>
        <v>137.29434631423931</v>
      </c>
      <c r="AC217" s="30" t="s">
        <v>60</v>
      </c>
      <c r="AD217" s="31" t="s">
        <v>13</v>
      </c>
      <c r="AE217" s="32" t="s">
        <v>61</v>
      </c>
      <c r="AF217" s="31" t="s">
        <v>76</v>
      </c>
      <c r="AG217" s="31"/>
      <c r="AH217" s="1">
        <f t="shared" si="76"/>
        <v>330.76429030186256</v>
      </c>
      <c r="AI217" s="1" t="str">
        <f t="shared" si="76"/>
        <v/>
      </c>
      <c r="AJ217" s="1" t="str">
        <f t="shared" si="76"/>
        <v/>
      </c>
      <c r="AK217" s="1">
        <f t="shared" si="76"/>
        <v>170.58823529411762</v>
      </c>
      <c r="AL217" s="1">
        <f t="shared" si="76"/>
        <v>359.47712418300654</v>
      </c>
      <c r="AM217" s="1">
        <f t="shared" si="76"/>
        <v>170.58823529411765</v>
      </c>
      <c r="AN217" s="52" t="str">
        <f t="shared" si="76"/>
        <v/>
      </c>
      <c r="AO217" s="1">
        <f t="shared" si="76"/>
        <v>2222.2222222222222</v>
      </c>
      <c r="AP217" s="1">
        <f t="shared" si="76"/>
        <v>5437.4999999999991</v>
      </c>
      <c r="AQ217" s="1">
        <f t="shared" si="76"/>
        <v>55555.555555555555</v>
      </c>
      <c r="AR217" s="1">
        <f t="shared" si="76"/>
        <v>155555.55555555553</v>
      </c>
      <c r="AS217" s="1" t="str">
        <f t="shared" si="76"/>
        <v/>
      </c>
      <c r="AT217" s="1">
        <f t="shared" si="76"/>
        <v>2366.6666666666665</v>
      </c>
      <c r="AU217" s="1" t="str">
        <f t="shared" si="76"/>
        <v/>
      </c>
      <c r="AV217" s="1" t="str">
        <f t="shared" si="76"/>
        <v/>
      </c>
      <c r="AW217" s="1" t="str">
        <f t="shared" si="74"/>
        <v/>
      </c>
      <c r="AX217" s="1" t="str">
        <f t="shared" si="74"/>
        <v/>
      </c>
      <c r="AY217" s="1" t="str">
        <f t="shared" si="74"/>
        <v/>
      </c>
      <c r="AZ217" s="1" t="str">
        <f t="shared" si="74"/>
        <v/>
      </c>
      <c r="BA217" s="1">
        <f t="shared" si="74"/>
        <v>0</v>
      </c>
      <c r="BB217" s="1">
        <f t="shared" si="74"/>
        <v>0</v>
      </c>
      <c r="BC217" s="1">
        <f t="shared" si="74"/>
        <v>0</v>
      </c>
    </row>
    <row r="218" spans="1:55" x14ac:dyDescent="0.25">
      <c r="A218" s="30" t="s">
        <v>60</v>
      </c>
      <c r="B218" s="31" t="s">
        <v>13</v>
      </c>
      <c r="C218" s="32" t="s">
        <v>61</v>
      </c>
      <c r="D218" s="31" t="s">
        <v>77</v>
      </c>
      <c r="E218" s="31"/>
      <c r="F218" s="51">
        <v>0</v>
      </c>
      <c r="G218" s="51">
        <v>0</v>
      </c>
      <c r="H218" s="51">
        <v>0</v>
      </c>
      <c r="I218" s="51">
        <v>0</v>
      </c>
      <c r="J218" s="51">
        <v>0</v>
      </c>
      <c r="K218" s="51">
        <f>K201*0.4</f>
        <v>9.6551724137931032</v>
      </c>
      <c r="L218" s="52">
        <v>0</v>
      </c>
      <c r="M218" s="51">
        <f>M201*0.5</f>
        <v>2.25</v>
      </c>
      <c r="N218" s="51">
        <v>0</v>
      </c>
      <c r="O218" s="51">
        <v>0</v>
      </c>
      <c r="P218" s="51">
        <v>0</v>
      </c>
      <c r="Q218" s="51"/>
      <c r="R218" s="51"/>
      <c r="S218" s="51"/>
      <c r="T218" s="51">
        <f>T201</f>
        <v>0.37558685446009388</v>
      </c>
      <c r="U218" s="51">
        <f>U201</f>
        <v>1.1267605633802817</v>
      </c>
      <c r="V218" s="51"/>
      <c r="W218" s="51"/>
      <c r="X218" s="55"/>
      <c r="Y218" s="59">
        <f t="shared" si="61"/>
        <v>9.6551724137931032</v>
      </c>
      <c r="Z218" s="51">
        <f t="shared" si="62"/>
        <v>3.752347417840376</v>
      </c>
      <c r="AA218" s="51">
        <f t="shared" si="63"/>
        <v>13.407519831633479</v>
      </c>
      <c r="AC218" s="30" t="s">
        <v>60</v>
      </c>
      <c r="AD218" s="31" t="s">
        <v>13</v>
      </c>
      <c r="AE218" s="32" t="s">
        <v>61</v>
      </c>
      <c r="AF218" s="31" t="s">
        <v>77</v>
      </c>
      <c r="AG218" s="31"/>
      <c r="AH218" s="1" t="str">
        <f t="shared" ref="AH218:AV225" si="78">IF(F218&gt;0,F263/F218*1000,"")</f>
        <v/>
      </c>
      <c r="AI218" s="1" t="str">
        <f t="shared" si="78"/>
        <v/>
      </c>
      <c r="AJ218" s="1" t="str">
        <f t="shared" si="78"/>
        <v/>
      </c>
      <c r="AK218" s="1" t="str">
        <f t="shared" si="78"/>
        <v/>
      </c>
      <c r="AL218" s="1" t="str">
        <f t="shared" si="78"/>
        <v/>
      </c>
      <c r="AM218" s="1">
        <f t="shared" si="78"/>
        <v>170.58823529411765</v>
      </c>
      <c r="AN218" s="52" t="str">
        <f t="shared" si="78"/>
        <v/>
      </c>
      <c r="AO218" s="1">
        <f t="shared" si="78"/>
        <v>2222.2222222222222</v>
      </c>
      <c r="AP218" s="1" t="str">
        <f t="shared" si="78"/>
        <v/>
      </c>
      <c r="AQ218" s="1" t="str">
        <f t="shared" si="78"/>
        <v/>
      </c>
      <c r="AR218" s="1" t="str">
        <f t="shared" si="78"/>
        <v/>
      </c>
      <c r="AS218" s="1" t="str">
        <f t="shared" si="78"/>
        <v/>
      </c>
      <c r="AT218" s="1" t="str">
        <f t="shared" si="78"/>
        <v/>
      </c>
      <c r="AU218" s="1" t="str">
        <f t="shared" si="78"/>
        <v/>
      </c>
      <c r="AV218" s="1">
        <f t="shared" si="78"/>
        <v>2366.6666666666665</v>
      </c>
      <c r="AW218" s="1">
        <f t="shared" si="74"/>
        <v>2366.6666666666661</v>
      </c>
      <c r="AX218" s="1" t="str">
        <f t="shared" si="74"/>
        <v/>
      </c>
      <c r="AY218" s="1" t="str">
        <f t="shared" si="74"/>
        <v/>
      </c>
      <c r="AZ218" s="1" t="str">
        <f t="shared" si="74"/>
        <v/>
      </c>
      <c r="BA218" s="1">
        <f t="shared" si="74"/>
        <v>0</v>
      </c>
      <c r="BB218" s="1">
        <f t="shared" si="74"/>
        <v>0</v>
      </c>
      <c r="BC218" s="1">
        <f t="shared" si="74"/>
        <v>0</v>
      </c>
    </row>
    <row r="219" spans="1:55" x14ac:dyDescent="0.25">
      <c r="A219" s="30" t="s">
        <v>60</v>
      </c>
      <c r="B219" s="31" t="s">
        <v>13</v>
      </c>
      <c r="C219" s="32" t="s">
        <v>61</v>
      </c>
      <c r="D219" s="31" t="s">
        <v>78</v>
      </c>
      <c r="E219" s="31"/>
      <c r="F219" s="51">
        <v>0</v>
      </c>
      <c r="G219" s="51">
        <v>0</v>
      </c>
      <c r="H219" s="51">
        <v>0</v>
      </c>
      <c r="I219" s="51">
        <f>I201*0.2</f>
        <v>20.27586206896552</v>
      </c>
      <c r="J219" s="51">
        <v>0</v>
      </c>
      <c r="K219" s="51">
        <f>K201*0.4</f>
        <v>9.6551724137931032</v>
      </c>
      <c r="L219" s="52">
        <v>0</v>
      </c>
      <c r="M219" s="51">
        <f>M201*0.1</f>
        <v>0.45</v>
      </c>
      <c r="N219" s="51">
        <v>0</v>
      </c>
      <c r="O219" s="51">
        <f>O201*0.1</f>
        <v>7.9680000000000011E-3</v>
      </c>
      <c r="P219" s="51">
        <f>P201*0.95</f>
        <v>7.1809821428571424E-2</v>
      </c>
      <c r="Q219" s="51">
        <f>Q201</f>
        <v>8.5106382978723402E-2</v>
      </c>
      <c r="R219" s="51"/>
      <c r="S219" s="51"/>
      <c r="T219" s="51"/>
      <c r="U219" s="51"/>
      <c r="V219" s="51"/>
      <c r="W219" s="51"/>
      <c r="X219" s="55">
        <f>X201</f>
        <v>0.93896713615023475</v>
      </c>
      <c r="Y219" s="59">
        <f t="shared" si="61"/>
        <v>29.931034482758623</v>
      </c>
      <c r="Z219" s="51">
        <f t="shared" si="62"/>
        <v>1.5538513405575296</v>
      </c>
      <c r="AA219" s="51">
        <f t="shared" si="63"/>
        <v>31.484885823316151</v>
      </c>
      <c r="AC219" s="30" t="s">
        <v>60</v>
      </c>
      <c r="AD219" s="31" t="s">
        <v>13</v>
      </c>
      <c r="AE219" s="32" t="s">
        <v>61</v>
      </c>
      <c r="AF219" s="31" t="s">
        <v>78</v>
      </c>
      <c r="AG219" s="31"/>
      <c r="AH219" s="1" t="str">
        <f t="shared" si="78"/>
        <v/>
      </c>
      <c r="AI219" s="1" t="str">
        <f t="shared" si="78"/>
        <v/>
      </c>
      <c r="AJ219" s="1" t="str">
        <f t="shared" si="78"/>
        <v/>
      </c>
      <c r="AK219" s="1">
        <f t="shared" si="78"/>
        <v>170.58823529411762</v>
      </c>
      <c r="AL219" s="1" t="str">
        <f t="shared" si="78"/>
        <v/>
      </c>
      <c r="AM219" s="1">
        <f t="shared" si="78"/>
        <v>170.58823529411765</v>
      </c>
      <c r="AN219" s="52" t="str">
        <f t="shared" si="78"/>
        <v/>
      </c>
      <c r="AO219" s="1">
        <f t="shared" si="78"/>
        <v>2222.2222222222222</v>
      </c>
      <c r="AP219" s="1" t="str">
        <f t="shared" si="78"/>
        <v/>
      </c>
      <c r="AQ219" s="1">
        <f t="shared" si="78"/>
        <v>55555.555555555547</v>
      </c>
      <c r="AR219" s="1">
        <f t="shared" si="78"/>
        <v>155555.55555555556</v>
      </c>
      <c r="AS219" s="1">
        <f t="shared" si="78"/>
        <v>5222.2222222222226</v>
      </c>
      <c r="AT219" s="1" t="str">
        <f t="shared" si="78"/>
        <v/>
      </c>
      <c r="AU219" s="1" t="str">
        <f t="shared" si="78"/>
        <v/>
      </c>
      <c r="AV219" s="1" t="str">
        <f t="shared" si="78"/>
        <v/>
      </c>
      <c r="AW219" s="1" t="str">
        <f t="shared" si="74"/>
        <v/>
      </c>
      <c r="AX219" s="1" t="str">
        <f t="shared" si="74"/>
        <v/>
      </c>
      <c r="AY219" s="1" t="str">
        <f t="shared" si="74"/>
        <v/>
      </c>
      <c r="AZ219" s="1">
        <f t="shared" si="74"/>
        <v>2366.6666666666665</v>
      </c>
      <c r="BA219" s="1">
        <f t="shared" si="74"/>
        <v>0</v>
      </c>
      <c r="BB219" s="1">
        <f t="shared" si="74"/>
        <v>0</v>
      </c>
      <c r="BC219" s="1">
        <f t="shared" si="74"/>
        <v>0</v>
      </c>
    </row>
    <row r="220" spans="1:55" ht="15.75" thickBot="1" x14ac:dyDescent="0.3">
      <c r="A220" s="33" t="s">
        <v>60</v>
      </c>
      <c r="B220" s="34" t="s">
        <v>13</v>
      </c>
      <c r="C220" s="35" t="s">
        <v>61</v>
      </c>
      <c r="D220" s="34" t="s">
        <v>79</v>
      </c>
      <c r="E220" s="31"/>
      <c r="F220" s="51">
        <v>0</v>
      </c>
      <c r="G220" s="51">
        <v>0</v>
      </c>
      <c r="H220" s="51">
        <v>0</v>
      </c>
      <c r="I220" s="51">
        <v>0</v>
      </c>
      <c r="J220" s="51">
        <v>0</v>
      </c>
      <c r="K220" s="51">
        <v>0</v>
      </c>
      <c r="L220" s="52">
        <v>0</v>
      </c>
      <c r="M220" s="51">
        <v>0</v>
      </c>
      <c r="N220" s="51">
        <v>0</v>
      </c>
      <c r="O220" s="51">
        <v>0</v>
      </c>
      <c r="P220" s="51">
        <v>0</v>
      </c>
      <c r="Q220" s="51">
        <v>0</v>
      </c>
      <c r="R220" s="51">
        <v>0</v>
      </c>
      <c r="S220" s="51">
        <v>0</v>
      </c>
      <c r="T220" s="51">
        <v>0</v>
      </c>
      <c r="U220" s="51">
        <v>0</v>
      </c>
      <c r="V220" s="51">
        <v>0</v>
      </c>
      <c r="W220" s="51">
        <v>0</v>
      </c>
      <c r="X220" s="55">
        <v>0</v>
      </c>
      <c r="Y220" s="59">
        <f t="shared" si="61"/>
        <v>0</v>
      </c>
      <c r="Z220" s="51">
        <f t="shared" si="62"/>
        <v>0</v>
      </c>
      <c r="AA220" s="51">
        <f t="shared" si="63"/>
        <v>0</v>
      </c>
      <c r="AC220" s="33" t="s">
        <v>60</v>
      </c>
      <c r="AD220" s="34" t="s">
        <v>13</v>
      </c>
      <c r="AE220" s="35" t="s">
        <v>61</v>
      </c>
      <c r="AF220" s="34" t="s">
        <v>79</v>
      </c>
      <c r="AG220" s="31"/>
      <c r="AH220" s="1" t="str">
        <f t="shared" si="78"/>
        <v/>
      </c>
      <c r="AI220" s="1" t="str">
        <f t="shared" si="78"/>
        <v/>
      </c>
      <c r="AJ220" s="1" t="str">
        <f t="shared" si="78"/>
        <v/>
      </c>
      <c r="AK220" s="1" t="str">
        <f t="shared" si="78"/>
        <v/>
      </c>
      <c r="AL220" s="1" t="str">
        <f t="shared" si="78"/>
        <v/>
      </c>
      <c r="AM220" s="1" t="str">
        <f t="shared" si="78"/>
        <v/>
      </c>
      <c r="AN220" s="52" t="str">
        <f t="shared" si="78"/>
        <v/>
      </c>
      <c r="AO220" s="1" t="str">
        <f t="shared" si="78"/>
        <v/>
      </c>
      <c r="AP220" s="1" t="str">
        <f t="shared" si="78"/>
        <v/>
      </c>
      <c r="AQ220" s="1" t="str">
        <f t="shared" si="78"/>
        <v/>
      </c>
      <c r="AR220" s="1" t="str">
        <f t="shared" si="78"/>
        <v/>
      </c>
      <c r="AS220" s="1" t="str">
        <f t="shared" si="78"/>
        <v/>
      </c>
      <c r="AT220" s="1" t="str">
        <f t="shared" si="78"/>
        <v/>
      </c>
      <c r="AU220" s="1" t="str">
        <f t="shared" si="78"/>
        <v/>
      </c>
      <c r="AV220" s="1" t="str">
        <f t="shared" si="78"/>
        <v/>
      </c>
      <c r="AW220" s="1" t="str">
        <f t="shared" si="74"/>
        <v/>
      </c>
      <c r="AX220" s="1" t="str">
        <f t="shared" si="74"/>
        <v/>
      </c>
      <c r="AY220" s="1" t="str">
        <f t="shared" si="74"/>
        <v/>
      </c>
      <c r="AZ220" s="1" t="str">
        <f t="shared" si="74"/>
        <v/>
      </c>
      <c r="BA220" s="1" t="str">
        <f t="shared" si="74"/>
        <v/>
      </c>
      <c r="BB220" s="1" t="str">
        <f t="shared" si="74"/>
        <v/>
      </c>
      <c r="BC220" s="1" t="str">
        <f t="shared" si="74"/>
        <v/>
      </c>
    </row>
    <row r="221" spans="1:55" x14ac:dyDescent="0.25">
      <c r="A221" s="30" t="s">
        <v>60</v>
      </c>
      <c r="B221" s="31" t="s">
        <v>13</v>
      </c>
      <c r="C221" s="32" t="s">
        <v>62</v>
      </c>
      <c r="D221" s="31" t="s">
        <v>75</v>
      </c>
      <c r="E221" s="31"/>
      <c r="F221" s="51"/>
      <c r="G221" s="51">
        <v>0</v>
      </c>
      <c r="H221" s="51">
        <v>0</v>
      </c>
      <c r="I221" s="51">
        <v>0</v>
      </c>
      <c r="J221" s="51">
        <v>0</v>
      </c>
      <c r="K221" s="51">
        <v>0</v>
      </c>
      <c r="L221" s="52">
        <v>0</v>
      </c>
      <c r="M221" s="51">
        <v>0</v>
      </c>
      <c r="N221" s="51">
        <v>0</v>
      </c>
      <c r="O221" s="51">
        <v>0</v>
      </c>
      <c r="P221" s="51">
        <v>0</v>
      </c>
      <c r="Q221" s="51">
        <v>0</v>
      </c>
      <c r="R221" s="51">
        <v>0</v>
      </c>
      <c r="S221" s="51">
        <v>0</v>
      </c>
      <c r="T221" s="51">
        <v>0</v>
      </c>
      <c r="U221" s="51">
        <v>0</v>
      </c>
      <c r="V221" s="51">
        <v>0</v>
      </c>
      <c r="W221" s="51">
        <v>0</v>
      </c>
      <c r="X221" s="55">
        <v>0</v>
      </c>
      <c r="Y221" s="59">
        <f t="shared" si="61"/>
        <v>0</v>
      </c>
      <c r="Z221" s="51">
        <f t="shared" si="62"/>
        <v>0</v>
      </c>
      <c r="AA221" s="51">
        <f t="shared" si="63"/>
        <v>0</v>
      </c>
      <c r="AC221" s="30" t="s">
        <v>60</v>
      </c>
      <c r="AD221" s="31" t="s">
        <v>13</v>
      </c>
      <c r="AE221" s="32" t="s">
        <v>62</v>
      </c>
      <c r="AF221" s="31" t="s">
        <v>75</v>
      </c>
      <c r="AG221" s="31"/>
      <c r="AH221" s="1" t="str">
        <f t="shared" si="78"/>
        <v/>
      </c>
      <c r="AI221" s="1" t="str">
        <f t="shared" si="78"/>
        <v/>
      </c>
      <c r="AJ221" s="1" t="str">
        <f t="shared" si="78"/>
        <v/>
      </c>
      <c r="AK221" s="1" t="str">
        <f t="shared" si="78"/>
        <v/>
      </c>
      <c r="AL221" s="1" t="str">
        <f t="shared" si="78"/>
        <v/>
      </c>
      <c r="AM221" s="1" t="str">
        <f t="shared" si="78"/>
        <v/>
      </c>
      <c r="AN221" s="52" t="str">
        <f t="shared" si="78"/>
        <v/>
      </c>
      <c r="AO221" s="1" t="str">
        <f t="shared" si="78"/>
        <v/>
      </c>
      <c r="AP221" s="1" t="str">
        <f t="shared" si="78"/>
        <v/>
      </c>
      <c r="AQ221" s="1" t="str">
        <f t="shared" si="78"/>
        <v/>
      </c>
      <c r="AR221" s="1" t="str">
        <f t="shared" si="78"/>
        <v/>
      </c>
      <c r="AS221" s="1" t="str">
        <f t="shared" si="78"/>
        <v/>
      </c>
      <c r="AT221" s="1" t="str">
        <f t="shared" si="78"/>
        <v/>
      </c>
      <c r="AU221" s="1" t="str">
        <f t="shared" si="78"/>
        <v/>
      </c>
      <c r="AV221" s="1" t="str">
        <f t="shared" si="78"/>
        <v/>
      </c>
      <c r="AW221" s="1" t="str">
        <f t="shared" si="74"/>
        <v/>
      </c>
      <c r="AX221" s="1" t="str">
        <f t="shared" si="74"/>
        <v/>
      </c>
      <c r="AY221" s="1" t="str">
        <f t="shared" si="74"/>
        <v/>
      </c>
      <c r="AZ221" s="1" t="str">
        <f t="shared" si="74"/>
        <v/>
      </c>
      <c r="BA221" s="1" t="str">
        <f t="shared" si="74"/>
        <v/>
      </c>
      <c r="BB221" s="1" t="str">
        <f t="shared" si="74"/>
        <v/>
      </c>
      <c r="BC221" s="1" t="str">
        <f t="shared" si="74"/>
        <v/>
      </c>
    </row>
    <row r="222" spans="1:55" x14ac:dyDescent="0.25">
      <c r="A222" s="30" t="s">
        <v>60</v>
      </c>
      <c r="B222" s="31" t="s">
        <v>13</v>
      </c>
      <c r="C222" s="32" t="s">
        <v>62</v>
      </c>
      <c r="D222" s="31" t="s">
        <v>76</v>
      </c>
      <c r="E222" s="31"/>
      <c r="F222" s="51">
        <f>F202</f>
        <v>21</v>
      </c>
      <c r="G222" s="51">
        <f>G202</f>
        <v>210</v>
      </c>
      <c r="H222" s="51">
        <f>H202</f>
        <v>720</v>
      </c>
      <c r="I222" s="51">
        <v>0</v>
      </c>
      <c r="J222" s="51">
        <v>0</v>
      </c>
      <c r="K222" s="51">
        <v>0</v>
      </c>
      <c r="L222" s="52">
        <v>0</v>
      </c>
      <c r="M222" s="51">
        <v>0</v>
      </c>
      <c r="N222" s="51">
        <v>0</v>
      </c>
      <c r="O222" s="51">
        <v>0</v>
      </c>
      <c r="P222" s="51">
        <v>0</v>
      </c>
      <c r="Q222" s="51">
        <v>0</v>
      </c>
      <c r="R222" s="51">
        <v>0</v>
      </c>
      <c r="S222" s="51">
        <v>0</v>
      </c>
      <c r="T222" s="51">
        <v>0</v>
      </c>
      <c r="U222" s="51">
        <v>0</v>
      </c>
      <c r="V222" s="51">
        <v>0</v>
      </c>
      <c r="W222" s="51">
        <v>0</v>
      </c>
      <c r="X222" s="55">
        <v>0</v>
      </c>
      <c r="Y222" s="59">
        <f t="shared" si="61"/>
        <v>951</v>
      </c>
      <c r="Z222" s="51">
        <f t="shared" si="62"/>
        <v>0</v>
      </c>
      <c r="AA222" s="51">
        <f t="shared" si="63"/>
        <v>951</v>
      </c>
      <c r="AC222" s="30" t="s">
        <v>60</v>
      </c>
      <c r="AD222" s="31" t="s">
        <v>13</v>
      </c>
      <c r="AE222" s="32" t="s">
        <v>62</v>
      </c>
      <c r="AF222" s="31" t="s">
        <v>76</v>
      </c>
      <c r="AG222" s="31"/>
      <c r="AH222" s="1">
        <f t="shared" si="78"/>
        <v>326.98412698412699</v>
      </c>
      <c r="AI222" s="1">
        <f t="shared" si="78"/>
        <v>120.63492063492062</v>
      </c>
      <c r="AJ222" s="1">
        <f t="shared" si="78"/>
        <v>27.777777777777775</v>
      </c>
      <c r="AK222" s="1" t="str">
        <f t="shared" si="78"/>
        <v/>
      </c>
      <c r="AL222" s="1" t="str">
        <f t="shared" si="78"/>
        <v/>
      </c>
      <c r="AM222" s="1" t="str">
        <f t="shared" si="78"/>
        <v/>
      </c>
      <c r="AN222" s="52" t="str">
        <f t="shared" si="78"/>
        <v/>
      </c>
      <c r="AO222" s="1" t="str">
        <f t="shared" si="78"/>
        <v/>
      </c>
      <c r="AP222" s="1" t="str">
        <f t="shared" si="78"/>
        <v/>
      </c>
      <c r="AQ222" s="1" t="str">
        <f t="shared" si="78"/>
        <v/>
      </c>
      <c r="AR222" s="1" t="str">
        <f t="shared" si="78"/>
        <v/>
      </c>
      <c r="AS222" s="1" t="str">
        <f t="shared" si="78"/>
        <v/>
      </c>
      <c r="AT222" s="1" t="str">
        <f t="shared" si="78"/>
        <v/>
      </c>
      <c r="AU222" s="1" t="str">
        <f t="shared" si="78"/>
        <v/>
      </c>
      <c r="AV222" s="1" t="str">
        <f t="shared" si="78"/>
        <v/>
      </c>
      <c r="AW222" s="1" t="str">
        <f t="shared" si="74"/>
        <v/>
      </c>
      <c r="AX222" s="1" t="str">
        <f t="shared" si="74"/>
        <v/>
      </c>
      <c r="AY222" s="1" t="str">
        <f t="shared" si="74"/>
        <v/>
      </c>
      <c r="AZ222" s="1" t="str">
        <f t="shared" si="74"/>
        <v/>
      </c>
      <c r="BA222" s="1">
        <f t="shared" si="74"/>
        <v>0</v>
      </c>
      <c r="BB222" s="1" t="str">
        <f t="shared" si="74"/>
        <v/>
      </c>
      <c r="BC222" s="1">
        <f t="shared" si="74"/>
        <v>0</v>
      </c>
    </row>
    <row r="223" spans="1:55" x14ac:dyDescent="0.25">
      <c r="A223" s="30" t="s">
        <v>60</v>
      </c>
      <c r="B223" s="31" t="s">
        <v>13</v>
      </c>
      <c r="C223" s="32" t="s">
        <v>62</v>
      </c>
      <c r="D223" s="31" t="s">
        <v>77</v>
      </c>
      <c r="E223" s="31"/>
      <c r="F223" s="51">
        <v>0</v>
      </c>
      <c r="G223" s="51">
        <v>0</v>
      </c>
      <c r="H223" s="51">
        <v>0</v>
      </c>
      <c r="I223" s="51">
        <v>0</v>
      </c>
      <c r="J223" s="51">
        <v>0</v>
      </c>
      <c r="K223" s="51">
        <v>0</v>
      </c>
      <c r="L223" s="52">
        <v>0</v>
      </c>
      <c r="M223" s="51">
        <v>0</v>
      </c>
      <c r="N223" s="51">
        <v>0</v>
      </c>
      <c r="O223" s="51">
        <v>0</v>
      </c>
      <c r="P223" s="51">
        <v>0</v>
      </c>
      <c r="Q223" s="51">
        <v>0</v>
      </c>
      <c r="R223" s="51">
        <v>0</v>
      </c>
      <c r="S223" s="51">
        <v>0</v>
      </c>
      <c r="T223" s="51">
        <v>0</v>
      </c>
      <c r="U223" s="51">
        <v>0</v>
      </c>
      <c r="V223" s="51">
        <v>0</v>
      </c>
      <c r="W223" s="51">
        <v>0</v>
      </c>
      <c r="X223" s="55">
        <v>0</v>
      </c>
      <c r="Y223" s="59">
        <f t="shared" si="61"/>
        <v>0</v>
      </c>
      <c r="Z223" s="51">
        <f t="shared" si="62"/>
        <v>0</v>
      </c>
      <c r="AA223" s="51">
        <f t="shared" si="63"/>
        <v>0</v>
      </c>
      <c r="AC223" s="30" t="s">
        <v>60</v>
      </c>
      <c r="AD223" s="31" t="s">
        <v>13</v>
      </c>
      <c r="AE223" s="32" t="s">
        <v>62</v>
      </c>
      <c r="AF223" s="31" t="s">
        <v>77</v>
      </c>
      <c r="AG223" s="31"/>
      <c r="AH223" s="1" t="str">
        <f t="shared" si="78"/>
        <v/>
      </c>
      <c r="AI223" s="1" t="str">
        <f t="shared" si="78"/>
        <v/>
      </c>
      <c r="AJ223" s="1" t="str">
        <f t="shared" si="78"/>
        <v/>
      </c>
      <c r="AK223" s="1" t="str">
        <f t="shared" si="78"/>
        <v/>
      </c>
      <c r="AL223" s="1" t="str">
        <f t="shared" si="78"/>
        <v/>
      </c>
      <c r="AM223" s="1" t="str">
        <f t="shared" si="78"/>
        <v/>
      </c>
      <c r="AN223" s="52" t="str">
        <f t="shared" si="78"/>
        <v/>
      </c>
      <c r="AO223" s="1" t="str">
        <f t="shared" si="78"/>
        <v/>
      </c>
      <c r="AP223" s="1" t="str">
        <f t="shared" si="78"/>
        <v/>
      </c>
      <c r="AQ223" s="1" t="str">
        <f t="shared" si="78"/>
        <v/>
      </c>
      <c r="AR223" s="1" t="str">
        <f t="shared" si="78"/>
        <v/>
      </c>
      <c r="AS223" s="1" t="str">
        <f t="shared" si="78"/>
        <v/>
      </c>
      <c r="AT223" s="1" t="str">
        <f t="shared" si="78"/>
        <v/>
      </c>
      <c r="AU223" s="1" t="str">
        <f t="shared" si="78"/>
        <v/>
      </c>
      <c r="AV223" s="1" t="str">
        <f t="shared" si="78"/>
        <v/>
      </c>
      <c r="AW223" s="1" t="str">
        <f t="shared" si="74"/>
        <v/>
      </c>
      <c r="AX223" s="1" t="str">
        <f t="shared" si="74"/>
        <v/>
      </c>
      <c r="AY223" s="1" t="str">
        <f t="shared" si="74"/>
        <v/>
      </c>
      <c r="AZ223" s="1" t="str">
        <f t="shared" si="74"/>
        <v/>
      </c>
      <c r="BA223" s="1" t="str">
        <f t="shared" si="74"/>
        <v/>
      </c>
      <c r="BB223" s="1" t="str">
        <f t="shared" si="74"/>
        <v/>
      </c>
      <c r="BC223" s="1" t="str">
        <f t="shared" si="74"/>
        <v/>
      </c>
    </row>
    <row r="224" spans="1:55" x14ac:dyDescent="0.25">
      <c r="A224" s="30" t="s">
        <v>60</v>
      </c>
      <c r="B224" s="31" t="s">
        <v>13</v>
      </c>
      <c r="C224" s="32" t="s">
        <v>62</v>
      </c>
      <c r="D224" s="31" t="s">
        <v>78</v>
      </c>
      <c r="E224" s="31"/>
      <c r="F224" s="51">
        <v>0</v>
      </c>
      <c r="G224" s="51">
        <v>0</v>
      </c>
      <c r="H224" s="51">
        <v>0</v>
      </c>
      <c r="I224" s="51">
        <v>0</v>
      </c>
      <c r="J224" s="51">
        <v>0</v>
      </c>
      <c r="K224" s="51">
        <v>0</v>
      </c>
      <c r="L224" s="52">
        <v>0</v>
      </c>
      <c r="M224" s="51">
        <v>0</v>
      </c>
      <c r="N224" s="51">
        <v>0</v>
      </c>
      <c r="O224" s="51">
        <v>0</v>
      </c>
      <c r="P224" s="85">
        <f>P202</f>
        <v>7.558928571428572E-2</v>
      </c>
      <c r="Q224" s="51">
        <v>0</v>
      </c>
      <c r="R224" s="51">
        <v>0</v>
      </c>
      <c r="S224" s="51">
        <v>0</v>
      </c>
      <c r="T224" s="51">
        <v>0</v>
      </c>
      <c r="U224" s="51">
        <v>0</v>
      </c>
      <c r="V224" s="51">
        <v>0</v>
      </c>
      <c r="W224" s="51">
        <v>0</v>
      </c>
      <c r="X224" s="55">
        <v>0</v>
      </c>
      <c r="Y224" s="59">
        <f t="shared" si="61"/>
        <v>0</v>
      </c>
      <c r="Z224" s="51">
        <f t="shared" si="62"/>
        <v>7.558928571428572E-2</v>
      </c>
      <c r="AA224" s="51">
        <f t="shared" si="63"/>
        <v>7.558928571428572E-2</v>
      </c>
      <c r="AC224" s="30" t="s">
        <v>60</v>
      </c>
      <c r="AD224" s="31" t="s">
        <v>13</v>
      </c>
      <c r="AE224" s="32" t="s">
        <v>62</v>
      </c>
      <c r="AF224" s="31" t="s">
        <v>78</v>
      </c>
      <c r="AG224" s="31"/>
      <c r="AH224" s="1" t="str">
        <f t="shared" si="78"/>
        <v/>
      </c>
      <c r="AI224" s="1" t="str">
        <f t="shared" si="78"/>
        <v/>
      </c>
      <c r="AJ224" s="1" t="str">
        <f t="shared" si="78"/>
        <v/>
      </c>
      <c r="AK224" s="1" t="str">
        <f t="shared" si="78"/>
        <v/>
      </c>
      <c r="AL224" s="1" t="str">
        <f t="shared" si="78"/>
        <v/>
      </c>
      <c r="AM224" s="1" t="str">
        <f t="shared" si="78"/>
        <v/>
      </c>
      <c r="AN224" s="52" t="str">
        <f t="shared" si="78"/>
        <v/>
      </c>
      <c r="AO224" s="1" t="str">
        <f t="shared" si="78"/>
        <v/>
      </c>
      <c r="AP224" s="1" t="str">
        <f t="shared" si="78"/>
        <v/>
      </c>
      <c r="AQ224" s="1" t="str">
        <f t="shared" si="78"/>
        <v/>
      </c>
      <c r="AR224" s="1">
        <f t="shared" si="78"/>
        <v>155555.55555555553</v>
      </c>
      <c r="AS224" s="1" t="str">
        <f t="shared" si="78"/>
        <v/>
      </c>
      <c r="AT224" s="1" t="str">
        <f t="shared" si="78"/>
        <v/>
      </c>
      <c r="AU224" s="1" t="str">
        <f t="shared" si="78"/>
        <v/>
      </c>
      <c r="AV224" s="1" t="str">
        <f t="shared" si="78"/>
        <v/>
      </c>
      <c r="AW224" s="1" t="str">
        <f t="shared" si="74"/>
        <v/>
      </c>
      <c r="AX224" s="1" t="str">
        <f t="shared" si="74"/>
        <v/>
      </c>
      <c r="AY224" s="1" t="str">
        <f t="shared" si="74"/>
        <v/>
      </c>
      <c r="AZ224" s="1" t="str">
        <f t="shared" si="74"/>
        <v/>
      </c>
      <c r="BA224" s="1" t="str">
        <f t="shared" si="74"/>
        <v/>
      </c>
      <c r="BB224" s="1">
        <f t="shared" si="74"/>
        <v>0</v>
      </c>
      <c r="BC224" s="1">
        <f t="shared" si="74"/>
        <v>0</v>
      </c>
    </row>
    <row r="225" spans="1:55" ht="15.75" thickBot="1" x14ac:dyDescent="0.3">
      <c r="A225" s="33" t="s">
        <v>60</v>
      </c>
      <c r="B225" s="34" t="s">
        <v>13</v>
      </c>
      <c r="C225" s="32" t="s">
        <v>62</v>
      </c>
      <c r="D225" s="34" t="s">
        <v>79</v>
      </c>
      <c r="E225" s="31"/>
      <c r="F225" s="51">
        <v>0</v>
      </c>
      <c r="G225" s="51">
        <v>0</v>
      </c>
      <c r="H225" s="51">
        <v>0</v>
      </c>
      <c r="I225" s="51">
        <v>0</v>
      </c>
      <c r="J225" s="51">
        <v>0</v>
      </c>
      <c r="K225" s="51">
        <v>0</v>
      </c>
      <c r="L225" s="52">
        <v>0</v>
      </c>
      <c r="M225" s="51">
        <v>0</v>
      </c>
      <c r="N225" s="51">
        <v>0</v>
      </c>
      <c r="O225" s="51">
        <v>0</v>
      </c>
      <c r="P225" s="51">
        <v>0</v>
      </c>
      <c r="Q225" s="51">
        <v>0</v>
      </c>
      <c r="R225" s="51">
        <v>0</v>
      </c>
      <c r="S225" s="51">
        <v>0</v>
      </c>
      <c r="T225" s="51">
        <v>0</v>
      </c>
      <c r="U225" s="51">
        <v>0</v>
      </c>
      <c r="V225" s="51">
        <v>0</v>
      </c>
      <c r="W225" s="51">
        <v>0</v>
      </c>
      <c r="X225" s="55">
        <v>0</v>
      </c>
      <c r="Y225" s="59">
        <f t="shared" si="61"/>
        <v>0</v>
      </c>
      <c r="Z225" s="51">
        <f t="shared" si="62"/>
        <v>0</v>
      </c>
      <c r="AA225" s="51">
        <f t="shared" si="63"/>
        <v>0</v>
      </c>
      <c r="AC225" s="33" t="s">
        <v>60</v>
      </c>
      <c r="AD225" s="34" t="s">
        <v>13</v>
      </c>
      <c r="AE225" s="32" t="s">
        <v>62</v>
      </c>
      <c r="AF225" s="34" t="s">
        <v>79</v>
      </c>
      <c r="AG225" s="31"/>
      <c r="AH225" s="1" t="str">
        <f t="shared" si="78"/>
        <v/>
      </c>
      <c r="AI225" s="1" t="str">
        <f t="shared" si="78"/>
        <v/>
      </c>
      <c r="AJ225" s="1" t="str">
        <f t="shared" si="78"/>
        <v/>
      </c>
      <c r="AK225" s="1" t="str">
        <f t="shared" si="78"/>
        <v/>
      </c>
      <c r="AL225" s="1" t="str">
        <f t="shared" si="78"/>
        <v/>
      </c>
      <c r="AM225" s="1" t="str">
        <f t="shared" si="78"/>
        <v/>
      </c>
      <c r="AN225" s="52" t="str">
        <f t="shared" si="78"/>
        <v/>
      </c>
      <c r="AO225" s="1" t="str">
        <f t="shared" si="78"/>
        <v/>
      </c>
      <c r="AP225" s="1" t="str">
        <f t="shared" si="78"/>
        <v/>
      </c>
      <c r="AQ225" s="1" t="str">
        <f t="shared" si="78"/>
        <v/>
      </c>
      <c r="AR225" s="1" t="str">
        <f t="shared" si="78"/>
        <v/>
      </c>
      <c r="AS225" s="1" t="str">
        <f t="shared" si="78"/>
        <v/>
      </c>
      <c r="AT225" s="1" t="str">
        <f t="shared" si="78"/>
        <v/>
      </c>
      <c r="AU225" s="1" t="str">
        <f t="shared" si="78"/>
        <v/>
      </c>
      <c r="AV225" s="1" t="str">
        <f t="shared" si="78"/>
        <v/>
      </c>
      <c r="AW225" s="1" t="str">
        <f t="shared" si="74"/>
        <v/>
      </c>
      <c r="AX225" s="1" t="str">
        <f t="shared" si="74"/>
        <v/>
      </c>
      <c r="AY225" s="1" t="str">
        <f t="shared" si="74"/>
        <v/>
      </c>
      <c r="AZ225" s="1" t="str">
        <f t="shared" si="74"/>
        <v/>
      </c>
      <c r="BA225" s="1" t="str">
        <f t="shared" si="74"/>
        <v/>
      </c>
      <c r="BB225" s="1" t="str">
        <f t="shared" si="74"/>
        <v/>
      </c>
      <c r="BC225" s="1" t="str">
        <f t="shared" si="74"/>
        <v/>
      </c>
    </row>
    <row r="227" spans="1:55" x14ac:dyDescent="0.25">
      <c r="D227" s="41" t="s">
        <v>33</v>
      </c>
      <c r="E227" s="41"/>
      <c r="M227" s="24" t="s">
        <v>81</v>
      </c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</row>
    <row r="228" spans="1:55" x14ac:dyDescent="0.25">
      <c r="F228" s="23" t="s">
        <v>44</v>
      </c>
      <c r="G228" s="23"/>
      <c r="H228" s="23"/>
      <c r="I228" s="23"/>
      <c r="J228" s="23"/>
      <c r="K228" s="23"/>
      <c r="L228" s="7" t="s">
        <v>30</v>
      </c>
      <c r="M228" s="24" t="s">
        <v>46</v>
      </c>
      <c r="N228" s="24"/>
      <c r="O228" s="24"/>
      <c r="P228" s="24"/>
      <c r="Q228" s="24"/>
      <c r="R228" s="24" t="s">
        <v>47</v>
      </c>
      <c r="S228" s="24"/>
      <c r="T228" s="24"/>
      <c r="U228" s="24"/>
      <c r="V228" s="24"/>
      <c r="W228" s="24"/>
      <c r="X228" s="24"/>
      <c r="Y228" s="44" t="s">
        <v>85</v>
      </c>
      <c r="Z228" s="44" t="s">
        <v>48</v>
      </c>
      <c r="AA228" s="44" t="s">
        <v>3</v>
      </c>
    </row>
    <row r="229" spans="1:55" ht="63" x14ac:dyDescent="0.25">
      <c r="F229" s="38" t="s">
        <v>36</v>
      </c>
      <c r="G229" s="38" t="s">
        <v>37</v>
      </c>
      <c r="H229" s="38" t="s">
        <v>38</v>
      </c>
      <c r="I229" s="38" t="s">
        <v>80</v>
      </c>
      <c r="J229" s="38" t="s">
        <v>39</v>
      </c>
      <c r="K229" s="38" t="s">
        <v>45</v>
      </c>
      <c r="L229" s="39" t="s">
        <v>16</v>
      </c>
      <c r="M229" s="40" t="s">
        <v>34</v>
      </c>
      <c r="N229" s="40" t="s">
        <v>5</v>
      </c>
      <c r="O229" s="40" t="s">
        <v>7</v>
      </c>
      <c r="P229" s="40" t="s">
        <v>8</v>
      </c>
      <c r="Q229" s="40" t="s">
        <v>40</v>
      </c>
      <c r="R229" s="40" t="s">
        <v>41</v>
      </c>
      <c r="S229" s="40" t="s">
        <v>42</v>
      </c>
      <c r="T229" s="40" t="s">
        <v>31</v>
      </c>
      <c r="U229" s="40" t="s">
        <v>43</v>
      </c>
      <c r="V229" s="40" t="s">
        <v>82</v>
      </c>
      <c r="W229" s="40" t="s">
        <v>87</v>
      </c>
      <c r="X229" s="40" t="s">
        <v>83</v>
      </c>
      <c r="Y229" s="45" t="s">
        <v>3</v>
      </c>
      <c r="Z229" s="45" t="s">
        <v>86</v>
      </c>
      <c r="AA229" s="45" t="s">
        <v>3</v>
      </c>
    </row>
    <row r="230" spans="1:55" x14ac:dyDescent="0.25">
      <c r="A230" s="15" t="s">
        <v>51</v>
      </c>
      <c r="B230" s="2"/>
      <c r="C230" s="2"/>
      <c r="F230" s="1">
        <f t="shared" ref="F230:M230" si="79">F232+F233+F234</f>
        <v>0</v>
      </c>
      <c r="G230" s="1">
        <f t="shared" si="79"/>
        <v>0</v>
      </c>
      <c r="H230" s="1">
        <f t="shared" si="79"/>
        <v>0</v>
      </c>
      <c r="I230" s="1">
        <f t="shared" si="79"/>
        <v>0</v>
      </c>
      <c r="J230" s="1">
        <f t="shared" si="79"/>
        <v>0</v>
      </c>
      <c r="K230" s="1">
        <f t="shared" si="79"/>
        <v>0</v>
      </c>
      <c r="L230" s="52">
        <f t="shared" si="79"/>
        <v>0</v>
      </c>
      <c r="M230" s="1">
        <f t="shared" si="79"/>
        <v>0</v>
      </c>
      <c r="N230" s="1">
        <f t="shared" ref="N230:X230" si="80">N232+N233+N234</f>
        <v>0</v>
      </c>
      <c r="O230" s="1">
        <f t="shared" si="80"/>
        <v>0</v>
      </c>
      <c r="P230" s="1">
        <f t="shared" si="80"/>
        <v>0</v>
      </c>
      <c r="Q230" s="1">
        <f t="shared" si="80"/>
        <v>0</v>
      </c>
      <c r="R230" s="1">
        <f t="shared" si="80"/>
        <v>0</v>
      </c>
      <c r="S230" s="1">
        <f t="shared" si="80"/>
        <v>0</v>
      </c>
      <c r="T230" s="1">
        <f t="shared" si="80"/>
        <v>0</v>
      </c>
      <c r="U230" s="1">
        <f t="shared" si="80"/>
        <v>0</v>
      </c>
      <c r="V230" s="1">
        <f t="shared" si="80"/>
        <v>0</v>
      </c>
      <c r="W230" s="1">
        <f t="shared" si="80"/>
        <v>0</v>
      </c>
      <c r="X230" s="1">
        <f t="shared" si="80"/>
        <v>0</v>
      </c>
      <c r="Y230" s="58">
        <f t="shared" ref="Y230:Y238" si="81">SUM(F230:K230)</f>
        <v>0</v>
      </c>
      <c r="Z230" s="1">
        <f t="shared" ref="Z230:Z238" si="82">SUM(M230:X230)</f>
        <v>0</v>
      </c>
      <c r="AA230" s="1">
        <f t="shared" ref="AA230:AA238" si="83">L230+Y230+Z230</f>
        <v>0</v>
      </c>
    </row>
    <row r="231" spans="1:55" x14ac:dyDescent="0.25">
      <c r="A231" s="30" t="s">
        <v>60</v>
      </c>
      <c r="B231" s="2"/>
      <c r="C231" s="2"/>
      <c r="F231" s="1">
        <f>F235+F236+F237+F238</f>
        <v>57.991452991452988</v>
      </c>
      <c r="G231" s="1">
        <f t="shared" ref="G231:X231" si="84">G235+G236+G237+G238</f>
        <v>25.333333333333332</v>
      </c>
      <c r="H231" s="1">
        <f t="shared" si="84"/>
        <v>50</v>
      </c>
      <c r="I231" s="1">
        <f t="shared" si="84"/>
        <v>17.294117647058822</v>
      </c>
      <c r="J231" s="1">
        <f t="shared" si="84"/>
        <v>130.38691623601943</v>
      </c>
      <c r="K231" s="1">
        <f t="shared" si="84"/>
        <v>43.323996265172731</v>
      </c>
      <c r="L231" s="52">
        <f t="shared" si="84"/>
        <v>5722.2222222222226</v>
      </c>
      <c r="M231" s="1">
        <f t="shared" si="84"/>
        <v>270.41666666666669</v>
      </c>
      <c r="N231" s="1">
        <f t="shared" si="84"/>
        <v>25.990384615384617</v>
      </c>
      <c r="O231" s="1">
        <f t="shared" si="84"/>
        <v>4.4266666666666667</v>
      </c>
      <c r="P231" s="1">
        <f t="shared" si="84"/>
        <v>23.516666666666666</v>
      </c>
      <c r="Q231" s="1">
        <f t="shared" si="84"/>
        <v>667.1111111111112</v>
      </c>
      <c r="R231" s="1">
        <f t="shared" si="84"/>
        <v>374.37641723356012</v>
      </c>
      <c r="S231" s="1">
        <f t="shared" si="84"/>
        <v>5.4444444444444446</v>
      </c>
      <c r="T231" s="1">
        <f t="shared" si="84"/>
        <v>456.69841269841271</v>
      </c>
      <c r="U231" s="1">
        <f t="shared" si="84"/>
        <v>259.80952380952385</v>
      </c>
      <c r="V231" s="1">
        <f t="shared" si="84"/>
        <v>121.54761904761905</v>
      </c>
      <c r="W231" s="1">
        <f t="shared" si="84"/>
        <v>165.72751322751324</v>
      </c>
      <c r="X231" s="54">
        <f t="shared" si="84"/>
        <v>219.72222222222223</v>
      </c>
      <c r="Y231" s="58">
        <f t="shared" si="81"/>
        <v>324.32981647303728</v>
      </c>
      <c r="Z231" s="1">
        <f t="shared" si="82"/>
        <v>2594.7876484097915</v>
      </c>
      <c r="AA231" s="1">
        <f t="shared" si="83"/>
        <v>8641.3396871050518</v>
      </c>
    </row>
    <row r="232" spans="1:55" x14ac:dyDescent="0.25">
      <c r="A232" s="15" t="s">
        <v>51</v>
      </c>
      <c r="B232" s="16" t="s">
        <v>52</v>
      </c>
      <c r="C232" s="2"/>
      <c r="F232" s="1">
        <f>F239+F240+F241</f>
        <v>0</v>
      </c>
      <c r="G232" s="1">
        <f t="shared" ref="G232:X232" si="85">G239+G240+G241</f>
        <v>0</v>
      </c>
      <c r="H232" s="1">
        <f t="shared" si="85"/>
        <v>0</v>
      </c>
      <c r="I232" s="1">
        <f t="shared" si="85"/>
        <v>0</v>
      </c>
      <c r="J232" s="1">
        <f t="shared" si="85"/>
        <v>0</v>
      </c>
      <c r="K232" s="1">
        <f t="shared" si="85"/>
        <v>0</v>
      </c>
      <c r="L232" s="52">
        <f t="shared" si="85"/>
        <v>0</v>
      </c>
      <c r="M232" s="1">
        <f t="shared" si="85"/>
        <v>0</v>
      </c>
      <c r="N232" s="1">
        <f t="shared" si="85"/>
        <v>0</v>
      </c>
      <c r="O232" s="1">
        <f t="shared" si="85"/>
        <v>0</v>
      </c>
      <c r="P232" s="1">
        <f t="shared" si="85"/>
        <v>0</v>
      </c>
      <c r="Q232" s="1">
        <f t="shared" si="85"/>
        <v>0</v>
      </c>
      <c r="R232" s="1">
        <f t="shared" si="85"/>
        <v>0</v>
      </c>
      <c r="S232" s="1">
        <f t="shared" si="85"/>
        <v>0</v>
      </c>
      <c r="T232" s="1">
        <f t="shared" si="85"/>
        <v>0</v>
      </c>
      <c r="U232" s="1">
        <f t="shared" si="85"/>
        <v>0</v>
      </c>
      <c r="V232" s="1">
        <f t="shared" si="85"/>
        <v>0</v>
      </c>
      <c r="W232" s="1">
        <f t="shared" si="85"/>
        <v>0</v>
      </c>
      <c r="X232" s="54">
        <f t="shared" si="85"/>
        <v>0</v>
      </c>
      <c r="Y232" s="58">
        <f t="shared" si="81"/>
        <v>0</v>
      </c>
      <c r="Z232" s="1">
        <f t="shared" si="82"/>
        <v>0</v>
      </c>
      <c r="AA232" s="1">
        <f t="shared" si="83"/>
        <v>0</v>
      </c>
    </row>
    <row r="233" spans="1:55" x14ac:dyDescent="0.25">
      <c r="A233" s="15" t="s">
        <v>51</v>
      </c>
      <c r="B233" s="16" t="s">
        <v>56</v>
      </c>
      <c r="C233" s="2"/>
      <c r="F233" s="1">
        <f>F242+F243+F244</f>
        <v>0</v>
      </c>
      <c r="G233" s="1">
        <f t="shared" ref="G233:X233" si="86">G242+G243+G244</f>
        <v>0</v>
      </c>
      <c r="H233" s="1">
        <f t="shared" si="86"/>
        <v>0</v>
      </c>
      <c r="I233" s="1">
        <f t="shared" si="86"/>
        <v>0</v>
      </c>
      <c r="J233" s="1">
        <f t="shared" si="86"/>
        <v>0</v>
      </c>
      <c r="K233" s="1">
        <f t="shared" si="86"/>
        <v>0</v>
      </c>
      <c r="L233" s="52">
        <f t="shared" si="86"/>
        <v>0</v>
      </c>
      <c r="M233" s="1">
        <f t="shared" si="86"/>
        <v>0</v>
      </c>
      <c r="N233" s="1">
        <f t="shared" si="86"/>
        <v>0</v>
      </c>
      <c r="O233" s="1">
        <f t="shared" si="86"/>
        <v>0</v>
      </c>
      <c r="P233" s="1">
        <f t="shared" si="86"/>
        <v>0</v>
      </c>
      <c r="Q233" s="1">
        <f t="shared" si="86"/>
        <v>0</v>
      </c>
      <c r="R233" s="1">
        <f t="shared" si="86"/>
        <v>0</v>
      </c>
      <c r="S233" s="1">
        <f t="shared" si="86"/>
        <v>0</v>
      </c>
      <c r="T233" s="1">
        <f t="shared" si="86"/>
        <v>0</v>
      </c>
      <c r="U233" s="1">
        <f t="shared" si="86"/>
        <v>0</v>
      </c>
      <c r="V233" s="1">
        <f t="shared" si="86"/>
        <v>0</v>
      </c>
      <c r="W233" s="1">
        <f t="shared" si="86"/>
        <v>0</v>
      </c>
      <c r="X233" s="54">
        <f t="shared" si="86"/>
        <v>0</v>
      </c>
      <c r="Y233" s="58">
        <f t="shared" si="81"/>
        <v>0</v>
      </c>
      <c r="Z233" s="1">
        <f t="shared" si="82"/>
        <v>0</v>
      </c>
      <c r="AA233" s="1">
        <f t="shared" si="83"/>
        <v>0</v>
      </c>
    </row>
    <row r="234" spans="1:55" x14ac:dyDescent="0.25">
      <c r="A234" s="15" t="s">
        <v>51</v>
      </c>
      <c r="B234" s="16" t="s">
        <v>9</v>
      </c>
      <c r="C234" s="2"/>
      <c r="F234" s="1">
        <f>F245</f>
        <v>0</v>
      </c>
      <c r="G234" s="1">
        <f t="shared" ref="G234:X234" si="87">G245</f>
        <v>0</v>
      </c>
      <c r="H234" s="1">
        <f t="shared" si="87"/>
        <v>0</v>
      </c>
      <c r="I234" s="1">
        <f t="shared" si="87"/>
        <v>0</v>
      </c>
      <c r="J234" s="1">
        <f t="shared" si="87"/>
        <v>0</v>
      </c>
      <c r="K234" s="1">
        <f t="shared" si="87"/>
        <v>0</v>
      </c>
      <c r="L234" s="52">
        <f t="shared" si="87"/>
        <v>0</v>
      </c>
      <c r="M234" s="1">
        <f t="shared" si="87"/>
        <v>0</v>
      </c>
      <c r="N234" s="1">
        <f t="shared" si="87"/>
        <v>0</v>
      </c>
      <c r="O234" s="1">
        <f t="shared" si="87"/>
        <v>0</v>
      </c>
      <c r="P234" s="1">
        <f t="shared" si="87"/>
        <v>0</v>
      </c>
      <c r="Q234" s="1">
        <f t="shared" si="87"/>
        <v>0</v>
      </c>
      <c r="R234" s="1">
        <f t="shared" si="87"/>
        <v>0</v>
      </c>
      <c r="S234" s="1">
        <f t="shared" si="87"/>
        <v>0</v>
      </c>
      <c r="T234" s="1">
        <f t="shared" si="87"/>
        <v>0</v>
      </c>
      <c r="U234" s="1">
        <f t="shared" si="87"/>
        <v>0</v>
      </c>
      <c r="V234" s="1">
        <f t="shared" si="87"/>
        <v>0</v>
      </c>
      <c r="W234" s="1">
        <f t="shared" si="87"/>
        <v>0</v>
      </c>
      <c r="X234" s="54">
        <f t="shared" si="87"/>
        <v>0</v>
      </c>
      <c r="Y234" s="58">
        <f t="shared" si="81"/>
        <v>0</v>
      </c>
      <c r="Z234" s="1">
        <f t="shared" si="82"/>
        <v>0</v>
      </c>
      <c r="AA234" s="1">
        <f t="shared" si="83"/>
        <v>0</v>
      </c>
    </row>
    <row r="235" spans="1:55" x14ac:dyDescent="0.25">
      <c r="A235" s="30" t="s">
        <v>60</v>
      </c>
      <c r="B235" s="32" t="s">
        <v>13</v>
      </c>
      <c r="C235" s="2"/>
      <c r="F235" s="51">
        <f>F246+F247+F248</f>
        <v>57.222222222222221</v>
      </c>
      <c r="G235" s="51">
        <f t="shared" ref="G235:X235" si="88">G246+G247+G248</f>
        <v>25.333333333333332</v>
      </c>
      <c r="H235" s="51">
        <f t="shared" si="88"/>
        <v>50</v>
      </c>
      <c r="I235" s="51">
        <f t="shared" si="88"/>
        <v>17.294117647058822</v>
      </c>
      <c r="J235" s="51">
        <f t="shared" si="88"/>
        <v>10.352941176470589</v>
      </c>
      <c r="K235" s="51">
        <f t="shared" si="88"/>
        <v>4.117647058823529</v>
      </c>
      <c r="L235" s="52">
        <f t="shared" si="88"/>
        <v>0</v>
      </c>
      <c r="M235" s="51">
        <f t="shared" si="88"/>
        <v>10</v>
      </c>
      <c r="N235" s="51">
        <f t="shared" si="88"/>
        <v>1.375</v>
      </c>
      <c r="O235" s="51">
        <f t="shared" si="88"/>
        <v>4.4266666666666667</v>
      </c>
      <c r="P235" s="51">
        <f t="shared" si="88"/>
        <v>23.516666666666666</v>
      </c>
      <c r="Q235" s="51">
        <f t="shared" si="88"/>
        <v>0.44444444444444442</v>
      </c>
      <c r="R235" s="51">
        <f t="shared" si="88"/>
        <v>1.3605442176870748</v>
      </c>
      <c r="S235" s="51">
        <f t="shared" si="88"/>
        <v>0</v>
      </c>
      <c r="T235" s="51">
        <f t="shared" si="88"/>
        <v>0.88888888888888884</v>
      </c>
      <c r="U235" s="51">
        <f t="shared" si="88"/>
        <v>2.6666666666666665</v>
      </c>
      <c r="V235" s="51">
        <f t="shared" si="88"/>
        <v>0.27777777777777779</v>
      </c>
      <c r="W235" s="51">
        <f t="shared" si="88"/>
        <v>6.2037037037037042</v>
      </c>
      <c r="X235" s="55">
        <f t="shared" si="88"/>
        <v>2.2222222222222223</v>
      </c>
      <c r="Y235" s="59">
        <f t="shared" si="81"/>
        <v>164.32026143790847</v>
      </c>
      <c r="Z235" s="51">
        <f t="shared" si="82"/>
        <v>53.382581254724101</v>
      </c>
      <c r="AA235" s="51">
        <f t="shared" si="83"/>
        <v>217.70284269263257</v>
      </c>
    </row>
    <row r="236" spans="1:55" x14ac:dyDescent="0.25">
      <c r="A236" s="30" t="s">
        <v>60</v>
      </c>
      <c r="B236" s="31" t="s">
        <v>23</v>
      </c>
      <c r="C236" s="2"/>
      <c r="F236" s="51">
        <f>F249+F250+F251</f>
        <v>0.76923076923076927</v>
      </c>
      <c r="G236" s="51">
        <f t="shared" ref="G236:X236" si="89">G249+G250+G251</f>
        <v>0</v>
      </c>
      <c r="H236" s="51">
        <f t="shared" si="89"/>
        <v>0</v>
      </c>
      <c r="I236" s="51">
        <f t="shared" si="89"/>
        <v>0</v>
      </c>
      <c r="J236" s="51">
        <f t="shared" si="89"/>
        <v>36.700641726215501</v>
      </c>
      <c r="K236" s="51">
        <f t="shared" si="89"/>
        <v>39.206349206349202</v>
      </c>
      <c r="L236" s="52">
        <f t="shared" si="89"/>
        <v>0</v>
      </c>
      <c r="M236" s="51">
        <f t="shared" si="89"/>
        <v>0</v>
      </c>
      <c r="N236" s="51">
        <f t="shared" si="89"/>
        <v>24.615384615384617</v>
      </c>
      <c r="O236" s="51">
        <f t="shared" si="89"/>
        <v>0</v>
      </c>
      <c r="P236" s="51">
        <f t="shared" si="89"/>
        <v>0</v>
      </c>
      <c r="Q236" s="51">
        <f t="shared" si="89"/>
        <v>0</v>
      </c>
      <c r="R236" s="51">
        <f t="shared" si="89"/>
        <v>0</v>
      </c>
      <c r="S236" s="51">
        <f t="shared" si="89"/>
        <v>5.4444444444444446</v>
      </c>
      <c r="T236" s="51">
        <f t="shared" si="89"/>
        <v>17.714285714285715</v>
      </c>
      <c r="U236" s="51">
        <f t="shared" si="89"/>
        <v>0</v>
      </c>
      <c r="V236" s="51">
        <f t="shared" si="89"/>
        <v>2.2222222222222223</v>
      </c>
      <c r="W236" s="51">
        <f t="shared" si="89"/>
        <v>0</v>
      </c>
      <c r="X236" s="55">
        <f t="shared" si="89"/>
        <v>2.2222222222222223</v>
      </c>
      <c r="Y236" s="59">
        <f t="shared" si="81"/>
        <v>76.67622170179547</v>
      </c>
      <c r="Z236" s="51">
        <f t="shared" si="82"/>
        <v>52.218559218559221</v>
      </c>
      <c r="AA236" s="51">
        <f t="shared" si="83"/>
        <v>128.89478092035469</v>
      </c>
    </row>
    <row r="237" spans="1:55" x14ac:dyDescent="0.25">
      <c r="A237" s="30" t="s">
        <v>60</v>
      </c>
      <c r="B237" s="31" t="s">
        <v>65</v>
      </c>
      <c r="C237" s="46"/>
      <c r="F237" s="51">
        <f>F252+F253+F254</f>
        <v>0</v>
      </c>
      <c r="G237" s="51">
        <f t="shared" ref="G237:X237" si="90">G252+G253+G254</f>
        <v>0</v>
      </c>
      <c r="H237" s="51">
        <f t="shared" si="90"/>
        <v>0</v>
      </c>
      <c r="I237" s="51">
        <f t="shared" si="90"/>
        <v>0</v>
      </c>
      <c r="J237" s="51">
        <f t="shared" si="90"/>
        <v>83.333333333333343</v>
      </c>
      <c r="K237" s="51">
        <f t="shared" si="90"/>
        <v>0</v>
      </c>
      <c r="L237" s="52">
        <f t="shared" si="90"/>
        <v>5722.2222222222226</v>
      </c>
      <c r="M237" s="51">
        <f t="shared" si="90"/>
        <v>260.41666666666669</v>
      </c>
      <c r="N237" s="51">
        <f t="shared" si="90"/>
        <v>0</v>
      </c>
      <c r="O237" s="51">
        <f t="shared" si="90"/>
        <v>0</v>
      </c>
      <c r="P237" s="51">
        <f t="shared" si="90"/>
        <v>0</v>
      </c>
      <c r="Q237" s="51">
        <f t="shared" si="90"/>
        <v>666.66666666666674</v>
      </c>
      <c r="R237" s="51">
        <f t="shared" si="90"/>
        <v>373.01587301587307</v>
      </c>
      <c r="S237" s="51">
        <f t="shared" si="90"/>
        <v>0</v>
      </c>
      <c r="T237" s="51">
        <f t="shared" si="90"/>
        <v>438.09523809523813</v>
      </c>
      <c r="U237" s="51">
        <f t="shared" si="90"/>
        <v>257.14285714285717</v>
      </c>
      <c r="V237" s="51">
        <f t="shared" si="90"/>
        <v>119.04761904761905</v>
      </c>
      <c r="W237" s="51">
        <f t="shared" si="90"/>
        <v>159.52380952380955</v>
      </c>
      <c r="X237" s="55">
        <f t="shared" si="90"/>
        <v>190.47619047619048</v>
      </c>
      <c r="Y237" s="59">
        <f t="shared" si="81"/>
        <v>83.333333333333343</v>
      </c>
      <c r="Z237" s="51">
        <f t="shared" si="82"/>
        <v>2464.3849206349209</v>
      </c>
      <c r="AA237" s="51">
        <f t="shared" si="83"/>
        <v>8269.9404761904771</v>
      </c>
    </row>
    <row r="238" spans="1:55" ht="15.75" thickBot="1" x14ac:dyDescent="0.3">
      <c r="A238" s="48" t="s">
        <v>60</v>
      </c>
      <c r="B238" s="49" t="s">
        <v>9</v>
      </c>
      <c r="C238" s="50"/>
      <c r="D238" s="50"/>
      <c r="E238" s="50"/>
      <c r="F238" s="53">
        <f>F255</f>
        <v>0</v>
      </c>
      <c r="G238" s="53">
        <f t="shared" ref="G238:X238" si="91">G255</f>
        <v>0</v>
      </c>
      <c r="H238" s="53">
        <f t="shared" si="91"/>
        <v>0</v>
      </c>
      <c r="I238" s="53">
        <f t="shared" si="91"/>
        <v>0</v>
      </c>
      <c r="J238" s="53">
        <f t="shared" si="91"/>
        <v>0</v>
      </c>
      <c r="K238" s="53">
        <f t="shared" si="91"/>
        <v>0</v>
      </c>
      <c r="L238" s="62">
        <f t="shared" si="91"/>
        <v>0</v>
      </c>
      <c r="M238" s="53">
        <f t="shared" si="91"/>
        <v>0</v>
      </c>
      <c r="N238" s="53">
        <f t="shared" si="91"/>
        <v>0</v>
      </c>
      <c r="O238" s="53">
        <f t="shared" si="91"/>
        <v>0</v>
      </c>
      <c r="P238" s="53">
        <f t="shared" si="91"/>
        <v>0</v>
      </c>
      <c r="Q238" s="53">
        <f t="shared" si="91"/>
        <v>0</v>
      </c>
      <c r="R238" s="53">
        <f t="shared" si="91"/>
        <v>0</v>
      </c>
      <c r="S238" s="53">
        <f t="shared" si="91"/>
        <v>0</v>
      </c>
      <c r="T238" s="53">
        <f t="shared" si="91"/>
        <v>0</v>
      </c>
      <c r="U238" s="53">
        <f t="shared" si="91"/>
        <v>0</v>
      </c>
      <c r="V238" s="53">
        <f t="shared" si="91"/>
        <v>0</v>
      </c>
      <c r="W238" s="53">
        <f t="shared" si="91"/>
        <v>0</v>
      </c>
      <c r="X238" s="56">
        <f t="shared" si="91"/>
        <v>24.801587301587301</v>
      </c>
      <c r="Y238" s="60">
        <f t="shared" si="81"/>
        <v>0</v>
      </c>
      <c r="Z238" s="53">
        <f t="shared" si="82"/>
        <v>24.801587301587301</v>
      </c>
      <c r="AA238" s="53">
        <f t="shared" si="83"/>
        <v>24.801587301587301</v>
      </c>
    </row>
    <row r="239" spans="1:55" ht="15.75" thickTop="1" x14ac:dyDescent="0.25">
      <c r="A239" s="15" t="s">
        <v>51</v>
      </c>
      <c r="B239" s="16" t="s">
        <v>52</v>
      </c>
      <c r="C239" s="16" t="s">
        <v>53</v>
      </c>
      <c r="D239" s="2"/>
      <c r="E239" s="2"/>
      <c r="F239" s="47">
        <f t="shared" ref="F239:AA250" si="92">IF(F284&gt;0,F14/F284,0)</f>
        <v>0</v>
      </c>
      <c r="G239" s="47">
        <f t="shared" si="92"/>
        <v>0</v>
      </c>
      <c r="H239" s="47">
        <f t="shared" si="92"/>
        <v>0</v>
      </c>
      <c r="I239" s="47">
        <f t="shared" si="92"/>
        <v>0</v>
      </c>
      <c r="J239" s="47">
        <f t="shared" si="92"/>
        <v>0</v>
      </c>
      <c r="K239" s="47">
        <f t="shared" si="92"/>
        <v>0</v>
      </c>
      <c r="L239" s="63">
        <f t="shared" si="92"/>
        <v>0</v>
      </c>
      <c r="M239" s="47">
        <f t="shared" si="92"/>
        <v>0</v>
      </c>
      <c r="N239" s="47">
        <f t="shared" si="92"/>
        <v>0</v>
      </c>
      <c r="O239" s="47">
        <f t="shared" si="92"/>
        <v>0</v>
      </c>
      <c r="P239" s="47">
        <f t="shared" si="92"/>
        <v>0</v>
      </c>
      <c r="Q239" s="47">
        <f t="shared" si="92"/>
        <v>0</v>
      </c>
      <c r="R239" s="47">
        <f t="shared" si="92"/>
        <v>0</v>
      </c>
      <c r="S239" s="47">
        <f t="shared" si="92"/>
        <v>0</v>
      </c>
      <c r="T239" s="47">
        <f t="shared" si="92"/>
        <v>0</v>
      </c>
      <c r="U239" s="47">
        <f t="shared" si="92"/>
        <v>0</v>
      </c>
      <c r="V239" s="47">
        <f t="shared" si="92"/>
        <v>0</v>
      </c>
      <c r="W239" s="47">
        <f t="shared" si="92"/>
        <v>0</v>
      </c>
      <c r="X239" s="57">
        <f t="shared" si="92"/>
        <v>0</v>
      </c>
      <c r="Y239" s="61">
        <f t="shared" si="92"/>
        <v>0</v>
      </c>
      <c r="Z239" s="47">
        <f t="shared" si="92"/>
        <v>0</v>
      </c>
      <c r="AA239" s="47">
        <f t="shared" si="92"/>
        <v>0</v>
      </c>
    </row>
    <row r="240" spans="1:55" x14ac:dyDescent="0.25">
      <c r="A240" s="15" t="s">
        <v>51</v>
      </c>
      <c r="B240" s="16" t="s">
        <v>52</v>
      </c>
      <c r="C240" s="16" t="s">
        <v>54</v>
      </c>
      <c r="D240" s="2"/>
      <c r="E240" s="2"/>
      <c r="F240" s="1">
        <f t="shared" si="92"/>
        <v>0</v>
      </c>
      <c r="G240" s="1">
        <f t="shared" si="92"/>
        <v>0</v>
      </c>
      <c r="H240" s="1">
        <f t="shared" si="92"/>
        <v>0</v>
      </c>
      <c r="I240" s="1">
        <f t="shared" si="92"/>
        <v>0</v>
      </c>
      <c r="J240" s="1">
        <f t="shared" si="92"/>
        <v>0</v>
      </c>
      <c r="K240" s="1">
        <f t="shared" si="92"/>
        <v>0</v>
      </c>
      <c r="L240" s="52">
        <f t="shared" si="92"/>
        <v>0</v>
      </c>
      <c r="M240" s="1">
        <f t="shared" si="92"/>
        <v>0</v>
      </c>
      <c r="N240" s="1">
        <f t="shared" si="92"/>
        <v>0</v>
      </c>
      <c r="O240" s="1">
        <f t="shared" si="92"/>
        <v>0</v>
      </c>
      <c r="P240" s="1">
        <f t="shared" si="92"/>
        <v>0</v>
      </c>
      <c r="Q240" s="1">
        <f t="shared" si="92"/>
        <v>0</v>
      </c>
      <c r="R240" s="1">
        <f t="shared" si="92"/>
        <v>0</v>
      </c>
      <c r="S240" s="1">
        <f t="shared" si="92"/>
        <v>0</v>
      </c>
      <c r="T240" s="1">
        <f t="shared" si="92"/>
        <v>0</v>
      </c>
      <c r="U240" s="1">
        <f t="shared" si="92"/>
        <v>0</v>
      </c>
      <c r="V240" s="1">
        <f t="shared" si="92"/>
        <v>0</v>
      </c>
      <c r="W240" s="1">
        <f t="shared" si="92"/>
        <v>0</v>
      </c>
      <c r="X240" s="54">
        <f t="shared" si="92"/>
        <v>0</v>
      </c>
      <c r="Y240" s="58">
        <f t="shared" si="92"/>
        <v>0</v>
      </c>
      <c r="Z240" s="1">
        <f t="shared" si="92"/>
        <v>0</v>
      </c>
      <c r="AA240" s="1">
        <f t="shared" si="92"/>
        <v>0</v>
      </c>
    </row>
    <row r="241" spans="1:27" x14ac:dyDescent="0.25">
      <c r="A241" s="15" t="s">
        <v>51</v>
      </c>
      <c r="B241" s="16" t="s">
        <v>52</v>
      </c>
      <c r="C241" s="16" t="s">
        <v>55</v>
      </c>
      <c r="D241" s="2"/>
      <c r="E241" s="2"/>
      <c r="F241" s="1">
        <f t="shared" si="92"/>
        <v>0</v>
      </c>
      <c r="G241" s="1">
        <f t="shared" si="92"/>
        <v>0</v>
      </c>
      <c r="H241" s="1">
        <f t="shared" si="92"/>
        <v>0</v>
      </c>
      <c r="I241" s="1">
        <f t="shared" si="92"/>
        <v>0</v>
      </c>
      <c r="J241" s="1">
        <f t="shared" si="92"/>
        <v>0</v>
      </c>
      <c r="K241" s="1">
        <f t="shared" si="92"/>
        <v>0</v>
      </c>
      <c r="L241" s="52">
        <f t="shared" si="92"/>
        <v>0</v>
      </c>
      <c r="M241" s="1">
        <f t="shared" si="92"/>
        <v>0</v>
      </c>
      <c r="N241" s="1">
        <f t="shared" si="92"/>
        <v>0</v>
      </c>
      <c r="O241" s="1">
        <f t="shared" si="92"/>
        <v>0</v>
      </c>
      <c r="P241" s="1">
        <f t="shared" si="92"/>
        <v>0</v>
      </c>
      <c r="Q241" s="1">
        <f t="shared" si="92"/>
        <v>0</v>
      </c>
      <c r="R241" s="1">
        <f t="shared" si="92"/>
        <v>0</v>
      </c>
      <c r="S241" s="1">
        <f t="shared" si="92"/>
        <v>0</v>
      </c>
      <c r="T241" s="1">
        <f t="shared" si="92"/>
        <v>0</v>
      </c>
      <c r="U241" s="1">
        <f t="shared" si="92"/>
        <v>0</v>
      </c>
      <c r="V241" s="1">
        <f t="shared" si="92"/>
        <v>0</v>
      </c>
      <c r="W241" s="1">
        <f t="shared" si="92"/>
        <v>0</v>
      </c>
      <c r="X241" s="54">
        <f t="shared" si="92"/>
        <v>0</v>
      </c>
      <c r="Y241" s="58">
        <f t="shared" si="92"/>
        <v>0</v>
      </c>
      <c r="Z241" s="1">
        <f t="shared" si="92"/>
        <v>0</v>
      </c>
      <c r="AA241" s="1">
        <f t="shared" si="92"/>
        <v>0</v>
      </c>
    </row>
    <row r="242" spans="1:27" x14ac:dyDescent="0.25">
      <c r="A242" s="25" t="s">
        <v>51</v>
      </c>
      <c r="B242" s="26" t="s">
        <v>56</v>
      </c>
      <c r="C242" s="26" t="s">
        <v>57</v>
      </c>
      <c r="D242" s="2"/>
      <c r="E242" s="2"/>
      <c r="F242" s="1">
        <f t="shared" si="92"/>
        <v>0</v>
      </c>
      <c r="G242" s="1">
        <f t="shared" si="92"/>
        <v>0</v>
      </c>
      <c r="H242" s="1">
        <f t="shared" si="92"/>
        <v>0</v>
      </c>
      <c r="I242" s="1">
        <f t="shared" si="92"/>
        <v>0</v>
      </c>
      <c r="J242" s="1">
        <f t="shared" si="92"/>
        <v>0</v>
      </c>
      <c r="K242" s="1">
        <f t="shared" si="92"/>
        <v>0</v>
      </c>
      <c r="L242" s="52">
        <f t="shared" si="92"/>
        <v>0</v>
      </c>
      <c r="M242" s="1">
        <f t="shared" si="92"/>
        <v>0</v>
      </c>
      <c r="N242" s="1">
        <f t="shared" si="92"/>
        <v>0</v>
      </c>
      <c r="O242" s="1">
        <f t="shared" si="92"/>
        <v>0</v>
      </c>
      <c r="P242" s="1">
        <f t="shared" si="92"/>
        <v>0</v>
      </c>
      <c r="Q242" s="1">
        <f t="shared" si="92"/>
        <v>0</v>
      </c>
      <c r="R242" s="1">
        <f t="shared" si="92"/>
        <v>0</v>
      </c>
      <c r="S242" s="1">
        <f t="shared" si="92"/>
        <v>0</v>
      </c>
      <c r="T242" s="1">
        <f t="shared" si="92"/>
        <v>0</v>
      </c>
      <c r="U242" s="1">
        <f t="shared" si="92"/>
        <v>0</v>
      </c>
      <c r="V242" s="1">
        <f t="shared" si="92"/>
        <v>0</v>
      </c>
      <c r="W242" s="1">
        <f t="shared" si="92"/>
        <v>0</v>
      </c>
      <c r="X242" s="54">
        <f t="shared" si="92"/>
        <v>0</v>
      </c>
      <c r="Y242" s="58">
        <f t="shared" si="92"/>
        <v>0</v>
      </c>
      <c r="Z242" s="1">
        <f t="shared" si="92"/>
        <v>0</v>
      </c>
      <c r="AA242" s="1">
        <f t="shared" si="92"/>
        <v>0</v>
      </c>
    </row>
    <row r="243" spans="1:27" x14ac:dyDescent="0.25">
      <c r="A243" s="15" t="s">
        <v>51</v>
      </c>
      <c r="B243" s="16" t="s">
        <v>56</v>
      </c>
      <c r="C243" s="27" t="s">
        <v>58</v>
      </c>
      <c r="D243" s="2"/>
      <c r="E243" s="2"/>
      <c r="F243" s="1">
        <f t="shared" si="92"/>
        <v>0</v>
      </c>
      <c r="G243" s="1">
        <f t="shared" si="92"/>
        <v>0</v>
      </c>
      <c r="H243" s="1">
        <f t="shared" si="92"/>
        <v>0</v>
      </c>
      <c r="I243" s="1">
        <f t="shared" si="92"/>
        <v>0</v>
      </c>
      <c r="J243" s="1">
        <f t="shared" si="92"/>
        <v>0</v>
      </c>
      <c r="K243" s="1">
        <f t="shared" si="92"/>
        <v>0</v>
      </c>
      <c r="L243" s="52">
        <f t="shared" si="92"/>
        <v>0</v>
      </c>
      <c r="M243" s="1">
        <f t="shared" si="92"/>
        <v>0</v>
      </c>
      <c r="N243" s="1">
        <f t="shared" si="92"/>
        <v>0</v>
      </c>
      <c r="O243" s="1">
        <f t="shared" si="92"/>
        <v>0</v>
      </c>
      <c r="P243" s="1">
        <f t="shared" si="92"/>
        <v>0</v>
      </c>
      <c r="Q243" s="1">
        <f t="shared" si="92"/>
        <v>0</v>
      </c>
      <c r="R243" s="1">
        <f t="shared" si="92"/>
        <v>0</v>
      </c>
      <c r="S243" s="1">
        <f t="shared" si="92"/>
        <v>0</v>
      </c>
      <c r="T243" s="1">
        <f t="shared" si="92"/>
        <v>0</v>
      </c>
      <c r="U243" s="1">
        <f t="shared" si="92"/>
        <v>0</v>
      </c>
      <c r="V243" s="1">
        <f t="shared" si="92"/>
        <v>0</v>
      </c>
      <c r="W243" s="1">
        <f t="shared" si="92"/>
        <v>0</v>
      </c>
      <c r="X243" s="54">
        <f t="shared" si="92"/>
        <v>0</v>
      </c>
      <c r="Y243" s="58">
        <f t="shared" si="92"/>
        <v>0</v>
      </c>
      <c r="Z243" s="1">
        <f t="shared" si="92"/>
        <v>0</v>
      </c>
      <c r="AA243" s="1">
        <f t="shared" si="92"/>
        <v>0</v>
      </c>
    </row>
    <row r="244" spans="1:27" x14ac:dyDescent="0.25">
      <c r="A244" s="15" t="s">
        <v>51</v>
      </c>
      <c r="B244" s="16" t="s">
        <v>9</v>
      </c>
      <c r="C244" s="27" t="s">
        <v>59</v>
      </c>
      <c r="D244" s="2"/>
      <c r="E244" s="2"/>
      <c r="F244" s="1">
        <f t="shared" si="92"/>
        <v>0</v>
      </c>
      <c r="G244" s="1">
        <f t="shared" si="92"/>
        <v>0</v>
      </c>
      <c r="H244" s="1">
        <f t="shared" si="92"/>
        <v>0</v>
      </c>
      <c r="I244" s="1">
        <f t="shared" si="92"/>
        <v>0</v>
      </c>
      <c r="J244" s="1">
        <f t="shared" si="92"/>
        <v>0</v>
      </c>
      <c r="K244" s="1">
        <f t="shared" si="92"/>
        <v>0</v>
      </c>
      <c r="L244" s="52">
        <f t="shared" si="92"/>
        <v>0</v>
      </c>
      <c r="M244" s="1">
        <f t="shared" si="92"/>
        <v>0</v>
      </c>
      <c r="N244" s="1">
        <f t="shared" si="92"/>
        <v>0</v>
      </c>
      <c r="O244" s="1">
        <f t="shared" si="92"/>
        <v>0</v>
      </c>
      <c r="P244" s="1">
        <f t="shared" si="92"/>
        <v>0</v>
      </c>
      <c r="Q244" s="1">
        <f t="shared" si="92"/>
        <v>0</v>
      </c>
      <c r="R244" s="1">
        <f t="shared" si="92"/>
        <v>0</v>
      </c>
      <c r="S244" s="1">
        <f t="shared" si="92"/>
        <v>0</v>
      </c>
      <c r="T244" s="1">
        <f t="shared" si="92"/>
        <v>0</v>
      </c>
      <c r="U244" s="1">
        <f t="shared" si="92"/>
        <v>0</v>
      </c>
      <c r="V244" s="1">
        <f t="shared" si="92"/>
        <v>0</v>
      </c>
      <c r="W244" s="1">
        <f t="shared" si="92"/>
        <v>0</v>
      </c>
      <c r="X244" s="54">
        <f t="shared" si="92"/>
        <v>0</v>
      </c>
      <c r="Y244" s="58">
        <f t="shared" si="92"/>
        <v>0</v>
      </c>
      <c r="Z244" s="1">
        <f t="shared" si="92"/>
        <v>0</v>
      </c>
      <c r="AA244" s="1">
        <f t="shared" si="92"/>
        <v>0</v>
      </c>
    </row>
    <row r="245" spans="1:27" x14ac:dyDescent="0.25">
      <c r="A245" s="15" t="s">
        <v>51</v>
      </c>
      <c r="B245" s="16" t="s">
        <v>9</v>
      </c>
      <c r="C245" s="27" t="s">
        <v>9</v>
      </c>
      <c r="D245" s="2"/>
      <c r="E245" s="2"/>
      <c r="F245" s="1">
        <f t="shared" si="92"/>
        <v>0</v>
      </c>
      <c r="G245" s="1">
        <f t="shared" si="92"/>
        <v>0</v>
      </c>
      <c r="H245" s="1">
        <f t="shared" si="92"/>
        <v>0</v>
      </c>
      <c r="I245" s="1">
        <f t="shared" si="92"/>
        <v>0</v>
      </c>
      <c r="J245" s="1">
        <f t="shared" si="92"/>
        <v>0</v>
      </c>
      <c r="K245" s="1">
        <f t="shared" si="92"/>
        <v>0</v>
      </c>
      <c r="L245" s="52">
        <f t="shared" si="92"/>
        <v>0</v>
      </c>
      <c r="M245" s="1">
        <f t="shared" si="92"/>
        <v>0</v>
      </c>
      <c r="N245" s="1">
        <f t="shared" si="92"/>
        <v>0</v>
      </c>
      <c r="O245" s="1">
        <f t="shared" si="92"/>
        <v>0</v>
      </c>
      <c r="P245" s="1">
        <f t="shared" si="92"/>
        <v>0</v>
      </c>
      <c r="Q245" s="1">
        <f t="shared" si="92"/>
        <v>0</v>
      </c>
      <c r="R245" s="1">
        <f t="shared" si="92"/>
        <v>0</v>
      </c>
      <c r="S245" s="1">
        <f t="shared" si="92"/>
        <v>0</v>
      </c>
      <c r="T245" s="1">
        <f t="shared" si="92"/>
        <v>0</v>
      </c>
      <c r="U245" s="1">
        <f t="shared" si="92"/>
        <v>0</v>
      </c>
      <c r="V245" s="1">
        <f t="shared" si="92"/>
        <v>0</v>
      </c>
      <c r="W245" s="1">
        <f t="shared" si="92"/>
        <v>0</v>
      </c>
      <c r="X245" s="54">
        <f t="shared" si="92"/>
        <v>0</v>
      </c>
      <c r="Y245" s="58">
        <f t="shared" si="92"/>
        <v>0</v>
      </c>
      <c r="Z245" s="1">
        <f t="shared" si="92"/>
        <v>0</v>
      </c>
      <c r="AA245" s="1">
        <f t="shared" si="92"/>
        <v>0</v>
      </c>
    </row>
    <row r="246" spans="1:27" x14ac:dyDescent="0.25">
      <c r="A246" s="28" t="s">
        <v>60</v>
      </c>
      <c r="B246" s="29" t="s">
        <v>13</v>
      </c>
      <c r="C246" s="29" t="s">
        <v>61</v>
      </c>
      <c r="D246" s="2"/>
      <c r="E246" s="2"/>
      <c r="F246" s="86">
        <f t="shared" si="92"/>
        <v>50.355555555555554</v>
      </c>
      <c r="G246" s="86">
        <f t="shared" si="92"/>
        <v>0</v>
      </c>
      <c r="H246" s="86">
        <f t="shared" si="92"/>
        <v>30</v>
      </c>
      <c r="I246" s="86">
        <f t="shared" si="92"/>
        <v>17.294117647058822</v>
      </c>
      <c r="J246" s="86">
        <f t="shared" si="92"/>
        <v>10.352941176470589</v>
      </c>
      <c r="K246" s="51">
        <f t="shared" si="92"/>
        <v>4.117647058823529</v>
      </c>
      <c r="L246" s="52">
        <f t="shared" si="92"/>
        <v>0</v>
      </c>
      <c r="M246" s="85">
        <f t="shared" si="92"/>
        <v>10</v>
      </c>
      <c r="N246" s="85">
        <f t="shared" si="92"/>
        <v>1.375</v>
      </c>
      <c r="O246" s="85">
        <f t="shared" si="92"/>
        <v>4.4266666666666667</v>
      </c>
      <c r="P246" s="85">
        <f t="shared" si="92"/>
        <v>11.758333333333333</v>
      </c>
      <c r="Q246" s="85">
        <f t="shared" si="92"/>
        <v>0.44444444444444442</v>
      </c>
      <c r="R246" s="85">
        <f t="shared" si="92"/>
        <v>1.3605442176870748</v>
      </c>
      <c r="S246" s="85">
        <f t="shared" si="92"/>
        <v>0</v>
      </c>
      <c r="T246" s="85">
        <f t="shared" si="92"/>
        <v>0.88888888888888884</v>
      </c>
      <c r="U246" s="85">
        <f t="shared" si="92"/>
        <v>2.6666666666666665</v>
      </c>
      <c r="V246" s="85">
        <f t="shared" si="92"/>
        <v>0.27777777777777779</v>
      </c>
      <c r="W246" s="85">
        <f t="shared" si="92"/>
        <v>6.2037037037037042</v>
      </c>
      <c r="X246" s="87">
        <f t="shared" si="92"/>
        <v>2.2222222222222223</v>
      </c>
      <c r="Y246" s="59">
        <f t="shared" si="92"/>
        <v>0</v>
      </c>
      <c r="Z246" s="51">
        <f t="shared" si="92"/>
        <v>0</v>
      </c>
      <c r="AA246" s="51">
        <f t="shared" si="92"/>
        <v>0</v>
      </c>
    </row>
    <row r="247" spans="1:27" x14ac:dyDescent="0.25">
      <c r="A247" s="36" t="s">
        <v>60</v>
      </c>
      <c r="B247" s="37" t="s">
        <v>13</v>
      </c>
      <c r="C247" s="29" t="s">
        <v>62</v>
      </c>
      <c r="D247" s="2"/>
      <c r="E247" s="2"/>
      <c r="F247" s="86">
        <f t="shared" si="92"/>
        <v>6.8666666666666663</v>
      </c>
      <c r="G247" s="86">
        <f t="shared" si="92"/>
        <v>25.333333333333332</v>
      </c>
      <c r="H247" s="86">
        <f t="shared" si="92"/>
        <v>20</v>
      </c>
      <c r="I247" s="51">
        <f t="shared" si="92"/>
        <v>0</v>
      </c>
      <c r="J247" s="51">
        <f t="shared" si="92"/>
        <v>0</v>
      </c>
      <c r="K247" s="51">
        <f t="shared" si="92"/>
        <v>0</v>
      </c>
      <c r="L247" s="52">
        <f t="shared" si="92"/>
        <v>0</v>
      </c>
      <c r="M247" s="51">
        <f t="shared" si="92"/>
        <v>0</v>
      </c>
      <c r="N247" s="51">
        <f t="shared" si="92"/>
        <v>0</v>
      </c>
      <c r="O247" s="51">
        <f t="shared" si="92"/>
        <v>0</v>
      </c>
      <c r="P247" s="85">
        <f>IF(P292&gt;0,P22/P292,0)</f>
        <v>11.758333333333333</v>
      </c>
      <c r="Q247" s="51">
        <f t="shared" si="92"/>
        <v>0</v>
      </c>
      <c r="R247" s="51">
        <f t="shared" si="92"/>
        <v>0</v>
      </c>
      <c r="S247" s="51">
        <f t="shared" si="92"/>
        <v>0</v>
      </c>
      <c r="T247" s="51">
        <f t="shared" si="92"/>
        <v>0</v>
      </c>
      <c r="U247" s="51">
        <f t="shared" si="92"/>
        <v>0</v>
      </c>
      <c r="V247" s="51">
        <f t="shared" si="92"/>
        <v>0</v>
      </c>
      <c r="W247" s="51">
        <f t="shared" si="92"/>
        <v>0</v>
      </c>
      <c r="X247" s="55">
        <f t="shared" si="92"/>
        <v>0</v>
      </c>
      <c r="Y247" s="59">
        <f t="shared" si="92"/>
        <v>0</v>
      </c>
      <c r="Z247" s="51">
        <f t="shared" si="92"/>
        <v>0</v>
      </c>
      <c r="AA247" s="51">
        <f t="shared" si="92"/>
        <v>0</v>
      </c>
    </row>
    <row r="248" spans="1:27" x14ac:dyDescent="0.25">
      <c r="A248" s="30" t="s">
        <v>60</v>
      </c>
      <c r="B248" s="31" t="s">
        <v>13</v>
      </c>
      <c r="C248" s="32" t="s">
        <v>63</v>
      </c>
      <c r="D248" s="2"/>
      <c r="E248" s="2"/>
      <c r="F248" s="51">
        <f t="shared" si="92"/>
        <v>0</v>
      </c>
      <c r="G248" s="51">
        <f t="shared" si="92"/>
        <v>0</v>
      </c>
      <c r="H248" s="51">
        <f t="shared" si="92"/>
        <v>0</v>
      </c>
      <c r="I248" s="51">
        <f t="shared" si="92"/>
        <v>0</v>
      </c>
      <c r="J248" s="51">
        <f t="shared" si="92"/>
        <v>0</v>
      </c>
      <c r="K248" s="51">
        <f t="shared" si="92"/>
        <v>0</v>
      </c>
      <c r="L248" s="52">
        <f t="shared" si="92"/>
        <v>0</v>
      </c>
      <c r="M248" s="51">
        <f t="shared" si="92"/>
        <v>0</v>
      </c>
      <c r="N248" s="51">
        <f t="shared" si="92"/>
        <v>0</v>
      </c>
      <c r="O248" s="51">
        <f t="shared" si="92"/>
        <v>0</v>
      </c>
      <c r="P248" s="51">
        <f t="shared" si="92"/>
        <v>0</v>
      </c>
      <c r="Q248" s="51">
        <f t="shared" si="92"/>
        <v>0</v>
      </c>
      <c r="R248" s="51">
        <f t="shared" si="92"/>
        <v>0</v>
      </c>
      <c r="S248" s="51">
        <f t="shared" si="92"/>
        <v>0</v>
      </c>
      <c r="T248" s="51">
        <f t="shared" si="92"/>
        <v>0</v>
      </c>
      <c r="U248" s="51">
        <f t="shared" si="92"/>
        <v>0</v>
      </c>
      <c r="V248" s="51">
        <f t="shared" si="92"/>
        <v>0</v>
      </c>
      <c r="W248" s="51">
        <f t="shared" si="92"/>
        <v>0</v>
      </c>
      <c r="X248" s="55">
        <f t="shared" si="92"/>
        <v>0</v>
      </c>
      <c r="Y248" s="59">
        <f t="shared" si="92"/>
        <v>0</v>
      </c>
      <c r="Z248" s="51">
        <f t="shared" si="92"/>
        <v>0</v>
      </c>
      <c r="AA248" s="51">
        <f t="shared" si="92"/>
        <v>0</v>
      </c>
    </row>
    <row r="249" spans="1:27" x14ac:dyDescent="0.25">
      <c r="A249" s="30" t="s">
        <v>60</v>
      </c>
      <c r="B249" s="32" t="s">
        <v>23</v>
      </c>
      <c r="C249" s="31" t="s">
        <v>50</v>
      </c>
      <c r="D249" s="2"/>
      <c r="E249" s="2"/>
      <c r="F249" s="51">
        <f t="shared" si="92"/>
        <v>0.76923076923076927</v>
      </c>
      <c r="G249" s="51">
        <f t="shared" si="92"/>
        <v>0</v>
      </c>
      <c r="H249" s="51">
        <f t="shared" si="92"/>
        <v>0</v>
      </c>
      <c r="I249" s="51">
        <f t="shared" si="92"/>
        <v>0</v>
      </c>
      <c r="J249" s="86">
        <f t="shared" si="92"/>
        <v>0.27076923076923082</v>
      </c>
      <c r="K249" s="51">
        <f t="shared" si="92"/>
        <v>31.428571428571427</v>
      </c>
      <c r="L249" s="52">
        <f t="shared" si="92"/>
        <v>0</v>
      </c>
      <c r="M249" s="51">
        <f t="shared" si="92"/>
        <v>0</v>
      </c>
      <c r="N249" s="86">
        <f t="shared" si="92"/>
        <v>24.615384615384617</v>
      </c>
      <c r="O249" s="51">
        <f t="shared" si="92"/>
        <v>0</v>
      </c>
      <c r="P249" s="51">
        <f t="shared" si="92"/>
        <v>0</v>
      </c>
      <c r="Q249" s="51">
        <f t="shared" si="92"/>
        <v>0</v>
      </c>
      <c r="R249" s="51">
        <f t="shared" si="92"/>
        <v>0</v>
      </c>
      <c r="S249" s="51">
        <f t="shared" si="92"/>
        <v>0</v>
      </c>
      <c r="T249" s="51">
        <f t="shared" si="92"/>
        <v>0</v>
      </c>
      <c r="U249" s="51">
        <f t="shared" si="92"/>
        <v>0</v>
      </c>
      <c r="V249" s="51">
        <f t="shared" si="92"/>
        <v>0</v>
      </c>
      <c r="W249" s="51">
        <f t="shared" si="92"/>
        <v>0</v>
      </c>
      <c r="X249" s="55">
        <f t="shared" si="92"/>
        <v>0</v>
      </c>
      <c r="Y249" s="59">
        <f t="shared" si="92"/>
        <v>0</v>
      </c>
      <c r="Z249" s="51">
        <f t="shared" si="92"/>
        <v>0</v>
      </c>
      <c r="AA249" s="51">
        <f t="shared" si="92"/>
        <v>0</v>
      </c>
    </row>
    <row r="250" spans="1:27" x14ac:dyDescent="0.25">
      <c r="A250" s="30" t="s">
        <v>60</v>
      </c>
      <c r="B250" s="32" t="s">
        <v>23</v>
      </c>
      <c r="C250" s="31" t="s">
        <v>49</v>
      </c>
      <c r="D250" s="2"/>
      <c r="E250" s="2"/>
      <c r="F250" s="51">
        <f t="shared" si="92"/>
        <v>0</v>
      </c>
      <c r="G250" s="51">
        <f t="shared" si="92"/>
        <v>0</v>
      </c>
      <c r="H250" s="51">
        <f t="shared" si="92"/>
        <v>0</v>
      </c>
      <c r="I250" s="51">
        <f t="shared" si="92"/>
        <v>0</v>
      </c>
      <c r="J250" s="86">
        <f t="shared" si="92"/>
        <v>36.429872495446268</v>
      </c>
      <c r="K250" s="86">
        <f t="shared" si="92"/>
        <v>7.7777777777777777</v>
      </c>
      <c r="L250" s="52">
        <f t="shared" si="92"/>
        <v>0</v>
      </c>
      <c r="M250" s="51">
        <f t="shared" si="92"/>
        <v>0</v>
      </c>
      <c r="N250" s="51">
        <f t="shared" si="92"/>
        <v>0</v>
      </c>
      <c r="O250" s="51">
        <f t="shared" si="92"/>
        <v>0</v>
      </c>
      <c r="P250" s="51">
        <f t="shared" si="92"/>
        <v>0</v>
      </c>
      <c r="Q250" s="51">
        <f t="shared" si="92"/>
        <v>0</v>
      </c>
      <c r="R250" s="51">
        <f t="shared" si="92"/>
        <v>0</v>
      </c>
      <c r="S250" s="51">
        <f t="shared" ref="G250:AA265" si="93">IF(S295&gt;0,S25/S295,0)</f>
        <v>5.4444444444444446</v>
      </c>
      <c r="T250" s="51">
        <f t="shared" si="93"/>
        <v>17.714285714285715</v>
      </c>
      <c r="U250" s="51">
        <f t="shared" si="93"/>
        <v>0</v>
      </c>
      <c r="V250" s="51">
        <f t="shared" si="93"/>
        <v>2.2222222222222223</v>
      </c>
      <c r="W250" s="51">
        <f t="shared" si="93"/>
        <v>0</v>
      </c>
      <c r="X250" s="95">
        <f t="shared" si="93"/>
        <v>2.2222222222222223</v>
      </c>
      <c r="Y250" s="59">
        <f t="shared" si="93"/>
        <v>0</v>
      </c>
      <c r="Z250" s="51">
        <f t="shared" si="93"/>
        <v>0</v>
      </c>
      <c r="AA250" s="51">
        <f t="shared" si="93"/>
        <v>0</v>
      </c>
    </row>
    <row r="251" spans="1:27" x14ac:dyDescent="0.25">
      <c r="A251" s="30" t="s">
        <v>60</v>
      </c>
      <c r="B251" s="32" t="s">
        <v>23</v>
      </c>
      <c r="C251" s="31" t="s">
        <v>64</v>
      </c>
      <c r="D251" s="2"/>
      <c r="E251" s="2"/>
      <c r="F251" s="51">
        <f t="shared" ref="F251:F260" si="94">IF(F296&gt;0,F26/F296,0)</f>
        <v>0</v>
      </c>
      <c r="G251" s="51">
        <f t="shared" si="93"/>
        <v>0</v>
      </c>
      <c r="H251" s="51">
        <f t="shared" si="93"/>
        <v>0</v>
      </c>
      <c r="I251" s="51">
        <f t="shared" si="93"/>
        <v>0</v>
      </c>
      <c r="J251" s="86">
        <f t="shared" si="93"/>
        <v>0</v>
      </c>
      <c r="K251" s="51">
        <f t="shared" si="93"/>
        <v>0</v>
      </c>
      <c r="L251" s="52">
        <f t="shared" si="93"/>
        <v>0</v>
      </c>
      <c r="M251" s="51">
        <f t="shared" si="93"/>
        <v>0</v>
      </c>
      <c r="N251" s="51">
        <f t="shared" si="93"/>
        <v>0</v>
      </c>
      <c r="O251" s="51">
        <f t="shared" si="93"/>
        <v>0</v>
      </c>
      <c r="P251" s="51">
        <f t="shared" si="93"/>
        <v>0</v>
      </c>
      <c r="Q251" s="51">
        <f t="shared" si="93"/>
        <v>0</v>
      </c>
      <c r="R251" s="51">
        <f t="shared" si="93"/>
        <v>0</v>
      </c>
      <c r="S251" s="51">
        <f t="shared" si="93"/>
        <v>0</v>
      </c>
      <c r="T251" s="51">
        <f t="shared" si="93"/>
        <v>0</v>
      </c>
      <c r="U251" s="51">
        <f t="shared" si="93"/>
        <v>0</v>
      </c>
      <c r="V251" s="51">
        <f t="shared" si="93"/>
        <v>0</v>
      </c>
      <c r="W251" s="51">
        <f t="shared" si="93"/>
        <v>0</v>
      </c>
      <c r="X251" s="55">
        <f t="shared" si="93"/>
        <v>0</v>
      </c>
      <c r="Y251" s="59">
        <f t="shared" si="93"/>
        <v>0</v>
      </c>
      <c r="Z251" s="51">
        <f t="shared" si="93"/>
        <v>0</v>
      </c>
      <c r="AA251" s="51">
        <f t="shared" si="93"/>
        <v>0</v>
      </c>
    </row>
    <row r="252" spans="1:27" x14ac:dyDescent="0.25">
      <c r="A252" s="30" t="s">
        <v>60</v>
      </c>
      <c r="B252" s="32" t="s">
        <v>65</v>
      </c>
      <c r="C252" s="31" t="s">
        <v>66</v>
      </c>
      <c r="D252" s="2"/>
      <c r="E252" s="2"/>
      <c r="F252" s="51">
        <f t="shared" si="94"/>
        <v>0</v>
      </c>
      <c r="G252" s="51">
        <f t="shared" si="93"/>
        <v>0</v>
      </c>
      <c r="H252" s="51">
        <f t="shared" si="93"/>
        <v>0</v>
      </c>
      <c r="I252" s="51">
        <f t="shared" si="93"/>
        <v>0</v>
      </c>
      <c r="J252" s="86">
        <f t="shared" si="93"/>
        <v>83.333333333333343</v>
      </c>
      <c r="K252" s="51">
        <f t="shared" si="93"/>
        <v>0</v>
      </c>
      <c r="L252" s="52">
        <f t="shared" si="93"/>
        <v>0</v>
      </c>
      <c r="M252" s="73">
        <f t="shared" si="93"/>
        <v>260.41666666666669</v>
      </c>
      <c r="N252" s="51">
        <f t="shared" si="93"/>
        <v>0</v>
      </c>
      <c r="O252" s="51">
        <f t="shared" si="93"/>
        <v>0</v>
      </c>
      <c r="P252" s="51">
        <f t="shared" si="93"/>
        <v>0</v>
      </c>
      <c r="Q252" s="51">
        <f t="shared" si="93"/>
        <v>0</v>
      </c>
      <c r="R252" s="51">
        <f t="shared" si="93"/>
        <v>0</v>
      </c>
      <c r="S252" s="51">
        <f t="shared" si="93"/>
        <v>0</v>
      </c>
      <c r="T252" s="51">
        <f t="shared" si="93"/>
        <v>0</v>
      </c>
      <c r="U252" s="51">
        <f t="shared" si="93"/>
        <v>0</v>
      </c>
      <c r="V252" s="51">
        <f t="shared" si="93"/>
        <v>0</v>
      </c>
      <c r="W252" s="51">
        <f t="shared" si="93"/>
        <v>0</v>
      </c>
      <c r="X252" s="55">
        <f t="shared" si="93"/>
        <v>0</v>
      </c>
      <c r="Y252" s="59">
        <f t="shared" si="93"/>
        <v>0</v>
      </c>
      <c r="Z252" s="51">
        <f t="shared" si="93"/>
        <v>0</v>
      </c>
      <c r="AA252" s="51">
        <f t="shared" si="93"/>
        <v>0</v>
      </c>
    </row>
    <row r="253" spans="1:27" x14ac:dyDescent="0.25">
      <c r="A253" s="30" t="s">
        <v>60</v>
      </c>
      <c r="B253" s="32" t="s">
        <v>65</v>
      </c>
      <c r="C253" s="31" t="s">
        <v>67</v>
      </c>
      <c r="D253" s="2"/>
      <c r="E253" s="2"/>
      <c r="F253" s="51">
        <f t="shared" si="94"/>
        <v>0</v>
      </c>
      <c r="G253" s="51">
        <f t="shared" si="93"/>
        <v>0</v>
      </c>
      <c r="H253" s="51">
        <f t="shared" si="93"/>
        <v>0</v>
      </c>
      <c r="I253" s="51">
        <f t="shared" si="93"/>
        <v>0</v>
      </c>
      <c r="J253" s="51">
        <f t="shared" si="93"/>
        <v>0</v>
      </c>
      <c r="K253" s="51">
        <f t="shared" si="93"/>
        <v>0</v>
      </c>
      <c r="L253" s="52">
        <f t="shared" si="93"/>
        <v>0</v>
      </c>
      <c r="M253" s="51">
        <f t="shared" si="93"/>
        <v>0</v>
      </c>
      <c r="N253" s="51">
        <f t="shared" si="93"/>
        <v>0</v>
      </c>
      <c r="O253" s="51">
        <f t="shared" si="93"/>
        <v>0</v>
      </c>
      <c r="P253" s="51">
        <f t="shared" si="93"/>
        <v>0</v>
      </c>
      <c r="Q253" s="73">
        <f t="shared" si="93"/>
        <v>666.66666666666674</v>
      </c>
      <c r="R253" s="73">
        <f t="shared" si="93"/>
        <v>373.01587301587307</v>
      </c>
      <c r="S253" s="73">
        <f t="shared" si="93"/>
        <v>0</v>
      </c>
      <c r="T253" s="73">
        <f t="shared" si="93"/>
        <v>438.09523809523813</v>
      </c>
      <c r="U253" s="73">
        <f t="shared" si="93"/>
        <v>257.14285714285717</v>
      </c>
      <c r="V253" s="73">
        <f t="shared" si="93"/>
        <v>119.04761904761905</v>
      </c>
      <c r="W253" s="73">
        <f t="shared" si="93"/>
        <v>159.52380952380955</v>
      </c>
      <c r="X253" s="89">
        <f t="shared" si="93"/>
        <v>190.47619047619048</v>
      </c>
      <c r="Y253" s="59">
        <f t="shared" si="93"/>
        <v>0</v>
      </c>
      <c r="Z253" s="51">
        <f t="shared" si="93"/>
        <v>0</v>
      </c>
      <c r="AA253" s="51">
        <f t="shared" si="93"/>
        <v>0</v>
      </c>
    </row>
    <row r="254" spans="1:27" x14ac:dyDescent="0.25">
      <c r="A254" s="30" t="s">
        <v>60</v>
      </c>
      <c r="B254" s="32" t="s">
        <v>65</v>
      </c>
      <c r="C254" s="31" t="s">
        <v>68</v>
      </c>
      <c r="D254" s="2"/>
      <c r="E254" s="2"/>
      <c r="F254" s="51">
        <f t="shared" si="94"/>
        <v>0</v>
      </c>
      <c r="G254" s="51">
        <f t="shared" si="93"/>
        <v>0</v>
      </c>
      <c r="H254" s="51">
        <f t="shared" si="93"/>
        <v>0</v>
      </c>
      <c r="I254" s="51">
        <f t="shared" si="93"/>
        <v>0</v>
      </c>
      <c r="J254" s="51">
        <f t="shared" si="93"/>
        <v>0</v>
      </c>
      <c r="K254" s="51">
        <f t="shared" si="93"/>
        <v>0</v>
      </c>
      <c r="L254" s="88">
        <f t="shared" si="93"/>
        <v>5722.2222222222226</v>
      </c>
      <c r="M254" s="51">
        <f t="shared" si="93"/>
        <v>0</v>
      </c>
      <c r="N254" s="51">
        <f t="shared" si="93"/>
        <v>0</v>
      </c>
      <c r="O254" s="51">
        <f t="shared" si="93"/>
        <v>0</v>
      </c>
      <c r="P254" s="51">
        <f t="shared" si="93"/>
        <v>0</v>
      </c>
      <c r="Q254" s="51">
        <f t="shared" si="93"/>
        <v>0</v>
      </c>
      <c r="R254" s="51">
        <f t="shared" si="93"/>
        <v>0</v>
      </c>
      <c r="S254" s="51">
        <f t="shared" si="93"/>
        <v>0</v>
      </c>
      <c r="T254" s="51">
        <f t="shared" si="93"/>
        <v>0</v>
      </c>
      <c r="U254" s="51">
        <f t="shared" si="93"/>
        <v>0</v>
      </c>
      <c r="V254" s="51">
        <f t="shared" si="93"/>
        <v>0</v>
      </c>
      <c r="W254" s="51">
        <f t="shared" si="93"/>
        <v>0</v>
      </c>
      <c r="X254" s="55">
        <f t="shared" si="93"/>
        <v>0</v>
      </c>
      <c r="Y254" s="59">
        <f t="shared" si="93"/>
        <v>0</v>
      </c>
      <c r="Z254" s="51">
        <f t="shared" si="93"/>
        <v>0</v>
      </c>
      <c r="AA254" s="51">
        <f t="shared" si="93"/>
        <v>0</v>
      </c>
    </row>
    <row r="255" spans="1:27" x14ac:dyDescent="0.25">
      <c r="A255" s="30" t="s">
        <v>60</v>
      </c>
      <c r="B255" s="32" t="s">
        <v>9</v>
      </c>
      <c r="C255" s="31" t="s">
        <v>69</v>
      </c>
      <c r="D255" s="2"/>
      <c r="E255" s="2"/>
      <c r="F255" s="51">
        <f t="shared" si="94"/>
        <v>0</v>
      </c>
      <c r="G255" s="51">
        <f t="shared" si="93"/>
        <v>0</v>
      </c>
      <c r="H255" s="51">
        <f t="shared" si="93"/>
        <v>0</v>
      </c>
      <c r="I255" s="51">
        <f t="shared" si="93"/>
        <v>0</v>
      </c>
      <c r="J255" s="51">
        <f t="shared" si="93"/>
        <v>0</v>
      </c>
      <c r="K255" s="51">
        <f t="shared" si="93"/>
        <v>0</v>
      </c>
      <c r="L255" s="52">
        <f t="shared" si="93"/>
        <v>0</v>
      </c>
      <c r="M255" s="51">
        <f t="shared" si="93"/>
        <v>0</v>
      </c>
      <c r="N255" s="51">
        <f t="shared" si="93"/>
        <v>0</v>
      </c>
      <c r="O255" s="51">
        <f t="shared" si="93"/>
        <v>0</v>
      </c>
      <c r="P255" s="51">
        <f t="shared" si="93"/>
        <v>0</v>
      </c>
      <c r="Q255" s="51">
        <f t="shared" si="93"/>
        <v>0</v>
      </c>
      <c r="R255" s="51">
        <f t="shared" si="93"/>
        <v>0</v>
      </c>
      <c r="S255" s="51">
        <f t="shared" si="93"/>
        <v>0</v>
      </c>
      <c r="T255" s="51">
        <f t="shared" si="93"/>
        <v>0</v>
      </c>
      <c r="U255" s="51">
        <f t="shared" si="93"/>
        <v>0</v>
      </c>
      <c r="V255" s="51">
        <f t="shared" si="93"/>
        <v>0</v>
      </c>
      <c r="W255" s="51">
        <f t="shared" si="93"/>
        <v>0</v>
      </c>
      <c r="X255" s="89">
        <f t="shared" si="93"/>
        <v>24.801587301587301</v>
      </c>
      <c r="Y255" s="59">
        <f t="shared" si="93"/>
        <v>0</v>
      </c>
      <c r="Z255" s="51">
        <f t="shared" si="93"/>
        <v>0</v>
      </c>
      <c r="AA255" s="51">
        <f t="shared" si="93"/>
        <v>0</v>
      </c>
    </row>
    <row r="256" spans="1:27" x14ac:dyDescent="0.25">
      <c r="A256" s="15" t="s">
        <v>51</v>
      </c>
      <c r="B256" s="16" t="s">
        <v>56</v>
      </c>
      <c r="C256" s="27" t="s">
        <v>57</v>
      </c>
      <c r="D256" s="16" t="s">
        <v>70</v>
      </c>
      <c r="E256" s="16"/>
      <c r="F256" s="1">
        <f t="shared" si="94"/>
        <v>0</v>
      </c>
      <c r="G256" s="1">
        <f t="shared" si="93"/>
        <v>0</v>
      </c>
      <c r="H256" s="1">
        <f t="shared" si="93"/>
        <v>0</v>
      </c>
      <c r="I256" s="1">
        <f t="shared" si="93"/>
        <v>0</v>
      </c>
      <c r="J256" s="1">
        <f t="shared" si="93"/>
        <v>0</v>
      </c>
      <c r="K256" s="1">
        <f t="shared" si="93"/>
        <v>0</v>
      </c>
      <c r="L256" s="52">
        <f t="shared" si="93"/>
        <v>0</v>
      </c>
      <c r="M256" s="1">
        <f t="shared" si="93"/>
        <v>0</v>
      </c>
      <c r="N256" s="1">
        <f t="shared" si="93"/>
        <v>0</v>
      </c>
      <c r="O256" s="1">
        <f t="shared" si="93"/>
        <v>0</v>
      </c>
      <c r="P256" s="1">
        <f t="shared" si="93"/>
        <v>0</v>
      </c>
      <c r="Q256" s="1">
        <f t="shared" si="93"/>
        <v>0</v>
      </c>
      <c r="R256" s="1">
        <f t="shared" si="93"/>
        <v>0</v>
      </c>
      <c r="S256" s="1">
        <f t="shared" si="93"/>
        <v>0</v>
      </c>
      <c r="T256" s="1">
        <f t="shared" si="93"/>
        <v>0</v>
      </c>
      <c r="U256" s="1">
        <f t="shared" si="93"/>
        <v>0</v>
      </c>
      <c r="V256" s="1">
        <f t="shared" si="93"/>
        <v>0</v>
      </c>
      <c r="W256" s="1">
        <f t="shared" si="93"/>
        <v>0</v>
      </c>
      <c r="X256" s="54">
        <f t="shared" si="93"/>
        <v>0</v>
      </c>
      <c r="Y256" s="58">
        <f t="shared" si="93"/>
        <v>0</v>
      </c>
      <c r="Z256" s="1">
        <f t="shared" si="93"/>
        <v>0</v>
      </c>
      <c r="AA256" s="1">
        <f t="shared" si="93"/>
        <v>0</v>
      </c>
    </row>
    <row r="257" spans="1:27" x14ac:dyDescent="0.25">
      <c r="A257" s="15" t="s">
        <v>51</v>
      </c>
      <c r="B257" s="16" t="s">
        <v>56</v>
      </c>
      <c r="C257" s="27" t="s">
        <v>57</v>
      </c>
      <c r="D257" s="16" t="s">
        <v>71</v>
      </c>
      <c r="E257" s="16"/>
      <c r="F257" s="1">
        <f t="shared" si="94"/>
        <v>0</v>
      </c>
      <c r="G257" s="1">
        <f t="shared" si="93"/>
        <v>0</v>
      </c>
      <c r="H257" s="1">
        <f t="shared" si="93"/>
        <v>0</v>
      </c>
      <c r="I257" s="1">
        <f t="shared" si="93"/>
        <v>0</v>
      </c>
      <c r="J257" s="1">
        <f t="shared" si="93"/>
        <v>0</v>
      </c>
      <c r="K257" s="1">
        <f t="shared" si="93"/>
        <v>0</v>
      </c>
      <c r="L257" s="52">
        <f t="shared" si="93"/>
        <v>0</v>
      </c>
      <c r="M257" s="1">
        <f t="shared" si="93"/>
        <v>0</v>
      </c>
      <c r="N257" s="1">
        <f t="shared" si="93"/>
        <v>0</v>
      </c>
      <c r="O257" s="1">
        <f t="shared" si="93"/>
        <v>0</v>
      </c>
      <c r="P257" s="1">
        <f t="shared" si="93"/>
        <v>0</v>
      </c>
      <c r="Q257" s="1">
        <f t="shared" si="93"/>
        <v>0</v>
      </c>
      <c r="R257" s="1">
        <f t="shared" si="93"/>
        <v>0</v>
      </c>
      <c r="S257" s="1">
        <f t="shared" si="93"/>
        <v>0</v>
      </c>
      <c r="T257" s="1">
        <f t="shared" si="93"/>
        <v>0</v>
      </c>
      <c r="U257" s="1">
        <f t="shared" si="93"/>
        <v>0</v>
      </c>
      <c r="V257" s="1">
        <f t="shared" si="93"/>
        <v>0</v>
      </c>
      <c r="W257" s="1">
        <f t="shared" si="93"/>
        <v>0</v>
      </c>
      <c r="X257" s="54">
        <f t="shared" si="93"/>
        <v>0</v>
      </c>
      <c r="Y257" s="58">
        <f t="shared" si="93"/>
        <v>0</v>
      </c>
      <c r="Z257" s="1">
        <f t="shared" si="93"/>
        <v>0</v>
      </c>
      <c r="AA257" s="1">
        <f t="shared" si="93"/>
        <v>0</v>
      </c>
    </row>
    <row r="258" spans="1:27" x14ac:dyDescent="0.25">
      <c r="A258" s="15" t="s">
        <v>51</v>
      </c>
      <c r="B258" s="16" t="s">
        <v>56</v>
      </c>
      <c r="C258" s="27" t="s">
        <v>27</v>
      </c>
      <c r="D258" s="16" t="s">
        <v>72</v>
      </c>
      <c r="E258" s="16"/>
      <c r="F258" s="1">
        <f t="shared" si="94"/>
        <v>0</v>
      </c>
      <c r="G258" s="1">
        <f t="shared" si="93"/>
        <v>0</v>
      </c>
      <c r="H258" s="1">
        <f t="shared" si="93"/>
        <v>0</v>
      </c>
      <c r="I258" s="1">
        <f t="shared" si="93"/>
        <v>0</v>
      </c>
      <c r="J258" s="1">
        <f t="shared" si="93"/>
        <v>0</v>
      </c>
      <c r="K258" s="1">
        <f t="shared" si="93"/>
        <v>0</v>
      </c>
      <c r="L258" s="52">
        <f t="shared" si="93"/>
        <v>0</v>
      </c>
      <c r="M258" s="1">
        <f t="shared" si="93"/>
        <v>0</v>
      </c>
      <c r="N258" s="1">
        <f t="shared" si="93"/>
        <v>0</v>
      </c>
      <c r="O258" s="1">
        <f t="shared" si="93"/>
        <v>0</v>
      </c>
      <c r="P258" s="1">
        <f t="shared" si="93"/>
        <v>0</v>
      </c>
      <c r="Q258" s="1">
        <f t="shared" si="93"/>
        <v>0</v>
      </c>
      <c r="R258" s="1">
        <f t="shared" si="93"/>
        <v>0</v>
      </c>
      <c r="S258" s="1">
        <f t="shared" si="93"/>
        <v>0</v>
      </c>
      <c r="T258" s="1">
        <f t="shared" si="93"/>
        <v>0</v>
      </c>
      <c r="U258" s="1">
        <f t="shared" si="93"/>
        <v>0</v>
      </c>
      <c r="V258" s="1">
        <f t="shared" si="93"/>
        <v>0</v>
      </c>
      <c r="W258" s="1">
        <f t="shared" si="93"/>
        <v>0</v>
      </c>
      <c r="X258" s="54">
        <f t="shared" si="93"/>
        <v>0</v>
      </c>
      <c r="Y258" s="58">
        <f t="shared" si="93"/>
        <v>0</v>
      </c>
      <c r="Z258" s="1">
        <f t="shared" si="93"/>
        <v>0</v>
      </c>
      <c r="AA258" s="1">
        <f t="shared" si="93"/>
        <v>0</v>
      </c>
    </row>
    <row r="259" spans="1:27" x14ac:dyDescent="0.25">
      <c r="A259" s="15" t="s">
        <v>51</v>
      </c>
      <c r="B259" s="16" t="s">
        <v>56</v>
      </c>
      <c r="C259" s="27" t="s">
        <v>57</v>
      </c>
      <c r="D259" s="16" t="s">
        <v>73</v>
      </c>
      <c r="E259" s="16"/>
      <c r="F259" s="1">
        <f t="shared" si="94"/>
        <v>0</v>
      </c>
      <c r="G259" s="1">
        <f t="shared" si="93"/>
        <v>0</v>
      </c>
      <c r="H259" s="1">
        <f t="shared" si="93"/>
        <v>0</v>
      </c>
      <c r="I259" s="1">
        <f t="shared" si="93"/>
        <v>0</v>
      </c>
      <c r="J259" s="1">
        <f t="shared" si="93"/>
        <v>0</v>
      </c>
      <c r="K259" s="1">
        <f t="shared" si="93"/>
        <v>0</v>
      </c>
      <c r="L259" s="52">
        <f t="shared" si="93"/>
        <v>0</v>
      </c>
      <c r="M259" s="1">
        <f t="shared" si="93"/>
        <v>0</v>
      </c>
      <c r="N259" s="1">
        <f t="shared" si="93"/>
        <v>0</v>
      </c>
      <c r="O259" s="1">
        <f t="shared" si="93"/>
        <v>0</v>
      </c>
      <c r="P259" s="1">
        <f t="shared" si="93"/>
        <v>0</v>
      </c>
      <c r="Q259" s="1">
        <f t="shared" si="93"/>
        <v>0</v>
      </c>
      <c r="R259" s="1">
        <f t="shared" si="93"/>
        <v>0</v>
      </c>
      <c r="S259" s="1">
        <f t="shared" si="93"/>
        <v>0</v>
      </c>
      <c r="T259" s="1">
        <f t="shared" si="93"/>
        <v>0</v>
      </c>
      <c r="U259" s="1">
        <f t="shared" si="93"/>
        <v>0</v>
      </c>
      <c r="V259" s="1">
        <f t="shared" si="93"/>
        <v>0</v>
      </c>
      <c r="W259" s="1">
        <f t="shared" si="93"/>
        <v>0</v>
      </c>
      <c r="X259" s="54">
        <f t="shared" si="93"/>
        <v>0</v>
      </c>
      <c r="Y259" s="58">
        <f t="shared" si="93"/>
        <v>0</v>
      </c>
      <c r="Z259" s="1">
        <f t="shared" si="93"/>
        <v>0</v>
      </c>
      <c r="AA259" s="1">
        <f t="shared" si="93"/>
        <v>0</v>
      </c>
    </row>
    <row r="260" spans="1:27" x14ac:dyDescent="0.25">
      <c r="A260" s="15" t="s">
        <v>51</v>
      </c>
      <c r="B260" s="16" t="s">
        <v>56</v>
      </c>
      <c r="C260" s="27" t="s">
        <v>57</v>
      </c>
      <c r="D260" s="16" t="s">
        <v>74</v>
      </c>
      <c r="E260" s="16"/>
      <c r="F260" s="1">
        <f t="shared" si="94"/>
        <v>0</v>
      </c>
      <c r="G260" s="1">
        <f t="shared" si="93"/>
        <v>0</v>
      </c>
      <c r="H260" s="1">
        <f t="shared" si="93"/>
        <v>0</v>
      </c>
      <c r="I260" s="1">
        <f t="shared" si="93"/>
        <v>0</v>
      </c>
      <c r="J260" s="1">
        <f t="shared" si="93"/>
        <v>0</v>
      </c>
      <c r="K260" s="1">
        <f t="shared" si="93"/>
        <v>0</v>
      </c>
      <c r="L260" s="52">
        <f t="shared" si="93"/>
        <v>0</v>
      </c>
      <c r="M260" s="1">
        <f t="shared" si="93"/>
        <v>0</v>
      </c>
      <c r="N260" s="1">
        <f t="shared" si="93"/>
        <v>0</v>
      </c>
      <c r="O260" s="1">
        <f t="shared" si="93"/>
        <v>0</v>
      </c>
      <c r="P260" s="1">
        <f t="shared" si="93"/>
        <v>0</v>
      </c>
      <c r="Q260" s="1">
        <f t="shared" si="93"/>
        <v>0</v>
      </c>
      <c r="R260" s="1">
        <f t="shared" si="93"/>
        <v>0</v>
      </c>
      <c r="S260" s="1">
        <f t="shared" si="93"/>
        <v>0</v>
      </c>
      <c r="T260" s="1">
        <f t="shared" si="93"/>
        <v>0</v>
      </c>
      <c r="U260" s="1">
        <f t="shared" si="93"/>
        <v>0</v>
      </c>
      <c r="V260" s="1">
        <f t="shared" si="93"/>
        <v>0</v>
      </c>
      <c r="W260" s="1">
        <f t="shared" si="93"/>
        <v>0</v>
      </c>
      <c r="X260" s="54">
        <f t="shared" si="93"/>
        <v>0</v>
      </c>
      <c r="Y260" s="58">
        <f t="shared" si="93"/>
        <v>0</v>
      </c>
      <c r="Z260" s="1">
        <f t="shared" si="93"/>
        <v>0</v>
      </c>
      <c r="AA260" s="1">
        <f t="shared" si="93"/>
        <v>0</v>
      </c>
    </row>
    <row r="261" spans="1:27" x14ac:dyDescent="0.25">
      <c r="A261" s="30" t="s">
        <v>60</v>
      </c>
      <c r="B261" s="31" t="s">
        <v>13</v>
      </c>
      <c r="C261" s="32" t="s">
        <v>61</v>
      </c>
      <c r="D261" s="31" t="s">
        <v>75</v>
      </c>
      <c r="E261" s="31"/>
      <c r="F261" s="51">
        <f>F246*0.8</f>
        <v>40.284444444444446</v>
      </c>
      <c r="G261" s="51">
        <v>0</v>
      </c>
      <c r="H261" s="51">
        <f>H246</f>
        <v>30</v>
      </c>
      <c r="I261" s="51">
        <f>I246*0.1</f>
        <v>1.7294117647058824</v>
      </c>
      <c r="J261" s="51">
        <v>0</v>
      </c>
      <c r="K261" s="51">
        <v>0</v>
      </c>
      <c r="L261" s="52">
        <v>0</v>
      </c>
      <c r="M261" s="51">
        <f>M246*0.1</f>
        <v>1</v>
      </c>
      <c r="N261" s="51">
        <v>0</v>
      </c>
      <c r="O261" s="51">
        <v>0</v>
      </c>
      <c r="P261" s="51">
        <v>0</v>
      </c>
      <c r="Q261" s="51"/>
      <c r="R261" s="51"/>
      <c r="S261" s="51"/>
      <c r="T261" s="51"/>
      <c r="U261" s="51"/>
      <c r="V261" s="51"/>
      <c r="W261" s="51">
        <f>W246</f>
        <v>6.2037037037037042</v>
      </c>
      <c r="X261" s="55"/>
      <c r="Y261" s="59">
        <f t="shared" si="93"/>
        <v>0</v>
      </c>
      <c r="Z261" s="51">
        <f t="shared" si="93"/>
        <v>0</v>
      </c>
      <c r="AA261" s="51">
        <f t="shared" si="93"/>
        <v>0</v>
      </c>
    </row>
    <row r="262" spans="1:27" x14ac:dyDescent="0.25">
      <c r="A262" s="30" t="s">
        <v>60</v>
      </c>
      <c r="B262" s="31" t="s">
        <v>13</v>
      </c>
      <c r="C262" s="32" t="s">
        <v>61</v>
      </c>
      <c r="D262" s="31" t="s">
        <v>76</v>
      </c>
      <c r="E262" s="31"/>
      <c r="F262" s="51">
        <f>F246*0.2</f>
        <v>10.071111111111112</v>
      </c>
      <c r="G262" s="51">
        <v>0</v>
      </c>
      <c r="H262" s="51">
        <v>0</v>
      </c>
      <c r="I262" s="51">
        <f>I246*0.7</f>
        <v>12.105882352941174</v>
      </c>
      <c r="J262" s="51">
        <f>J246</f>
        <v>10.352941176470589</v>
      </c>
      <c r="K262" s="51">
        <f>K246*0.2</f>
        <v>0.82352941176470584</v>
      </c>
      <c r="L262" s="52">
        <v>0</v>
      </c>
      <c r="M262" s="51">
        <f>M246*0.3</f>
        <v>3</v>
      </c>
      <c r="N262" s="51">
        <f>N246</f>
        <v>1.375</v>
      </c>
      <c r="O262" s="51">
        <f>O246*0.9</f>
        <v>3.984</v>
      </c>
      <c r="P262" s="51">
        <f>P246*0.05</f>
        <v>0.58791666666666664</v>
      </c>
      <c r="Q262" s="51"/>
      <c r="R262" s="85">
        <f>R246</f>
        <v>1.3605442176870748</v>
      </c>
      <c r="S262" s="51"/>
      <c r="T262" s="51"/>
      <c r="U262" s="51"/>
      <c r="V262" s="51"/>
      <c r="W262" s="51"/>
      <c r="X262" s="55"/>
      <c r="Y262" s="59">
        <f t="shared" si="93"/>
        <v>0</v>
      </c>
      <c r="Z262" s="51">
        <f t="shared" si="93"/>
        <v>0</v>
      </c>
      <c r="AA262" s="51">
        <f t="shared" si="93"/>
        <v>0</v>
      </c>
    </row>
    <row r="263" spans="1:27" x14ac:dyDescent="0.25">
      <c r="A263" s="30" t="s">
        <v>60</v>
      </c>
      <c r="B263" s="31" t="s">
        <v>13</v>
      </c>
      <c r="C263" s="32" t="s">
        <v>61</v>
      </c>
      <c r="D263" s="31" t="s">
        <v>77</v>
      </c>
      <c r="E263" s="31"/>
      <c r="F263" s="51">
        <v>0</v>
      </c>
      <c r="G263" s="51">
        <v>0</v>
      </c>
      <c r="H263" s="51">
        <v>0</v>
      </c>
      <c r="I263" s="51">
        <v>0</v>
      </c>
      <c r="J263" s="51">
        <v>0</v>
      </c>
      <c r="K263" s="51">
        <f>K246*0.4</f>
        <v>1.6470588235294117</v>
      </c>
      <c r="L263" s="52">
        <v>0</v>
      </c>
      <c r="M263" s="51">
        <f>M246*0.5</f>
        <v>5</v>
      </c>
      <c r="N263" s="51">
        <v>0</v>
      </c>
      <c r="O263" s="51">
        <v>0</v>
      </c>
      <c r="P263" s="51">
        <v>0</v>
      </c>
      <c r="Q263" s="51"/>
      <c r="R263" s="51"/>
      <c r="S263" s="51"/>
      <c r="T263" s="51">
        <f>T246</f>
        <v>0.88888888888888884</v>
      </c>
      <c r="U263" s="51">
        <f>U246</f>
        <v>2.6666666666666665</v>
      </c>
      <c r="V263" s="51"/>
      <c r="W263" s="51"/>
      <c r="X263" s="55"/>
      <c r="Y263" s="59">
        <f t="shared" si="93"/>
        <v>0</v>
      </c>
      <c r="Z263" s="51">
        <f t="shared" si="93"/>
        <v>0</v>
      </c>
      <c r="AA263" s="51">
        <f t="shared" si="93"/>
        <v>0</v>
      </c>
    </row>
    <row r="264" spans="1:27" x14ac:dyDescent="0.25">
      <c r="A264" s="30" t="s">
        <v>60</v>
      </c>
      <c r="B264" s="31" t="s">
        <v>13</v>
      </c>
      <c r="C264" s="32" t="s">
        <v>61</v>
      </c>
      <c r="D264" s="31" t="s">
        <v>78</v>
      </c>
      <c r="E264" s="31"/>
      <c r="F264" s="51">
        <v>0</v>
      </c>
      <c r="G264" s="51">
        <v>0</v>
      </c>
      <c r="H264" s="51">
        <v>0</v>
      </c>
      <c r="I264" s="51">
        <f>I246*0.2</f>
        <v>3.4588235294117649</v>
      </c>
      <c r="J264" s="51">
        <v>0</v>
      </c>
      <c r="K264" s="51">
        <f>K246*0.4</f>
        <v>1.6470588235294117</v>
      </c>
      <c r="L264" s="52">
        <v>0</v>
      </c>
      <c r="M264" s="51">
        <f>M246*0.1</f>
        <v>1</v>
      </c>
      <c r="N264" s="51">
        <v>0</v>
      </c>
      <c r="O264" s="51">
        <f>O246*0.1</f>
        <v>0.44266666666666671</v>
      </c>
      <c r="P264" s="51">
        <f>P246*0.95</f>
        <v>11.170416666666666</v>
      </c>
      <c r="Q264" s="51">
        <f>Q246</f>
        <v>0.44444444444444442</v>
      </c>
      <c r="R264" s="51"/>
      <c r="S264" s="51"/>
      <c r="T264" s="51"/>
      <c r="U264" s="51"/>
      <c r="V264" s="51"/>
      <c r="W264" s="51"/>
      <c r="X264" s="55">
        <f>X246</f>
        <v>2.2222222222222223</v>
      </c>
      <c r="Y264" s="59">
        <f t="shared" si="93"/>
        <v>0</v>
      </c>
      <c r="Z264" s="51">
        <f t="shared" si="93"/>
        <v>0</v>
      </c>
      <c r="AA264" s="51">
        <f t="shared" si="93"/>
        <v>0</v>
      </c>
    </row>
    <row r="265" spans="1:27" ht="15.75" thickBot="1" x14ac:dyDescent="0.3">
      <c r="A265" s="33" t="s">
        <v>60</v>
      </c>
      <c r="B265" s="34" t="s">
        <v>13</v>
      </c>
      <c r="C265" s="35" t="s">
        <v>61</v>
      </c>
      <c r="D265" s="34" t="s">
        <v>79</v>
      </c>
      <c r="E265" s="31"/>
      <c r="F265" s="51">
        <v>0</v>
      </c>
      <c r="G265" s="51">
        <v>0</v>
      </c>
      <c r="H265" s="51">
        <v>0</v>
      </c>
      <c r="I265" s="51">
        <v>0</v>
      </c>
      <c r="J265" s="51">
        <v>0</v>
      </c>
      <c r="K265" s="51">
        <v>0</v>
      </c>
      <c r="L265" s="52">
        <v>0</v>
      </c>
      <c r="M265" s="51">
        <v>0</v>
      </c>
      <c r="N265" s="51">
        <v>0</v>
      </c>
      <c r="O265" s="51">
        <v>0</v>
      </c>
      <c r="P265" s="51">
        <v>0</v>
      </c>
      <c r="Q265" s="51">
        <v>0</v>
      </c>
      <c r="R265" s="51">
        <v>0</v>
      </c>
      <c r="S265" s="51">
        <v>0</v>
      </c>
      <c r="T265" s="51">
        <v>0</v>
      </c>
      <c r="U265" s="51">
        <v>0</v>
      </c>
      <c r="V265" s="51">
        <v>0</v>
      </c>
      <c r="W265" s="51">
        <v>0</v>
      </c>
      <c r="X265" s="55">
        <v>0</v>
      </c>
      <c r="Y265" s="59">
        <f t="shared" si="93"/>
        <v>0</v>
      </c>
      <c r="Z265" s="51">
        <f t="shared" si="93"/>
        <v>0</v>
      </c>
      <c r="AA265" s="51">
        <f t="shared" si="93"/>
        <v>0</v>
      </c>
    </row>
    <row r="266" spans="1:27" x14ac:dyDescent="0.25">
      <c r="A266" s="30" t="s">
        <v>60</v>
      </c>
      <c r="B266" s="31" t="s">
        <v>13</v>
      </c>
      <c r="C266" s="32" t="s">
        <v>62</v>
      </c>
      <c r="D266" s="31" t="s">
        <v>75</v>
      </c>
      <c r="E266" s="31"/>
      <c r="F266" s="51"/>
      <c r="G266" s="51">
        <v>0</v>
      </c>
      <c r="H266" s="51">
        <v>0</v>
      </c>
      <c r="I266" s="51">
        <v>0</v>
      </c>
      <c r="J266" s="51">
        <v>0</v>
      </c>
      <c r="K266" s="51">
        <v>0</v>
      </c>
      <c r="L266" s="52">
        <v>0</v>
      </c>
      <c r="M266" s="51">
        <v>0</v>
      </c>
      <c r="N266" s="51">
        <v>0</v>
      </c>
      <c r="O266" s="51">
        <v>0</v>
      </c>
      <c r="P266" s="51">
        <v>0</v>
      </c>
      <c r="Q266" s="51">
        <v>0</v>
      </c>
      <c r="R266" s="51">
        <v>0</v>
      </c>
      <c r="S266" s="51">
        <v>0</v>
      </c>
      <c r="T266" s="51">
        <v>0</v>
      </c>
      <c r="U266" s="51">
        <v>0</v>
      </c>
      <c r="V266" s="51">
        <v>0</v>
      </c>
      <c r="W266" s="51">
        <v>0</v>
      </c>
      <c r="X266" s="55">
        <v>0</v>
      </c>
      <c r="Y266" s="59">
        <f t="shared" ref="Y266:AA270" si="95">IF(Y311&gt;0,Y41/Y311,0)</f>
        <v>0</v>
      </c>
      <c r="Z266" s="51">
        <f t="shared" si="95"/>
        <v>0</v>
      </c>
      <c r="AA266" s="51">
        <f t="shared" si="95"/>
        <v>0</v>
      </c>
    </row>
    <row r="267" spans="1:27" x14ac:dyDescent="0.25">
      <c r="A267" s="30" t="s">
        <v>60</v>
      </c>
      <c r="B267" s="31" t="s">
        <v>13</v>
      </c>
      <c r="C267" s="32" t="s">
        <v>62</v>
      </c>
      <c r="D267" s="31" t="s">
        <v>76</v>
      </c>
      <c r="E267" s="31"/>
      <c r="F267" s="51">
        <f>F247</f>
        <v>6.8666666666666663</v>
      </c>
      <c r="G267" s="51">
        <f>G247</f>
        <v>25.333333333333332</v>
      </c>
      <c r="H267" s="51">
        <f>H247</f>
        <v>20</v>
      </c>
      <c r="I267" s="51">
        <v>0</v>
      </c>
      <c r="J267" s="51">
        <v>0</v>
      </c>
      <c r="K267" s="51">
        <v>0</v>
      </c>
      <c r="L267" s="52">
        <v>0</v>
      </c>
      <c r="M267" s="51">
        <v>0</v>
      </c>
      <c r="N267" s="51">
        <v>0</v>
      </c>
      <c r="O267" s="51">
        <v>0</v>
      </c>
      <c r="P267" s="51">
        <v>0</v>
      </c>
      <c r="Q267" s="51">
        <v>0</v>
      </c>
      <c r="R267" s="51">
        <v>0</v>
      </c>
      <c r="S267" s="51">
        <v>0</v>
      </c>
      <c r="T267" s="51">
        <v>0</v>
      </c>
      <c r="U267" s="51">
        <v>0</v>
      </c>
      <c r="V267" s="51">
        <v>0</v>
      </c>
      <c r="W267" s="51">
        <v>0</v>
      </c>
      <c r="X267" s="55">
        <v>0</v>
      </c>
      <c r="Y267" s="59">
        <f t="shared" si="95"/>
        <v>0</v>
      </c>
      <c r="Z267" s="51">
        <f t="shared" si="95"/>
        <v>0</v>
      </c>
      <c r="AA267" s="51">
        <f t="shared" si="95"/>
        <v>0</v>
      </c>
    </row>
    <row r="268" spans="1:27" x14ac:dyDescent="0.25">
      <c r="A268" s="30" t="s">
        <v>60</v>
      </c>
      <c r="B268" s="31" t="s">
        <v>13</v>
      </c>
      <c r="C268" s="32" t="s">
        <v>62</v>
      </c>
      <c r="D268" s="31" t="s">
        <v>77</v>
      </c>
      <c r="E268" s="31"/>
      <c r="F268" s="51">
        <v>0</v>
      </c>
      <c r="G268" s="51">
        <v>0</v>
      </c>
      <c r="H268" s="51">
        <v>0</v>
      </c>
      <c r="I268" s="51">
        <v>0</v>
      </c>
      <c r="J268" s="51">
        <v>0</v>
      </c>
      <c r="K268" s="51">
        <v>0</v>
      </c>
      <c r="L268" s="52">
        <v>0</v>
      </c>
      <c r="M268" s="51">
        <v>0</v>
      </c>
      <c r="N268" s="51">
        <v>0</v>
      </c>
      <c r="O268" s="51">
        <v>0</v>
      </c>
      <c r="P268" s="51">
        <v>0</v>
      </c>
      <c r="Q268" s="51">
        <v>0</v>
      </c>
      <c r="R268" s="51">
        <v>0</v>
      </c>
      <c r="S268" s="51">
        <v>0</v>
      </c>
      <c r="T268" s="51">
        <v>0</v>
      </c>
      <c r="U268" s="51">
        <v>0</v>
      </c>
      <c r="V268" s="51">
        <v>0</v>
      </c>
      <c r="W268" s="51">
        <v>0</v>
      </c>
      <c r="X268" s="55">
        <v>0</v>
      </c>
      <c r="Y268" s="59">
        <f t="shared" si="95"/>
        <v>0</v>
      </c>
      <c r="Z268" s="51">
        <f t="shared" si="95"/>
        <v>0</v>
      </c>
      <c r="AA268" s="51">
        <f t="shared" si="95"/>
        <v>0</v>
      </c>
    </row>
    <row r="269" spans="1:27" x14ac:dyDescent="0.25">
      <c r="A269" s="30" t="s">
        <v>60</v>
      </c>
      <c r="B269" s="31" t="s">
        <v>13</v>
      </c>
      <c r="C269" s="32" t="s">
        <v>62</v>
      </c>
      <c r="D269" s="31" t="s">
        <v>78</v>
      </c>
      <c r="E269" s="31"/>
      <c r="F269" s="51">
        <v>0</v>
      </c>
      <c r="G269" s="51">
        <v>0</v>
      </c>
      <c r="H269" s="51">
        <v>0</v>
      </c>
      <c r="I269" s="51">
        <v>0</v>
      </c>
      <c r="J269" s="51">
        <v>0</v>
      </c>
      <c r="K269" s="51">
        <v>0</v>
      </c>
      <c r="L269" s="52">
        <v>0</v>
      </c>
      <c r="M269" s="51">
        <v>0</v>
      </c>
      <c r="N269" s="51">
        <v>0</v>
      </c>
      <c r="O269" s="51">
        <v>0</v>
      </c>
      <c r="P269" s="85">
        <f>P247</f>
        <v>11.758333333333333</v>
      </c>
      <c r="Q269" s="51">
        <v>0</v>
      </c>
      <c r="R269" s="51">
        <v>0</v>
      </c>
      <c r="S269" s="51">
        <v>0</v>
      </c>
      <c r="T269" s="51">
        <v>0</v>
      </c>
      <c r="U269" s="51">
        <v>0</v>
      </c>
      <c r="V269" s="51">
        <v>0</v>
      </c>
      <c r="W269" s="51">
        <v>0</v>
      </c>
      <c r="X269" s="55">
        <v>0</v>
      </c>
      <c r="Y269" s="59">
        <f t="shared" si="95"/>
        <v>0</v>
      </c>
      <c r="Z269" s="51">
        <f t="shared" si="95"/>
        <v>0</v>
      </c>
      <c r="AA269" s="51">
        <f t="shared" si="95"/>
        <v>0</v>
      </c>
    </row>
    <row r="270" spans="1:27" ht="15.75" thickBot="1" x14ac:dyDescent="0.3">
      <c r="A270" s="33" t="s">
        <v>60</v>
      </c>
      <c r="B270" s="34" t="s">
        <v>13</v>
      </c>
      <c r="C270" s="32" t="s">
        <v>62</v>
      </c>
      <c r="D270" s="34" t="s">
        <v>79</v>
      </c>
      <c r="E270" s="31"/>
      <c r="F270" s="51">
        <v>0</v>
      </c>
      <c r="G270" s="51">
        <v>0</v>
      </c>
      <c r="H270" s="51">
        <v>0</v>
      </c>
      <c r="I270" s="51">
        <v>0</v>
      </c>
      <c r="J270" s="51">
        <v>0</v>
      </c>
      <c r="K270" s="51">
        <v>0</v>
      </c>
      <c r="L270" s="52">
        <v>0</v>
      </c>
      <c r="M270" s="51">
        <v>0</v>
      </c>
      <c r="N270" s="51">
        <v>0</v>
      </c>
      <c r="O270" s="51">
        <v>0</v>
      </c>
      <c r="P270" s="51">
        <v>0</v>
      </c>
      <c r="Q270" s="51">
        <v>0</v>
      </c>
      <c r="R270" s="51">
        <v>0</v>
      </c>
      <c r="S270" s="51">
        <v>0</v>
      </c>
      <c r="T270" s="51">
        <v>0</v>
      </c>
      <c r="U270" s="51">
        <v>0</v>
      </c>
      <c r="V270" s="51">
        <v>0</v>
      </c>
      <c r="W270" s="51">
        <v>0</v>
      </c>
      <c r="X270" s="55">
        <v>0</v>
      </c>
      <c r="Y270" s="59">
        <f t="shared" si="95"/>
        <v>0</v>
      </c>
      <c r="Z270" s="51">
        <f t="shared" si="95"/>
        <v>0</v>
      </c>
      <c r="AA270" s="51">
        <f t="shared" si="95"/>
        <v>0</v>
      </c>
    </row>
    <row r="272" spans="1:27" x14ac:dyDescent="0.25">
      <c r="D272" s="41" t="s">
        <v>84</v>
      </c>
      <c r="E272" s="41"/>
      <c r="M272" s="24" t="s">
        <v>81</v>
      </c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</row>
    <row r="273" spans="1:27" x14ac:dyDescent="0.25">
      <c r="F273" s="23" t="s">
        <v>44</v>
      </c>
      <c r="G273" s="23"/>
      <c r="H273" s="23"/>
      <c r="I273" s="23"/>
      <c r="J273" s="23"/>
      <c r="K273" s="23"/>
      <c r="L273" s="7" t="s">
        <v>30</v>
      </c>
      <c r="M273" s="24" t="s">
        <v>46</v>
      </c>
      <c r="N273" s="24"/>
      <c r="O273" s="24"/>
      <c r="P273" s="24"/>
      <c r="Q273" s="24"/>
      <c r="R273" s="24" t="s">
        <v>47</v>
      </c>
      <c r="S273" s="24"/>
      <c r="T273" s="24"/>
      <c r="U273" s="24"/>
      <c r="V273" s="24"/>
      <c r="W273" s="24"/>
      <c r="X273" s="24"/>
      <c r="Y273" s="44" t="s">
        <v>85</v>
      </c>
      <c r="Z273" s="44" t="s">
        <v>48</v>
      </c>
      <c r="AA273" s="44" t="s">
        <v>3</v>
      </c>
    </row>
    <row r="274" spans="1:27" ht="63" x14ac:dyDescent="0.25">
      <c r="F274" s="38" t="s">
        <v>36</v>
      </c>
      <c r="G274" s="38" t="s">
        <v>37</v>
      </c>
      <c r="H274" s="38" t="s">
        <v>38</v>
      </c>
      <c r="I274" s="38" t="s">
        <v>80</v>
      </c>
      <c r="J274" s="38" t="s">
        <v>39</v>
      </c>
      <c r="K274" s="38" t="s">
        <v>45</v>
      </c>
      <c r="L274" s="39" t="s">
        <v>16</v>
      </c>
      <c r="M274" s="40" t="s">
        <v>34</v>
      </c>
      <c r="N274" s="40" t="s">
        <v>5</v>
      </c>
      <c r="O274" s="40" t="s">
        <v>7</v>
      </c>
      <c r="P274" s="40" t="s">
        <v>8</v>
      </c>
      <c r="Q274" s="40" t="s">
        <v>40</v>
      </c>
      <c r="R274" s="40" t="s">
        <v>41</v>
      </c>
      <c r="S274" s="40" t="s">
        <v>42</v>
      </c>
      <c r="T274" s="40" t="s">
        <v>31</v>
      </c>
      <c r="U274" s="40" t="s">
        <v>43</v>
      </c>
      <c r="V274" s="40" t="s">
        <v>82</v>
      </c>
      <c r="W274" s="40" t="s">
        <v>87</v>
      </c>
      <c r="X274" s="40" t="s">
        <v>83</v>
      </c>
      <c r="Y274" s="45" t="s">
        <v>3</v>
      </c>
      <c r="Z274" s="45" t="s">
        <v>86</v>
      </c>
      <c r="AA274" s="45" t="s">
        <v>3</v>
      </c>
    </row>
    <row r="275" spans="1:27" x14ac:dyDescent="0.25">
      <c r="A275" s="15" t="s">
        <v>51</v>
      </c>
      <c r="B275" s="2"/>
      <c r="C275" s="2"/>
      <c r="F275" s="1"/>
      <c r="G275" s="1"/>
      <c r="H275" s="1"/>
      <c r="I275" s="1"/>
      <c r="J275" s="1"/>
      <c r="K275" s="1"/>
      <c r="L275" s="5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54"/>
      <c r="Y275" s="58"/>
      <c r="Z275" s="1"/>
      <c r="AA275" s="1"/>
    </row>
    <row r="276" spans="1:27" x14ac:dyDescent="0.25">
      <c r="A276" s="30" t="s">
        <v>60</v>
      </c>
      <c r="B276" s="2"/>
      <c r="C276" s="2"/>
      <c r="F276" s="1"/>
      <c r="G276" s="1"/>
      <c r="H276" s="1"/>
      <c r="I276" s="1"/>
      <c r="J276" s="1"/>
      <c r="K276" s="1"/>
      <c r="L276" s="5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54"/>
      <c r="Y276" s="58"/>
      <c r="Z276" s="1"/>
      <c r="AA276" s="1"/>
    </row>
    <row r="277" spans="1:27" x14ac:dyDescent="0.25">
      <c r="A277" s="15" t="s">
        <v>51</v>
      </c>
      <c r="B277" s="16" t="s">
        <v>52</v>
      </c>
      <c r="C277" s="2"/>
      <c r="F277" s="1"/>
      <c r="G277" s="1"/>
      <c r="H277" s="1"/>
      <c r="I277" s="1"/>
      <c r="J277" s="1"/>
      <c r="K277" s="1"/>
      <c r="L277" s="5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54"/>
      <c r="Y277" s="58"/>
      <c r="Z277" s="1"/>
      <c r="AA277" s="1"/>
    </row>
    <row r="278" spans="1:27" x14ac:dyDescent="0.25">
      <c r="A278" s="15" t="s">
        <v>51</v>
      </c>
      <c r="B278" s="16" t="s">
        <v>56</v>
      </c>
      <c r="C278" s="2"/>
      <c r="F278" s="1"/>
      <c r="G278" s="1"/>
      <c r="H278" s="1"/>
      <c r="I278" s="1"/>
      <c r="J278" s="1"/>
      <c r="K278" s="1"/>
      <c r="L278" s="5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54"/>
      <c r="Y278" s="58"/>
      <c r="Z278" s="1"/>
      <c r="AA278" s="1"/>
    </row>
    <row r="279" spans="1:27" x14ac:dyDescent="0.25">
      <c r="A279" s="15" t="s">
        <v>51</v>
      </c>
      <c r="B279" s="16" t="s">
        <v>9</v>
      </c>
      <c r="C279" s="2"/>
      <c r="F279" s="1"/>
      <c r="G279" s="1"/>
      <c r="H279" s="1"/>
      <c r="I279" s="1"/>
      <c r="J279" s="1"/>
      <c r="K279" s="1"/>
      <c r="L279" s="5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54"/>
      <c r="Y279" s="58"/>
      <c r="Z279" s="1"/>
      <c r="AA279" s="1"/>
    </row>
    <row r="280" spans="1:27" x14ac:dyDescent="0.25">
      <c r="A280" s="30" t="s">
        <v>60</v>
      </c>
      <c r="B280" s="32" t="s">
        <v>13</v>
      </c>
      <c r="C280" s="2"/>
      <c r="F280" s="51"/>
      <c r="G280" s="51"/>
      <c r="H280" s="51"/>
      <c r="I280" s="51"/>
      <c r="J280" s="51"/>
      <c r="K280" s="51"/>
      <c r="L280" s="52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5"/>
      <c r="Y280" s="59"/>
      <c r="Z280" s="51"/>
      <c r="AA280" s="51"/>
    </row>
    <row r="281" spans="1:27" x14ac:dyDescent="0.25">
      <c r="A281" s="30" t="s">
        <v>60</v>
      </c>
      <c r="B281" s="31" t="s">
        <v>23</v>
      </c>
      <c r="C281" s="2"/>
      <c r="F281" s="51"/>
      <c r="G281" s="51"/>
      <c r="H281" s="51"/>
      <c r="I281" s="51"/>
      <c r="J281" s="51"/>
      <c r="K281" s="51"/>
      <c r="L281" s="52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5"/>
      <c r="Y281" s="59"/>
      <c r="Z281" s="51"/>
      <c r="AA281" s="51"/>
    </row>
    <row r="282" spans="1:27" x14ac:dyDescent="0.25">
      <c r="A282" s="30" t="s">
        <v>60</v>
      </c>
      <c r="B282" s="31" t="s">
        <v>65</v>
      </c>
      <c r="C282" s="46"/>
      <c r="F282" s="51"/>
      <c r="G282" s="51"/>
      <c r="H282" s="51"/>
      <c r="I282" s="51"/>
      <c r="J282" s="51"/>
      <c r="K282" s="51"/>
      <c r="L282" s="52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5"/>
      <c r="Y282" s="59"/>
      <c r="Z282" s="51"/>
      <c r="AA282" s="51"/>
    </row>
    <row r="283" spans="1:27" ht="15.75" thickBot="1" x14ac:dyDescent="0.3">
      <c r="A283" s="48" t="s">
        <v>60</v>
      </c>
      <c r="B283" s="49" t="s">
        <v>9</v>
      </c>
      <c r="C283" s="50"/>
      <c r="D283" s="50"/>
      <c r="E283" s="50"/>
      <c r="F283" s="53"/>
      <c r="G283" s="53"/>
      <c r="H283" s="53"/>
      <c r="I283" s="53"/>
      <c r="J283" s="53"/>
      <c r="K283" s="53"/>
      <c r="L283" s="62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6"/>
      <c r="Y283" s="60"/>
      <c r="Z283" s="53"/>
      <c r="AA283" s="53"/>
    </row>
    <row r="284" spans="1:27" ht="15.75" thickTop="1" x14ac:dyDescent="0.25">
      <c r="A284" s="15" t="s">
        <v>51</v>
      </c>
      <c r="B284" s="16" t="s">
        <v>52</v>
      </c>
      <c r="C284" s="16" t="s">
        <v>53</v>
      </c>
      <c r="D284" s="2"/>
      <c r="E284" s="2"/>
      <c r="F284" s="47"/>
      <c r="G284" s="47"/>
      <c r="H284" s="47"/>
      <c r="I284" s="47"/>
      <c r="J284" s="47"/>
      <c r="K284" s="47"/>
      <c r="L284" s="6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57"/>
      <c r="Y284" s="61"/>
      <c r="Z284" s="47"/>
      <c r="AA284" s="47"/>
    </row>
    <row r="285" spans="1:27" x14ac:dyDescent="0.25">
      <c r="A285" s="15" t="s">
        <v>51</v>
      </c>
      <c r="B285" s="16" t="s">
        <v>52</v>
      </c>
      <c r="C285" s="16" t="s">
        <v>54</v>
      </c>
      <c r="D285" s="2"/>
      <c r="E285" s="2"/>
      <c r="F285" s="1"/>
      <c r="G285" s="1"/>
      <c r="H285" s="1"/>
      <c r="I285" s="1"/>
      <c r="J285" s="1"/>
      <c r="K285" s="1"/>
      <c r="L285" s="5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54"/>
      <c r="Y285" s="58"/>
      <c r="Z285" s="1"/>
      <c r="AA285" s="1"/>
    </row>
    <row r="286" spans="1:27" x14ac:dyDescent="0.25">
      <c r="A286" s="15" t="s">
        <v>51</v>
      </c>
      <c r="B286" s="16" t="s">
        <v>52</v>
      </c>
      <c r="C286" s="16" t="s">
        <v>55</v>
      </c>
      <c r="D286" s="2"/>
      <c r="E286" s="2"/>
      <c r="F286" s="1"/>
      <c r="G286" s="1"/>
      <c r="H286" s="1"/>
      <c r="I286" s="1"/>
      <c r="J286" s="1"/>
      <c r="K286" s="1"/>
      <c r="L286" s="5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54"/>
      <c r="Y286" s="58"/>
      <c r="Z286" s="1"/>
      <c r="AA286" s="1"/>
    </row>
    <row r="287" spans="1:27" x14ac:dyDescent="0.25">
      <c r="A287" s="25" t="s">
        <v>51</v>
      </c>
      <c r="B287" s="26" t="s">
        <v>56</v>
      </c>
      <c r="C287" s="26" t="s">
        <v>57</v>
      </c>
      <c r="D287" s="2"/>
      <c r="E287" s="2"/>
      <c r="F287" s="1"/>
      <c r="G287" s="1"/>
      <c r="H287" s="1"/>
      <c r="I287" s="1"/>
      <c r="J287" s="1"/>
      <c r="K287" s="1"/>
      <c r="L287" s="5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54"/>
      <c r="Y287" s="58"/>
      <c r="Z287" s="1"/>
      <c r="AA287" s="1"/>
    </row>
    <row r="288" spans="1:27" x14ac:dyDescent="0.25">
      <c r="A288" s="15" t="s">
        <v>51</v>
      </c>
      <c r="B288" s="16" t="s">
        <v>56</v>
      </c>
      <c r="C288" s="27" t="s">
        <v>58</v>
      </c>
      <c r="D288" s="2"/>
      <c r="E288" s="2"/>
      <c r="F288" s="1"/>
      <c r="G288" s="1"/>
      <c r="H288" s="1"/>
      <c r="I288" s="1"/>
      <c r="J288" s="1"/>
      <c r="K288" s="1"/>
      <c r="L288" s="5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54"/>
      <c r="Y288" s="58"/>
      <c r="Z288" s="1"/>
      <c r="AA288" s="1"/>
    </row>
    <row r="289" spans="1:31" x14ac:dyDescent="0.25">
      <c r="A289" s="15" t="s">
        <v>51</v>
      </c>
      <c r="B289" s="16" t="s">
        <v>9</v>
      </c>
      <c r="C289" s="27" t="s">
        <v>59</v>
      </c>
      <c r="D289" s="2"/>
      <c r="E289" s="2"/>
      <c r="F289" s="1"/>
      <c r="G289" s="1"/>
      <c r="H289" s="1"/>
      <c r="I289" s="1"/>
      <c r="J289" s="1"/>
      <c r="K289" s="1"/>
      <c r="L289" s="5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54"/>
      <c r="Y289" s="58"/>
      <c r="Z289" s="1"/>
      <c r="AA289" s="1"/>
    </row>
    <row r="290" spans="1:31" x14ac:dyDescent="0.25">
      <c r="A290" s="15" t="s">
        <v>51</v>
      </c>
      <c r="B290" s="16" t="s">
        <v>9</v>
      </c>
      <c r="C290" s="27" t="s">
        <v>9</v>
      </c>
      <c r="D290" s="2"/>
      <c r="E290" s="2"/>
      <c r="F290" s="1"/>
      <c r="G290" s="1"/>
      <c r="H290" s="1"/>
      <c r="I290" s="1"/>
      <c r="J290" s="1"/>
      <c r="K290" s="1"/>
      <c r="L290" s="5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54"/>
      <c r="Y290" s="58"/>
      <c r="Z290" s="1"/>
      <c r="AA290" s="1"/>
    </row>
    <row r="291" spans="1:31" x14ac:dyDescent="0.25">
      <c r="A291" s="28" t="s">
        <v>60</v>
      </c>
      <c r="B291" s="29" t="s">
        <v>13</v>
      </c>
      <c r="C291" s="29" t="s">
        <v>61</v>
      </c>
      <c r="D291" s="2"/>
      <c r="E291" s="2"/>
      <c r="F291" s="51">
        <v>180</v>
      </c>
      <c r="G291" s="51"/>
      <c r="H291" s="51">
        <v>170</v>
      </c>
      <c r="I291" s="51">
        <v>170</v>
      </c>
      <c r="J291" s="51">
        <v>170</v>
      </c>
      <c r="K291" s="51">
        <v>170</v>
      </c>
      <c r="L291" s="52"/>
      <c r="M291" s="51">
        <v>180</v>
      </c>
      <c r="N291" s="51">
        <v>160</v>
      </c>
      <c r="O291" s="51">
        <v>180</v>
      </c>
      <c r="P291" s="51">
        <v>180</v>
      </c>
      <c r="Q291" s="51">
        <v>180</v>
      </c>
      <c r="R291" s="51">
        <v>180</v>
      </c>
      <c r="S291" s="51"/>
      <c r="T291" s="51">
        <v>180</v>
      </c>
      <c r="U291" s="51">
        <v>180</v>
      </c>
      <c r="V291" s="51">
        <v>180</v>
      </c>
      <c r="W291" s="51">
        <v>180</v>
      </c>
      <c r="X291" s="55">
        <v>180</v>
      </c>
      <c r="Y291" s="59"/>
      <c r="Z291" s="51"/>
      <c r="AA291" s="51"/>
    </row>
    <row r="292" spans="1:31" x14ac:dyDescent="0.25">
      <c r="A292" s="36" t="s">
        <v>60</v>
      </c>
      <c r="B292" s="37" t="s">
        <v>13</v>
      </c>
      <c r="C292" s="29" t="s">
        <v>62</v>
      </c>
      <c r="D292" s="2"/>
      <c r="E292" s="2"/>
      <c r="F292" s="51">
        <v>180</v>
      </c>
      <c r="G292" s="51">
        <v>180</v>
      </c>
      <c r="H292" s="51">
        <v>170</v>
      </c>
      <c r="I292" s="51"/>
      <c r="J292" s="51"/>
      <c r="K292" s="51"/>
      <c r="L292" s="52"/>
      <c r="M292" s="51"/>
      <c r="N292" s="51"/>
      <c r="O292" s="51"/>
      <c r="P292" s="51">
        <v>180</v>
      </c>
      <c r="Q292" s="51"/>
      <c r="R292" s="51"/>
      <c r="S292" s="51"/>
      <c r="T292" s="51"/>
      <c r="U292" s="51"/>
      <c r="V292" s="51"/>
      <c r="W292" s="51"/>
      <c r="X292" s="55"/>
      <c r="Y292" s="59"/>
      <c r="Z292" s="51"/>
      <c r="AA292" s="51"/>
    </row>
    <row r="293" spans="1:31" x14ac:dyDescent="0.25">
      <c r="A293" s="30" t="s">
        <v>60</v>
      </c>
      <c r="B293" s="31" t="s">
        <v>13</v>
      </c>
      <c r="C293" s="32" t="s">
        <v>63</v>
      </c>
      <c r="D293" s="2"/>
      <c r="E293" s="2"/>
      <c r="F293" s="51"/>
      <c r="G293" s="51"/>
      <c r="H293" s="51"/>
      <c r="I293" s="51"/>
      <c r="J293" s="51"/>
      <c r="K293" s="51"/>
      <c r="L293" s="52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5"/>
      <c r="Y293" s="59"/>
      <c r="Z293" s="51"/>
      <c r="AA293" s="51"/>
    </row>
    <row r="294" spans="1:31" x14ac:dyDescent="0.25">
      <c r="A294" s="30" t="s">
        <v>60</v>
      </c>
      <c r="B294" s="32" t="s">
        <v>23</v>
      </c>
      <c r="C294" s="31" t="s">
        <v>50</v>
      </c>
      <c r="D294" s="2"/>
      <c r="E294" s="2"/>
      <c r="F294" s="51">
        <v>65</v>
      </c>
      <c r="G294" s="51"/>
      <c r="H294" s="51"/>
      <c r="I294" s="51"/>
      <c r="J294" s="51">
        <v>65</v>
      </c>
      <c r="K294" s="51">
        <v>70</v>
      </c>
      <c r="L294" s="52"/>
      <c r="M294" s="51">
        <v>65</v>
      </c>
      <c r="N294" s="51">
        <v>65</v>
      </c>
      <c r="O294" s="51"/>
      <c r="P294" s="51"/>
      <c r="Q294" s="51"/>
      <c r="R294" s="51"/>
      <c r="S294" s="51"/>
      <c r="T294" s="51"/>
      <c r="U294" s="51"/>
      <c r="V294" s="51"/>
      <c r="W294" s="51"/>
      <c r="X294" s="55"/>
      <c r="Y294" s="59"/>
      <c r="Z294" s="51"/>
      <c r="AA294" s="51"/>
      <c r="AB294" t="s">
        <v>13</v>
      </c>
      <c r="AC294" t="s">
        <v>111</v>
      </c>
      <c r="AD294" t="s">
        <v>106</v>
      </c>
    </row>
    <row r="295" spans="1:31" x14ac:dyDescent="0.25">
      <c r="A295" s="30" t="s">
        <v>60</v>
      </c>
      <c r="B295" s="32" t="s">
        <v>23</v>
      </c>
      <c r="C295" s="31" t="s">
        <v>49</v>
      </c>
      <c r="D295" s="2"/>
      <c r="E295" s="2"/>
      <c r="F295" s="51"/>
      <c r="G295" s="51"/>
      <c r="H295" s="51"/>
      <c r="I295" s="51"/>
      <c r="J295" s="51">
        <v>45</v>
      </c>
      <c r="K295" s="51">
        <v>45</v>
      </c>
      <c r="L295" s="52"/>
      <c r="M295" s="51"/>
      <c r="N295" s="51"/>
      <c r="O295" s="51"/>
      <c r="P295" s="51"/>
      <c r="Q295" s="51"/>
      <c r="R295" s="51"/>
      <c r="S295" s="51">
        <v>45</v>
      </c>
      <c r="T295" s="51">
        <v>35</v>
      </c>
      <c r="U295" s="51"/>
      <c r="V295" s="51">
        <v>45</v>
      </c>
      <c r="W295" s="51"/>
      <c r="X295" s="55">
        <v>45</v>
      </c>
      <c r="Y295" s="59"/>
      <c r="Z295" s="51"/>
      <c r="AA295" s="51"/>
      <c r="AB295">
        <v>2.9</v>
      </c>
      <c r="AC295">
        <v>3.2</v>
      </c>
      <c r="AD295">
        <v>1.8</v>
      </c>
      <c r="AE295" t="s">
        <v>107</v>
      </c>
    </row>
    <row r="296" spans="1:31" x14ac:dyDescent="0.25">
      <c r="A296" s="30" t="s">
        <v>60</v>
      </c>
      <c r="B296" s="32" t="s">
        <v>23</v>
      </c>
      <c r="C296" s="31" t="s">
        <v>64</v>
      </c>
      <c r="D296" s="2"/>
      <c r="E296" s="2"/>
      <c r="F296" s="51"/>
      <c r="G296" s="51"/>
      <c r="H296" s="51"/>
      <c r="I296" s="51"/>
      <c r="J296" s="51"/>
      <c r="K296" s="51"/>
      <c r="L296" s="52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5"/>
      <c r="Y296" s="59"/>
      <c r="Z296" s="51"/>
      <c r="AA296" s="51"/>
      <c r="AB296">
        <v>3.6</v>
      </c>
      <c r="AC296">
        <v>1.2</v>
      </c>
      <c r="AD296">
        <v>1.2</v>
      </c>
      <c r="AE296" t="s">
        <v>108</v>
      </c>
    </row>
    <row r="297" spans="1:31" x14ac:dyDescent="0.25">
      <c r="A297" s="30" t="s">
        <v>60</v>
      </c>
      <c r="B297" s="32" t="s">
        <v>65</v>
      </c>
      <c r="C297" s="31" t="s">
        <v>66</v>
      </c>
      <c r="D297" s="2"/>
      <c r="E297" s="2"/>
      <c r="F297" s="51"/>
      <c r="G297" s="51"/>
      <c r="H297" s="51"/>
      <c r="I297" s="51"/>
      <c r="J297" s="51">
        <v>40</v>
      </c>
      <c r="K297" s="51"/>
      <c r="L297" s="52"/>
      <c r="M297" s="51">
        <v>40</v>
      </c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5"/>
      <c r="Y297" s="59"/>
      <c r="Z297" s="51"/>
      <c r="AA297" s="51"/>
      <c r="AB297">
        <v>65.099999999999994</v>
      </c>
      <c r="AC297">
        <v>42.7</v>
      </c>
      <c r="AD297">
        <v>42.2</v>
      </c>
      <c r="AE297" t="s">
        <v>109</v>
      </c>
    </row>
    <row r="298" spans="1:31" x14ac:dyDescent="0.25">
      <c r="A298" s="30" t="s">
        <v>60</v>
      </c>
      <c r="B298" s="32" t="s">
        <v>65</v>
      </c>
      <c r="C298" s="31" t="s">
        <v>67</v>
      </c>
      <c r="D298" s="2"/>
      <c r="E298" s="2"/>
      <c r="F298" s="51"/>
      <c r="G298" s="51"/>
      <c r="H298" s="51"/>
      <c r="I298" s="51"/>
      <c r="J298" s="51"/>
      <c r="K298" s="51"/>
      <c r="L298" s="52"/>
      <c r="M298" s="51"/>
      <c r="N298" s="51"/>
      <c r="O298" s="51"/>
      <c r="P298" s="51"/>
      <c r="Q298" s="51">
        <v>35</v>
      </c>
      <c r="R298" s="51">
        <v>35</v>
      </c>
      <c r="S298" s="51"/>
      <c r="T298" s="51">
        <v>35</v>
      </c>
      <c r="U298" s="51">
        <v>35</v>
      </c>
      <c r="V298" s="51">
        <v>35</v>
      </c>
      <c r="W298" s="51">
        <v>35</v>
      </c>
      <c r="X298" s="55">
        <v>35</v>
      </c>
      <c r="Y298" s="59"/>
      <c r="Z298" s="51"/>
      <c r="AA298" s="51"/>
      <c r="AB298">
        <v>18.2</v>
      </c>
      <c r="AC298">
        <v>22</v>
      </c>
      <c r="AD298">
        <v>22.2</v>
      </c>
      <c r="AE298" t="s">
        <v>110</v>
      </c>
    </row>
    <row r="299" spans="1:31" x14ac:dyDescent="0.25">
      <c r="A299" s="30" t="s">
        <v>60</v>
      </c>
      <c r="B299" s="32" t="s">
        <v>65</v>
      </c>
      <c r="C299" s="31" t="s">
        <v>68</v>
      </c>
      <c r="D299" s="2"/>
      <c r="E299" s="2"/>
      <c r="F299" s="51"/>
      <c r="G299" s="51"/>
      <c r="H299" s="51"/>
      <c r="I299" s="51"/>
      <c r="J299" s="51"/>
      <c r="K299" s="51"/>
      <c r="L299" s="52">
        <v>40</v>
      </c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5"/>
      <c r="Y299" s="59"/>
      <c r="Z299" s="51"/>
      <c r="AA299" s="51"/>
      <c r="AB299">
        <v>47</v>
      </c>
      <c r="AC299">
        <v>58</v>
      </c>
      <c r="AD299">
        <v>49</v>
      </c>
      <c r="AE299" t="s">
        <v>102</v>
      </c>
    </row>
    <row r="300" spans="1:31" x14ac:dyDescent="0.25">
      <c r="A300" s="30" t="s">
        <v>60</v>
      </c>
      <c r="B300" s="32" t="s">
        <v>9</v>
      </c>
      <c r="C300" s="31" t="s">
        <v>69</v>
      </c>
      <c r="D300" s="2"/>
      <c r="E300" s="2"/>
      <c r="F300" s="51"/>
      <c r="G300" s="51"/>
      <c r="H300" s="51"/>
      <c r="I300" s="51"/>
      <c r="J300" s="51"/>
      <c r="K300" s="51"/>
      <c r="L300" s="52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5">
        <v>60</v>
      </c>
      <c r="Y300" s="59"/>
      <c r="Z300" s="51"/>
      <c r="AA300" s="51"/>
      <c r="AB300">
        <f>AB295*AB296</f>
        <v>10.44</v>
      </c>
      <c r="AC300">
        <f>AC295*AC296</f>
        <v>3.84</v>
      </c>
      <c r="AD300">
        <f>AD295*AD296</f>
        <v>2.16</v>
      </c>
      <c r="AE300" t="s">
        <v>91</v>
      </c>
    </row>
    <row r="301" spans="1:31" x14ac:dyDescent="0.25">
      <c r="A301" s="15" t="s">
        <v>51</v>
      </c>
      <c r="B301" s="16" t="s">
        <v>56</v>
      </c>
      <c r="C301" s="27" t="s">
        <v>57</v>
      </c>
      <c r="D301" s="16" t="s">
        <v>70</v>
      </c>
      <c r="E301" s="16"/>
      <c r="F301" s="1"/>
      <c r="G301" s="1"/>
      <c r="H301" s="1"/>
      <c r="I301" s="1"/>
      <c r="J301" s="1"/>
      <c r="K301" s="1"/>
      <c r="L301" s="5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54"/>
      <c r="Y301" s="58"/>
      <c r="Z301" s="1"/>
      <c r="AA301" s="1"/>
      <c r="AB301">
        <f>(AB298/100)^2*AB297/100</f>
        <v>2.1563723999999999E-2</v>
      </c>
      <c r="AC301">
        <f>(AC298/100)^2*AC297/100</f>
        <v>2.0666800000000003E-2</v>
      </c>
      <c r="AD301">
        <f>(AD298/100)^2*AD297/100</f>
        <v>2.0797848000000001E-2</v>
      </c>
      <c r="AE301" t="s">
        <v>112</v>
      </c>
    </row>
    <row r="302" spans="1:31" x14ac:dyDescent="0.25">
      <c r="A302" s="15" t="s">
        <v>51</v>
      </c>
      <c r="B302" s="16" t="s">
        <v>56</v>
      </c>
      <c r="C302" s="27" t="s">
        <v>57</v>
      </c>
      <c r="D302" s="16" t="s">
        <v>71</v>
      </c>
      <c r="E302" s="16"/>
      <c r="F302" s="1"/>
      <c r="G302" s="1"/>
      <c r="H302" s="1"/>
      <c r="I302" s="1"/>
      <c r="J302" s="1"/>
      <c r="K302" s="1"/>
      <c r="L302" s="5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54"/>
      <c r="Y302" s="58"/>
      <c r="Z302" s="1"/>
      <c r="AA302" s="1"/>
      <c r="AB302">
        <f>AB300/AB299</f>
        <v>0.22212765957446806</v>
      </c>
      <c r="AC302">
        <f>AC300/AC299</f>
        <v>6.620689655172414E-2</v>
      </c>
      <c r="AD302">
        <f>AD300/AD299</f>
        <v>4.4081632653061226E-2</v>
      </c>
      <c r="AE302" t="s">
        <v>104</v>
      </c>
    </row>
    <row r="303" spans="1:31" x14ac:dyDescent="0.25">
      <c r="A303" s="15" t="s">
        <v>51</v>
      </c>
      <c r="B303" s="16" t="s">
        <v>56</v>
      </c>
      <c r="C303" s="27" t="s">
        <v>27</v>
      </c>
      <c r="D303" s="16" t="s">
        <v>72</v>
      </c>
      <c r="E303" s="16"/>
      <c r="F303" s="1"/>
      <c r="G303" s="1"/>
      <c r="H303" s="1"/>
      <c r="I303" s="1"/>
      <c r="J303" s="1"/>
      <c r="K303" s="1"/>
      <c r="L303" s="5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54"/>
      <c r="Y303" s="58"/>
      <c r="Z303" s="1"/>
      <c r="AA303" s="1"/>
      <c r="AB303">
        <f>AB300/AB301</f>
        <v>484.14643036610931</v>
      </c>
      <c r="AC303">
        <f>AC300/AC301</f>
        <v>185.8052528693363</v>
      </c>
      <c r="AD303">
        <f>AD300/AD301</f>
        <v>103.85689904070844</v>
      </c>
      <c r="AE303" t="s">
        <v>113</v>
      </c>
    </row>
    <row r="304" spans="1:31" x14ac:dyDescent="0.25">
      <c r="A304" s="15" t="s">
        <v>51</v>
      </c>
      <c r="B304" s="16" t="s">
        <v>56</v>
      </c>
      <c r="C304" s="27" t="s">
        <v>57</v>
      </c>
      <c r="D304" s="16" t="s">
        <v>73</v>
      </c>
      <c r="E304" s="16"/>
      <c r="F304" s="1"/>
      <c r="G304" s="1"/>
      <c r="H304" s="1"/>
      <c r="I304" s="1"/>
      <c r="J304" s="1"/>
      <c r="K304" s="1"/>
      <c r="L304" s="5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54"/>
      <c r="Y304" s="58"/>
      <c r="Z304" s="1"/>
      <c r="AA304" s="1"/>
    </row>
    <row r="305" spans="1:27" x14ac:dyDescent="0.25">
      <c r="A305" s="15" t="s">
        <v>51</v>
      </c>
      <c r="B305" s="16" t="s">
        <v>56</v>
      </c>
      <c r="C305" s="27" t="s">
        <v>57</v>
      </c>
      <c r="D305" s="16" t="s">
        <v>74</v>
      </c>
      <c r="E305" s="16"/>
      <c r="F305" s="1"/>
      <c r="G305" s="1"/>
      <c r="H305" s="1"/>
      <c r="I305" s="1"/>
      <c r="J305" s="1"/>
      <c r="K305" s="1"/>
      <c r="L305" s="5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54"/>
      <c r="Y305" s="58"/>
      <c r="Z305" s="1"/>
      <c r="AA305" s="1"/>
    </row>
    <row r="306" spans="1:27" x14ac:dyDescent="0.25">
      <c r="A306" s="30" t="s">
        <v>60</v>
      </c>
      <c r="B306" s="31" t="s">
        <v>13</v>
      </c>
      <c r="C306" s="32" t="s">
        <v>61</v>
      </c>
      <c r="D306" s="31" t="s">
        <v>75</v>
      </c>
      <c r="E306" s="31"/>
      <c r="F306" s="51"/>
      <c r="G306" s="51"/>
      <c r="H306" s="51"/>
      <c r="I306" s="51"/>
      <c r="J306" s="51"/>
      <c r="K306" s="51"/>
      <c r="L306" s="52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5"/>
      <c r="Y306" s="59"/>
      <c r="Z306" s="51"/>
      <c r="AA306" s="51"/>
    </row>
    <row r="307" spans="1:27" x14ac:dyDescent="0.25">
      <c r="A307" s="30" t="s">
        <v>60</v>
      </c>
      <c r="B307" s="31" t="s">
        <v>13</v>
      </c>
      <c r="C307" s="32" t="s">
        <v>61</v>
      </c>
      <c r="D307" s="31" t="s">
        <v>76</v>
      </c>
      <c r="E307" s="31"/>
      <c r="F307" s="51"/>
      <c r="G307" s="51"/>
      <c r="H307" s="51"/>
      <c r="I307" s="51"/>
      <c r="J307" s="51"/>
      <c r="K307" s="51"/>
      <c r="L307" s="52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5"/>
      <c r="Y307" s="59"/>
      <c r="Z307" s="51"/>
      <c r="AA307" s="51"/>
    </row>
    <row r="308" spans="1:27" x14ac:dyDescent="0.25">
      <c r="A308" s="30" t="s">
        <v>60</v>
      </c>
      <c r="B308" s="31" t="s">
        <v>13</v>
      </c>
      <c r="C308" s="32" t="s">
        <v>61</v>
      </c>
      <c r="D308" s="31" t="s">
        <v>77</v>
      </c>
      <c r="E308" s="31"/>
      <c r="F308" s="51"/>
      <c r="G308" s="51"/>
      <c r="H308" s="51"/>
      <c r="I308" s="51"/>
      <c r="J308" s="51"/>
      <c r="K308" s="51"/>
      <c r="L308" s="52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5"/>
      <c r="Y308" s="59"/>
      <c r="Z308" s="51"/>
      <c r="AA308" s="51"/>
    </row>
    <row r="309" spans="1:27" x14ac:dyDescent="0.25">
      <c r="A309" s="30" t="s">
        <v>60</v>
      </c>
      <c r="B309" s="31" t="s">
        <v>13</v>
      </c>
      <c r="C309" s="32" t="s">
        <v>61</v>
      </c>
      <c r="D309" s="31" t="s">
        <v>78</v>
      </c>
      <c r="E309" s="31"/>
      <c r="F309" s="51"/>
      <c r="G309" s="51"/>
      <c r="H309" s="51"/>
      <c r="I309" s="51"/>
      <c r="J309" s="51"/>
      <c r="K309" s="51"/>
      <c r="L309" s="52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5"/>
      <c r="Y309" s="59"/>
      <c r="Z309" s="51"/>
      <c r="AA309" s="51"/>
    </row>
    <row r="310" spans="1:27" ht="15.75" thickBot="1" x14ac:dyDescent="0.3">
      <c r="A310" s="33" t="s">
        <v>60</v>
      </c>
      <c r="B310" s="34" t="s">
        <v>13</v>
      </c>
      <c r="C310" s="35" t="s">
        <v>61</v>
      </c>
      <c r="D310" s="34" t="s">
        <v>79</v>
      </c>
      <c r="E310" s="31"/>
      <c r="F310" s="51"/>
      <c r="G310" s="51"/>
      <c r="H310" s="51"/>
      <c r="I310" s="51"/>
      <c r="J310" s="51"/>
      <c r="K310" s="51"/>
      <c r="L310" s="52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5"/>
      <c r="Y310" s="59"/>
      <c r="Z310" s="51"/>
      <c r="AA310" s="51"/>
    </row>
    <row r="311" spans="1:27" x14ac:dyDescent="0.25">
      <c r="A311" s="30" t="s">
        <v>60</v>
      </c>
      <c r="B311" s="31" t="s">
        <v>13</v>
      </c>
      <c r="C311" s="32" t="s">
        <v>62</v>
      </c>
      <c r="D311" s="31" t="s">
        <v>75</v>
      </c>
      <c r="E311" s="31"/>
      <c r="F311" s="51"/>
      <c r="G311" s="51"/>
      <c r="H311" s="51"/>
      <c r="I311" s="51"/>
      <c r="J311" s="51"/>
      <c r="K311" s="51"/>
      <c r="L311" s="52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5"/>
      <c r="Y311" s="59"/>
      <c r="Z311" s="51"/>
      <c r="AA311" s="51"/>
    </row>
    <row r="312" spans="1:27" x14ac:dyDescent="0.25">
      <c r="A312" s="30" t="s">
        <v>60</v>
      </c>
      <c r="B312" s="31" t="s">
        <v>13</v>
      </c>
      <c r="C312" s="32" t="s">
        <v>62</v>
      </c>
      <c r="D312" s="31" t="s">
        <v>76</v>
      </c>
      <c r="E312" s="31"/>
      <c r="F312" s="51"/>
      <c r="G312" s="51"/>
      <c r="H312" s="51"/>
      <c r="I312" s="51"/>
      <c r="J312" s="51"/>
      <c r="K312" s="51"/>
      <c r="L312" s="52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5"/>
      <c r="Y312" s="59"/>
      <c r="Z312" s="51"/>
      <c r="AA312" s="51"/>
    </row>
    <row r="313" spans="1:27" x14ac:dyDescent="0.25">
      <c r="A313" s="30" t="s">
        <v>60</v>
      </c>
      <c r="B313" s="31" t="s">
        <v>13</v>
      </c>
      <c r="C313" s="32" t="s">
        <v>62</v>
      </c>
      <c r="D313" s="31" t="s">
        <v>77</v>
      </c>
      <c r="E313" s="31"/>
      <c r="F313" s="51"/>
      <c r="G313" s="51"/>
      <c r="H313" s="51"/>
      <c r="I313" s="51"/>
      <c r="J313" s="51"/>
      <c r="K313" s="51"/>
      <c r="L313" s="52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5"/>
      <c r="Y313" s="59"/>
      <c r="Z313" s="51"/>
      <c r="AA313" s="51"/>
    </row>
    <row r="314" spans="1:27" x14ac:dyDescent="0.25">
      <c r="A314" s="30" t="s">
        <v>60</v>
      </c>
      <c r="B314" s="31" t="s">
        <v>13</v>
      </c>
      <c r="C314" s="32" t="s">
        <v>62</v>
      </c>
      <c r="D314" s="31" t="s">
        <v>78</v>
      </c>
      <c r="E314" s="31"/>
      <c r="F314" s="51"/>
      <c r="G314" s="51"/>
      <c r="H314" s="51"/>
      <c r="I314" s="51"/>
      <c r="J314" s="51"/>
      <c r="K314" s="51"/>
      <c r="L314" s="52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5"/>
      <c r="Y314" s="59"/>
      <c r="Z314" s="51"/>
      <c r="AA314" s="51"/>
    </row>
    <row r="315" spans="1:27" ht="15.75" thickBot="1" x14ac:dyDescent="0.3">
      <c r="A315" s="33" t="s">
        <v>60</v>
      </c>
      <c r="B315" s="34" t="s">
        <v>13</v>
      </c>
      <c r="C315" s="32" t="s">
        <v>62</v>
      </c>
      <c r="D315" s="34" t="s">
        <v>79</v>
      </c>
      <c r="E315" s="31"/>
      <c r="F315" s="51"/>
      <c r="G315" s="51"/>
      <c r="H315" s="51"/>
      <c r="I315" s="51"/>
      <c r="J315" s="51"/>
      <c r="K315" s="51"/>
      <c r="L315" s="52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5"/>
      <c r="Y315" s="59"/>
      <c r="Z315" s="51"/>
      <c r="AA315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315"/>
  <sheetViews>
    <sheetView workbookViewId="0"/>
  </sheetViews>
  <sheetFormatPr baseColWidth="10" defaultColWidth="8.85546875" defaultRowHeight="15" x14ac:dyDescent="0.25"/>
  <cols>
    <col min="5" max="5" width="9.140625" customWidth="1"/>
    <col min="27" max="27" width="9.42578125" bestFit="1" customWidth="1"/>
  </cols>
  <sheetData>
    <row r="1" spans="1:33" ht="18.75" x14ac:dyDescent="0.3">
      <c r="A1" s="42" t="s">
        <v>14</v>
      </c>
      <c r="B1" s="42"/>
      <c r="C1" s="82">
        <v>2014</v>
      </c>
    </row>
    <row r="2" spans="1:33" x14ac:dyDescent="0.25">
      <c r="D2" s="41" t="s">
        <v>1</v>
      </c>
      <c r="E2" s="41"/>
      <c r="M2" s="24" t="s">
        <v>81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33" x14ac:dyDescent="0.25">
      <c r="F3" s="23" t="s">
        <v>44</v>
      </c>
      <c r="G3" s="23"/>
      <c r="H3" s="23"/>
      <c r="I3" s="23"/>
      <c r="J3" s="23"/>
      <c r="K3" s="23"/>
      <c r="L3" s="7" t="s">
        <v>30</v>
      </c>
      <c r="M3" s="24" t="s">
        <v>46</v>
      </c>
      <c r="N3" s="24"/>
      <c r="O3" s="24"/>
      <c r="P3" s="24"/>
      <c r="Q3" s="24"/>
      <c r="R3" s="24" t="s">
        <v>47</v>
      </c>
      <c r="S3" s="24"/>
      <c r="T3" s="24"/>
      <c r="U3" s="24"/>
      <c r="V3" s="24"/>
      <c r="W3" s="24"/>
      <c r="X3" s="24"/>
      <c r="Y3" s="44" t="s">
        <v>85</v>
      </c>
      <c r="Z3" s="44" t="s">
        <v>48</v>
      </c>
      <c r="AA3" s="44" t="s">
        <v>3</v>
      </c>
    </row>
    <row r="4" spans="1:33" ht="63" x14ac:dyDescent="0.25">
      <c r="F4" s="38" t="s">
        <v>36</v>
      </c>
      <c r="G4" s="38" t="s">
        <v>37</v>
      </c>
      <c r="H4" s="38" t="s">
        <v>38</v>
      </c>
      <c r="I4" s="38" t="s">
        <v>80</v>
      </c>
      <c r="J4" s="38" t="s">
        <v>39</v>
      </c>
      <c r="K4" s="38" t="s">
        <v>45</v>
      </c>
      <c r="L4" s="39" t="s">
        <v>16</v>
      </c>
      <c r="M4" s="40" t="s">
        <v>34</v>
      </c>
      <c r="N4" s="40" t="s">
        <v>5</v>
      </c>
      <c r="O4" s="40" t="s">
        <v>7</v>
      </c>
      <c r="P4" s="40" t="s">
        <v>8</v>
      </c>
      <c r="Q4" s="40" t="s">
        <v>40</v>
      </c>
      <c r="R4" s="40" t="s">
        <v>41</v>
      </c>
      <c r="S4" s="40" t="s">
        <v>42</v>
      </c>
      <c r="T4" s="40" t="s">
        <v>31</v>
      </c>
      <c r="U4" s="40" t="s">
        <v>43</v>
      </c>
      <c r="V4" s="40" t="s">
        <v>82</v>
      </c>
      <c r="W4" s="40" t="s">
        <v>87</v>
      </c>
      <c r="X4" s="40" t="s">
        <v>83</v>
      </c>
      <c r="Y4" s="45" t="s">
        <v>3</v>
      </c>
      <c r="Z4" s="45" t="s">
        <v>3</v>
      </c>
      <c r="AA4" s="45" t="s">
        <v>3</v>
      </c>
    </row>
    <row r="5" spans="1:33" x14ac:dyDescent="0.25">
      <c r="A5" s="15" t="s">
        <v>51</v>
      </c>
      <c r="B5" s="2"/>
      <c r="C5" s="2"/>
      <c r="D5">
        <f>6000*0.045</f>
        <v>270</v>
      </c>
      <c r="F5" s="1">
        <f t="shared" ref="F5:M5" si="0">F7+F8+F9</f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52">
        <f t="shared" si="0"/>
        <v>0</v>
      </c>
      <c r="M5" s="1">
        <f t="shared" si="0"/>
        <v>0</v>
      </c>
      <c r="N5" s="1">
        <f t="shared" ref="N5:X5" si="1">N7+N8+N9</f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58">
        <f t="shared" ref="Y5:Y45" si="2">SUM(F5:K5)</f>
        <v>0</v>
      </c>
      <c r="Z5" s="1">
        <f t="shared" ref="Z5:Z45" si="3">SUM(M5:X5)</f>
        <v>0</v>
      </c>
      <c r="AA5" s="1">
        <f>L5+Y5+Z5</f>
        <v>0</v>
      </c>
    </row>
    <row r="6" spans="1:33" x14ac:dyDescent="0.25">
      <c r="A6" s="30" t="s">
        <v>60</v>
      </c>
      <c r="B6" s="2"/>
      <c r="C6" s="2"/>
      <c r="F6" s="1">
        <f>F10+F11+F12+F13</f>
        <v>9000</v>
      </c>
      <c r="G6" s="1">
        <f t="shared" ref="G6:X6" si="4">G10+G11+G12+G13</f>
        <v>5454.545454545454</v>
      </c>
      <c r="H6" s="1">
        <f t="shared" si="4"/>
        <v>9460</v>
      </c>
      <c r="I6" s="1">
        <f t="shared" si="4"/>
        <v>2940</v>
      </c>
      <c r="J6" s="1">
        <f t="shared" si="4"/>
        <v>7685.166666666667</v>
      </c>
      <c r="K6" s="1">
        <f t="shared" si="4"/>
        <v>3141</v>
      </c>
      <c r="L6" s="52">
        <f t="shared" si="4"/>
        <v>222222.22222222222</v>
      </c>
      <c r="M6" s="1">
        <f t="shared" si="4"/>
        <v>12416.666666666668</v>
      </c>
      <c r="N6" s="1">
        <f t="shared" si="4"/>
        <v>2180</v>
      </c>
      <c r="O6" s="1">
        <f t="shared" si="4"/>
        <v>1195.2</v>
      </c>
      <c r="P6" s="1">
        <f t="shared" si="4"/>
        <v>6613.44</v>
      </c>
      <c r="Q6" s="1">
        <f t="shared" si="4"/>
        <v>24200</v>
      </c>
      <c r="R6" s="1">
        <f t="shared" si="4"/>
        <v>15277.777777777779</v>
      </c>
      <c r="S6" s="1">
        <f t="shared" si="4"/>
        <v>245</v>
      </c>
      <c r="T6" s="1">
        <f t="shared" si="4"/>
        <v>13905.555555555557</v>
      </c>
      <c r="U6" s="1">
        <f t="shared" si="4"/>
        <v>5225.454545454545</v>
      </c>
      <c r="V6" s="1">
        <f t="shared" si="4"/>
        <v>5076.666666666667</v>
      </c>
      <c r="W6" s="1">
        <f t="shared" si="4"/>
        <v>7583.3333333333339</v>
      </c>
      <c r="X6" s="54">
        <f t="shared" si="4"/>
        <v>8654.7619047619046</v>
      </c>
      <c r="Y6" s="58">
        <f t="shared" si="2"/>
        <v>37680.71212121212</v>
      </c>
      <c r="Z6" s="1">
        <f t="shared" si="3"/>
        <v>102573.85645021647</v>
      </c>
      <c r="AA6" s="1">
        <f>L6+Y6+Z6</f>
        <v>362476.79079365078</v>
      </c>
    </row>
    <row r="7" spans="1:33" x14ac:dyDescent="0.25">
      <c r="A7" s="15" t="s">
        <v>51</v>
      </c>
      <c r="B7" s="16" t="s">
        <v>52</v>
      </c>
      <c r="C7" s="2"/>
      <c r="F7" s="1">
        <f>F14+F15+F16</f>
        <v>0</v>
      </c>
      <c r="G7" s="1">
        <f t="shared" ref="G7:X7" si="5">G14+G15+G16</f>
        <v>0</v>
      </c>
      <c r="H7" s="1">
        <f t="shared" si="5"/>
        <v>0</v>
      </c>
      <c r="I7" s="1">
        <f t="shared" si="5"/>
        <v>0</v>
      </c>
      <c r="J7" s="1">
        <f t="shared" si="5"/>
        <v>0</v>
      </c>
      <c r="K7" s="1">
        <f t="shared" si="5"/>
        <v>0</v>
      </c>
      <c r="L7" s="52">
        <f t="shared" si="5"/>
        <v>0</v>
      </c>
      <c r="M7" s="1">
        <f t="shared" si="5"/>
        <v>0</v>
      </c>
      <c r="N7" s="1">
        <f t="shared" si="5"/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  <c r="R7" s="1">
        <f t="shared" si="5"/>
        <v>0</v>
      </c>
      <c r="S7" s="1">
        <f t="shared" si="5"/>
        <v>0</v>
      </c>
      <c r="T7" s="1">
        <f t="shared" si="5"/>
        <v>0</v>
      </c>
      <c r="U7" s="1">
        <f t="shared" si="5"/>
        <v>0</v>
      </c>
      <c r="V7" s="1">
        <f t="shared" si="5"/>
        <v>0</v>
      </c>
      <c r="W7" s="1">
        <f t="shared" si="5"/>
        <v>0</v>
      </c>
      <c r="X7" s="54">
        <f t="shared" si="5"/>
        <v>0</v>
      </c>
      <c r="Y7" s="58">
        <f t="shared" si="2"/>
        <v>0</v>
      </c>
      <c r="Z7" s="1">
        <f t="shared" si="3"/>
        <v>0</v>
      </c>
      <c r="AA7" s="1">
        <f>L7+Y7+Z7</f>
        <v>0</v>
      </c>
    </row>
    <row r="8" spans="1:33" x14ac:dyDescent="0.25">
      <c r="A8" s="15" t="s">
        <v>51</v>
      </c>
      <c r="B8" s="16" t="s">
        <v>56</v>
      </c>
      <c r="C8" s="2"/>
      <c r="F8" s="1">
        <f>F17+F18+F19</f>
        <v>0</v>
      </c>
      <c r="G8" s="1">
        <f t="shared" ref="G8:X8" si="6">G17+G18+G19</f>
        <v>0</v>
      </c>
      <c r="H8" s="1">
        <f t="shared" si="6"/>
        <v>0</v>
      </c>
      <c r="I8" s="1">
        <f t="shared" si="6"/>
        <v>0</v>
      </c>
      <c r="J8" s="1">
        <f t="shared" si="6"/>
        <v>0</v>
      </c>
      <c r="K8" s="1">
        <f t="shared" si="6"/>
        <v>0</v>
      </c>
      <c r="L8" s="52">
        <f t="shared" si="6"/>
        <v>0</v>
      </c>
      <c r="M8" s="1">
        <f t="shared" si="6"/>
        <v>0</v>
      </c>
      <c r="N8" s="1">
        <f t="shared" si="6"/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  <c r="R8" s="1">
        <f t="shared" si="6"/>
        <v>0</v>
      </c>
      <c r="S8" s="1">
        <f t="shared" si="6"/>
        <v>0</v>
      </c>
      <c r="T8" s="1">
        <f t="shared" si="6"/>
        <v>0</v>
      </c>
      <c r="U8" s="1">
        <f t="shared" si="6"/>
        <v>0</v>
      </c>
      <c r="V8" s="1">
        <f t="shared" si="6"/>
        <v>0</v>
      </c>
      <c r="W8" s="1">
        <f t="shared" si="6"/>
        <v>0</v>
      </c>
      <c r="X8" s="54">
        <f t="shared" si="6"/>
        <v>0</v>
      </c>
      <c r="Y8" s="58">
        <f t="shared" si="2"/>
        <v>0</v>
      </c>
      <c r="Z8" s="1">
        <f t="shared" si="3"/>
        <v>0</v>
      </c>
      <c r="AA8" s="1">
        <f>L8+Y8+Z8</f>
        <v>0</v>
      </c>
      <c r="AE8" s="98"/>
      <c r="AF8" s="98"/>
      <c r="AG8" s="98"/>
    </row>
    <row r="9" spans="1:33" x14ac:dyDescent="0.25">
      <c r="A9" s="15" t="s">
        <v>51</v>
      </c>
      <c r="B9" s="16" t="s">
        <v>9</v>
      </c>
      <c r="C9" s="2"/>
      <c r="F9" s="1">
        <f>F20</f>
        <v>0</v>
      </c>
      <c r="G9" s="1">
        <f t="shared" ref="G9:X9" si="7">G20</f>
        <v>0</v>
      </c>
      <c r="H9" s="1">
        <f t="shared" si="7"/>
        <v>0</v>
      </c>
      <c r="I9" s="1">
        <f t="shared" si="7"/>
        <v>0</v>
      </c>
      <c r="J9" s="1">
        <f t="shared" si="7"/>
        <v>0</v>
      </c>
      <c r="K9" s="1">
        <f t="shared" si="7"/>
        <v>0</v>
      </c>
      <c r="L9" s="52">
        <f t="shared" si="7"/>
        <v>0</v>
      </c>
      <c r="M9" s="1">
        <f t="shared" si="7"/>
        <v>0</v>
      </c>
      <c r="N9" s="1">
        <f t="shared" si="7"/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  <c r="R9" s="1">
        <f t="shared" si="7"/>
        <v>0</v>
      </c>
      <c r="S9" s="1">
        <f t="shared" si="7"/>
        <v>0</v>
      </c>
      <c r="T9" s="1">
        <f t="shared" si="7"/>
        <v>0</v>
      </c>
      <c r="U9" s="1">
        <f t="shared" si="7"/>
        <v>0</v>
      </c>
      <c r="V9" s="1">
        <f t="shared" si="7"/>
        <v>0</v>
      </c>
      <c r="W9" s="1">
        <f t="shared" si="7"/>
        <v>0</v>
      </c>
      <c r="X9" s="54">
        <f t="shared" si="7"/>
        <v>0</v>
      </c>
      <c r="Y9" s="58">
        <f t="shared" si="2"/>
        <v>0</v>
      </c>
      <c r="Z9" s="1">
        <f t="shared" si="3"/>
        <v>0</v>
      </c>
      <c r="AA9" s="1">
        <f>L9+Y9+Z9</f>
        <v>0</v>
      </c>
      <c r="AE9" s="98"/>
      <c r="AF9" s="98"/>
      <c r="AG9" s="98"/>
    </row>
    <row r="10" spans="1:33" x14ac:dyDescent="0.25">
      <c r="A10" s="30" t="s">
        <v>60</v>
      </c>
      <c r="B10" s="32" t="s">
        <v>13</v>
      </c>
      <c r="C10" s="2"/>
      <c r="F10" s="51">
        <f>F21+F22+F23</f>
        <v>9000</v>
      </c>
      <c r="G10" s="51">
        <f t="shared" ref="G10:X10" si="8">G21+G22+G23</f>
        <v>5454.545454545454</v>
      </c>
      <c r="H10" s="64">
        <v>9460</v>
      </c>
      <c r="I10" s="51">
        <f t="shared" si="8"/>
        <v>2940</v>
      </c>
      <c r="J10" s="51">
        <f t="shared" si="8"/>
        <v>1850</v>
      </c>
      <c r="K10" s="51">
        <f t="shared" si="8"/>
        <v>800</v>
      </c>
      <c r="L10" s="52">
        <f t="shared" si="8"/>
        <v>0</v>
      </c>
      <c r="M10" s="51">
        <f t="shared" si="8"/>
        <v>2000</v>
      </c>
      <c r="N10" s="51">
        <f t="shared" si="8"/>
        <v>380</v>
      </c>
      <c r="O10" s="51">
        <f t="shared" si="8"/>
        <v>1195.2</v>
      </c>
      <c r="P10" s="51">
        <f t="shared" si="8"/>
        <v>6613.44</v>
      </c>
      <c r="Q10" s="51">
        <f t="shared" si="8"/>
        <v>200</v>
      </c>
      <c r="R10" s="51">
        <f t="shared" si="8"/>
        <v>833.33333333333337</v>
      </c>
      <c r="S10" s="51">
        <f t="shared" si="8"/>
        <v>0</v>
      </c>
      <c r="T10" s="51">
        <f t="shared" si="8"/>
        <v>200</v>
      </c>
      <c r="U10" s="51">
        <f t="shared" si="8"/>
        <v>680</v>
      </c>
      <c r="V10" s="51">
        <f t="shared" si="8"/>
        <v>50</v>
      </c>
      <c r="W10" s="51">
        <f t="shared" si="8"/>
        <v>1333.3333333333335</v>
      </c>
      <c r="X10" s="55">
        <f t="shared" si="8"/>
        <v>400</v>
      </c>
      <c r="Y10" s="59">
        <f t="shared" si="2"/>
        <v>29504.545454545456</v>
      </c>
      <c r="Z10" s="73">
        <f t="shared" si="3"/>
        <v>13885.306666666667</v>
      </c>
      <c r="AA10" s="83">
        <f>235/255*50000</f>
        <v>46078.431372549014</v>
      </c>
      <c r="AE10" s="98"/>
      <c r="AF10" s="98"/>
      <c r="AG10" s="98"/>
    </row>
    <row r="11" spans="1:33" x14ac:dyDescent="0.25">
      <c r="A11" s="30" t="s">
        <v>60</v>
      </c>
      <c r="B11" s="31" t="s">
        <v>23</v>
      </c>
      <c r="C11" s="2"/>
      <c r="F11" s="51">
        <f>F24+F25+F26</f>
        <v>0</v>
      </c>
      <c r="G11" s="51">
        <f t="shared" ref="G11:X11" si="9">G24+G25+G26</f>
        <v>0</v>
      </c>
      <c r="H11" s="51">
        <f t="shared" si="9"/>
        <v>0</v>
      </c>
      <c r="I11" s="51">
        <f t="shared" si="9"/>
        <v>0</v>
      </c>
      <c r="J11" s="51">
        <f t="shared" si="9"/>
        <v>1668.5</v>
      </c>
      <c r="K11" s="51">
        <f t="shared" si="9"/>
        <v>2341</v>
      </c>
      <c r="L11" s="52">
        <f t="shared" si="9"/>
        <v>0</v>
      </c>
      <c r="M11" s="51">
        <f t="shared" si="9"/>
        <v>0</v>
      </c>
      <c r="N11" s="51">
        <f t="shared" si="9"/>
        <v>1800</v>
      </c>
      <c r="O11" s="51">
        <f t="shared" si="9"/>
        <v>0</v>
      </c>
      <c r="P11" s="51">
        <f t="shared" si="9"/>
        <v>0</v>
      </c>
      <c r="Q11" s="51">
        <f t="shared" si="9"/>
        <v>0</v>
      </c>
      <c r="R11" s="51">
        <f t="shared" si="9"/>
        <v>0</v>
      </c>
      <c r="S11" s="51">
        <f t="shared" si="9"/>
        <v>245</v>
      </c>
      <c r="T11" s="51">
        <f t="shared" si="9"/>
        <v>650</v>
      </c>
      <c r="U11" s="51">
        <f t="shared" si="9"/>
        <v>0</v>
      </c>
      <c r="V11" s="51">
        <f t="shared" si="9"/>
        <v>100</v>
      </c>
      <c r="W11" s="51">
        <f t="shared" si="9"/>
        <v>0</v>
      </c>
      <c r="X11" s="55">
        <f t="shared" si="9"/>
        <v>100</v>
      </c>
      <c r="Y11" s="59">
        <f t="shared" si="2"/>
        <v>4009.5</v>
      </c>
      <c r="Z11" s="73">
        <f t="shared" si="3"/>
        <v>2895</v>
      </c>
      <c r="AA11" s="73">
        <f>L11+Y11+Z11</f>
        <v>6904.5</v>
      </c>
      <c r="AC11" t="s">
        <v>14</v>
      </c>
    </row>
    <row r="12" spans="1:33" x14ac:dyDescent="0.25">
      <c r="A12" s="30" t="s">
        <v>60</v>
      </c>
      <c r="B12" s="31" t="s">
        <v>65</v>
      </c>
      <c r="C12" s="46"/>
      <c r="F12" s="51">
        <f>F27+F28+F29</f>
        <v>0</v>
      </c>
      <c r="G12" s="51">
        <f t="shared" ref="G12:X12" si="10">G27+G28+G29</f>
        <v>0</v>
      </c>
      <c r="H12" s="51">
        <f t="shared" si="10"/>
        <v>0</v>
      </c>
      <c r="I12" s="51">
        <f t="shared" si="10"/>
        <v>0</v>
      </c>
      <c r="J12" s="51">
        <f t="shared" si="10"/>
        <v>4166.666666666667</v>
      </c>
      <c r="K12" s="51">
        <f t="shared" si="10"/>
        <v>0</v>
      </c>
      <c r="L12" s="52">
        <f t="shared" si="10"/>
        <v>222222.22222222222</v>
      </c>
      <c r="M12" s="51">
        <f t="shared" si="10"/>
        <v>10416.666666666668</v>
      </c>
      <c r="N12" s="51">
        <f t="shared" si="10"/>
        <v>0</v>
      </c>
      <c r="O12" s="51">
        <f t="shared" si="10"/>
        <v>0</v>
      </c>
      <c r="P12" s="51">
        <f t="shared" si="10"/>
        <v>0</v>
      </c>
      <c r="Q12" s="51">
        <f t="shared" si="10"/>
        <v>24000</v>
      </c>
      <c r="R12" s="51">
        <f t="shared" si="10"/>
        <v>14444.444444444445</v>
      </c>
      <c r="S12" s="51">
        <f t="shared" si="10"/>
        <v>0</v>
      </c>
      <c r="T12" s="51">
        <f t="shared" si="10"/>
        <v>13055.555555555557</v>
      </c>
      <c r="U12" s="51">
        <f t="shared" si="10"/>
        <v>4545.454545454545</v>
      </c>
      <c r="V12" s="51">
        <f t="shared" si="10"/>
        <v>4166.666666666667</v>
      </c>
      <c r="W12" s="51">
        <f t="shared" si="10"/>
        <v>6250</v>
      </c>
      <c r="X12" s="55">
        <f t="shared" si="10"/>
        <v>6666.666666666667</v>
      </c>
      <c r="Y12" s="59">
        <f t="shared" si="2"/>
        <v>4166.666666666667</v>
      </c>
      <c r="Z12" s="73">
        <f t="shared" si="3"/>
        <v>83545.454545454559</v>
      </c>
      <c r="AA12" s="81">
        <f>L12+Y12+Z12</f>
        <v>309934.34343434346</v>
      </c>
      <c r="AB12" s="64">
        <v>350000</v>
      </c>
      <c r="AC12">
        <f>32/330</f>
        <v>9.696969696969697E-2</v>
      </c>
      <c r="AD12" t="s">
        <v>100</v>
      </c>
    </row>
    <row r="13" spans="1:33" ht="15.75" thickBot="1" x14ac:dyDescent="0.3">
      <c r="A13" s="48" t="s">
        <v>60</v>
      </c>
      <c r="B13" s="49" t="s">
        <v>9</v>
      </c>
      <c r="C13" s="50"/>
      <c r="D13" s="50"/>
      <c r="E13" s="50"/>
      <c r="F13" s="53">
        <f>F30</f>
        <v>0</v>
      </c>
      <c r="G13" s="53">
        <f t="shared" ref="G13:X13" si="11">G30</f>
        <v>0</v>
      </c>
      <c r="H13" s="53">
        <f t="shared" si="11"/>
        <v>0</v>
      </c>
      <c r="I13" s="53">
        <f t="shared" si="11"/>
        <v>0</v>
      </c>
      <c r="J13" s="53">
        <f t="shared" si="11"/>
        <v>0</v>
      </c>
      <c r="K13" s="53">
        <f t="shared" si="11"/>
        <v>0</v>
      </c>
      <c r="L13" s="62">
        <f t="shared" si="11"/>
        <v>0</v>
      </c>
      <c r="M13" s="53">
        <f t="shared" si="11"/>
        <v>0</v>
      </c>
      <c r="N13" s="53">
        <f t="shared" si="11"/>
        <v>0</v>
      </c>
      <c r="O13" s="53">
        <f t="shared" si="11"/>
        <v>0</v>
      </c>
      <c r="P13" s="53">
        <f t="shared" si="11"/>
        <v>0</v>
      </c>
      <c r="Q13" s="53">
        <f t="shared" si="11"/>
        <v>0</v>
      </c>
      <c r="R13" s="53">
        <f t="shared" si="11"/>
        <v>0</v>
      </c>
      <c r="S13" s="53">
        <f t="shared" si="11"/>
        <v>0</v>
      </c>
      <c r="T13" s="53">
        <f t="shared" si="11"/>
        <v>0</v>
      </c>
      <c r="U13" s="53">
        <f t="shared" si="11"/>
        <v>0</v>
      </c>
      <c r="V13" s="53">
        <f t="shared" si="11"/>
        <v>760</v>
      </c>
      <c r="W13" s="53">
        <f t="shared" si="11"/>
        <v>0</v>
      </c>
      <c r="X13" s="75">
        <f t="shared" si="11"/>
        <v>1488.0952380952381</v>
      </c>
      <c r="Y13" s="60">
        <f t="shared" si="2"/>
        <v>0</v>
      </c>
      <c r="Z13" s="74">
        <f t="shared" si="3"/>
        <v>2248.0952380952381</v>
      </c>
      <c r="AA13" s="65">
        <v>2200</v>
      </c>
    </row>
    <row r="14" spans="1:33" ht="15.75" thickTop="1" x14ac:dyDescent="0.25">
      <c r="A14" s="15" t="s">
        <v>51</v>
      </c>
      <c r="B14" s="16" t="s">
        <v>52</v>
      </c>
      <c r="C14" s="16" t="s">
        <v>53</v>
      </c>
      <c r="D14" s="2"/>
      <c r="E14" s="2"/>
      <c r="F14" s="47">
        <v>0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63">
        <v>0</v>
      </c>
      <c r="M14" s="47">
        <v>0</v>
      </c>
      <c r="N14" s="47">
        <v>0</v>
      </c>
      <c r="O14" s="47">
        <v>0</v>
      </c>
      <c r="P14" s="47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57">
        <v>0</v>
      </c>
      <c r="Y14" s="61">
        <f t="shared" si="2"/>
        <v>0</v>
      </c>
      <c r="Z14" s="47">
        <f t="shared" si="3"/>
        <v>0</v>
      </c>
      <c r="AA14" s="47">
        <f t="shared" ref="AA14:AA25" si="12">L14+Y14+Z14</f>
        <v>0</v>
      </c>
      <c r="AF14">
        <f>9/24*5000</f>
        <v>1875</v>
      </c>
    </row>
    <row r="15" spans="1:33" x14ac:dyDescent="0.25">
      <c r="A15" s="15" t="s">
        <v>51</v>
      </c>
      <c r="B15" s="16" t="s">
        <v>52</v>
      </c>
      <c r="C15" s="16" t="s">
        <v>54</v>
      </c>
      <c r="D15" s="2"/>
      <c r="E15" s="2"/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52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54">
        <v>0</v>
      </c>
      <c r="Y15" s="58">
        <f t="shared" si="2"/>
        <v>0</v>
      </c>
      <c r="Z15" s="1">
        <f t="shared" si="3"/>
        <v>0</v>
      </c>
      <c r="AA15" s="1">
        <f t="shared" si="12"/>
        <v>0</v>
      </c>
    </row>
    <row r="16" spans="1:33" x14ac:dyDescent="0.25">
      <c r="A16" s="15" t="s">
        <v>51</v>
      </c>
      <c r="B16" s="16" t="s">
        <v>52</v>
      </c>
      <c r="C16" s="16" t="s">
        <v>55</v>
      </c>
      <c r="D16" s="2"/>
      <c r="E16" s="2"/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52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54">
        <v>0</v>
      </c>
      <c r="Y16" s="58">
        <f t="shared" si="2"/>
        <v>0</v>
      </c>
      <c r="Z16" s="1">
        <f t="shared" si="3"/>
        <v>0</v>
      </c>
      <c r="AA16" s="1">
        <f t="shared" si="12"/>
        <v>0</v>
      </c>
    </row>
    <row r="17" spans="1:34" x14ac:dyDescent="0.25">
      <c r="A17" s="25" t="s">
        <v>51</v>
      </c>
      <c r="B17" s="26" t="s">
        <v>56</v>
      </c>
      <c r="C17" s="26" t="s">
        <v>57</v>
      </c>
      <c r="D17" s="2"/>
      <c r="E17" s="2"/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52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54">
        <v>0</v>
      </c>
      <c r="Y17" s="58">
        <f t="shared" si="2"/>
        <v>0</v>
      </c>
      <c r="Z17" s="1">
        <f t="shared" si="3"/>
        <v>0</v>
      </c>
      <c r="AA17" s="1">
        <f t="shared" si="12"/>
        <v>0</v>
      </c>
    </row>
    <row r="18" spans="1:34" x14ac:dyDescent="0.25">
      <c r="A18" s="15" t="s">
        <v>51</v>
      </c>
      <c r="B18" s="16" t="s">
        <v>56</v>
      </c>
      <c r="C18" s="27" t="s">
        <v>58</v>
      </c>
      <c r="D18" s="2"/>
      <c r="E18" s="2"/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52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54">
        <v>0</v>
      </c>
      <c r="Y18" s="58">
        <f t="shared" si="2"/>
        <v>0</v>
      </c>
      <c r="Z18" s="1">
        <f t="shared" si="3"/>
        <v>0</v>
      </c>
      <c r="AA18" s="1">
        <f t="shared" si="12"/>
        <v>0</v>
      </c>
    </row>
    <row r="19" spans="1:34" x14ac:dyDescent="0.25">
      <c r="A19" s="15" t="s">
        <v>51</v>
      </c>
      <c r="B19" s="16" t="s">
        <v>9</v>
      </c>
      <c r="C19" s="27" t="s">
        <v>59</v>
      </c>
      <c r="D19" s="2"/>
      <c r="E19" s="2"/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52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54">
        <v>0</v>
      </c>
      <c r="Y19" s="58">
        <f t="shared" si="2"/>
        <v>0</v>
      </c>
      <c r="Z19" s="1">
        <f t="shared" si="3"/>
        <v>0</v>
      </c>
      <c r="AA19" s="1">
        <f t="shared" si="12"/>
        <v>0</v>
      </c>
    </row>
    <row r="20" spans="1:34" x14ac:dyDescent="0.25">
      <c r="A20" s="15" t="s">
        <v>51</v>
      </c>
      <c r="B20" s="16" t="s">
        <v>9</v>
      </c>
      <c r="C20" s="27" t="s">
        <v>9</v>
      </c>
      <c r="D20" s="2"/>
      <c r="E20" s="2"/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52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54">
        <v>0</v>
      </c>
      <c r="Y20" s="58">
        <f t="shared" si="2"/>
        <v>0</v>
      </c>
      <c r="Z20" s="1">
        <f t="shared" si="3"/>
        <v>0</v>
      </c>
      <c r="AA20" s="1">
        <f t="shared" si="12"/>
        <v>0</v>
      </c>
      <c r="AC20">
        <f>0.04*46</f>
        <v>1.84</v>
      </c>
    </row>
    <row r="21" spans="1:34" x14ac:dyDescent="0.25">
      <c r="A21" s="28" t="s">
        <v>60</v>
      </c>
      <c r="B21" s="29" t="s">
        <v>13</v>
      </c>
      <c r="C21" s="29" t="s">
        <v>61</v>
      </c>
      <c r="D21" s="2"/>
      <c r="E21" s="2"/>
      <c r="F21" s="64">
        <f>9000*0.8</f>
        <v>7200</v>
      </c>
      <c r="G21" s="51">
        <v>0</v>
      </c>
      <c r="H21" s="64">
        <v>4830</v>
      </c>
      <c r="I21" s="64">
        <v>2940</v>
      </c>
      <c r="J21" s="64">
        <v>1850</v>
      </c>
      <c r="K21" s="64">
        <v>800</v>
      </c>
      <c r="L21" s="52">
        <v>0</v>
      </c>
      <c r="M21" s="64">
        <v>2000</v>
      </c>
      <c r="N21" s="64">
        <v>380</v>
      </c>
      <c r="O21" s="64">
        <f>(5200-220)*0.16*1.5</f>
        <v>1195.2</v>
      </c>
      <c r="P21" s="64">
        <f>(5200-220)*0.83*1.6*0.5</f>
        <v>3306.72</v>
      </c>
      <c r="Q21" s="69">
        <f>Q66/Q111</f>
        <v>200</v>
      </c>
      <c r="R21" s="69">
        <f>R66/R111</f>
        <v>833.33333333333337</v>
      </c>
      <c r="S21" s="51">
        <v>0</v>
      </c>
      <c r="T21" s="69">
        <f>T66/T111</f>
        <v>200</v>
      </c>
      <c r="U21" s="69">
        <f>U66/U111</f>
        <v>680</v>
      </c>
      <c r="V21" s="77">
        <v>50</v>
      </c>
      <c r="W21" s="69">
        <f>W66/W111</f>
        <v>1333.3333333333335</v>
      </c>
      <c r="X21" s="69">
        <f>X66/X111</f>
        <v>400</v>
      </c>
      <c r="Y21" s="59">
        <f t="shared" si="2"/>
        <v>17620</v>
      </c>
      <c r="Z21" s="51">
        <f t="shared" si="3"/>
        <v>10578.586666666668</v>
      </c>
      <c r="AA21" s="51">
        <f t="shared" si="12"/>
        <v>28198.58666666667</v>
      </c>
    </row>
    <row r="22" spans="1:34" x14ac:dyDescent="0.25">
      <c r="A22" s="36" t="s">
        <v>60</v>
      </c>
      <c r="B22" s="37" t="s">
        <v>13</v>
      </c>
      <c r="C22" s="29" t="s">
        <v>62</v>
      </c>
      <c r="D22" s="2"/>
      <c r="E22" s="2"/>
      <c r="F22" s="64">
        <f>9000*0.2</f>
        <v>1800</v>
      </c>
      <c r="G22" s="83">
        <f>30/55*10000</f>
        <v>5454.545454545454</v>
      </c>
      <c r="H22" s="64">
        <v>4630</v>
      </c>
      <c r="I22" s="51">
        <v>0</v>
      </c>
      <c r="J22" s="51">
        <v>0</v>
      </c>
      <c r="K22" s="51">
        <v>0</v>
      </c>
      <c r="L22" s="52">
        <v>0</v>
      </c>
      <c r="M22" s="51">
        <v>0</v>
      </c>
      <c r="N22" s="51">
        <v>0</v>
      </c>
      <c r="O22" s="51">
        <v>0</v>
      </c>
      <c r="P22" s="64">
        <f>P21</f>
        <v>3306.72</v>
      </c>
      <c r="Q22" s="51">
        <v>0</v>
      </c>
      <c r="R22" s="51">
        <v>0</v>
      </c>
      <c r="S22" s="51">
        <v>0</v>
      </c>
      <c r="T22" s="51">
        <v>0</v>
      </c>
      <c r="U22" s="51">
        <v>0</v>
      </c>
      <c r="V22" s="51">
        <v>0</v>
      </c>
      <c r="W22" s="51">
        <v>0</v>
      </c>
      <c r="X22" s="55">
        <v>0</v>
      </c>
      <c r="Y22" s="59">
        <f t="shared" si="2"/>
        <v>11884.545454545454</v>
      </c>
      <c r="Z22" s="51">
        <f t="shared" si="3"/>
        <v>3306.72</v>
      </c>
      <c r="AA22" s="51">
        <f t="shared" si="12"/>
        <v>15191.265454545453</v>
      </c>
    </row>
    <row r="23" spans="1:34" x14ac:dyDescent="0.25">
      <c r="A23" s="30" t="s">
        <v>60</v>
      </c>
      <c r="B23" s="31" t="s">
        <v>13</v>
      </c>
      <c r="C23" s="32" t="s">
        <v>63</v>
      </c>
      <c r="D23" s="2"/>
      <c r="E23" s="2"/>
      <c r="F23" s="51">
        <v>0</v>
      </c>
      <c r="G23" s="51">
        <v>0</v>
      </c>
      <c r="H23" s="51"/>
      <c r="I23" s="51">
        <v>0</v>
      </c>
      <c r="J23" s="51">
        <v>0</v>
      </c>
      <c r="K23" s="51">
        <v>0</v>
      </c>
      <c r="L23" s="52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55">
        <v>0</v>
      </c>
      <c r="Y23" s="59">
        <f t="shared" si="2"/>
        <v>0</v>
      </c>
      <c r="Z23" s="51">
        <f t="shared" si="3"/>
        <v>0</v>
      </c>
      <c r="AA23" s="51">
        <f t="shared" si="12"/>
        <v>0</v>
      </c>
    </row>
    <row r="24" spans="1:34" x14ac:dyDescent="0.25">
      <c r="A24" s="30" t="s">
        <v>60</v>
      </c>
      <c r="B24" s="32" t="s">
        <v>23</v>
      </c>
      <c r="C24" s="31" t="s">
        <v>50</v>
      </c>
      <c r="D24" s="2"/>
      <c r="E24" s="2"/>
      <c r="F24" s="77">
        <f>F204*F159</f>
        <v>0</v>
      </c>
      <c r="G24" s="51">
        <v>0</v>
      </c>
      <c r="H24" s="51">
        <v>0</v>
      </c>
      <c r="I24" s="51">
        <v>0</v>
      </c>
      <c r="J24" s="77">
        <f>J21*0.01</f>
        <v>18.5</v>
      </c>
      <c r="K24" s="64">
        <f>1900</f>
        <v>1900</v>
      </c>
      <c r="L24" s="52">
        <v>0</v>
      </c>
      <c r="M24" s="51">
        <v>0</v>
      </c>
      <c r="N24" s="64">
        <f>1800</f>
        <v>1800</v>
      </c>
      <c r="O24" s="51">
        <v>0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51">
        <v>0</v>
      </c>
      <c r="X24" s="55">
        <v>0</v>
      </c>
      <c r="Y24" s="59">
        <f t="shared" si="2"/>
        <v>1918.5</v>
      </c>
      <c r="Z24" s="51">
        <f t="shared" si="3"/>
        <v>1800</v>
      </c>
      <c r="AA24" s="83">
        <v>3700</v>
      </c>
      <c r="AD24">
        <f>2450*0.72</f>
        <v>1764</v>
      </c>
    </row>
    <row r="25" spans="1:34" x14ac:dyDescent="0.25">
      <c r="A25" s="30" t="s">
        <v>60</v>
      </c>
      <c r="B25" s="32" t="s">
        <v>23</v>
      </c>
      <c r="C25" s="31" t="s">
        <v>49</v>
      </c>
      <c r="D25" s="2"/>
      <c r="E25" s="2"/>
      <c r="F25" s="51">
        <v>0</v>
      </c>
      <c r="G25" s="51">
        <v>0</v>
      </c>
      <c r="H25" s="51">
        <v>0</v>
      </c>
      <c r="I25" s="51">
        <v>0</v>
      </c>
      <c r="J25" s="83">
        <f>1650</f>
        <v>1650</v>
      </c>
      <c r="K25" s="64">
        <f>2450*0.18</f>
        <v>441</v>
      </c>
      <c r="L25" s="52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51">
        <v>0</v>
      </c>
      <c r="S25" s="64">
        <v>245</v>
      </c>
      <c r="T25" s="77">
        <v>650</v>
      </c>
      <c r="U25" s="51">
        <v>0</v>
      </c>
      <c r="V25" s="77">
        <v>100</v>
      </c>
      <c r="W25" s="51">
        <v>0</v>
      </c>
      <c r="X25" s="77">
        <v>100</v>
      </c>
      <c r="Y25" s="59">
        <f t="shared" si="2"/>
        <v>2091</v>
      </c>
      <c r="Z25" s="51">
        <f t="shared" si="3"/>
        <v>1095</v>
      </c>
      <c r="AA25" s="51">
        <f t="shared" si="12"/>
        <v>3186</v>
      </c>
      <c r="AB25" s="83">
        <v>2450</v>
      </c>
      <c r="AC25" t="s">
        <v>129</v>
      </c>
    </row>
    <row r="26" spans="1:34" x14ac:dyDescent="0.25">
      <c r="A26" s="30" t="s">
        <v>60</v>
      </c>
      <c r="B26" s="32" t="s">
        <v>23</v>
      </c>
      <c r="C26" s="31" t="s">
        <v>64</v>
      </c>
      <c r="D26" s="2"/>
      <c r="E26" s="2"/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2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  <c r="V26" s="51">
        <v>0</v>
      </c>
      <c r="W26" s="51">
        <v>0</v>
      </c>
      <c r="X26" s="55">
        <v>0</v>
      </c>
      <c r="Y26" s="59">
        <f t="shared" si="2"/>
        <v>0</v>
      </c>
      <c r="Z26" s="51">
        <f t="shared" si="3"/>
        <v>0</v>
      </c>
      <c r="AA26" s="51">
        <f t="shared" ref="AA26:AA45" si="13">L26+Y26+Z26</f>
        <v>0</v>
      </c>
    </row>
    <row r="27" spans="1:34" x14ac:dyDescent="0.25">
      <c r="A27" s="30" t="s">
        <v>60</v>
      </c>
      <c r="B27" s="32" t="s">
        <v>65</v>
      </c>
      <c r="C27" s="31" t="s">
        <v>66</v>
      </c>
      <c r="D27" s="2"/>
      <c r="E27" s="2">
        <f>4/18</f>
        <v>0.22222222222222221</v>
      </c>
      <c r="F27" s="51">
        <v>0</v>
      </c>
      <c r="G27" s="51">
        <v>0</v>
      </c>
      <c r="H27" s="51">
        <v>0</v>
      </c>
      <c r="I27" s="51">
        <v>0</v>
      </c>
      <c r="J27" s="81">
        <f>J72/J117</f>
        <v>4166.666666666667</v>
      </c>
      <c r="K27" s="51">
        <v>0</v>
      </c>
      <c r="L27" s="52">
        <v>0</v>
      </c>
      <c r="M27" s="81">
        <f>M72/M117</f>
        <v>10416.666666666668</v>
      </c>
      <c r="N27" s="51">
        <v>0</v>
      </c>
      <c r="O27" s="51">
        <v>0</v>
      </c>
      <c r="P27" s="51">
        <v>0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51">
        <v>0</v>
      </c>
      <c r="X27" s="55">
        <v>0</v>
      </c>
      <c r="Y27" s="59">
        <f t="shared" si="2"/>
        <v>4166.666666666667</v>
      </c>
      <c r="Z27" s="51">
        <f t="shared" si="3"/>
        <v>10416.666666666668</v>
      </c>
      <c r="AA27" s="51">
        <f t="shared" si="13"/>
        <v>14583.333333333336</v>
      </c>
    </row>
    <row r="28" spans="1:34" x14ac:dyDescent="0.25">
      <c r="A28" s="30" t="s">
        <v>60</v>
      </c>
      <c r="B28" s="32" t="s">
        <v>65</v>
      </c>
      <c r="C28" s="31" t="s">
        <v>67</v>
      </c>
      <c r="D28" s="2"/>
      <c r="E28" s="2"/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2">
        <v>0</v>
      </c>
      <c r="M28" s="51">
        <v>0</v>
      </c>
      <c r="N28" s="51">
        <v>0</v>
      </c>
      <c r="O28" s="51">
        <v>0</v>
      </c>
      <c r="P28" s="51">
        <v>0</v>
      </c>
      <c r="Q28" s="81">
        <f>Q73/Q118</f>
        <v>24000</v>
      </c>
      <c r="R28" s="81">
        <f>R73/R118</f>
        <v>14444.444444444445</v>
      </c>
      <c r="S28" s="51">
        <v>0</v>
      </c>
      <c r="T28" s="81">
        <f>T73/T118</f>
        <v>13055.555555555557</v>
      </c>
      <c r="U28" s="81">
        <f>U73/U118</f>
        <v>4545.454545454545</v>
      </c>
      <c r="V28" s="81">
        <f>V73/V118</f>
        <v>4166.666666666667</v>
      </c>
      <c r="W28" s="81">
        <f>W73/W118</f>
        <v>6250</v>
      </c>
      <c r="X28" s="81">
        <f>X73/X118</f>
        <v>6666.666666666667</v>
      </c>
      <c r="Y28" s="59">
        <f t="shared" si="2"/>
        <v>0</v>
      </c>
      <c r="Z28" s="51">
        <f t="shared" si="3"/>
        <v>73128.787878787887</v>
      </c>
      <c r="AA28" s="51">
        <f t="shared" si="13"/>
        <v>73128.787878787887</v>
      </c>
    </row>
    <row r="29" spans="1:34" x14ac:dyDescent="0.25">
      <c r="A29" s="30" t="s">
        <v>60</v>
      </c>
      <c r="B29" s="32" t="s">
        <v>65</v>
      </c>
      <c r="C29" s="31" t="s">
        <v>68</v>
      </c>
      <c r="D29" s="2"/>
      <c r="E29" s="2"/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81">
        <f>L74/L119</f>
        <v>222222.22222222222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  <c r="R29" s="51">
        <v>0</v>
      </c>
      <c r="S29" s="51">
        <v>0</v>
      </c>
      <c r="T29" s="51">
        <v>0</v>
      </c>
      <c r="U29" s="51">
        <v>0</v>
      </c>
      <c r="V29" s="51">
        <v>0</v>
      </c>
      <c r="W29" s="51">
        <v>0</v>
      </c>
      <c r="X29" s="55">
        <v>0</v>
      </c>
      <c r="Y29" s="59">
        <f t="shared" si="2"/>
        <v>0</v>
      </c>
      <c r="Z29" s="51">
        <f t="shared" si="3"/>
        <v>0</v>
      </c>
      <c r="AA29" s="51">
        <f t="shared" si="13"/>
        <v>222222.22222222222</v>
      </c>
    </row>
    <row r="30" spans="1:34" x14ac:dyDescent="0.25">
      <c r="A30" s="30" t="s">
        <v>60</v>
      </c>
      <c r="B30" s="32" t="s">
        <v>9</v>
      </c>
      <c r="C30" s="31" t="s">
        <v>69</v>
      </c>
      <c r="D30" s="2"/>
      <c r="E30" s="2"/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2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  <c r="R30" s="51">
        <v>0</v>
      </c>
      <c r="S30" s="51">
        <v>0</v>
      </c>
      <c r="T30" s="51">
        <v>0</v>
      </c>
      <c r="U30" s="51">
        <v>0</v>
      </c>
      <c r="V30" s="96">
        <v>760</v>
      </c>
      <c r="W30" s="51">
        <v>0</v>
      </c>
      <c r="X30" s="81">
        <f>X75/X120</f>
        <v>1488.0952380952381</v>
      </c>
      <c r="Y30" s="59">
        <f t="shared" si="2"/>
        <v>0</v>
      </c>
      <c r="Z30" s="51">
        <f t="shared" si="3"/>
        <v>2248.0952380952381</v>
      </c>
      <c r="AA30" s="51">
        <f t="shared" si="13"/>
        <v>2248.0952380952381</v>
      </c>
    </row>
    <row r="31" spans="1:34" x14ac:dyDescent="0.25">
      <c r="A31" s="15" t="s">
        <v>51</v>
      </c>
      <c r="B31" s="16" t="s">
        <v>56</v>
      </c>
      <c r="C31" s="27" t="s">
        <v>57</v>
      </c>
      <c r="D31" s="16" t="s">
        <v>70</v>
      </c>
      <c r="E31" s="43"/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52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54">
        <v>0</v>
      </c>
      <c r="Y31" s="58">
        <f t="shared" si="2"/>
        <v>0</v>
      </c>
      <c r="Z31" s="1">
        <f t="shared" si="3"/>
        <v>0</v>
      </c>
      <c r="AA31" s="1">
        <f t="shared" si="13"/>
        <v>0</v>
      </c>
      <c r="AH31">
        <f>52/128*2000</f>
        <v>812.5</v>
      </c>
    </row>
    <row r="32" spans="1:34" x14ac:dyDescent="0.25">
      <c r="A32" s="15" t="s">
        <v>51</v>
      </c>
      <c r="B32" s="16" t="s">
        <v>56</v>
      </c>
      <c r="C32" s="27" t="s">
        <v>57</v>
      </c>
      <c r="D32" s="16" t="s">
        <v>71</v>
      </c>
      <c r="E32" s="43"/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52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54">
        <v>0</v>
      </c>
      <c r="Y32" s="58">
        <f t="shared" si="2"/>
        <v>0</v>
      </c>
      <c r="Z32" s="1">
        <f t="shared" si="3"/>
        <v>0</v>
      </c>
      <c r="AA32" s="1">
        <f t="shared" si="13"/>
        <v>0</v>
      </c>
    </row>
    <row r="33" spans="1:29" x14ac:dyDescent="0.25">
      <c r="A33" s="15" t="s">
        <v>51</v>
      </c>
      <c r="B33" s="16" t="s">
        <v>56</v>
      </c>
      <c r="C33" s="27" t="s">
        <v>27</v>
      </c>
      <c r="D33" s="16" t="s">
        <v>72</v>
      </c>
      <c r="E33" s="43"/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52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54">
        <v>0</v>
      </c>
      <c r="Y33" s="58">
        <f t="shared" si="2"/>
        <v>0</v>
      </c>
      <c r="Z33" s="1">
        <f t="shared" si="3"/>
        <v>0</v>
      </c>
      <c r="AA33" s="1">
        <f t="shared" si="13"/>
        <v>0</v>
      </c>
    </row>
    <row r="34" spans="1:29" x14ac:dyDescent="0.25">
      <c r="A34" s="15" t="s">
        <v>51</v>
      </c>
      <c r="B34" s="16" t="s">
        <v>56</v>
      </c>
      <c r="C34" s="27" t="s">
        <v>57</v>
      </c>
      <c r="D34" s="16" t="s">
        <v>73</v>
      </c>
      <c r="E34" s="43"/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52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54">
        <v>0</v>
      </c>
      <c r="Y34" s="58">
        <f t="shared" si="2"/>
        <v>0</v>
      </c>
      <c r="Z34" s="1">
        <f t="shared" si="3"/>
        <v>0</v>
      </c>
      <c r="AA34" s="1">
        <f t="shared" si="13"/>
        <v>0</v>
      </c>
    </row>
    <row r="35" spans="1:29" x14ac:dyDescent="0.25">
      <c r="A35" s="15" t="s">
        <v>51</v>
      </c>
      <c r="B35" s="16" t="s">
        <v>56</v>
      </c>
      <c r="C35" s="27" t="s">
        <v>57</v>
      </c>
      <c r="D35" s="16" t="s">
        <v>74</v>
      </c>
      <c r="E35" s="43"/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52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54">
        <v>0</v>
      </c>
      <c r="Y35" s="58">
        <f t="shared" si="2"/>
        <v>0</v>
      </c>
      <c r="Z35" s="1">
        <f t="shared" si="3"/>
        <v>0</v>
      </c>
      <c r="AA35" s="1">
        <f t="shared" si="13"/>
        <v>0</v>
      </c>
      <c r="AC35" t="s">
        <v>105</v>
      </c>
    </row>
    <row r="36" spans="1:29" x14ac:dyDescent="0.25">
      <c r="A36" s="30" t="s">
        <v>60</v>
      </c>
      <c r="B36" s="31" t="s">
        <v>13</v>
      </c>
      <c r="C36" s="32" t="s">
        <v>61</v>
      </c>
      <c r="D36" s="31" t="s">
        <v>75</v>
      </c>
      <c r="E36" s="72" t="e">
        <f>#REF!</f>
        <v>#REF!</v>
      </c>
      <c r="F36" s="51">
        <f>F21*0.5</f>
        <v>3600</v>
      </c>
      <c r="G36" s="51">
        <f>G22*0.9</f>
        <v>4909.090909090909</v>
      </c>
      <c r="H36" s="51">
        <f>H21*0.9</f>
        <v>4347</v>
      </c>
      <c r="I36" s="51">
        <f>I21*0.1</f>
        <v>294</v>
      </c>
      <c r="J36" s="51">
        <v>0</v>
      </c>
      <c r="K36" s="51">
        <f>K21*0.05</f>
        <v>40</v>
      </c>
      <c r="L36" s="52">
        <v>0</v>
      </c>
      <c r="M36" s="51">
        <f>M21*0.1</f>
        <v>200</v>
      </c>
      <c r="N36" s="51">
        <v>0</v>
      </c>
      <c r="O36" s="51">
        <v>0</v>
      </c>
      <c r="P36" s="51">
        <v>0</v>
      </c>
      <c r="Q36" s="51"/>
      <c r="R36" s="51"/>
      <c r="S36" s="51"/>
      <c r="T36" s="51"/>
      <c r="U36" s="51"/>
      <c r="V36" s="51"/>
      <c r="W36" s="51">
        <f>W21</f>
        <v>1333.3333333333335</v>
      </c>
      <c r="X36" s="55"/>
      <c r="Y36" s="59">
        <f t="shared" si="2"/>
        <v>13190.090909090908</v>
      </c>
      <c r="Z36" s="51">
        <f t="shared" si="3"/>
        <v>1533.3333333333335</v>
      </c>
      <c r="AA36" s="51">
        <f t="shared" si="13"/>
        <v>14723.424242424242</v>
      </c>
      <c r="AB36">
        <f>AA36/AA$10</f>
        <v>0.31952963249516442</v>
      </c>
      <c r="AC36" s="71" t="e">
        <f>E36</f>
        <v>#REF!</v>
      </c>
    </row>
    <row r="37" spans="1:29" x14ac:dyDescent="0.25">
      <c r="A37" s="30" t="s">
        <v>60</v>
      </c>
      <c r="B37" s="31" t="s">
        <v>13</v>
      </c>
      <c r="C37" s="32" t="s">
        <v>61</v>
      </c>
      <c r="D37" s="31" t="s">
        <v>76</v>
      </c>
      <c r="E37" s="72" t="e">
        <f>#REF!</f>
        <v>#REF!</v>
      </c>
      <c r="F37" s="51">
        <f>F21*0.5</f>
        <v>3600</v>
      </c>
      <c r="G37" s="51">
        <v>0</v>
      </c>
      <c r="H37" s="51">
        <v>0</v>
      </c>
      <c r="I37" s="51">
        <f>I21*0.7</f>
        <v>2058</v>
      </c>
      <c r="J37" s="51">
        <f>J21</f>
        <v>1850</v>
      </c>
      <c r="K37" s="51">
        <f>K21*0.15</f>
        <v>120</v>
      </c>
      <c r="L37" s="52">
        <v>0</v>
      </c>
      <c r="M37" s="51">
        <f>M21*0.3</f>
        <v>600</v>
      </c>
      <c r="N37" s="51">
        <f>N21</f>
        <v>380</v>
      </c>
      <c r="O37" s="51">
        <f>O21*0.9</f>
        <v>1075.68</v>
      </c>
      <c r="P37" s="51">
        <f>P21*0.05</f>
        <v>165.33600000000001</v>
      </c>
      <c r="Q37" s="51"/>
      <c r="R37" s="51">
        <f>R21</f>
        <v>833.33333333333337</v>
      </c>
      <c r="S37" s="51"/>
      <c r="T37" s="51"/>
      <c r="U37" s="51"/>
      <c r="V37" s="51"/>
      <c r="W37" s="51"/>
      <c r="X37" s="55"/>
      <c r="Y37" s="59">
        <f t="shared" si="2"/>
        <v>7628</v>
      </c>
      <c r="Z37" s="51">
        <f t="shared" si="3"/>
        <v>3054.349333333334</v>
      </c>
      <c r="AA37" s="51">
        <f t="shared" si="13"/>
        <v>10682.349333333334</v>
      </c>
      <c r="AB37">
        <f t="shared" ref="AB37:AB42" si="14">AA37/AA$10</f>
        <v>0.23182970893617025</v>
      </c>
      <c r="AC37" s="71" t="e">
        <f>E37</f>
        <v>#REF!</v>
      </c>
    </row>
    <row r="38" spans="1:29" x14ac:dyDescent="0.25">
      <c r="A38" s="30" t="s">
        <v>60</v>
      </c>
      <c r="B38" s="31" t="s">
        <v>13</v>
      </c>
      <c r="C38" s="32" t="s">
        <v>61</v>
      </c>
      <c r="D38" s="31" t="s">
        <v>77</v>
      </c>
      <c r="E38" s="72" t="e">
        <f>#REF!</f>
        <v>#REF!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f>K21*0.4</f>
        <v>320</v>
      </c>
      <c r="L38" s="52">
        <v>0</v>
      </c>
      <c r="M38" s="51">
        <f>M21*0.5</f>
        <v>1000</v>
      </c>
      <c r="N38" s="51">
        <v>0</v>
      </c>
      <c r="O38" s="51">
        <v>0</v>
      </c>
      <c r="P38" s="51">
        <v>0</v>
      </c>
      <c r="Q38" s="51"/>
      <c r="R38" s="51"/>
      <c r="S38" s="51"/>
      <c r="T38" s="51">
        <f>T21/2</f>
        <v>100</v>
      </c>
      <c r="U38" s="51">
        <f>U21</f>
        <v>680</v>
      </c>
      <c r="V38" s="51"/>
      <c r="W38" s="51"/>
      <c r="X38" s="55"/>
      <c r="Y38" s="59">
        <f t="shared" si="2"/>
        <v>320</v>
      </c>
      <c r="Z38" s="51">
        <f t="shared" si="3"/>
        <v>1780</v>
      </c>
      <c r="AA38" s="51">
        <f t="shared" si="13"/>
        <v>2100</v>
      </c>
      <c r="AB38">
        <f t="shared" si="14"/>
        <v>4.5574468085106387E-2</v>
      </c>
      <c r="AC38" s="71" t="e">
        <f>E38</f>
        <v>#REF!</v>
      </c>
    </row>
    <row r="39" spans="1:29" x14ac:dyDescent="0.25">
      <c r="A39" s="30" t="s">
        <v>60</v>
      </c>
      <c r="B39" s="31" t="s">
        <v>13</v>
      </c>
      <c r="C39" s="32" t="s">
        <v>61</v>
      </c>
      <c r="D39" s="31" t="s">
        <v>78</v>
      </c>
      <c r="E39" s="72" t="e">
        <f>#REF!</f>
        <v>#REF!</v>
      </c>
      <c r="F39" s="51">
        <v>0</v>
      </c>
      <c r="G39" s="51">
        <v>0</v>
      </c>
      <c r="H39" s="51">
        <v>0</v>
      </c>
      <c r="I39" s="51">
        <f>I21*0.2</f>
        <v>588</v>
      </c>
      <c r="J39" s="51">
        <v>0</v>
      </c>
      <c r="K39" s="51">
        <f>K21*0.4</f>
        <v>320</v>
      </c>
      <c r="L39" s="52">
        <v>0</v>
      </c>
      <c r="M39" s="51">
        <f>M21*0.1</f>
        <v>200</v>
      </c>
      <c r="N39" s="51">
        <v>0</v>
      </c>
      <c r="O39" s="51">
        <f>O21*0.1</f>
        <v>119.52000000000001</v>
      </c>
      <c r="P39" s="51">
        <f>(P21)*0.95</f>
        <v>3141.3839999999996</v>
      </c>
      <c r="Q39" s="51">
        <f>Q21</f>
        <v>200</v>
      </c>
      <c r="R39" s="51"/>
      <c r="S39" s="51"/>
      <c r="T39" s="51"/>
      <c r="U39" s="51"/>
      <c r="V39" s="51"/>
      <c r="W39" s="51"/>
      <c r="X39" s="55">
        <f>X21</f>
        <v>400</v>
      </c>
      <c r="Y39" s="59">
        <f t="shared" si="2"/>
        <v>908</v>
      </c>
      <c r="Z39" s="51">
        <f t="shared" si="3"/>
        <v>4060.9039999999995</v>
      </c>
      <c r="AA39" s="51">
        <f t="shared" si="13"/>
        <v>4968.9039999999995</v>
      </c>
      <c r="AB39">
        <f t="shared" si="14"/>
        <v>0.10783578893617021</v>
      </c>
      <c r="AC39" s="71" t="e">
        <f>E39</f>
        <v>#REF!</v>
      </c>
    </row>
    <row r="40" spans="1:29" ht="15.75" thickBot="1" x14ac:dyDescent="0.3">
      <c r="A40" s="33" t="s">
        <v>60</v>
      </c>
      <c r="B40" s="34" t="s">
        <v>13</v>
      </c>
      <c r="C40" s="35" t="s">
        <v>61</v>
      </c>
      <c r="D40" s="34" t="s">
        <v>79</v>
      </c>
      <c r="E40" s="43"/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2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  <c r="V40" s="51">
        <v>0</v>
      </c>
      <c r="W40" s="51">
        <v>0</v>
      </c>
      <c r="X40" s="55">
        <v>0</v>
      </c>
      <c r="Y40" s="59">
        <f t="shared" si="2"/>
        <v>0</v>
      </c>
      <c r="Z40" s="51">
        <f t="shared" si="3"/>
        <v>0</v>
      </c>
      <c r="AA40" s="51">
        <f t="shared" si="13"/>
        <v>0</v>
      </c>
      <c r="AB40">
        <f t="shared" si="14"/>
        <v>0</v>
      </c>
    </row>
    <row r="41" spans="1:29" x14ac:dyDescent="0.25">
      <c r="A41" s="30" t="s">
        <v>60</v>
      </c>
      <c r="B41" s="31" t="s">
        <v>13</v>
      </c>
      <c r="C41" s="32" t="s">
        <v>62</v>
      </c>
      <c r="D41" s="31" t="s">
        <v>75</v>
      </c>
      <c r="E41" s="43"/>
      <c r="F41" s="51"/>
      <c r="G41" s="51"/>
      <c r="H41" s="51"/>
      <c r="I41" s="51">
        <v>0</v>
      </c>
      <c r="J41" s="51">
        <v>0</v>
      </c>
      <c r="K41" s="51">
        <v>0</v>
      </c>
      <c r="L41" s="52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  <c r="R41" s="51">
        <v>0</v>
      </c>
      <c r="S41" s="51">
        <v>0</v>
      </c>
      <c r="T41" s="51">
        <v>0</v>
      </c>
      <c r="U41" s="51">
        <v>0</v>
      </c>
      <c r="V41" s="51">
        <v>0</v>
      </c>
      <c r="W41" s="51">
        <v>0</v>
      </c>
      <c r="X41" s="55">
        <v>0</v>
      </c>
      <c r="Y41" s="59">
        <f t="shared" si="2"/>
        <v>0</v>
      </c>
      <c r="Z41" s="51">
        <f t="shared" si="3"/>
        <v>0</v>
      </c>
      <c r="AA41" s="51">
        <f t="shared" si="13"/>
        <v>0</v>
      </c>
      <c r="AB41">
        <f t="shared" si="14"/>
        <v>0</v>
      </c>
    </row>
    <row r="42" spans="1:29" x14ac:dyDescent="0.25">
      <c r="A42" s="30" t="s">
        <v>60</v>
      </c>
      <c r="B42" s="31" t="s">
        <v>13</v>
      </c>
      <c r="C42" s="32" t="s">
        <v>62</v>
      </c>
      <c r="D42" s="31" t="s">
        <v>76</v>
      </c>
      <c r="E42" s="43"/>
      <c r="F42" s="51">
        <f>F22</f>
        <v>1800</v>
      </c>
      <c r="G42" s="51">
        <f>G22*0.1</f>
        <v>545.45454545454538</v>
      </c>
      <c r="H42" s="51">
        <f>H22*0.1</f>
        <v>463</v>
      </c>
      <c r="I42" s="51">
        <v>0</v>
      </c>
      <c r="J42" s="51">
        <v>0</v>
      </c>
      <c r="K42" s="51">
        <v>0</v>
      </c>
      <c r="L42" s="52">
        <v>0</v>
      </c>
      <c r="M42" s="51">
        <v>0</v>
      </c>
      <c r="N42" s="51">
        <v>0</v>
      </c>
      <c r="O42" s="51">
        <v>0</v>
      </c>
      <c r="P42" s="51"/>
      <c r="Q42" s="51">
        <v>0</v>
      </c>
      <c r="R42" s="51">
        <v>0</v>
      </c>
      <c r="S42" s="51">
        <v>0</v>
      </c>
      <c r="T42" s="51">
        <v>0</v>
      </c>
      <c r="U42" s="51">
        <v>0</v>
      </c>
      <c r="V42" s="51">
        <v>0</v>
      </c>
      <c r="W42" s="51">
        <v>0</v>
      </c>
      <c r="X42" s="55">
        <v>0</v>
      </c>
      <c r="Y42" s="59">
        <f t="shared" si="2"/>
        <v>2808.4545454545455</v>
      </c>
      <c r="Z42" s="51">
        <f t="shared" si="3"/>
        <v>0</v>
      </c>
      <c r="AA42" s="51">
        <f t="shared" si="13"/>
        <v>2808.4545454545455</v>
      </c>
      <c r="AB42">
        <f t="shared" si="14"/>
        <v>6.094943907156674E-2</v>
      </c>
    </row>
    <row r="43" spans="1:29" x14ac:dyDescent="0.25">
      <c r="A43" s="30" t="s">
        <v>60</v>
      </c>
      <c r="B43" s="31" t="s">
        <v>13</v>
      </c>
      <c r="C43" s="32" t="s">
        <v>62</v>
      </c>
      <c r="D43" s="31" t="s">
        <v>77</v>
      </c>
      <c r="E43" s="43"/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2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  <c r="R43" s="51">
        <v>0</v>
      </c>
      <c r="S43" s="51">
        <v>0</v>
      </c>
      <c r="T43" s="51">
        <v>0</v>
      </c>
      <c r="U43" s="51">
        <v>0</v>
      </c>
      <c r="V43" s="51">
        <v>0</v>
      </c>
      <c r="W43" s="51">
        <v>0</v>
      </c>
      <c r="X43" s="55">
        <v>0</v>
      </c>
      <c r="Y43" s="59">
        <f t="shared" si="2"/>
        <v>0</v>
      </c>
      <c r="Z43" s="51">
        <f t="shared" si="3"/>
        <v>0</v>
      </c>
      <c r="AA43" s="51">
        <f t="shared" si="13"/>
        <v>0</v>
      </c>
    </row>
    <row r="44" spans="1:29" x14ac:dyDescent="0.25">
      <c r="A44" s="30" t="s">
        <v>60</v>
      </c>
      <c r="B44" s="31" t="s">
        <v>13</v>
      </c>
      <c r="C44" s="32" t="s">
        <v>62</v>
      </c>
      <c r="D44" s="31" t="s">
        <v>78</v>
      </c>
      <c r="E44" s="43"/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2">
        <v>0</v>
      </c>
      <c r="M44" s="51">
        <v>0</v>
      </c>
      <c r="N44" s="51">
        <v>0</v>
      </c>
      <c r="O44" s="51">
        <v>0</v>
      </c>
      <c r="P44" s="51">
        <f>P22</f>
        <v>3306.72</v>
      </c>
      <c r="Q44" s="51">
        <v>0</v>
      </c>
      <c r="R44" s="51">
        <v>0</v>
      </c>
      <c r="S44" s="51">
        <v>0</v>
      </c>
      <c r="T44" s="51">
        <v>0</v>
      </c>
      <c r="U44" s="51">
        <v>0</v>
      </c>
      <c r="V44" s="51">
        <v>0</v>
      </c>
      <c r="W44" s="51">
        <v>0</v>
      </c>
      <c r="X44" s="55">
        <v>0</v>
      </c>
      <c r="Y44" s="59">
        <f t="shared" si="2"/>
        <v>0</v>
      </c>
      <c r="Z44" s="51">
        <f t="shared" si="3"/>
        <v>3306.72</v>
      </c>
      <c r="AA44" s="51">
        <f t="shared" si="13"/>
        <v>3306.72</v>
      </c>
    </row>
    <row r="45" spans="1:29" ht="15.75" thickBot="1" x14ac:dyDescent="0.3">
      <c r="A45" s="33" t="s">
        <v>60</v>
      </c>
      <c r="B45" s="34" t="s">
        <v>13</v>
      </c>
      <c r="C45" s="32" t="s">
        <v>62</v>
      </c>
      <c r="D45" s="34" t="s">
        <v>79</v>
      </c>
      <c r="E45" s="43"/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2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  <c r="R45" s="51">
        <v>0</v>
      </c>
      <c r="S45" s="51">
        <v>0</v>
      </c>
      <c r="T45" s="51">
        <v>0</v>
      </c>
      <c r="U45" s="51">
        <v>0</v>
      </c>
      <c r="V45" s="51">
        <v>0</v>
      </c>
      <c r="W45" s="51">
        <v>0</v>
      </c>
      <c r="X45" s="55">
        <v>0</v>
      </c>
      <c r="Y45" s="59">
        <f t="shared" si="2"/>
        <v>0</v>
      </c>
      <c r="Z45" s="51">
        <f t="shared" si="3"/>
        <v>0</v>
      </c>
      <c r="AA45" s="51">
        <f t="shared" si="13"/>
        <v>0</v>
      </c>
      <c r="AC45">
        <f>0.8/2.5*2</f>
        <v>0.64</v>
      </c>
    </row>
    <row r="47" spans="1:29" x14ac:dyDescent="0.25">
      <c r="D47" s="41" t="s">
        <v>18</v>
      </c>
      <c r="E47" s="41"/>
      <c r="M47" s="24" t="s">
        <v>81</v>
      </c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  <row r="48" spans="1:29" x14ac:dyDescent="0.25">
      <c r="F48" s="23" t="s">
        <v>44</v>
      </c>
      <c r="G48" s="23"/>
      <c r="H48" s="23"/>
      <c r="I48" s="23"/>
      <c r="J48" s="23"/>
      <c r="K48" s="23"/>
      <c r="L48" s="7" t="s">
        <v>30</v>
      </c>
      <c r="M48" s="24" t="s">
        <v>46</v>
      </c>
      <c r="N48" s="24"/>
      <c r="O48" s="24"/>
      <c r="P48" s="24"/>
      <c r="Q48" s="24"/>
      <c r="R48" s="24" t="s">
        <v>47</v>
      </c>
      <c r="S48" s="24"/>
      <c r="T48" s="24"/>
      <c r="U48" s="24"/>
      <c r="V48" s="24"/>
      <c r="W48" s="24"/>
      <c r="X48" s="24"/>
      <c r="Y48" s="44" t="s">
        <v>85</v>
      </c>
      <c r="Z48" s="44" t="s">
        <v>48</v>
      </c>
      <c r="AA48" s="44" t="s">
        <v>3</v>
      </c>
    </row>
    <row r="49" spans="1:31" ht="63" x14ac:dyDescent="0.25">
      <c r="F49" s="38" t="s">
        <v>36</v>
      </c>
      <c r="G49" s="38" t="s">
        <v>37</v>
      </c>
      <c r="H49" s="38" t="s">
        <v>38</v>
      </c>
      <c r="I49" s="38" t="s">
        <v>80</v>
      </c>
      <c r="J49" s="38" t="s">
        <v>39</v>
      </c>
      <c r="K49" s="38" t="s">
        <v>45</v>
      </c>
      <c r="L49" s="39" t="s">
        <v>16</v>
      </c>
      <c r="M49" s="40" t="s">
        <v>34</v>
      </c>
      <c r="N49" s="40" t="s">
        <v>5</v>
      </c>
      <c r="O49" s="40" t="s">
        <v>7</v>
      </c>
      <c r="P49" s="40" t="s">
        <v>8</v>
      </c>
      <c r="Q49" s="40" t="s">
        <v>40</v>
      </c>
      <c r="R49" s="40" t="s">
        <v>41</v>
      </c>
      <c r="S49" s="40" t="s">
        <v>42</v>
      </c>
      <c r="T49" s="40" t="s">
        <v>31</v>
      </c>
      <c r="U49" s="40" t="s">
        <v>125</v>
      </c>
      <c r="V49" s="40" t="s">
        <v>82</v>
      </c>
      <c r="W49" s="40" t="s">
        <v>87</v>
      </c>
      <c r="X49" s="40" t="s">
        <v>83</v>
      </c>
      <c r="Y49" s="45" t="s">
        <v>3</v>
      </c>
      <c r="Z49" s="45" t="s">
        <v>3</v>
      </c>
      <c r="AA49" s="45" t="s">
        <v>3</v>
      </c>
    </row>
    <row r="50" spans="1:31" x14ac:dyDescent="0.25">
      <c r="A50" s="15" t="s">
        <v>51</v>
      </c>
      <c r="B50" s="2"/>
      <c r="C50" s="2"/>
      <c r="F50" s="1">
        <f t="shared" ref="F50:M50" si="15">F52+F53+F54</f>
        <v>0</v>
      </c>
      <c r="G50" s="1">
        <f t="shared" si="15"/>
        <v>0</v>
      </c>
      <c r="H50" s="1">
        <f t="shared" si="15"/>
        <v>0</v>
      </c>
      <c r="I50" s="1">
        <f t="shared" si="15"/>
        <v>0</v>
      </c>
      <c r="J50" s="1">
        <f t="shared" si="15"/>
        <v>0</v>
      </c>
      <c r="K50" s="1">
        <f t="shared" si="15"/>
        <v>0</v>
      </c>
      <c r="L50" s="52">
        <f t="shared" si="15"/>
        <v>0</v>
      </c>
      <c r="M50" s="1">
        <f t="shared" si="15"/>
        <v>0</v>
      </c>
      <c r="N50" s="1">
        <f t="shared" ref="N50:X50" si="16">N52+N53+N54</f>
        <v>0</v>
      </c>
      <c r="O50" s="1">
        <f t="shared" si="16"/>
        <v>0</v>
      </c>
      <c r="P50" s="1">
        <f t="shared" si="16"/>
        <v>0</v>
      </c>
      <c r="Q50" s="1">
        <f t="shared" si="16"/>
        <v>0</v>
      </c>
      <c r="R50" s="1">
        <f t="shared" si="16"/>
        <v>0</v>
      </c>
      <c r="S50" s="1">
        <f t="shared" si="16"/>
        <v>0</v>
      </c>
      <c r="T50" s="1">
        <f t="shared" si="16"/>
        <v>0</v>
      </c>
      <c r="U50" s="1">
        <f t="shared" si="16"/>
        <v>0</v>
      </c>
      <c r="V50" s="1">
        <f t="shared" si="16"/>
        <v>0</v>
      </c>
      <c r="W50" s="1">
        <f t="shared" si="16"/>
        <v>0</v>
      </c>
      <c r="X50" s="1">
        <f t="shared" si="16"/>
        <v>0</v>
      </c>
      <c r="Y50" s="58">
        <f t="shared" ref="Y50:Y90" si="17">SUM(F50:K50)</f>
        <v>0</v>
      </c>
      <c r="Z50" s="1">
        <f t="shared" ref="Z50:Z90" si="18">SUM(M50:X50)</f>
        <v>0</v>
      </c>
      <c r="AA50" s="1">
        <f t="shared" ref="AA50:AA56" si="19">L50+Y50+Z50</f>
        <v>0</v>
      </c>
      <c r="AB50" s="44" t="s">
        <v>85</v>
      </c>
      <c r="AC50" s="44" t="s">
        <v>48</v>
      </c>
      <c r="AD50" t="s">
        <v>30</v>
      </c>
    </row>
    <row r="51" spans="1:31" x14ac:dyDescent="0.25">
      <c r="A51" s="30" t="s">
        <v>60</v>
      </c>
      <c r="B51" s="2"/>
      <c r="C51" s="2"/>
      <c r="F51" s="1">
        <f>F55+F56+F57+F58</f>
        <v>1839.4</v>
      </c>
      <c r="G51" s="1">
        <f t="shared" ref="G51:X51" si="20">G55+G56+G57+G58</f>
        <v>1401.9047619047619</v>
      </c>
      <c r="H51" s="1">
        <f t="shared" si="20"/>
        <v>3300</v>
      </c>
      <c r="I51" s="1">
        <f t="shared" si="20"/>
        <v>800</v>
      </c>
      <c r="J51" s="1">
        <f t="shared" si="20"/>
        <v>1737.55</v>
      </c>
      <c r="K51" s="1">
        <f t="shared" si="20"/>
        <v>1167.45</v>
      </c>
      <c r="L51" s="52">
        <f t="shared" si="20"/>
        <v>20000</v>
      </c>
      <c r="M51" s="64">
        <v>2200</v>
      </c>
      <c r="N51" s="1">
        <f t="shared" si="20"/>
        <v>995</v>
      </c>
      <c r="O51" s="1">
        <f t="shared" si="20"/>
        <v>438.40000000000003</v>
      </c>
      <c r="P51" s="1">
        <f t="shared" si="20"/>
        <v>2274.1999999999998</v>
      </c>
      <c r="Q51" s="1">
        <f t="shared" si="20"/>
        <v>3690</v>
      </c>
      <c r="R51" s="1">
        <f t="shared" si="20"/>
        <v>3000</v>
      </c>
      <c r="S51" s="1">
        <f t="shared" si="20"/>
        <v>60</v>
      </c>
      <c r="T51" s="1">
        <f t="shared" si="20"/>
        <v>2710</v>
      </c>
      <c r="U51" s="1">
        <f t="shared" si="20"/>
        <v>1340</v>
      </c>
      <c r="V51" s="1">
        <f t="shared" si="20"/>
        <v>1410</v>
      </c>
      <c r="W51" s="1">
        <f t="shared" si="20"/>
        <v>1550</v>
      </c>
      <c r="X51" s="54">
        <f t="shared" si="20"/>
        <v>1715</v>
      </c>
      <c r="Y51" s="58">
        <f t="shared" si="17"/>
        <v>10246.304761904763</v>
      </c>
      <c r="Z51" s="1">
        <f t="shared" si="18"/>
        <v>21382.6</v>
      </c>
      <c r="AA51" s="1">
        <f t="shared" si="19"/>
        <v>51628.904761904763</v>
      </c>
      <c r="AB51" s="66">
        <f>11250+M50</f>
        <v>11250</v>
      </c>
      <c r="AC51" s="64">
        <f>10200+3750+200+P50</f>
        <v>14150</v>
      </c>
      <c r="AD51" s="97">
        <v>4929</v>
      </c>
    </row>
    <row r="52" spans="1:31" x14ac:dyDescent="0.25">
      <c r="A52" s="15" t="s">
        <v>51</v>
      </c>
      <c r="B52" s="16" t="s">
        <v>52</v>
      </c>
      <c r="C52" s="2"/>
      <c r="F52" s="1">
        <f>F59+F60+F61</f>
        <v>0</v>
      </c>
      <c r="G52" s="1">
        <f t="shared" ref="G52:X52" si="21">G59+G60+G61</f>
        <v>0</v>
      </c>
      <c r="H52" s="1">
        <f t="shared" si="21"/>
        <v>0</v>
      </c>
      <c r="I52" s="1">
        <f t="shared" si="21"/>
        <v>0</v>
      </c>
      <c r="J52" s="1">
        <f t="shared" si="21"/>
        <v>0</v>
      </c>
      <c r="K52" s="1">
        <f t="shared" si="21"/>
        <v>0</v>
      </c>
      <c r="L52" s="52">
        <f t="shared" si="21"/>
        <v>0</v>
      </c>
      <c r="M52" s="1">
        <f t="shared" si="21"/>
        <v>0</v>
      </c>
      <c r="N52" s="1">
        <f t="shared" si="21"/>
        <v>0</v>
      </c>
      <c r="O52" s="1">
        <f t="shared" si="21"/>
        <v>0</v>
      </c>
      <c r="P52" s="1">
        <f t="shared" si="21"/>
        <v>0</v>
      </c>
      <c r="Q52" s="1">
        <f t="shared" si="21"/>
        <v>0</v>
      </c>
      <c r="R52" s="1">
        <f t="shared" si="21"/>
        <v>0</v>
      </c>
      <c r="S52" s="1">
        <f t="shared" si="21"/>
        <v>0</v>
      </c>
      <c r="T52" s="1">
        <f t="shared" si="21"/>
        <v>0</v>
      </c>
      <c r="U52" s="1">
        <f t="shared" si="21"/>
        <v>0</v>
      </c>
      <c r="V52" s="1">
        <f t="shared" si="21"/>
        <v>0</v>
      </c>
      <c r="W52" s="1">
        <f t="shared" si="21"/>
        <v>0</v>
      </c>
      <c r="X52" s="54">
        <f t="shared" si="21"/>
        <v>0</v>
      </c>
      <c r="Y52" s="58">
        <f t="shared" si="17"/>
        <v>0</v>
      </c>
      <c r="Z52" s="1">
        <f t="shared" si="18"/>
        <v>0</v>
      </c>
      <c r="AA52" s="1">
        <f t="shared" si="19"/>
        <v>0</v>
      </c>
      <c r="AB52" s="10" t="s">
        <v>88</v>
      </c>
    </row>
    <row r="53" spans="1:31" x14ac:dyDescent="0.25">
      <c r="A53" s="15" t="s">
        <v>51</v>
      </c>
      <c r="B53" s="16" t="s">
        <v>56</v>
      </c>
      <c r="C53" s="2"/>
      <c r="F53" s="1">
        <f>F62+F63+F64</f>
        <v>0</v>
      </c>
      <c r="G53" s="1">
        <f t="shared" ref="G53:X53" si="22">G62+G63+G64</f>
        <v>0</v>
      </c>
      <c r="H53" s="1">
        <f t="shared" si="22"/>
        <v>0</v>
      </c>
      <c r="I53" s="1">
        <f t="shared" si="22"/>
        <v>0</v>
      </c>
      <c r="J53" s="1">
        <f t="shared" si="22"/>
        <v>0</v>
      </c>
      <c r="K53" s="1">
        <f t="shared" si="22"/>
        <v>0</v>
      </c>
      <c r="L53" s="52">
        <f t="shared" si="22"/>
        <v>0</v>
      </c>
      <c r="M53" s="1">
        <f t="shared" si="22"/>
        <v>0</v>
      </c>
      <c r="N53" s="1">
        <f t="shared" si="22"/>
        <v>0</v>
      </c>
      <c r="O53" s="1">
        <f t="shared" si="22"/>
        <v>0</v>
      </c>
      <c r="P53" s="1">
        <f t="shared" si="22"/>
        <v>0</v>
      </c>
      <c r="Q53" s="1">
        <f t="shared" si="22"/>
        <v>0</v>
      </c>
      <c r="R53" s="1">
        <f t="shared" si="22"/>
        <v>0</v>
      </c>
      <c r="S53" s="1">
        <f t="shared" si="22"/>
        <v>0</v>
      </c>
      <c r="T53" s="1">
        <f t="shared" si="22"/>
        <v>0</v>
      </c>
      <c r="U53" s="1">
        <f t="shared" si="22"/>
        <v>0</v>
      </c>
      <c r="V53" s="1">
        <f t="shared" si="22"/>
        <v>0</v>
      </c>
      <c r="W53" s="1">
        <f t="shared" si="22"/>
        <v>0</v>
      </c>
      <c r="X53" s="54">
        <f t="shared" si="22"/>
        <v>0</v>
      </c>
      <c r="Y53" s="58">
        <f t="shared" si="17"/>
        <v>0</v>
      </c>
      <c r="Z53" s="1">
        <f t="shared" si="18"/>
        <v>0</v>
      </c>
      <c r="AA53" s="1">
        <f t="shared" si="19"/>
        <v>0</v>
      </c>
      <c r="AB53" t="s">
        <v>97</v>
      </c>
    </row>
    <row r="54" spans="1:31" x14ac:dyDescent="0.25">
      <c r="A54" s="15" t="s">
        <v>51</v>
      </c>
      <c r="B54" s="16" t="s">
        <v>9</v>
      </c>
      <c r="C54" s="2"/>
      <c r="F54" s="1">
        <f>F65</f>
        <v>0</v>
      </c>
      <c r="G54" s="1">
        <f t="shared" ref="G54:X54" si="23">G65</f>
        <v>0</v>
      </c>
      <c r="H54" s="1">
        <f t="shared" si="23"/>
        <v>0</v>
      </c>
      <c r="I54" s="1">
        <f t="shared" si="23"/>
        <v>0</v>
      </c>
      <c r="J54" s="1">
        <f t="shared" si="23"/>
        <v>0</v>
      </c>
      <c r="K54" s="1">
        <f t="shared" si="23"/>
        <v>0</v>
      </c>
      <c r="L54" s="52">
        <f t="shared" si="23"/>
        <v>0</v>
      </c>
      <c r="M54" s="1">
        <f t="shared" si="23"/>
        <v>0</v>
      </c>
      <c r="N54" s="1">
        <f t="shared" si="23"/>
        <v>0</v>
      </c>
      <c r="O54" s="1">
        <f t="shared" si="23"/>
        <v>0</v>
      </c>
      <c r="P54" s="1">
        <f t="shared" si="23"/>
        <v>0</v>
      </c>
      <c r="Q54" s="1">
        <f t="shared" si="23"/>
        <v>0</v>
      </c>
      <c r="R54" s="1">
        <f t="shared" si="23"/>
        <v>0</v>
      </c>
      <c r="S54" s="1">
        <f t="shared" si="23"/>
        <v>0</v>
      </c>
      <c r="T54" s="1">
        <f t="shared" si="23"/>
        <v>0</v>
      </c>
      <c r="U54" s="1">
        <f t="shared" si="23"/>
        <v>0</v>
      </c>
      <c r="V54" s="1">
        <f t="shared" si="23"/>
        <v>0</v>
      </c>
      <c r="W54" s="1">
        <f t="shared" si="23"/>
        <v>0</v>
      </c>
      <c r="X54" s="54">
        <f t="shared" si="23"/>
        <v>0</v>
      </c>
      <c r="Y54" s="58">
        <f t="shared" si="17"/>
        <v>0</v>
      </c>
      <c r="Z54" s="1">
        <f t="shared" si="18"/>
        <v>0</v>
      </c>
      <c r="AA54" s="1">
        <f t="shared" si="19"/>
        <v>0</v>
      </c>
    </row>
    <row r="55" spans="1:31" x14ac:dyDescent="0.25">
      <c r="A55" s="30" t="s">
        <v>60</v>
      </c>
      <c r="B55" s="32" t="s">
        <v>13</v>
      </c>
      <c r="C55" s="2"/>
      <c r="F55" s="51">
        <f>F66+F67+F68</f>
        <v>1839.4</v>
      </c>
      <c r="G55" s="51">
        <f t="shared" ref="G55:X55" si="24">G66+G67+G68</f>
        <v>1401.9047619047619</v>
      </c>
      <c r="H55" s="51">
        <f t="shared" si="24"/>
        <v>3300</v>
      </c>
      <c r="I55" s="51">
        <f t="shared" si="24"/>
        <v>800</v>
      </c>
      <c r="J55" s="51">
        <f t="shared" si="24"/>
        <v>800</v>
      </c>
      <c r="K55" s="51">
        <f t="shared" si="24"/>
        <v>230</v>
      </c>
      <c r="L55" s="52">
        <f t="shared" si="24"/>
        <v>0</v>
      </c>
      <c r="M55" s="51">
        <f t="shared" si="24"/>
        <v>900</v>
      </c>
      <c r="N55" s="51">
        <f t="shared" si="24"/>
        <v>160</v>
      </c>
      <c r="O55" s="51">
        <f t="shared" si="24"/>
        <v>438.40000000000003</v>
      </c>
      <c r="P55" s="51">
        <f t="shared" si="24"/>
        <v>2274.1999999999998</v>
      </c>
      <c r="Q55" s="51">
        <f t="shared" si="24"/>
        <v>90</v>
      </c>
      <c r="R55" s="51">
        <f t="shared" si="24"/>
        <v>400</v>
      </c>
      <c r="S55" s="51">
        <f t="shared" si="24"/>
        <v>0</v>
      </c>
      <c r="T55" s="51">
        <f t="shared" si="24"/>
        <v>100</v>
      </c>
      <c r="U55" s="51">
        <f t="shared" si="24"/>
        <v>340</v>
      </c>
      <c r="V55" s="51">
        <f t="shared" si="24"/>
        <v>60</v>
      </c>
      <c r="W55" s="51">
        <f t="shared" si="24"/>
        <v>800</v>
      </c>
      <c r="X55" s="55">
        <f t="shared" si="24"/>
        <v>200</v>
      </c>
      <c r="Y55" s="59">
        <f t="shared" si="17"/>
        <v>8371.3047619047611</v>
      </c>
      <c r="Z55" s="51">
        <f t="shared" si="18"/>
        <v>5762.6</v>
      </c>
      <c r="AA55" s="1">
        <f t="shared" si="19"/>
        <v>14133.904761904761</v>
      </c>
      <c r="AB55" s="64">
        <v>24000</v>
      </c>
      <c r="AC55" t="s">
        <v>127</v>
      </c>
      <c r="AD55" t="s">
        <v>128</v>
      </c>
    </row>
    <row r="56" spans="1:31" x14ac:dyDescent="0.25">
      <c r="A56" s="30" t="s">
        <v>60</v>
      </c>
      <c r="B56" s="31" t="s">
        <v>23</v>
      </c>
      <c r="C56" s="2"/>
      <c r="F56" s="51">
        <f>F69+F70+F71</f>
        <v>0</v>
      </c>
      <c r="G56" s="51">
        <f t="shared" ref="G56:X56" si="25">G69+G70+G71</f>
        <v>0</v>
      </c>
      <c r="H56" s="51">
        <f t="shared" si="25"/>
        <v>0</v>
      </c>
      <c r="I56" s="51">
        <f t="shared" si="25"/>
        <v>0</v>
      </c>
      <c r="J56" s="51">
        <f t="shared" si="25"/>
        <v>437.55</v>
      </c>
      <c r="K56" s="51">
        <f t="shared" si="25"/>
        <v>937.45</v>
      </c>
      <c r="L56" s="52">
        <f t="shared" si="25"/>
        <v>0</v>
      </c>
      <c r="M56" s="51">
        <f t="shared" si="25"/>
        <v>0</v>
      </c>
      <c r="N56" s="51">
        <f t="shared" si="25"/>
        <v>835</v>
      </c>
      <c r="O56" s="51">
        <f t="shared" si="25"/>
        <v>0</v>
      </c>
      <c r="P56" s="51">
        <f t="shared" si="25"/>
        <v>0</v>
      </c>
      <c r="Q56" s="51">
        <f t="shared" si="25"/>
        <v>0</v>
      </c>
      <c r="R56" s="51">
        <f t="shared" si="25"/>
        <v>0</v>
      </c>
      <c r="S56" s="51">
        <f t="shared" si="25"/>
        <v>60</v>
      </c>
      <c r="T56" s="51">
        <f t="shared" si="25"/>
        <v>260</v>
      </c>
      <c r="U56" s="51">
        <f t="shared" si="25"/>
        <v>0</v>
      </c>
      <c r="V56" s="51">
        <f t="shared" si="25"/>
        <v>90</v>
      </c>
      <c r="W56" s="51">
        <f t="shared" si="25"/>
        <v>0</v>
      </c>
      <c r="X56" s="55">
        <f t="shared" si="25"/>
        <v>90</v>
      </c>
      <c r="Y56" s="59">
        <f t="shared" si="17"/>
        <v>1375</v>
      </c>
      <c r="Z56" s="51">
        <f t="shared" si="18"/>
        <v>1335</v>
      </c>
      <c r="AA56" s="51">
        <f t="shared" si="19"/>
        <v>2710</v>
      </c>
      <c r="AB56">
        <f>897*3</f>
        <v>2691</v>
      </c>
    </row>
    <row r="57" spans="1:31" x14ac:dyDescent="0.25">
      <c r="A57" s="30" t="s">
        <v>60</v>
      </c>
      <c r="B57" s="31" t="s">
        <v>65</v>
      </c>
      <c r="C57" s="46"/>
      <c r="F57" s="51">
        <f>F72+F73+F74</f>
        <v>0</v>
      </c>
      <c r="G57" s="51">
        <f t="shared" ref="G57:X57" si="26">G72+G73+G74</f>
        <v>0</v>
      </c>
      <c r="H57" s="51">
        <f t="shared" si="26"/>
        <v>0</v>
      </c>
      <c r="I57" s="51">
        <f t="shared" si="26"/>
        <v>0</v>
      </c>
      <c r="J57" s="51">
        <f t="shared" si="26"/>
        <v>500</v>
      </c>
      <c r="K57" s="51">
        <f t="shared" si="26"/>
        <v>0</v>
      </c>
      <c r="L57" s="52">
        <f t="shared" si="26"/>
        <v>20000</v>
      </c>
      <c r="M57" s="51">
        <f t="shared" si="26"/>
        <v>1250</v>
      </c>
      <c r="N57" s="51">
        <f t="shared" si="26"/>
        <v>0</v>
      </c>
      <c r="O57" s="51">
        <f t="shared" si="26"/>
        <v>0</v>
      </c>
      <c r="P57" s="51">
        <f t="shared" si="26"/>
        <v>0</v>
      </c>
      <c r="Q57" s="51">
        <f t="shared" si="26"/>
        <v>3600</v>
      </c>
      <c r="R57" s="51">
        <f t="shared" si="26"/>
        <v>2600</v>
      </c>
      <c r="S57" s="51">
        <f t="shared" si="26"/>
        <v>0</v>
      </c>
      <c r="T57" s="51">
        <f t="shared" si="26"/>
        <v>2350</v>
      </c>
      <c r="U57" s="51">
        <f t="shared" si="26"/>
        <v>1000</v>
      </c>
      <c r="V57" s="51">
        <f t="shared" si="26"/>
        <v>500</v>
      </c>
      <c r="W57" s="51">
        <f t="shared" si="26"/>
        <v>750</v>
      </c>
      <c r="X57" s="55">
        <f t="shared" si="26"/>
        <v>800</v>
      </c>
      <c r="Y57" s="59">
        <f t="shared" si="17"/>
        <v>500</v>
      </c>
      <c r="Z57" s="51">
        <f t="shared" si="18"/>
        <v>12850</v>
      </c>
      <c r="AA57" s="64">
        <f>35500</f>
        <v>35500</v>
      </c>
    </row>
    <row r="58" spans="1:31" ht="15.75" thickBot="1" x14ac:dyDescent="0.3">
      <c r="A58" s="48" t="s">
        <v>60</v>
      </c>
      <c r="B58" s="49" t="s">
        <v>9</v>
      </c>
      <c r="C58" s="50"/>
      <c r="D58" s="50"/>
      <c r="E58" s="50"/>
      <c r="F58" s="53">
        <f>F75</f>
        <v>0</v>
      </c>
      <c r="G58" s="53">
        <f t="shared" ref="G58:X58" si="27">G75</f>
        <v>0</v>
      </c>
      <c r="H58" s="53">
        <f t="shared" si="27"/>
        <v>0</v>
      </c>
      <c r="I58" s="53">
        <f t="shared" si="27"/>
        <v>0</v>
      </c>
      <c r="J58" s="53">
        <f t="shared" si="27"/>
        <v>0</v>
      </c>
      <c r="K58" s="53">
        <f t="shared" si="27"/>
        <v>0</v>
      </c>
      <c r="L58" s="62">
        <f t="shared" si="27"/>
        <v>0</v>
      </c>
      <c r="M58" s="53">
        <f t="shared" si="27"/>
        <v>0</v>
      </c>
      <c r="N58" s="53">
        <f t="shared" si="27"/>
        <v>0</v>
      </c>
      <c r="O58" s="53">
        <f t="shared" si="27"/>
        <v>0</v>
      </c>
      <c r="P58" s="53">
        <f t="shared" si="27"/>
        <v>0</v>
      </c>
      <c r="Q58" s="53">
        <f t="shared" si="27"/>
        <v>0</v>
      </c>
      <c r="R58" s="53">
        <f t="shared" si="27"/>
        <v>0</v>
      </c>
      <c r="S58" s="53">
        <f t="shared" si="27"/>
        <v>0</v>
      </c>
      <c r="T58" s="53">
        <f t="shared" si="27"/>
        <v>0</v>
      </c>
      <c r="U58" s="53">
        <f t="shared" si="27"/>
        <v>0</v>
      </c>
      <c r="V58" s="53">
        <f t="shared" si="27"/>
        <v>760</v>
      </c>
      <c r="W58" s="53">
        <f t="shared" si="27"/>
        <v>0</v>
      </c>
      <c r="X58" s="53">
        <f t="shared" si="27"/>
        <v>625</v>
      </c>
      <c r="Y58" s="60">
        <f t="shared" si="17"/>
        <v>0</v>
      </c>
      <c r="Z58" s="53">
        <f t="shared" si="18"/>
        <v>1385</v>
      </c>
      <c r="AA58" s="65">
        <v>900</v>
      </c>
    </row>
    <row r="59" spans="1:31" ht="15.75" thickTop="1" x14ac:dyDescent="0.25">
      <c r="A59" s="15" t="s">
        <v>51</v>
      </c>
      <c r="B59" s="16" t="s">
        <v>52</v>
      </c>
      <c r="C59" s="16" t="s">
        <v>53</v>
      </c>
      <c r="D59" s="2"/>
      <c r="E59" s="2"/>
      <c r="F59" s="47"/>
      <c r="G59" s="47"/>
      <c r="H59" s="47"/>
      <c r="I59" s="47"/>
      <c r="J59" s="47"/>
      <c r="K59" s="47"/>
      <c r="L59" s="6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57"/>
      <c r="Y59" s="61">
        <f t="shared" si="17"/>
        <v>0</v>
      </c>
      <c r="Z59" s="47">
        <f t="shared" si="18"/>
        <v>0</v>
      </c>
      <c r="AA59" s="47">
        <f t="shared" ref="AA59:AA68" si="28">L59+Y59+Z59</f>
        <v>0</v>
      </c>
    </row>
    <row r="60" spans="1:31" x14ac:dyDescent="0.25">
      <c r="A60" s="15" t="s">
        <v>51</v>
      </c>
      <c r="B60" s="16" t="s">
        <v>52</v>
      </c>
      <c r="C60" s="16" t="s">
        <v>54</v>
      </c>
      <c r="D60" s="2"/>
      <c r="E60" s="2"/>
      <c r="F60" s="1"/>
      <c r="G60" s="1"/>
      <c r="H60" s="1"/>
      <c r="I60" s="1"/>
      <c r="J60" s="1"/>
      <c r="K60" s="1"/>
      <c r="L60" s="5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54"/>
      <c r="Y60" s="58">
        <f t="shared" si="17"/>
        <v>0</v>
      </c>
      <c r="Z60" s="1">
        <f t="shared" si="18"/>
        <v>0</v>
      </c>
      <c r="AA60" s="1">
        <f t="shared" si="28"/>
        <v>0</v>
      </c>
      <c r="AD60">
        <f>1.7/7.5</f>
        <v>0.22666666666666666</v>
      </c>
    </row>
    <row r="61" spans="1:31" x14ac:dyDescent="0.25">
      <c r="A61" s="15" t="s">
        <v>51</v>
      </c>
      <c r="B61" s="16" t="s">
        <v>52</v>
      </c>
      <c r="C61" s="16" t="s">
        <v>55</v>
      </c>
      <c r="D61" s="2"/>
      <c r="E61" s="2"/>
      <c r="F61" s="1"/>
      <c r="G61" s="1"/>
      <c r="H61" s="1"/>
      <c r="I61" s="1"/>
      <c r="J61" s="1"/>
      <c r="K61" s="1"/>
      <c r="L61" s="5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54"/>
      <c r="Y61" s="58">
        <f t="shared" si="17"/>
        <v>0</v>
      </c>
      <c r="Z61" s="1">
        <f t="shared" si="18"/>
        <v>0</v>
      </c>
      <c r="AA61" s="1">
        <f t="shared" si="28"/>
        <v>0</v>
      </c>
    </row>
    <row r="62" spans="1:31" x14ac:dyDescent="0.25">
      <c r="A62" s="25" t="s">
        <v>51</v>
      </c>
      <c r="B62" s="26" t="s">
        <v>56</v>
      </c>
      <c r="C62" s="26" t="s">
        <v>57</v>
      </c>
      <c r="D62" s="2"/>
      <c r="E62" s="2"/>
      <c r="F62" s="1"/>
      <c r="G62" s="1"/>
      <c r="H62" s="1"/>
      <c r="I62" s="1"/>
      <c r="J62" s="1"/>
      <c r="K62" s="1"/>
      <c r="L62" s="5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54"/>
      <c r="Y62" s="58">
        <f t="shared" si="17"/>
        <v>0</v>
      </c>
      <c r="Z62" s="1">
        <f t="shared" si="18"/>
        <v>0</v>
      </c>
      <c r="AA62" s="1">
        <f t="shared" si="28"/>
        <v>0</v>
      </c>
    </row>
    <row r="63" spans="1:31" x14ac:dyDescent="0.25">
      <c r="A63" s="15" t="s">
        <v>51</v>
      </c>
      <c r="B63" s="16" t="s">
        <v>56</v>
      </c>
      <c r="C63" s="27" t="s">
        <v>58</v>
      </c>
      <c r="D63" s="2"/>
      <c r="E63" s="2"/>
      <c r="F63" s="1"/>
      <c r="G63" s="1"/>
      <c r="H63" s="1"/>
      <c r="I63" s="1"/>
      <c r="J63" s="1"/>
      <c r="K63" s="1"/>
      <c r="L63" s="5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54"/>
      <c r="Y63" s="58">
        <f t="shared" si="17"/>
        <v>0</v>
      </c>
      <c r="Z63" s="1">
        <f t="shared" si="18"/>
        <v>0</v>
      </c>
      <c r="AA63" s="1">
        <f t="shared" si="28"/>
        <v>0</v>
      </c>
      <c r="AC63">
        <f>16/103*5000</f>
        <v>776.69902912621353</v>
      </c>
    </row>
    <row r="64" spans="1:31" x14ac:dyDescent="0.25">
      <c r="A64" s="15" t="s">
        <v>51</v>
      </c>
      <c r="B64" s="16" t="s">
        <v>9</v>
      </c>
      <c r="C64" s="27" t="s">
        <v>59</v>
      </c>
      <c r="D64" s="2"/>
      <c r="E64" s="2"/>
      <c r="F64" s="1"/>
      <c r="G64" s="1"/>
      <c r="H64" s="1"/>
      <c r="I64" s="1"/>
      <c r="J64" s="1"/>
      <c r="K64" s="1"/>
      <c r="L64" s="5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54"/>
      <c r="Y64" s="58">
        <f t="shared" si="17"/>
        <v>0</v>
      </c>
      <c r="Z64" s="1">
        <f t="shared" si="18"/>
        <v>0</v>
      </c>
      <c r="AA64" s="1">
        <f t="shared" si="28"/>
        <v>0</v>
      </c>
      <c r="AC64">
        <f>80/190*2000</f>
        <v>842.10526315789468</v>
      </c>
      <c r="AE64" s="98"/>
    </row>
    <row r="65" spans="1:35" x14ac:dyDescent="0.25">
      <c r="A65" s="15" t="s">
        <v>51</v>
      </c>
      <c r="B65" s="16" t="s">
        <v>9</v>
      </c>
      <c r="C65" s="27" t="s">
        <v>9</v>
      </c>
      <c r="D65" s="2"/>
      <c r="E65" s="2"/>
      <c r="F65" s="1"/>
      <c r="G65" s="1"/>
      <c r="H65" s="1"/>
      <c r="I65" s="1"/>
      <c r="J65" s="1"/>
      <c r="K65" s="1"/>
      <c r="L65" s="5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54"/>
      <c r="Y65" s="58">
        <f t="shared" si="17"/>
        <v>0</v>
      </c>
      <c r="Z65" s="1">
        <f t="shared" si="18"/>
        <v>0</v>
      </c>
      <c r="AA65" s="1">
        <f t="shared" si="28"/>
        <v>0</v>
      </c>
      <c r="AE65" s="98"/>
      <c r="AF65" s="98"/>
    </row>
    <row r="66" spans="1:35" x14ac:dyDescent="0.25">
      <c r="A66" s="28" t="s">
        <v>60</v>
      </c>
      <c r="B66" s="29" t="s">
        <v>13</v>
      </c>
      <c r="C66" s="29" t="s">
        <v>61</v>
      </c>
      <c r="D66" s="2"/>
      <c r="E66" s="2"/>
      <c r="F66" s="83">
        <f>2164*0.75/200*170</f>
        <v>1379.55</v>
      </c>
      <c r="G66" s="73"/>
      <c r="H66" s="83">
        <f>3300*0.5</f>
        <v>1650</v>
      </c>
      <c r="I66" s="64">
        <v>800</v>
      </c>
      <c r="J66" s="64">
        <v>800</v>
      </c>
      <c r="K66" s="64">
        <v>230</v>
      </c>
      <c r="L66" s="52"/>
      <c r="M66" s="64">
        <v>900</v>
      </c>
      <c r="N66" s="64">
        <v>160</v>
      </c>
      <c r="O66" s="64">
        <f>(0.16*(2900-N66))</f>
        <v>438.40000000000003</v>
      </c>
      <c r="P66" s="64">
        <f>(2900-N66)*0.83*0.5</f>
        <v>1137.0999999999999</v>
      </c>
      <c r="Q66" s="64">
        <v>90</v>
      </c>
      <c r="R66" s="64">
        <v>400</v>
      </c>
      <c r="S66" s="51"/>
      <c r="T66" s="64">
        <v>100</v>
      </c>
      <c r="U66" s="64">
        <f>240+100</f>
        <v>340</v>
      </c>
      <c r="V66" s="77">
        <f>V21*V111</f>
        <v>60</v>
      </c>
      <c r="W66" s="64">
        <v>800</v>
      </c>
      <c r="X66" s="67">
        <v>200</v>
      </c>
      <c r="Y66" s="59">
        <f t="shared" si="17"/>
        <v>4859.55</v>
      </c>
      <c r="Z66" s="51">
        <f t="shared" si="18"/>
        <v>4625.5</v>
      </c>
      <c r="AA66" s="51">
        <f t="shared" si="28"/>
        <v>9485.0499999999993</v>
      </c>
      <c r="AC66">
        <f>28/104*2000</f>
        <v>538.46153846153845</v>
      </c>
      <c r="AE66" s="98"/>
      <c r="AF66" s="98"/>
    </row>
    <row r="67" spans="1:35" x14ac:dyDescent="0.25">
      <c r="A67" s="36" t="s">
        <v>60</v>
      </c>
      <c r="B67" s="37" t="s">
        <v>13</v>
      </c>
      <c r="C67" s="29" t="s">
        <v>62</v>
      </c>
      <c r="D67" s="2"/>
      <c r="E67" s="2"/>
      <c r="F67" s="83">
        <f>2164*0.25/200*170</f>
        <v>459.85</v>
      </c>
      <c r="G67" s="83">
        <f>1280*230/210</f>
        <v>1401.9047619047619</v>
      </c>
      <c r="H67" s="83">
        <f>3300*0.5</f>
        <v>1650</v>
      </c>
      <c r="I67" s="51"/>
      <c r="J67" s="51"/>
      <c r="K67" s="51"/>
      <c r="L67" s="52"/>
      <c r="M67" s="51"/>
      <c r="N67" s="51"/>
      <c r="O67" s="51"/>
      <c r="P67" s="64">
        <f>P66</f>
        <v>1137.0999999999999</v>
      </c>
      <c r="Q67" s="51"/>
      <c r="R67" s="51"/>
      <c r="S67" s="51"/>
      <c r="T67" s="51"/>
      <c r="U67" s="51"/>
      <c r="V67" s="51"/>
      <c r="W67" s="51"/>
      <c r="X67" s="55"/>
      <c r="Y67" s="59">
        <f t="shared" si="17"/>
        <v>3511.7547619047618</v>
      </c>
      <c r="Z67" s="51">
        <f t="shared" si="18"/>
        <v>1137.0999999999999</v>
      </c>
      <c r="AA67" s="51">
        <f t="shared" si="28"/>
        <v>4648.8547619047622</v>
      </c>
      <c r="AC67">
        <f>40/56</f>
        <v>0.7142857142857143</v>
      </c>
      <c r="AE67" s="98"/>
      <c r="AF67" s="98"/>
    </row>
    <row r="68" spans="1:35" x14ac:dyDescent="0.25">
      <c r="A68" s="30" t="s">
        <v>60</v>
      </c>
      <c r="B68" s="31" t="s">
        <v>13</v>
      </c>
      <c r="C68" s="32" t="s">
        <v>63</v>
      </c>
      <c r="D68" s="2"/>
      <c r="E68" s="2"/>
      <c r="F68" s="51"/>
      <c r="G68" s="51"/>
      <c r="H68" s="51"/>
      <c r="I68" s="51"/>
      <c r="J68" s="51"/>
      <c r="K68" s="51"/>
      <c r="L68" s="52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5"/>
      <c r="Y68" s="59">
        <f t="shared" si="17"/>
        <v>0</v>
      </c>
      <c r="Z68" s="51">
        <f t="shared" si="18"/>
        <v>0</v>
      </c>
      <c r="AA68" s="51">
        <f t="shared" si="28"/>
        <v>0</v>
      </c>
      <c r="AE68" s="98"/>
      <c r="AF68" s="98"/>
    </row>
    <row r="69" spans="1:35" x14ac:dyDescent="0.25">
      <c r="A69" s="30" t="s">
        <v>60</v>
      </c>
      <c r="B69" s="32" t="s">
        <v>23</v>
      </c>
      <c r="C69" s="31" t="s">
        <v>50</v>
      </c>
      <c r="D69" s="2"/>
      <c r="E69" s="2"/>
      <c r="F69" s="77">
        <f>F24*F114</f>
        <v>0</v>
      </c>
      <c r="G69" s="51"/>
      <c r="H69" s="51"/>
      <c r="I69" s="51"/>
      <c r="J69" s="77">
        <f>J24*J114</f>
        <v>5.55</v>
      </c>
      <c r="K69" s="64">
        <f>AA69-N69-J69</f>
        <v>829.45</v>
      </c>
      <c r="L69" s="52"/>
      <c r="M69" s="51"/>
      <c r="N69" s="64">
        <f>1670*0.5</f>
        <v>835</v>
      </c>
      <c r="O69" s="51"/>
      <c r="P69" s="51"/>
      <c r="Q69" s="51"/>
      <c r="R69" s="51"/>
      <c r="S69" s="51"/>
      <c r="T69" s="51"/>
      <c r="U69" s="51"/>
      <c r="V69" s="51"/>
      <c r="W69" s="51"/>
      <c r="X69" s="55"/>
      <c r="Y69" s="59">
        <f t="shared" si="17"/>
        <v>835</v>
      </c>
      <c r="Z69" s="51">
        <f t="shared" si="18"/>
        <v>835</v>
      </c>
      <c r="AA69" s="64">
        <v>1670</v>
      </c>
      <c r="AE69" s="98"/>
      <c r="AF69" s="98"/>
    </row>
    <row r="70" spans="1:35" x14ac:dyDescent="0.25">
      <c r="A70" s="30" t="s">
        <v>60</v>
      </c>
      <c r="B70" s="32" t="s">
        <v>23</v>
      </c>
      <c r="C70" s="31" t="s">
        <v>49</v>
      </c>
      <c r="D70" s="2"/>
      <c r="E70" s="2"/>
      <c r="F70" s="51"/>
      <c r="G70" s="51"/>
      <c r="H70" s="51"/>
      <c r="I70" s="51"/>
      <c r="J70" s="64">
        <f>600*0.72</f>
        <v>432</v>
      </c>
      <c r="K70" s="64">
        <f>600*0.18</f>
        <v>108</v>
      </c>
      <c r="L70" s="52"/>
      <c r="M70" s="51"/>
      <c r="N70" s="51"/>
      <c r="O70" s="51"/>
      <c r="P70" s="51"/>
      <c r="Q70" s="51"/>
      <c r="R70" s="51"/>
      <c r="S70" s="64">
        <v>60</v>
      </c>
      <c r="T70" s="77">
        <f>T25*T115</f>
        <v>260</v>
      </c>
      <c r="U70" s="51"/>
      <c r="V70" s="77">
        <f>V25*V115</f>
        <v>90</v>
      </c>
      <c r="W70" s="51"/>
      <c r="X70" s="77">
        <f>X25*X115</f>
        <v>90</v>
      </c>
      <c r="Y70" s="59">
        <f t="shared" si="17"/>
        <v>540</v>
      </c>
      <c r="Z70" s="51">
        <f t="shared" si="18"/>
        <v>500</v>
      </c>
      <c r="AA70" s="64">
        <f>500+600</f>
        <v>1100</v>
      </c>
      <c r="AB70" s="9"/>
      <c r="AE70" s="98"/>
      <c r="AF70" s="98"/>
    </row>
    <row r="71" spans="1:35" x14ac:dyDescent="0.25">
      <c r="A71" s="30" t="s">
        <v>60</v>
      </c>
      <c r="B71" s="32" t="s">
        <v>23</v>
      </c>
      <c r="C71" s="31" t="s">
        <v>64</v>
      </c>
      <c r="D71" s="2"/>
      <c r="E71" s="2"/>
      <c r="F71" s="51"/>
      <c r="G71" s="51"/>
      <c r="H71" s="51"/>
      <c r="I71" s="51"/>
      <c r="J71" s="51"/>
      <c r="K71" s="51"/>
      <c r="L71" s="52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5"/>
      <c r="Y71" s="59">
        <f t="shared" si="17"/>
        <v>0</v>
      </c>
      <c r="Z71" s="51">
        <f t="shared" si="18"/>
        <v>0</v>
      </c>
      <c r="AA71" s="51">
        <f t="shared" ref="AA71:AA90" si="29">L71+Y71+Z71</f>
        <v>0</v>
      </c>
    </row>
    <row r="72" spans="1:35" x14ac:dyDescent="0.25">
      <c r="A72" s="30" t="s">
        <v>60</v>
      </c>
      <c r="B72" s="32" t="s">
        <v>65</v>
      </c>
      <c r="C72" s="31" t="s">
        <v>66</v>
      </c>
      <c r="D72" s="2"/>
      <c r="E72" s="2"/>
      <c r="F72" s="51"/>
      <c r="G72" s="51"/>
      <c r="H72" s="51"/>
      <c r="I72" s="51"/>
      <c r="J72" s="64">
        <v>500</v>
      </c>
      <c r="K72" s="51"/>
      <c r="L72" s="52"/>
      <c r="M72" s="64">
        <v>1250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5"/>
      <c r="Y72" s="59">
        <f t="shared" si="17"/>
        <v>500</v>
      </c>
      <c r="Z72" s="51">
        <f t="shared" si="18"/>
        <v>1250</v>
      </c>
      <c r="AA72" s="51">
        <f t="shared" si="29"/>
        <v>1750</v>
      </c>
    </row>
    <row r="73" spans="1:35" x14ac:dyDescent="0.25">
      <c r="A73" s="30" t="s">
        <v>60</v>
      </c>
      <c r="B73" s="32" t="s">
        <v>65</v>
      </c>
      <c r="C73" s="31" t="s">
        <v>67</v>
      </c>
      <c r="D73" s="2"/>
      <c r="E73" s="2"/>
      <c r="F73" s="51"/>
      <c r="G73" s="51"/>
      <c r="H73" s="51"/>
      <c r="I73" s="51"/>
      <c r="J73" s="51"/>
      <c r="K73" s="51"/>
      <c r="L73" s="52"/>
      <c r="M73" s="51"/>
      <c r="N73" s="51"/>
      <c r="O73" s="51"/>
      <c r="P73" s="51"/>
      <c r="Q73" s="64">
        <v>3600</v>
      </c>
      <c r="R73" s="64">
        <v>2600</v>
      </c>
      <c r="S73" s="51"/>
      <c r="T73" s="64">
        <v>2350</v>
      </c>
      <c r="U73" s="64">
        <v>1000</v>
      </c>
      <c r="V73" s="64">
        <f>500</f>
        <v>500</v>
      </c>
      <c r="W73" s="64">
        <v>750</v>
      </c>
      <c r="X73" s="67">
        <v>800</v>
      </c>
      <c r="Y73" s="59">
        <f t="shared" si="17"/>
        <v>0</v>
      </c>
      <c r="Z73" s="51">
        <f t="shared" si="18"/>
        <v>11600</v>
      </c>
      <c r="AA73" s="51">
        <f t="shared" si="29"/>
        <v>11600</v>
      </c>
    </row>
    <row r="74" spans="1:35" x14ac:dyDescent="0.25">
      <c r="A74" s="30" t="s">
        <v>60</v>
      </c>
      <c r="B74" s="32" t="s">
        <v>65</v>
      </c>
      <c r="C74" s="31" t="s">
        <v>68</v>
      </c>
      <c r="D74" s="2"/>
      <c r="E74" s="2"/>
      <c r="F74" s="51"/>
      <c r="G74" s="51"/>
      <c r="H74" s="51"/>
      <c r="I74" s="51"/>
      <c r="J74" s="51"/>
      <c r="K74" s="51"/>
      <c r="L74" s="64">
        <v>20000</v>
      </c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5"/>
      <c r="Y74" s="59">
        <f t="shared" si="17"/>
        <v>0</v>
      </c>
      <c r="Z74" s="51">
        <f t="shared" si="18"/>
        <v>0</v>
      </c>
      <c r="AA74" s="51">
        <f t="shared" si="29"/>
        <v>20000</v>
      </c>
    </row>
    <row r="75" spans="1:35" x14ac:dyDescent="0.25">
      <c r="A75" s="30" t="s">
        <v>60</v>
      </c>
      <c r="B75" s="32" t="s">
        <v>9</v>
      </c>
      <c r="C75" s="31" t="s">
        <v>69</v>
      </c>
      <c r="D75" s="2"/>
      <c r="E75" s="2"/>
      <c r="F75" s="51"/>
      <c r="G75" s="51"/>
      <c r="H75" s="51"/>
      <c r="I75" s="51"/>
      <c r="J75" s="51"/>
      <c r="K75" s="51"/>
      <c r="L75" s="52"/>
      <c r="M75" s="51"/>
      <c r="N75" s="51"/>
      <c r="O75" s="51"/>
      <c r="P75" s="51"/>
      <c r="Q75" s="51"/>
      <c r="R75" s="51"/>
      <c r="S75" s="51"/>
      <c r="T75" s="51"/>
      <c r="U75" s="51"/>
      <c r="V75" s="96">
        <v>760</v>
      </c>
      <c r="W75" s="51"/>
      <c r="X75" s="55">
        <v>625</v>
      </c>
      <c r="Y75" s="59">
        <f t="shared" si="17"/>
        <v>0</v>
      </c>
      <c r="Z75" s="51">
        <f t="shared" si="18"/>
        <v>1385</v>
      </c>
      <c r="AA75" s="51">
        <f t="shared" si="29"/>
        <v>1385</v>
      </c>
    </row>
    <row r="76" spans="1:35" x14ac:dyDescent="0.25">
      <c r="A76" s="15" t="s">
        <v>51</v>
      </c>
      <c r="B76" s="16" t="s">
        <v>56</v>
      </c>
      <c r="C76" s="27" t="s">
        <v>57</v>
      </c>
      <c r="D76" s="16" t="s">
        <v>70</v>
      </c>
      <c r="E76" s="16"/>
      <c r="F76" s="1"/>
      <c r="G76" s="1"/>
      <c r="H76" s="1"/>
      <c r="I76" s="1"/>
      <c r="J76" s="1"/>
      <c r="K76" s="1"/>
      <c r="L76" s="5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54"/>
      <c r="Y76" s="58">
        <f t="shared" si="17"/>
        <v>0</v>
      </c>
      <c r="Z76" s="1">
        <f t="shared" si="18"/>
        <v>0</v>
      </c>
      <c r="AA76" s="1">
        <f t="shared" si="29"/>
        <v>0</v>
      </c>
      <c r="AC76">
        <f>8/28*2</f>
        <v>0.5714285714285714</v>
      </c>
    </row>
    <row r="77" spans="1:35" x14ac:dyDescent="0.25">
      <c r="A77" s="15" t="s">
        <v>51</v>
      </c>
      <c r="B77" s="16" t="s">
        <v>56</v>
      </c>
      <c r="C77" s="27" t="s">
        <v>57</v>
      </c>
      <c r="D77" s="16" t="s">
        <v>71</v>
      </c>
      <c r="E77" s="16"/>
      <c r="F77" s="1"/>
      <c r="G77" s="1"/>
      <c r="H77" s="1"/>
      <c r="I77" s="1"/>
      <c r="J77" s="1"/>
      <c r="K77" s="1"/>
      <c r="L77" s="5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54"/>
      <c r="Y77" s="58">
        <f t="shared" si="17"/>
        <v>0</v>
      </c>
      <c r="Z77" s="1">
        <f t="shared" si="18"/>
        <v>0</v>
      </c>
      <c r="AA77" s="1">
        <f t="shared" si="29"/>
        <v>0</v>
      </c>
    </row>
    <row r="78" spans="1:35" x14ac:dyDescent="0.25">
      <c r="A78" s="15" t="s">
        <v>51</v>
      </c>
      <c r="B78" s="16" t="s">
        <v>56</v>
      </c>
      <c r="C78" s="27" t="s">
        <v>27</v>
      </c>
      <c r="D78" s="16" t="s">
        <v>72</v>
      </c>
      <c r="E78" s="16"/>
      <c r="F78" s="1"/>
      <c r="G78" s="1"/>
      <c r="H78" s="1"/>
      <c r="I78" s="1"/>
      <c r="J78" s="1"/>
      <c r="K78" s="1"/>
      <c r="L78" s="5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54"/>
      <c r="Y78" s="58">
        <f t="shared" si="17"/>
        <v>0</v>
      </c>
      <c r="Z78" s="1">
        <f t="shared" si="18"/>
        <v>0</v>
      </c>
      <c r="AA78" s="1">
        <f t="shared" si="29"/>
        <v>0</v>
      </c>
      <c r="AH78" t="s">
        <v>1</v>
      </c>
      <c r="AI78" t="s">
        <v>6</v>
      </c>
    </row>
    <row r="79" spans="1:35" x14ac:dyDescent="0.25">
      <c r="A79" s="15" t="s">
        <v>51</v>
      </c>
      <c r="B79" s="16" t="s">
        <v>56</v>
      </c>
      <c r="C79" s="27" t="s">
        <v>57</v>
      </c>
      <c r="D79" s="16" t="s">
        <v>73</v>
      </c>
      <c r="E79" s="16"/>
      <c r="F79" s="1"/>
      <c r="G79" s="1"/>
      <c r="H79" s="1"/>
      <c r="I79" s="1"/>
      <c r="J79" s="1"/>
      <c r="K79" s="1"/>
      <c r="L79" s="5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54"/>
      <c r="Y79" s="58">
        <f t="shared" si="17"/>
        <v>0</v>
      </c>
      <c r="Z79" s="1">
        <f t="shared" si="18"/>
        <v>0</v>
      </c>
      <c r="AA79" s="1">
        <f t="shared" si="29"/>
        <v>0</v>
      </c>
      <c r="AF79" t="s">
        <v>11</v>
      </c>
      <c r="AG79">
        <f>14/180</f>
        <v>7.7777777777777779E-2</v>
      </c>
      <c r="AH79">
        <f>AG79*20000</f>
        <v>1555.5555555555557</v>
      </c>
    </row>
    <row r="80" spans="1:35" x14ac:dyDescent="0.25">
      <c r="A80" s="15" t="s">
        <v>51</v>
      </c>
      <c r="B80" s="16" t="s">
        <v>56</v>
      </c>
      <c r="C80" s="27" t="s">
        <v>57</v>
      </c>
      <c r="D80" s="16" t="s">
        <v>74</v>
      </c>
      <c r="E80" s="16"/>
      <c r="F80" s="1"/>
      <c r="G80" s="1"/>
      <c r="H80" s="1"/>
      <c r="I80" s="1"/>
      <c r="J80" s="1"/>
      <c r="K80" s="1"/>
      <c r="L80" s="5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54"/>
      <c r="Y80" s="58">
        <f t="shared" si="17"/>
        <v>0</v>
      </c>
      <c r="Z80" s="1">
        <f t="shared" si="18"/>
        <v>0</v>
      </c>
      <c r="AA80" s="1">
        <f t="shared" si="29"/>
        <v>0</v>
      </c>
      <c r="AF80" t="s">
        <v>5</v>
      </c>
      <c r="AG80">
        <f>2/180</f>
        <v>1.1111111111111112E-2</v>
      </c>
      <c r="AH80">
        <f>AG80*20000</f>
        <v>222.22222222222223</v>
      </c>
      <c r="AI80">
        <f>AH80/5000</f>
        <v>4.4444444444444446E-2</v>
      </c>
    </row>
    <row r="81" spans="1:36" x14ac:dyDescent="0.25">
      <c r="A81" s="30" t="s">
        <v>60</v>
      </c>
      <c r="B81" s="31" t="s">
        <v>13</v>
      </c>
      <c r="C81" s="32" t="s">
        <v>61</v>
      </c>
      <c r="D81" s="31" t="s">
        <v>75</v>
      </c>
      <c r="E81" s="31"/>
      <c r="F81" s="51">
        <f>F66*0.5</f>
        <v>689.77499999999998</v>
      </c>
      <c r="G81" s="51">
        <f>G67*0.9</f>
        <v>1261.7142857142858</v>
      </c>
      <c r="H81" s="51">
        <f>H66*0.9</f>
        <v>1485</v>
      </c>
      <c r="I81" s="51">
        <f>I66*0.1</f>
        <v>80</v>
      </c>
      <c r="J81" s="51">
        <v>0</v>
      </c>
      <c r="K81" s="51">
        <v>0</v>
      </c>
      <c r="L81" s="52">
        <v>0</v>
      </c>
      <c r="M81" s="51">
        <f>M66*0.1</f>
        <v>90</v>
      </c>
      <c r="N81" s="51">
        <v>0</v>
      </c>
      <c r="O81" s="51">
        <v>0</v>
      </c>
      <c r="P81" s="51">
        <v>0</v>
      </c>
      <c r="Q81" s="51">
        <f>Q66*0</f>
        <v>0</v>
      </c>
      <c r="R81" s="51"/>
      <c r="S81" s="51"/>
      <c r="T81" s="51"/>
      <c r="U81" s="51"/>
      <c r="V81" s="51"/>
      <c r="W81" s="51">
        <f>W66</f>
        <v>800</v>
      </c>
      <c r="X81" s="55"/>
      <c r="Y81" s="59">
        <f t="shared" si="17"/>
        <v>3516.4892857142859</v>
      </c>
      <c r="Z81" s="51">
        <f t="shared" si="18"/>
        <v>890</v>
      </c>
      <c r="AA81" s="51">
        <f t="shared" si="29"/>
        <v>4406.4892857142859</v>
      </c>
      <c r="AF81" t="s">
        <v>7</v>
      </c>
      <c r="AG81">
        <f>7/180</f>
        <v>3.888888888888889E-2</v>
      </c>
      <c r="AH81">
        <f>AG81*20000</f>
        <v>777.77777777777783</v>
      </c>
      <c r="AI81">
        <f>AH81/5000</f>
        <v>0.15555555555555556</v>
      </c>
      <c r="AJ81">
        <f>AH81/4777</f>
        <v>0.16281720280045589</v>
      </c>
    </row>
    <row r="82" spans="1:36" x14ac:dyDescent="0.25">
      <c r="A82" s="30" t="s">
        <v>60</v>
      </c>
      <c r="B82" s="31" t="s">
        <v>13</v>
      </c>
      <c r="C82" s="32" t="s">
        <v>61</v>
      </c>
      <c r="D82" s="31" t="s">
        <v>76</v>
      </c>
      <c r="E82" s="31"/>
      <c r="F82" s="51">
        <f>F66*0.5</f>
        <v>689.77499999999998</v>
      </c>
      <c r="G82" s="51">
        <v>0</v>
      </c>
      <c r="H82" s="51">
        <v>0</v>
      </c>
      <c r="I82" s="51">
        <f>I66*0.7</f>
        <v>560</v>
      </c>
      <c r="J82" s="51">
        <f>J66</f>
        <v>800</v>
      </c>
      <c r="K82" s="51">
        <f>K66*0.2</f>
        <v>46</v>
      </c>
      <c r="L82" s="52">
        <v>0</v>
      </c>
      <c r="M82" s="51">
        <f>M66*0.3</f>
        <v>270</v>
      </c>
      <c r="N82" s="51">
        <f>N66</f>
        <v>160</v>
      </c>
      <c r="O82" s="51">
        <f>O66*0.9</f>
        <v>394.56000000000006</v>
      </c>
      <c r="P82" s="51">
        <f>P66*0.05</f>
        <v>56.854999999999997</v>
      </c>
      <c r="Q82" s="51">
        <f>Q66*0.1</f>
        <v>9</v>
      </c>
      <c r="R82" s="51">
        <f>R66</f>
        <v>400</v>
      </c>
      <c r="S82" s="51"/>
      <c r="T82" s="51"/>
      <c r="U82" s="51"/>
      <c r="V82" s="51"/>
      <c r="W82" s="51"/>
      <c r="X82" s="55"/>
      <c r="Y82" s="59">
        <f t="shared" si="17"/>
        <v>2095.7750000000001</v>
      </c>
      <c r="Z82" s="51">
        <f t="shared" si="18"/>
        <v>1290.415</v>
      </c>
      <c r="AA82" s="51">
        <f t="shared" si="29"/>
        <v>3386.19</v>
      </c>
      <c r="AF82" t="s">
        <v>8</v>
      </c>
      <c r="AG82">
        <f>36/180</f>
        <v>0.2</v>
      </c>
      <c r="AH82">
        <f>AG82*20000</f>
        <v>4000</v>
      </c>
      <c r="AI82">
        <f>AH82/5000</f>
        <v>0.8</v>
      </c>
      <c r="AJ82">
        <f>AH82/4777</f>
        <v>0.83734561440234456</v>
      </c>
    </row>
    <row r="83" spans="1:36" x14ac:dyDescent="0.25">
      <c r="A83" s="30" t="s">
        <v>60</v>
      </c>
      <c r="B83" s="31" t="s">
        <v>13</v>
      </c>
      <c r="C83" s="32" t="s">
        <v>61</v>
      </c>
      <c r="D83" s="31" t="s">
        <v>77</v>
      </c>
      <c r="E83" s="31"/>
      <c r="F83" s="51">
        <v>0</v>
      </c>
      <c r="G83" s="51">
        <v>0</v>
      </c>
      <c r="H83" s="51">
        <v>0</v>
      </c>
      <c r="I83" s="51">
        <v>0</v>
      </c>
      <c r="J83" s="51">
        <v>0</v>
      </c>
      <c r="K83" s="51">
        <f>K66*0.4</f>
        <v>92</v>
      </c>
      <c r="L83" s="52">
        <v>0</v>
      </c>
      <c r="M83" s="51">
        <f>M66*0.5</f>
        <v>450</v>
      </c>
      <c r="N83" s="51">
        <v>0</v>
      </c>
      <c r="O83" s="51">
        <v>0</v>
      </c>
      <c r="P83" s="51">
        <v>0</v>
      </c>
      <c r="Q83" s="51"/>
      <c r="R83" s="51"/>
      <c r="S83" s="51"/>
      <c r="T83" s="51">
        <f>T66</f>
        <v>100</v>
      </c>
      <c r="U83" s="51">
        <f>U66</f>
        <v>340</v>
      </c>
      <c r="V83" s="51"/>
      <c r="W83" s="51"/>
      <c r="X83" s="55"/>
      <c r="Y83" s="59">
        <f t="shared" si="17"/>
        <v>92</v>
      </c>
      <c r="Z83" s="51">
        <f t="shared" si="18"/>
        <v>890</v>
      </c>
      <c r="AA83" s="51">
        <f t="shared" si="29"/>
        <v>982</v>
      </c>
    </row>
    <row r="84" spans="1:36" x14ac:dyDescent="0.25">
      <c r="A84" s="30" t="s">
        <v>60</v>
      </c>
      <c r="B84" s="31" t="s">
        <v>13</v>
      </c>
      <c r="C84" s="32" t="s">
        <v>61</v>
      </c>
      <c r="D84" s="31" t="s">
        <v>78</v>
      </c>
      <c r="E84" s="31"/>
      <c r="F84" s="51">
        <v>0</v>
      </c>
      <c r="G84" s="51">
        <v>0</v>
      </c>
      <c r="H84" s="51">
        <v>0</v>
      </c>
      <c r="I84" s="51">
        <f>I66*0.2</f>
        <v>160</v>
      </c>
      <c r="J84" s="51">
        <v>0</v>
      </c>
      <c r="K84" s="51">
        <f>K66*0.4</f>
        <v>92</v>
      </c>
      <c r="L84" s="52">
        <v>0</v>
      </c>
      <c r="M84" s="51">
        <f>M66*0.1</f>
        <v>90</v>
      </c>
      <c r="N84" s="51">
        <v>0</v>
      </c>
      <c r="O84" s="51">
        <f>O66*0.1</f>
        <v>43.84</v>
      </c>
      <c r="P84" s="51">
        <f>(P66)*0.95</f>
        <v>1080.2449999999999</v>
      </c>
      <c r="Q84" s="51">
        <f>Q66*0.9</f>
        <v>81</v>
      </c>
      <c r="R84" s="51"/>
      <c r="S84" s="51"/>
      <c r="T84" s="51"/>
      <c r="U84" s="51"/>
      <c r="V84" s="51"/>
      <c r="W84" s="51"/>
      <c r="X84" s="55">
        <f>X66</f>
        <v>200</v>
      </c>
      <c r="Y84" s="59">
        <f t="shared" si="17"/>
        <v>252</v>
      </c>
      <c r="Z84" s="51">
        <f t="shared" si="18"/>
        <v>1495.0849999999998</v>
      </c>
      <c r="AA84" s="51">
        <f t="shared" si="29"/>
        <v>1747.0849999999998</v>
      </c>
    </row>
    <row r="85" spans="1:36" ht="15.75" thickBot="1" x14ac:dyDescent="0.3">
      <c r="A85" s="33" t="s">
        <v>60</v>
      </c>
      <c r="B85" s="34" t="s">
        <v>13</v>
      </c>
      <c r="C85" s="35" t="s">
        <v>61</v>
      </c>
      <c r="D85" s="34" t="s">
        <v>79</v>
      </c>
      <c r="E85" s="31"/>
      <c r="F85" s="51">
        <v>0</v>
      </c>
      <c r="G85" s="51">
        <v>0</v>
      </c>
      <c r="H85" s="51">
        <v>0</v>
      </c>
      <c r="I85" s="51">
        <v>0</v>
      </c>
      <c r="J85" s="51">
        <v>0</v>
      </c>
      <c r="K85" s="51">
        <v>0</v>
      </c>
      <c r="L85" s="52">
        <v>0</v>
      </c>
      <c r="M85" s="51">
        <v>0</v>
      </c>
      <c r="N85" s="51">
        <v>0</v>
      </c>
      <c r="O85" s="51">
        <v>0</v>
      </c>
      <c r="P85" s="51">
        <v>0</v>
      </c>
      <c r="Q85" s="51"/>
      <c r="R85" s="51"/>
      <c r="S85" s="51"/>
      <c r="T85" s="51"/>
      <c r="U85" s="51"/>
      <c r="V85" s="51"/>
      <c r="W85" s="51"/>
      <c r="X85" s="55"/>
      <c r="Y85" s="59">
        <f t="shared" si="17"/>
        <v>0</v>
      </c>
      <c r="Z85" s="51">
        <f t="shared" si="18"/>
        <v>0</v>
      </c>
      <c r="AA85" s="51">
        <f t="shared" si="29"/>
        <v>0</v>
      </c>
    </row>
    <row r="86" spans="1:36" x14ac:dyDescent="0.25">
      <c r="A86" s="30" t="s">
        <v>60</v>
      </c>
      <c r="B86" s="31" t="s">
        <v>13</v>
      </c>
      <c r="C86" s="32" t="s">
        <v>62</v>
      </c>
      <c r="D86" s="31" t="s">
        <v>75</v>
      </c>
      <c r="E86" s="31"/>
      <c r="F86" s="51"/>
      <c r="G86" s="51"/>
      <c r="H86" s="51"/>
      <c r="I86" s="51">
        <v>0</v>
      </c>
      <c r="J86" s="51">
        <v>0</v>
      </c>
      <c r="K86" s="51">
        <v>0</v>
      </c>
      <c r="L86" s="52">
        <v>0</v>
      </c>
      <c r="M86" s="51">
        <v>0</v>
      </c>
      <c r="N86" s="51">
        <v>0</v>
      </c>
      <c r="O86" s="51">
        <v>0</v>
      </c>
      <c r="P86" s="51">
        <v>0</v>
      </c>
      <c r="Q86" s="51"/>
      <c r="R86" s="51"/>
      <c r="S86" s="51"/>
      <c r="T86" s="51"/>
      <c r="U86" s="51"/>
      <c r="V86" s="51"/>
      <c r="W86" s="51"/>
      <c r="X86" s="55"/>
      <c r="Y86" s="59">
        <f t="shared" si="17"/>
        <v>0</v>
      </c>
      <c r="Z86" s="51">
        <f t="shared" si="18"/>
        <v>0</v>
      </c>
      <c r="AA86" s="51">
        <f t="shared" si="29"/>
        <v>0</v>
      </c>
    </row>
    <row r="87" spans="1:36" x14ac:dyDescent="0.25">
      <c r="A87" s="30" t="s">
        <v>60</v>
      </c>
      <c r="B87" s="31" t="s">
        <v>13</v>
      </c>
      <c r="C87" s="32" t="s">
        <v>62</v>
      </c>
      <c r="D87" s="31" t="s">
        <v>76</v>
      </c>
      <c r="E87" s="31"/>
      <c r="F87" s="73">
        <f>F67</f>
        <v>459.85</v>
      </c>
      <c r="G87" s="51">
        <f>G67*0.1</f>
        <v>140.1904761904762</v>
      </c>
      <c r="H87" s="51">
        <f>H67*0.1</f>
        <v>165</v>
      </c>
      <c r="I87" s="51">
        <v>0</v>
      </c>
      <c r="J87" s="51">
        <v>0</v>
      </c>
      <c r="K87" s="51">
        <v>0</v>
      </c>
      <c r="L87" s="52">
        <v>0</v>
      </c>
      <c r="M87" s="51">
        <v>0</v>
      </c>
      <c r="N87" s="51">
        <v>0</v>
      </c>
      <c r="O87" s="51">
        <v>0</v>
      </c>
      <c r="P87" s="51">
        <v>0</v>
      </c>
      <c r="Q87" s="51"/>
      <c r="R87" s="51"/>
      <c r="S87" s="51"/>
      <c r="T87" s="51"/>
      <c r="U87" s="51"/>
      <c r="V87" s="51"/>
      <c r="W87" s="51"/>
      <c r="X87" s="55"/>
      <c r="Y87" s="59">
        <f t="shared" si="17"/>
        <v>765.04047619047628</v>
      </c>
      <c r="Z87" s="51">
        <f t="shared" si="18"/>
        <v>0</v>
      </c>
      <c r="AA87" s="51">
        <f t="shared" si="29"/>
        <v>765.04047619047628</v>
      </c>
    </row>
    <row r="88" spans="1:36" x14ac:dyDescent="0.25">
      <c r="A88" s="30" t="s">
        <v>60</v>
      </c>
      <c r="B88" s="31" t="s">
        <v>13</v>
      </c>
      <c r="C88" s="32" t="s">
        <v>62</v>
      </c>
      <c r="D88" s="31" t="s">
        <v>77</v>
      </c>
      <c r="E88" s="31"/>
      <c r="F88" s="51">
        <v>0</v>
      </c>
      <c r="G88" s="51">
        <v>0</v>
      </c>
      <c r="H88" s="51">
        <v>0</v>
      </c>
      <c r="I88" s="51">
        <v>0</v>
      </c>
      <c r="J88" s="51">
        <v>0</v>
      </c>
      <c r="K88" s="51">
        <v>0</v>
      </c>
      <c r="L88" s="52">
        <v>0</v>
      </c>
      <c r="M88" s="51">
        <v>0</v>
      </c>
      <c r="N88" s="51">
        <v>0</v>
      </c>
      <c r="O88" s="51">
        <v>0</v>
      </c>
      <c r="P88" s="51">
        <v>0</v>
      </c>
      <c r="Q88" s="51"/>
      <c r="R88" s="51"/>
      <c r="S88" s="51"/>
      <c r="T88" s="51"/>
      <c r="U88" s="51"/>
      <c r="V88" s="51"/>
      <c r="W88" s="51"/>
      <c r="X88" s="55"/>
      <c r="Y88" s="59">
        <f t="shared" si="17"/>
        <v>0</v>
      </c>
      <c r="Z88" s="51">
        <f t="shared" si="18"/>
        <v>0</v>
      </c>
      <c r="AA88" s="51">
        <f t="shared" si="29"/>
        <v>0</v>
      </c>
    </row>
    <row r="89" spans="1:36" x14ac:dyDescent="0.25">
      <c r="A89" s="30" t="s">
        <v>60</v>
      </c>
      <c r="B89" s="31" t="s">
        <v>13</v>
      </c>
      <c r="C89" s="32" t="s">
        <v>62</v>
      </c>
      <c r="D89" s="31" t="s">
        <v>78</v>
      </c>
      <c r="E89" s="31"/>
      <c r="F89" s="51">
        <v>0</v>
      </c>
      <c r="G89" s="51">
        <v>0</v>
      </c>
      <c r="H89" s="51">
        <v>0</v>
      </c>
      <c r="I89" s="51">
        <v>0</v>
      </c>
      <c r="J89" s="51">
        <v>0</v>
      </c>
      <c r="K89" s="51">
        <v>0</v>
      </c>
      <c r="L89" s="52">
        <v>0</v>
      </c>
      <c r="M89" s="51">
        <v>0</v>
      </c>
      <c r="N89" s="51">
        <v>0</v>
      </c>
      <c r="O89" s="51">
        <v>0</v>
      </c>
      <c r="P89" s="51">
        <f>P67</f>
        <v>1137.0999999999999</v>
      </c>
      <c r="Q89" s="51"/>
      <c r="R89" s="51"/>
      <c r="S89" s="51"/>
      <c r="T89" s="51"/>
      <c r="U89" s="51"/>
      <c r="V89" s="51"/>
      <c r="W89" s="51"/>
      <c r="X89" s="55"/>
      <c r="Y89" s="59">
        <f t="shared" si="17"/>
        <v>0</v>
      </c>
      <c r="Z89" s="51">
        <f t="shared" si="18"/>
        <v>1137.0999999999999</v>
      </c>
      <c r="AA89" s="51">
        <f t="shared" si="29"/>
        <v>1137.0999999999999</v>
      </c>
    </row>
    <row r="90" spans="1:36" ht="15.75" thickBot="1" x14ac:dyDescent="0.3">
      <c r="A90" s="33" t="s">
        <v>60</v>
      </c>
      <c r="B90" s="34" t="s">
        <v>13</v>
      </c>
      <c r="C90" s="32" t="s">
        <v>62</v>
      </c>
      <c r="D90" s="34" t="s">
        <v>79</v>
      </c>
      <c r="E90" s="31"/>
      <c r="F90" s="51"/>
      <c r="G90" s="51"/>
      <c r="H90" s="51"/>
      <c r="I90" s="51"/>
      <c r="J90" s="51"/>
      <c r="K90" s="51"/>
      <c r="L90" s="52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5"/>
      <c r="Y90" s="59">
        <f t="shared" si="17"/>
        <v>0</v>
      </c>
      <c r="Z90" s="51">
        <f t="shared" si="18"/>
        <v>0</v>
      </c>
      <c r="AA90" s="51">
        <f t="shared" si="29"/>
        <v>0</v>
      </c>
    </row>
    <row r="92" spans="1:36" x14ac:dyDescent="0.25">
      <c r="D92" s="41" t="s">
        <v>19</v>
      </c>
      <c r="E92" s="41"/>
      <c r="M92" s="24" t="s">
        <v>81</v>
      </c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</row>
    <row r="93" spans="1:36" x14ac:dyDescent="0.25">
      <c r="F93" s="23" t="s">
        <v>44</v>
      </c>
      <c r="G93" s="23"/>
      <c r="H93" s="23"/>
      <c r="I93" s="23"/>
      <c r="J93" s="23"/>
      <c r="K93" s="23"/>
      <c r="L93" s="7" t="s">
        <v>30</v>
      </c>
      <c r="M93" s="24" t="s">
        <v>46</v>
      </c>
      <c r="N93" s="24"/>
      <c r="O93" s="24"/>
      <c r="P93" s="24"/>
      <c r="Q93" s="24"/>
      <c r="R93" s="24" t="s">
        <v>47</v>
      </c>
      <c r="S93" s="24"/>
      <c r="T93" s="24"/>
      <c r="U93" s="24"/>
      <c r="V93" s="24"/>
      <c r="W93" s="24"/>
      <c r="X93" s="24"/>
      <c r="Y93" s="44" t="s">
        <v>85</v>
      </c>
      <c r="Z93" s="44" t="s">
        <v>48</v>
      </c>
      <c r="AA93" s="44" t="s">
        <v>3</v>
      </c>
    </row>
    <row r="94" spans="1:36" ht="63" x14ac:dyDescent="0.25">
      <c r="F94" s="38" t="s">
        <v>36</v>
      </c>
      <c r="G94" s="38" t="s">
        <v>37</v>
      </c>
      <c r="H94" s="38" t="s">
        <v>38</v>
      </c>
      <c r="I94" s="38" t="s">
        <v>80</v>
      </c>
      <c r="J94" s="38" t="s">
        <v>39</v>
      </c>
      <c r="K94" s="38" t="s">
        <v>45</v>
      </c>
      <c r="L94" s="39" t="s">
        <v>16</v>
      </c>
      <c r="M94" s="40" t="s">
        <v>34</v>
      </c>
      <c r="N94" s="40" t="s">
        <v>5</v>
      </c>
      <c r="O94" s="40" t="s">
        <v>7</v>
      </c>
      <c r="P94" s="40" t="s">
        <v>8</v>
      </c>
      <c r="Q94" s="40" t="s">
        <v>40</v>
      </c>
      <c r="R94" s="40" t="s">
        <v>41</v>
      </c>
      <c r="S94" s="40" t="s">
        <v>42</v>
      </c>
      <c r="T94" s="40" t="s">
        <v>31</v>
      </c>
      <c r="U94" s="40" t="s">
        <v>43</v>
      </c>
      <c r="V94" s="40" t="s">
        <v>82</v>
      </c>
      <c r="W94" s="40" t="s">
        <v>87</v>
      </c>
      <c r="X94" s="40" t="s">
        <v>83</v>
      </c>
      <c r="Y94" s="45" t="s">
        <v>3</v>
      </c>
      <c r="Z94" s="45" t="s">
        <v>3</v>
      </c>
      <c r="AA94" s="45" t="s">
        <v>3</v>
      </c>
    </row>
    <row r="95" spans="1:36" x14ac:dyDescent="0.25">
      <c r="A95" s="15" t="s">
        <v>51</v>
      </c>
      <c r="B95" s="2"/>
      <c r="C95" s="2"/>
      <c r="F95" s="1">
        <f t="shared" ref="F95:AA95" si="30">IF(F5&gt;0,F50/F5,0)</f>
        <v>0</v>
      </c>
      <c r="G95" s="1">
        <f t="shared" si="30"/>
        <v>0</v>
      </c>
      <c r="H95" s="1">
        <f t="shared" si="30"/>
        <v>0</v>
      </c>
      <c r="I95" s="1">
        <f t="shared" si="30"/>
        <v>0</v>
      </c>
      <c r="J95" s="1">
        <f t="shared" si="30"/>
        <v>0</v>
      </c>
      <c r="K95" s="1">
        <f t="shared" si="30"/>
        <v>0</v>
      </c>
      <c r="L95" s="52">
        <f t="shared" si="30"/>
        <v>0</v>
      </c>
      <c r="M95" s="1">
        <f t="shared" si="30"/>
        <v>0</v>
      </c>
      <c r="N95" s="1">
        <f t="shared" si="30"/>
        <v>0</v>
      </c>
      <c r="O95" s="1">
        <f t="shared" si="30"/>
        <v>0</v>
      </c>
      <c r="P95" s="1">
        <f t="shared" si="30"/>
        <v>0</v>
      </c>
      <c r="Q95" s="1">
        <f t="shared" si="30"/>
        <v>0</v>
      </c>
      <c r="R95" s="1">
        <f t="shared" si="30"/>
        <v>0</v>
      </c>
      <c r="S95" s="1">
        <f t="shared" si="30"/>
        <v>0</v>
      </c>
      <c r="T95" s="1">
        <f t="shared" si="30"/>
        <v>0</v>
      </c>
      <c r="U95" s="1">
        <f t="shared" si="30"/>
        <v>0</v>
      </c>
      <c r="V95" s="1">
        <f t="shared" si="30"/>
        <v>0</v>
      </c>
      <c r="W95" s="1">
        <f t="shared" si="30"/>
        <v>0</v>
      </c>
      <c r="X95" s="54">
        <f t="shared" si="30"/>
        <v>0</v>
      </c>
      <c r="Y95" s="58">
        <f t="shared" si="30"/>
        <v>0</v>
      </c>
      <c r="Z95" s="1">
        <f t="shared" si="30"/>
        <v>0</v>
      </c>
      <c r="AA95" s="1">
        <f t="shared" si="30"/>
        <v>0</v>
      </c>
    </row>
    <row r="96" spans="1:36" x14ac:dyDescent="0.25">
      <c r="A96" s="30" t="s">
        <v>60</v>
      </c>
      <c r="B96" s="2"/>
      <c r="C96" s="2"/>
      <c r="F96" s="1">
        <f t="shared" ref="F96:AA108" si="31">IF(F6&gt;0,F51/F6,0)</f>
        <v>0.2043777777777778</v>
      </c>
      <c r="G96" s="1">
        <f t="shared" si="31"/>
        <v>0.25701587301587303</v>
      </c>
      <c r="H96" s="1">
        <f t="shared" si="31"/>
        <v>0.34883720930232559</v>
      </c>
      <c r="I96" s="1">
        <f t="shared" si="31"/>
        <v>0.27210884353741499</v>
      </c>
      <c r="J96" s="1">
        <f t="shared" si="31"/>
        <v>0.22609138817201968</v>
      </c>
      <c r="K96" s="1">
        <f t="shared" si="31"/>
        <v>0.37168099331423116</v>
      </c>
      <c r="L96" s="52">
        <f t="shared" si="31"/>
        <v>0.09</v>
      </c>
      <c r="M96" s="1">
        <f t="shared" si="31"/>
        <v>0.17718120805369125</v>
      </c>
      <c r="N96" s="1">
        <f t="shared" si="31"/>
        <v>0.45642201834862384</v>
      </c>
      <c r="O96" s="1">
        <f t="shared" si="31"/>
        <v>0.36680053547523428</v>
      </c>
      <c r="P96" s="1">
        <f t="shared" si="31"/>
        <v>0.34387550200803213</v>
      </c>
      <c r="Q96" s="1">
        <f t="shared" si="31"/>
        <v>0.15247933884297521</v>
      </c>
      <c r="R96" s="1">
        <f t="shared" si="31"/>
        <v>0.19636363636363635</v>
      </c>
      <c r="S96" s="1">
        <f t="shared" si="31"/>
        <v>0.24489795918367346</v>
      </c>
      <c r="T96" s="1">
        <f t="shared" si="31"/>
        <v>0.19488613663603674</v>
      </c>
      <c r="U96" s="1">
        <f t="shared" si="31"/>
        <v>0.25643702157272097</v>
      </c>
      <c r="V96" s="1">
        <f t="shared" si="31"/>
        <v>0.27774130006565989</v>
      </c>
      <c r="W96" s="1">
        <f t="shared" ref="W96:W110" si="32">IF(W6&gt;0,W51/W6,0)</f>
        <v>0.20439560439560439</v>
      </c>
      <c r="X96" s="54">
        <f t="shared" si="31"/>
        <v>0.19815680880330125</v>
      </c>
      <c r="Y96" s="58">
        <f t="shared" si="31"/>
        <v>0.271924392748848</v>
      </c>
      <c r="Z96" s="1">
        <f t="shared" si="31"/>
        <v>0.20846052532282336</v>
      </c>
      <c r="AA96" s="1">
        <f t="shared" si="31"/>
        <v>0.1424336842335813</v>
      </c>
    </row>
    <row r="97" spans="1:27" x14ac:dyDescent="0.25">
      <c r="A97" s="15" t="s">
        <v>51</v>
      </c>
      <c r="B97" s="16" t="s">
        <v>52</v>
      </c>
      <c r="C97" s="2"/>
      <c r="F97" s="1">
        <f t="shared" si="31"/>
        <v>0</v>
      </c>
      <c r="G97" s="1">
        <f t="shared" si="31"/>
        <v>0</v>
      </c>
      <c r="H97" s="1">
        <f t="shared" si="31"/>
        <v>0</v>
      </c>
      <c r="I97" s="1">
        <f t="shared" si="31"/>
        <v>0</v>
      </c>
      <c r="J97" s="1">
        <f t="shared" si="31"/>
        <v>0</v>
      </c>
      <c r="K97" s="1">
        <f t="shared" si="31"/>
        <v>0</v>
      </c>
      <c r="L97" s="52">
        <f t="shared" si="31"/>
        <v>0</v>
      </c>
      <c r="M97" s="1">
        <f t="shared" si="31"/>
        <v>0</v>
      </c>
      <c r="N97" s="1">
        <f t="shared" si="31"/>
        <v>0</v>
      </c>
      <c r="O97" s="1">
        <f t="shared" si="31"/>
        <v>0</v>
      </c>
      <c r="P97" s="1">
        <f t="shared" si="31"/>
        <v>0</v>
      </c>
      <c r="Q97" s="1">
        <f t="shared" si="31"/>
        <v>0</v>
      </c>
      <c r="R97" s="1">
        <f t="shared" si="31"/>
        <v>0</v>
      </c>
      <c r="S97" s="1">
        <f t="shared" si="31"/>
        <v>0</v>
      </c>
      <c r="T97" s="1">
        <f t="shared" si="31"/>
        <v>0</v>
      </c>
      <c r="U97" s="1">
        <f t="shared" si="31"/>
        <v>0</v>
      </c>
      <c r="V97" s="1">
        <f t="shared" si="31"/>
        <v>0</v>
      </c>
      <c r="W97" s="1">
        <f t="shared" si="32"/>
        <v>0</v>
      </c>
      <c r="X97" s="54">
        <f t="shared" si="31"/>
        <v>0</v>
      </c>
      <c r="Y97" s="58">
        <f t="shared" si="31"/>
        <v>0</v>
      </c>
      <c r="Z97" s="1">
        <f t="shared" si="31"/>
        <v>0</v>
      </c>
      <c r="AA97" s="1">
        <f t="shared" si="31"/>
        <v>0</v>
      </c>
    </row>
    <row r="98" spans="1:27" x14ac:dyDescent="0.25">
      <c r="A98" s="15" t="s">
        <v>51</v>
      </c>
      <c r="B98" s="16" t="s">
        <v>56</v>
      </c>
      <c r="C98" s="2"/>
      <c r="F98" s="1">
        <f t="shared" si="31"/>
        <v>0</v>
      </c>
      <c r="G98" s="1">
        <f t="shared" si="31"/>
        <v>0</v>
      </c>
      <c r="H98" s="1">
        <f t="shared" si="31"/>
        <v>0</v>
      </c>
      <c r="I98" s="1">
        <f t="shared" si="31"/>
        <v>0</v>
      </c>
      <c r="J98" s="1">
        <f t="shared" si="31"/>
        <v>0</v>
      </c>
      <c r="K98" s="1">
        <f t="shared" si="31"/>
        <v>0</v>
      </c>
      <c r="L98" s="52">
        <f t="shared" si="31"/>
        <v>0</v>
      </c>
      <c r="M98" s="1">
        <f t="shared" si="31"/>
        <v>0</v>
      </c>
      <c r="N98" s="1">
        <f t="shared" si="31"/>
        <v>0</v>
      </c>
      <c r="O98" s="1">
        <f t="shared" si="31"/>
        <v>0</v>
      </c>
      <c r="P98" s="1">
        <f t="shared" si="31"/>
        <v>0</v>
      </c>
      <c r="Q98" s="1">
        <f t="shared" si="31"/>
        <v>0</v>
      </c>
      <c r="R98" s="1">
        <f t="shared" si="31"/>
        <v>0</v>
      </c>
      <c r="S98" s="1">
        <f t="shared" si="31"/>
        <v>0</v>
      </c>
      <c r="T98" s="1">
        <f t="shared" si="31"/>
        <v>0</v>
      </c>
      <c r="U98" s="1">
        <f t="shared" si="31"/>
        <v>0</v>
      </c>
      <c r="V98" s="1">
        <f t="shared" si="31"/>
        <v>0</v>
      </c>
      <c r="W98" s="1">
        <f t="shared" si="32"/>
        <v>0</v>
      </c>
      <c r="X98" s="54">
        <f t="shared" si="31"/>
        <v>0</v>
      </c>
      <c r="Y98" s="58">
        <f t="shared" si="31"/>
        <v>0</v>
      </c>
      <c r="Z98" s="1">
        <f t="shared" si="31"/>
        <v>0</v>
      </c>
      <c r="AA98" s="1">
        <f t="shared" si="31"/>
        <v>0</v>
      </c>
    </row>
    <row r="99" spans="1:27" x14ac:dyDescent="0.25">
      <c r="A99" s="15" t="s">
        <v>51</v>
      </c>
      <c r="B99" s="16" t="s">
        <v>9</v>
      </c>
      <c r="C99" s="2"/>
      <c r="F99" s="1">
        <f t="shared" si="31"/>
        <v>0</v>
      </c>
      <c r="G99" s="1">
        <f t="shared" si="31"/>
        <v>0</v>
      </c>
      <c r="H99" s="1">
        <f t="shared" si="31"/>
        <v>0</v>
      </c>
      <c r="I99" s="1">
        <f t="shared" si="31"/>
        <v>0</v>
      </c>
      <c r="J99" s="1">
        <f t="shared" si="31"/>
        <v>0</v>
      </c>
      <c r="K99" s="1">
        <f t="shared" si="31"/>
        <v>0</v>
      </c>
      <c r="L99" s="52">
        <f t="shared" si="31"/>
        <v>0</v>
      </c>
      <c r="M99" s="1">
        <f t="shared" si="31"/>
        <v>0</v>
      </c>
      <c r="N99" s="1">
        <f t="shared" si="31"/>
        <v>0</v>
      </c>
      <c r="O99" s="1">
        <f t="shared" si="31"/>
        <v>0</v>
      </c>
      <c r="P99" s="1">
        <f t="shared" si="31"/>
        <v>0</v>
      </c>
      <c r="Q99" s="1">
        <f t="shared" si="31"/>
        <v>0</v>
      </c>
      <c r="R99" s="1">
        <f t="shared" si="31"/>
        <v>0</v>
      </c>
      <c r="S99" s="1">
        <f t="shared" si="31"/>
        <v>0</v>
      </c>
      <c r="T99" s="1">
        <f t="shared" si="31"/>
        <v>0</v>
      </c>
      <c r="U99" s="1">
        <f t="shared" si="31"/>
        <v>0</v>
      </c>
      <c r="V99" s="1">
        <f t="shared" si="31"/>
        <v>0</v>
      </c>
      <c r="W99" s="1">
        <f t="shared" si="32"/>
        <v>0</v>
      </c>
      <c r="X99" s="54">
        <f t="shared" si="31"/>
        <v>0</v>
      </c>
      <c r="Y99" s="58">
        <f t="shared" si="31"/>
        <v>0</v>
      </c>
      <c r="Z99" s="1">
        <f t="shared" si="31"/>
        <v>0</v>
      </c>
      <c r="AA99" s="1">
        <f t="shared" si="31"/>
        <v>0</v>
      </c>
    </row>
    <row r="100" spans="1:27" x14ac:dyDescent="0.25">
      <c r="A100" s="30" t="s">
        <v>60</v>
      </c>
      <c r="B100" s="32" t="s">
        <v>13</v>
      </c>
      <c r="C100" s="2"/>
      <c r="F100" s="51">
        <f t="shared" si="31"/>
        <v>0.2043777777777778</v>
      </c>
      <c r="G100" s="51">
        <f t="shared" si="31"/>
        <v>0.25701587301587303</v>
      </c>
      <c r="H100" s="51">
        <f t="shared" si="31"/>
        <v>0.34883720930232559</v>
      </c>
      <c r="I100" s="51">
        <f t="shared" si="31"/>
        <v>0.27210884353741499</v>
      </c>
      <c r="J100" s="51">
        <f t="shared" si="31"/>
        <v>0.43243243243243246</v>
      </c>
      <c r="K100" s="51">
        <f t="shared" si="31"/>
        <v>0.28749999999999998</v>
      </c>
      <c r="L100" s="52">
        <f t="shared" si="31"/>
        <v>0</v>
      </c>
      <c r="M100" s="51">
        <f t="shared" si="31"/>
        <v>0.45</v>
      </c>
      <c r="N100" s="51">
        <f t="shared" si="31"/>
        <v>0.42105263157894735</v>
      </c>
      <c r="O100" s="51">
        <f t="shared" si="31"/>
        <v>0.36680053547523428</v>
      </c>
      <c r="P100" s="51">
        <f t="shared" si="31"/>
        <v>0.34387550200803213</v>
      </c>
      <c r="Q100" s="51">
        <f t="shared" si="31"/>
        <v>0.45</v>
      </c>
      <c r="R100" s="51">
        <f t="shared" si="31"/>
        <v>0.48</v>
      </c>
      <c r="S100" s="51">
        <f t="shared" si="31"/>
        <v>0</v>
      </c>
      <c r="T100" s="51">
        <f t="shared" si="31"/>
        <v>0.5</v>
      </c>
      <c r="U100" s="51">
        <f t="shared" si="31"/>
        <v>0.5</v>
      </c>
      <c r="V100" s="51">
        <f t="shared" si="31"/>
        <v>1.2</v>
      </c>
      <c r="W100" s="51">
        <f t="shared" si="32"/>
        <v>0.6</v>
      </c>
      <c r="X100" s="55">
        <f t="shared" si="31"/>
        <v>0.5</v>
      </c>
      <c r="Y100" s="59">
        <f t="shared" si="31"/>
        <v>0.28372932485272645</v>
      </c>
      <c r="Z100" s="51">
        <f t="shared" si="31"/>
        <v>0.41501424047290275</v>
      </c>
      <c r="AA100" s="51">
        <f>IF(AA10&gt;0,AB55/AA10,0)</f>
        <v>0.5208510638297873</v>
      </c>
    </row>
    <row r="101" spans="1:27" x14ac:dyDescent="0.25">
      <c r="A101" s="30" t="s">
        <v>60</v>
      </c>
      <c r="B101" s="31" t="s">
        <v>23</v>
      </c>
      <c r="C101" s="2"/>
      <c r="F101" s="51">
        <f t="shared" si="31"/>
        <v>0</v>
      </c>
      <c r="G101" s="51">
        <f t="shared" si="31"/>
        <v>0</v>
      </c>
      <c r="H101" s="51">
        <f t="shared" si="31"/>
        <v>0</v>
      </c>
      <c r="I101" s="51">
        <f t="shared" si="31"/>
        <v>0</v>
      </c>
      <c r="J101" s="51">
        <f t="shared" si="31"/>
        <v>0.26224153431225655</v>
      </c>
      <c r="K101" s="51">
        <f t="shared" si="31"/>
        <v>0.40044852627082445</v>
      </c>
      <c r="L101" s="52">
        <f t="shared" si="31"/>
        <v>0</v>
      </c>
      <c r="M101" s="51">
        <f t="shared" si="31"/>
        <v>0</v>
      </c>
      <c r="N101" s="51">
        <f t="shared" si="31"/>
        <v>0.46388888888888891</v>
      </c>
      <c r="O101" s="51">
        <f t="shared" si="31"/>
        <v>0</v>
      </c>
      <c r="P101" s="51">
        <f t="shared" si="31"/>
        <v>0</v>
      </c>
      <c r="Q101" s="51">
        <f t="shared" si="31"/>
        <v>0</v>
      </c>
      <c r="R101" s="51">
        <f t="shared" si="31"/>
        <v>0</v>
      </c>
      <c r="S101" s="51">
        <f t="shared" si="31"/>
        <v>0.24489795918367346</v>
      </c>
      <c r="T101" s="51">
        <f t="shared" si="31"/>
        <v>0.4</v>
      </c>
      <c r="U101" s="51">
        <f t="shared" si="31"/>
        <v>0</v>
      </c>
      <c r="V101" s="51">
        <f t="shared" si="31"/>
        <v>0.9</v>
      </c>
      <c r="W101" s="51">
        <f t="shared" si="32"/>
        <v>0</v>
      </c>
      <c r="X101" s="55">
        <f t="shared" si="31"/>
        <v>0.9</v>
      </c>
      <c r="Y101" s="59">
        <f t="shared" si="31"/>
        <v>0.34293552812071332</v>
      </c>
      <c r="Z101" s="51">
        <f t="shared" si="31"/>
        <v>0.46113989637305697</v>
      </c>
      <c r="AA101" s="51">
        <f t="shared" si="31"/>
        <v>0.392497646462452</v>
      </c>
    </row>
    <row r="102" spans="1:27" x14ac:dyDescent="0.25">
      <c r="A102" s="30" t="s">
        <v>60</v>
      </c>
      <c r="B102" s="31" t="s">
        <v>65</v>
      </c>
      <c r="C102" s="46"/>
      <c r="F102" s="51">
        <f t="shared" si="31"/>
        <v>0</v>
      </c>
      <c r="G102" s="51">
        <f t="shared" si="31"/>
        <v>0</v>
      </c>
      <c r="H102" s="51">
        <f t="shared" si="31"/>
        <v>0</v>
      </c>
      <c r="I102" s="51">
        <f t="shared" si="31"/>
        <v>0</v>
      </c>
      <c r="J102" s="51">
        <f t="shared" si="31"/>
        <v>0.12</v>
      </c>
      <c r="K102" s="51">
        <f t="shared" si="31"/>
        <v>0</v>
      </c>
      <c r="L102" s="52">
        <f t="shared" si="31"/>
        <v>0.09</v>
      </c>
      <c r="M102" s="51">
        <f t="shared" si="31"/>
        <v>0.11999999999999998</v>
      </c>
      <c r="N102" s="51">
        <f t="shared" si="31"/>
        <v>0</v>
      </c>
      <c r="O102" s="51">
        <f t="shared" si="31"/>
        <v>0</v>
      </c>
      <c r="P102" s="51">
        <f t="shared" si="31"/>
        <v>0</v>
      </c>
      <c r="Q102" s="51">
        <f t="shared" si="31"/>
        <v>0.15</v>
      </c>
      <c r="R102" s="51">
        <f t="shared" si="31"/>
        <v>0.18</v>
      </c>
      <c r="S102" s="51">
        <f t="shared" si="31"/>
        <v>0</v>
      </c>
      <c r="T102" s="51">
        <f t="shared" si="31"/>
        <v>0.18</v>
      </c>
      <c r="U102" s="51">
        <f t="shared" si="31"/>
        <v>0.22000000000000003</v>
      </c>
      <c r="V102" s="51">
        <f t="shared" si="31"/>
        <v>0.12</v>
      </c>
      <c r="W102" s="51">
        <f t="shared" si="32"/>
        <v>0.12</v>
      </c>
      <c r="X102" s="55">
        <f t="shared" si="31"/>
        <v>0.12</v>
      </c>
      <c r="Y102" s="59">
        <f t="shared" si="31"/>
        <v>0.12</v>
      </c>
      <c r="Z102" s="51">
        <f t="shared" si="31"/>
        <v>0.15380848748639822</v>
      </c>
      <c r="AA102" s="51">
        <f>IF(AB12&gt;0,AA57/AB12,0)</f>
        <v>0.10142857142857142</v>
      </c>
    </row>
    <row r="103" spans="1:27" ht="15.75" thickBot="1" x14ac:dyDescent="0.3">
      <c r="A103" s="48" t="s">
        <v>60</v>
      </c>
      <c r="B103" s="49" t="s">
        <v>9</v>
      </c>
      <c r="C103" s="50"/>
      <c r="D103" s="50"/>
      <c r="E103" s="50"/>
      <c r="F103" s="53">
        <f t="shared" si="31"/>
        <v>0</v>
      </c>
      <c r="G103" s="53">
        <f t="shared" si="31"/>
        <v>0</v>
      </c>
      <c r="H103" s="53">
        <f t="shared" si="31"/>
        <v>0</v>
      </c>
      <c r="I103" s="53">
        <f t="shared" si="31"/>
        <v>0</v>
      </c>
      <c r="J103" s="53">
        <f t="shared" si="31"/>
        <v>0</v>
      </c>
      <c r="K103" s="53">
        <f t="shared" si="31"/>
        <v>0</v>
      </c>
      <c r="L103" s="62">
        <f t="shared" si="31"/>
        <v>0</v>
      </c>
      <c r="M103" s="53">
        <f t="shared" si="31"/>
        <v>0</v>
      </c>
      <c r="N103" s="53">
        <f t="shared" si="31"/>
        <v>0</v>
      </c>
      <c r="O103" s="53">
        <f t="shared" si="31"/>
        <v>0</v>
      </c>
      <c r="P103" s="53">
        <f t="shared" si="31"/>
        <v>0</v>
      </c>
      <c r="Q103" s="53">
        <f t="shared" si="31"/>
        <v>0</v>
      </c>
      <c r="R103" s="53">
        <f t="shared" si="31"/>
        <v>0</v>
      </c>
      <c r="S103" s="53">
        <f t="shared" si="31"/>
        <v>0</v>
      </c>
      <c r="T103" s="53">
        <f t="shared" si="31"/>
        <v>0</v>
      </c>
      <c r="U103" s="53">
        <f t="shared" si="31"/>
        <v>0</v>
      </c>
      <c r="V103" s="53">
        <f t="shared" si="31"/>
        <v>1</v>
      </c>
      <c r="W103" s="53">
        <f t="shared" si="32"/>
        <v>0</v>
      </c>
      <c r="X103" s="56">
        <f t="shared" si="31"/>
        <v>0.42</v>
      </c>
      <c r="Y103" s="60">
        <f t="shared" si="31"/>
        <v>0</v>
      </c>
      <c r="Z103" s="53">
        <f t="shared" si="31"/>
        <v>0.61607710230883284</v>
      </c>
      <c r="AA103" s="53">
        <f t="shared" si="31"/>
        <v>0.40909090909090912</v>
      </c>
    </row>
    <row r="104" spans="1:27" ht="15.75" thickTop="1" x14ac:dyDescent="0.25">
      <c r="A104" s="15" t="s">
        <v>51</v>
      </c>
      <c r="B104" s="16" t="s">
        <v>52</v>
      </c>
      <c r="C104" s="16" t="s">
        <v>53</v>
      </c>
      <c r="D104" s="2"/>
      <c r="E104" s="2"/>
      <c r="F104" s="47">
        <f t="shared" si="31"/>
        <v>0</v>
      </c>
      <c r="G104" s="47">
        <f t="shared" si="31"/>
        <v>0</v>
      </c>
      <c r="H104" s="47">
        <f t="shared" si="31"/>
        <v>0</v>
      </c>
      <c r="I104" s="47">
        <f t="shared" si="31"/>
        <v>0</v>
      </c>
      <c r="J104" s="47">
        <f t="shared" si="31"/>
        <v>0</v>
      </c>
      <c r="K104" s="47">
        <f t="shared" si="31"/>
        <v>0</v>
      </c>
      <c r="L104" s="63">
        <f t="shared" si="31"/>
        <v>0</v>
      </c>
      <c r="M104" s="47">
        <f t="shared" si="31"/>
        <v>0</v>
      </c>
      <c r="N104" s="47">
        <f t="shared" si="31"/>
        <v>0</v>
      </c>
      <c r="O104" s="47">
        <f t="shared" si="31"/>
        <v>0</v>
      </c>
      <c r="P104" s="47">
        <f t="shared" si="31"/>
        <v>0</v>
      </c>
      <c r="Q104" s="47">
        <f t="shared" si="31"/>
        <v>0</v>
      </c>
      <c r="R104" s="47">
        <f t="shared" si="31"/>
        <v>0</v>
      </c>
      <c r="S104" s="47">
        <f t="shared" si="31"/>
        <v>0</v>
      </c>
      <c r="T104" s="47">
        <f t="shared" si="31"/>
        <v>0</v>
      </c>
      <c r="U104" s="47">
        <f t="shared" si="31"/>
        <v>0</v>
      </c>
      <c r="V104" s="47">
        <f t="shared" si="31"/>
        <v>0</v>
      </c>
      <c r="W104" s="47">
        <f t="shared" si="32"/>
        <v>0</v>
      </c>
      <c r="X104" s="57">
        <f t="shared" si="31"/>
        <v>0</v>
      </c>
      <c r="Y104" s="61">
        <f t="shared" si="31"/>
        <v>0</v>
      </c>
      <c r="Z104" s="47">
        <f t="shared" si="31"/>
        <v>0</v>
      </c>
      <c r="AA104" s="47">
        <f t="shared" si="31"/>
        <v>0</v>
      </c>
    </row>
    <row r="105" spans="1:27" x14ac:dyDescent="0.25">
      <c r="A105" s="15" t="s">
        <v>51</v>
      </c>
      <c r="B105" s="16" t="s">
        <v>52</v>
      </c>
      <c r="C105" s="16" t="s">
        <v>54</v>
      </c>
      <c r="D105" s="2"/>
      <c r="E105" s="2"/>
      <c r="F105" s="1">
        <f t="shared" si="31"/>
        <v>0</v>
      </c>
      <c r="G105" s="1">
        <f t="shared" si="31"/>
        <v>0</v>
      </c>
      <c r="H105" s="1">
        <f t="shared" si="31"/>
        <v>0</v>
      </c>
      <c r="I105" s="1">
        <f t="shared" si="31"/>
        <v>0</v>
      </c>
      <c r="J105" s="1">
        <f t="shared" si="31"/>
        <v>0</v>
      </c>
      <c r="K105" s="1">
        <f t="shared" si="31"/>
        <v>0</v>
      </c>
      <c r="L105" s="52">
        <f t="shared" si="31"/>
        <v>0</v>
      </c>
      <c r="M105" s="1">
        <f t="shared" si="31"/>
        <v>0</v>
      </c>
      <c r="N105" s="1">
        <f t="shared" si="31"/>
        <v>0</v>
      </c>
      <c r="O105" s="1">
        <f t="shared" si="31"/>
        <v>0</v>
      </c>
      <c r="P105" s="1">
        <f t="shared" si="31"/>
        <v>0</v>
      </c>
      <c r="Q105" s="1">
        <f t="shared" si="31"/>
        <v>0</v>
      </c>
      <c r="R105" s="1">
        <f t="shared" si="31"/>
        <v>0</v>
      </c>
      <c r="S105" s="1">
        <f t="shared" si="31"/>
        <v>0</v>
      </c>
      <c r="T105" s="1">
        <f t="shared" si="31"/>
        <v>0</v>
      </c>
      <c r="U105" s="1">
        <f t="shared" si="31"/>
        <v>0</v>
      </c>
      <c r="V105" s="1">
        <f t="shared" si="31"/>
        <v>0</v>
      </c>
      <c r="W105" s="1">
        <f t="shared" si="32"/>
        <v>0</v>
      </c>
      <c r="X105" s="54">
        <f t="shared" si="31"/>
        <v>0</v>
      </c>
      <c r="Y105" s="58">
        <f t="shared" si="31"/>
        <v>0</v>
      </c>
      <c r="Z105" s="1">
        <f t="shared" si="31"/>
        <v>0</v>
      </c>
      <c r="AA105" s="1">
        <f t="shared" si="31"/>
        <v>0</v>
      </c>
    </row>
    <row r="106" spans="1:27" x14ac:dyDescent="0.25">
      <c r="A106" s="15" t="s">
        <v>51</v>
      </c>
      <c r="B106" s="16" t="s">
        <v>52</v>
      </c>
      <c r="C106" s="16" t="s">
        <v>55</v>
      </c>
      <c r="D106" s="2"/>
      <c r="E106" s="2"/>
      <c r="F106" s="1">
        <f t="shared" si="31"/>
        <v>0</v>
      </c>
      <c r="G106" s="1">
        <f t="shared" si="31"/>
        <v>0</v>
      </c>
      <c r="H106" s="1">
        <f t="shared" si="31"/>
        <v>0</v>
      </c>
      <c r="I106" s="1">
        <f t="shared" si="31"/>
        <v>0</v>
      </c>
      <c r="J106" s="1">
        <f t="shared" si="31"/>
        <v>0</v>
      </c>
      <c r="K106" s="1">
        <f t="shared" si="31"/>
        <v>0</v>
      </c>
      <c r="L106" s="52">
        <f t="shared" si="31"/>
        <v>0</v>
      </c>
      <c r="M106" s="1">
        <f t="shared" si="31"/>
        <v>0</v>
      </c>
      <c r="N106" s="1">
        <f t="shared" si="31"/>
        <v>0</v>
      </c>
      <c r="O106" s="1">
        <f t="shared" si="31"/>
        <v>0</v>
      </c>
      <c r="P106" s="1">
        <f t="shared" si="31"/>
        <v>0</v>
      </c>
      <c r="Q106" s="1">
        <f t="shared" si="31"/>
        <v>0</v>
      </c>
      <c r="R106" s="1">
        <f t="shared" si="31"/>
        <v>0</v>
      </c>
      <c r="S106" s="1">
        <f t="shared" si="31"/>
        <v>0</v>
      </c>
      <c r="T106" s="1">
        <f t="shared" si="31"/>
        <v>0</v>
      </c>
      <c r="U106" s="1">
        <f t="shared" si="31"/>
        <v>0</v>
      </c>
      <c r="V106" s="1">
        <f t="shared" si="31"/>
        <v>0</v>
      </c>
      <c r="W106" s="1">
        <f t="shared" si="32"/>
        <v>0</v>
      </c>
      <c r="X106" s="54">
        <f t="shared" si="31"/>
        <v>0</v>
      </c>
      <c r="Y106" s="58">
        <f t="shared" si="31"/>
        <v>0</v>
      </c>
      <c r="Z106" s="1">
        <f t="shared" si="31"/>
        <v>0</v>
      </c>
      <c r="AA106" s="1">
        <f t="shared" si="31"/>
        <v>0</v>
      </c>
    </row>
    <row r="107" spans="1:27" x14ac:dyDescent="0.25">
      <c r="A107" s="25" t="s">
        <v>51</v>
      </c>
      <c r="B107" s="26" t="s">
        <v>56</v>
      </c>
      <c r="C107" s="26" t="s">
        <v>57</v>
      </c>
      <c r="D107" s="2"/>
      <c r="E107" s="2"/>
      <c r="F107" s="1">
        <f t="shared" si="31"/>
        <v>0</v>
      </c>
      <c r="G107" s="1">
        <f t="shared" si="31"/>
        <v>0</v>
      </c>
      <c r="H107" s="1">
        <f t="shared" si="31"/>
        <v>0</v>
      </c>
      <c r="I107" s="1">
        <f t="shared" si="31"/>
        <v>0</v>
      </c>
      <c r="J107" s="1">
        <f t="shared" si="31"/>
        <v>0</v>
      </c>
      <c r="K107" s="1">
        <f t="shared" si="31"/>
        <v>0</v>
      </c>
      <c r="L107" s="52">
        <f t="shared" si="31"/>
        <v>0</v>
      </c>
      <c r="M107" s="1">
        <f t="shared" si="31"/>
        <v>0</v>
      </c>
      <c r="N107" s="1">
        <f t="shared" si="31"/>
        <v>0</v>
      </c>
      <c r="O107" s="1">
        <f t="shared" si="31"/>
        <v>0</v>
      </c>
      <c r="P107" s="1">
        <f t="shared" si="31"/>
        <v>0</v>
      </c>
      <c r="Q107" s="1">
        <f t="shared" si="31"/>
        <v>0</v>
      </c>
      <c r="R107" s="1">
        <f t="shared" si="31"/>
        <v>0</v>
      </c>
      <c r="S107" s="1">
        <f t="shared" si="31"/>
        <v>0</v>
      </c>
      <c r="T107" s="1">
        <f t="shared" si="31"/>
        <v>0</v>
      </c>
      <c r="U107" s="1">
        <f t="shared" si="31"/>
        <v>0</v>
      </c>
      <c r="V107" s="1">
        <f t="shared" si="31"/>
        <v>0</v>
      </c>
      <c r="W107" s="1">
        <f t="shared" si="32"/>
        <v>0</v>
      </c>
      <c r="X107" s="54">
        <f t="shared" si="31"/>
        <v>0</v>
      </c>
      <c r="Y107" s="58">
        <f t="shared" si="31"/>
        <v>0</v>
      </c>
      <c r="Z107" s="1">
        <f t="shared" si="31"/>
        <v>0</v>
      </c>
      <c r="AA107" s="1">
        <f t="shared" si="31"/>
        <v>0</v>
      </c>
    </row>
    <row r="108" spans="1:27" x14ac:dyDescent="0.25">
      <c r="A108" s="15" t="s">
        <v>51</v>
      </c>
      <c r="B108" s="16" t="s">
        <v>56</v>
      </c>
      <c r="C108" s="27" t="s">
        <v>58</v>
      </c>
      <c r="D108" s="2"/>
      <c r="E108" s="2"/>
      <c r="F108" s="1">
        <f t="shared" si="31"/>
        <v>0</v>
      </c>
      <c r="G108" s="1">
        <f t="shared" si="31"/>
        <v>0</v>
      </c>
      <c r="H108" s="1">
        <f t="shared" si="31"/>
        <v>0</v>
      </c>
      <c r="I108" s="1">
        <f t="shared" si="31"/>
        <v>0</v>
      </c>
      <c r="J108" s="1">
        <f t="shared" si="31"/>
        <v>0</v>
      </c>
      <c r="K108" s="1">
        <f t="shared" ref="K108:AA108" si="33">IF(K18&gt;0,K63/K18,0)</f>
        <v>0</v>
      </c>
      <c r="L108" s="52">
        <f t="shared" si="33"/>
        <v>0</v>
      </c>
      <c r="M108" s="1">
        <f t="shared" si="33"/>
        <v>0</v>
      </c>
      <c r="N108" s="1">
        <f t="shared" si="33"/>
        <v>0</v>
      </c>
      <c r="O108" s="1">
        <f t="shared" si="33"/>
        <v>0</v>
      </c>
      <c r="P108" s="1">
        <f t="shared" si="33"/>
        <v>0</v>
      </c>
      <c r="Q108" s="1">
        <f t="shared" si="33"/>
        <v>0</v>
      </c>
      <c r="R108" s="1">
        <f t="shared" si="33"/>
        <v>0</v>
      </c>
      <c r="S108" s="1">
        <f t="shared" si="33"/>
        <v>0</v>
      </c>
      <c r="T108" s="1">
        <f t="shared" si="33"/>
        <v>0</v>
      </c>
      <c r="U108" s="1">
        <f t="shared" si="33"/>
        <v>0</v>
      </c>
      <c r="V108" s="1">
        <f t="shared" si="33"/>
        <v>0</v>
      </c>
      <c r="W108" s="1">
        <f t="shared" si="32"/>
        <v>0</v>
      </c>
      <c r="X108" s="54">
        <f t="shared" si="33"/>
        <v>0</v>
      </c>
      <c r="Y108" s="58">
        <f t="shared" si="33"/>
        <v>0</v>
      </c>
      <c r="Z108" s="1">
        <f t="shared" si="33"/>
        <v>0</v>
      </c>
      <c r="AA108" s="1">
        <f t="shared" si="33"/>
        <v>0</v>
      </c>
    </row>
    <row r="109" spans="1:27" x14ac:dyDescent="0.25">
      <c r="A109" s="15" t="s">
        <v>51</v>
      </c>
      <c r="B109" s="16" t="s">
        <v>9</v>
      </c>
      <c r="C109" s="27" t="s">
        <v>59</v>
      </c>
      <c r="D109" s="2"/>
      <c r="E109" s="2"/>
      <c r="F109" s="1">
        <f t="shared" ref="F109:AA117" si="34">IF(F19&gt;0,F64/F19,0)</f>
        <v>0</v>
      </c>
      <c r="G109" s="1">
        <f t="shared" si="34"/>
        <v>0</v>
      </c>
      <c r="H109" s="1">
        <f t="shared" si="34"/>
        <v>0</v>
      </c>
      <c r="I109" s="1">
        <f t="shared" si="34"/>
        <v>0</v>
      </c>
      <c r="J109" s="1">
        <f t="shared" si="34"/>
        <v>0</v>
      </c>
      <c r="K109" s="1">
        <f t="shared" si="34"/>
        <v>0</v>
      </c>
      <c r="L109" s="52">
        <f t="shared" si="34"/>
        <v>0</v>
      </c>
      <c r="M109" s="1">
        <f t="shared" si="34"/>
        <v>0</v>
      </c>
      <c r="N109" s="1">
        <f t="shared" si="34"/>
        <v>0</v>
      </c>
      <c r="O109" s="1">
        <f t="shared" si="34"/>
        <v>0</v>
      </c>
      <c r="P109" s="1">
        <f t="shared" si="34"/>
        <v>0</v>
      </c>
      <c r="Q109" s="1">
        <f t="shared" si="34"/>
        <v>0</v>
      </c>
      <c r="R109" s="1">
        <f t="shared" si="34"/>
        <v>0</v>
      </c>
      <c r="S109" s="1">
        <f t="shared" si="34"/>
        <v>0</v>
      </c>
      <c r="T109" s="1">
        <f t="shared" si="34"/>
        <v>0</v>
      </c>
      <c r="U109" s="1">
        <f t="shared" si="34"/>
        <v>0</v>
      </c>
      <c r="V109" s="1">
        <f t="shared" si="34"/>
        <v>0</v>
      </c>
      <c r="W109" s="1">
        <f t="shared" si="32"/>
        <v>0</v>
      </c>
      <c r="X109" s="54">
        <f t="shared" si="34"/>
        <v>0</v>
      </c>
      <c r="Y109" s="58">
        <f t="shared" si="34"/>
        <v>0</v>
      </c>
      <c r="Z109" s="1">
        <f t="shared" si="34"/>
        <v>0</v>
      </c>
      <c r="AA109" s="1">
        <f t="shared" si="34"/>
        <v>0</v>
      </c>
    </row>
    <row r="110" spans="1:27" x14ac:dyDescent="0.25">
      <c r="A110" s="15" t="s">
        <v>51</v>
      </c>
      <c r="B110" s="16" t="s">
        <v>9</v>
      </c>
      <c r="C110" s="27" t="s">
        <v>9</v>
      </c>
      <c r="D110" s="2"/>
      <c r="E110" s="2"/>
      <c r="F110" s="1">
        <f t="shared" si="34"/>
        <v>0</v>
      </c>
      <c r="G110" s="1">
        <f t="shared" si="34"/>
        <v>0</v>
      </c>
      <c r="H110" s="1">
        <f t="shared" si="34"/>
        <v>0</v>
      </c>
      <c r="I110" s="1">
        <f t="shared" si="34"/>
        <v>0</v>
      </c>
      <c r="J110" s="1">
        <f t="shared" si="34"/>
        <v>0</v>
      </c>
      <c r="K110" s="1">
        <f t="shared" si="34"/>
        <v>0</v>
      </c>
      <c r="L110" s="52">
        <f t="shared" si="34"/>
        <v>0</v>
      </c>
      <c r="M110" s="1">
        <f t="shared" si="34"/>
        <v>0</v>
      </c>
      <c r="N110" s="1">
        <f t="shared" si="34"/>
        <v>0</v>
      </c>
      <c r="O110" s="1">
        <f t="shared" si="34"/>
        <v>0</v>
      </c>
      <c r="P110" s="1">
        <f t="shared" si="34"/>
        <v>0</v>
      </c>
      <c r="Q110" s="1">
        <f t="shared" si="34"/>
        <v>0</v>
      </c>
      <c r="R110" s="1">
        <f t="shared" si="34"/>
        <v>0</v>
      </c>
      <c r="S110" s="1">
        <f t="shared" si="34"/>
        <v>0</v>
      </c>
      <c r="T110" s="1">
        <f t="shared" si="34"/>
        <v>0</v>
      </c>
      <c r="U110" s="1">
        <f t="shared" si="34"/>
        <v>0</v>
      </c>
      <c r="V110" s="1">
        <f t="shared" si="34"/>
        <v>0</v>
      </c>
      <c r="W110" s="1">
        <f t="shared" si="32"/>
        <v>0</v>
      </c>
      <c r="X110" s="54">
        <f t="shared" si="34"/>
        <v>0</v>
      </c>
      <c r="Y110" s="58">
        <f t="shared" si="34"/>
        <v>0</v>
      </c>
      <c r="Z110" s="1">
        <f t="shared" si="34"/>
        <v>0</v>
      </c>
      <c r="AA110" s="1">
        <f t="shared" si="34"/>
        <v>0</v>
      </c>
    </row>
    <row r="111" spans="1:27" x14ac:dyDescent="0.25">
      <c r="A111" s="28" t="s">
        <v>60</v>
      </c>
      <c r="B111" s="29" t="s">
        <v>13</v>
      </c>
      <c r="C111" s="29" t="s">
        <v>61</v>
      </c>
      <c r="D111" s="2"/>
      <c r="F111" s="51">
        <f t="shared" si="34"/>
        <v>0.19160416666666666</v>
      </c>
      <c r="G111" s="51">
        <f t="shared" si="34"/>
        <v>0</v>
      </c>
      <c r="H111" s="51">
        <f t="shared" si="34"/>
        <v>0.34161490683229812</v>
      </c>
      <c r="I111" s="51">
        <f t="shared" si="34"/>
        <v>0.27210884353741499</v>
      </c>
      <c r="J111" s="51">
        <f t="shared" si="34"/>
        <v>0.43243243243243246</v>
      </c>
      <c r="K111" s="51">
        <f t="shared" si="34"/>
        <v>0.28749999999999998</v>
      </c>
      <c r="L111" s="52">
        <f t="shared" si="34"/>
        <v>0</v>
      </c>
      <c r="M111" s="51">
        <f t="shared" si="34"/>
        <v>0.45</v>
      </c>
      <c r="N111" s="51">
        <f t="shared" si="34"/>
        <v>0.42105263157894735</v>
      </c>
      <c r="O111" s="51">
        <f t="shared" si="34"/>
        <v>0.36680053547523428</v>
      </c>
      <c r="P111" s="51">
        <f t="shared" si="34"/>
        <v>0.34387550200803213</v>
      </c>
      <c r="Q111" s="69">
        <v>0.45</v>
      </c>
      <c r="R111" s="69">
        <v>0.48</v>
      </c>
      <c r="S111" s="51">
        <f t="shared" si="34"/>
        <v>0</v>
      </c>
      <c r="T111" s="69">
        <v>0.5</v>
      </c>
      <c r="U111" s="69">
        <v>0.5</v>
      </c>
      <c r="V111" s="77">
        <v>1.2</v>
      </c>
      <c r="W111" s="69">
        <v>0.6</v>
      </c>
      <c r="X111" s="76">
        <v>0.5</v>
      </c>
      <c r="Y111" s="59">
        <f t="shared" si="34"/>
        <v>0.27579738933030645</v>
      </c>
      <c r="Z111" s="51">
        <f t="shared" si="34"/>
        <v>0.43725122700701036</v>
      </c>
      <c r="AA111" s="51">
        <f t="shared" si="34"/>
        <v>0.33636614884717619</v>
      </c>
    </row>
    <row r="112" spans="1:27" x14ac:dyDescent="0.25">
      <c r="A112" s="36" t="s">
        <v>60</v>
      </c>
      <c r="B112" s="37" t="s">
        <v>13</v>
      </c>
      <c r="C112" s="29" t="s">
        <v>62</v>
      </c>
      <c r="D112" s="2"/>
      <c r="E112" s="2"/>
      <c r="F112" s="51">
        <f t="shared" si="34"/>
        <v>0.25547222222222221</v>
      </c>
      <c r="G112" s="51">
        <f t="shared" si="34"/>
        <v>0.25701587301587303</v>
      </c>
      <c r="H112" s="51">
        <f t="shared" si="34"/>
        <v>0.35637149028077753</v>
      </c>
      <c r="I112" s="51">
        <f t="shared" si="34"/>
        <v>0</v>
      </c>
      <c r="J112" s="51">
        <f t="shared" si="34"/>
        <v>0</v>
      </c>
      <c r="K112" s="51">
        <f t="shared" si="34"/>
        <v>0</v>
      </c>
      <c r="L112" s="52">
        <f t="shared" si="34"/>
        <v>0</v>
      </c>
      <c r="M112" s="51">
        <f t="shared" si="34"/>
        <v>0</v>
      </c>
      <c r="N112" s="51">
        <f t="shared" si="34"/>
        <v>0</v>
      </c>
      <c r="O112" s="51">
        <f t="shared" si="34"/>
        <v>0</v>
      </c>
      <c r="P112" s="51">
        <f t="shared" si="34"/>
        <v>0.34387550200803213</v>
      </c>
      <c r="Q112" s="51">
        <f t="shared" si="34"/>
        <v>0</v>
      </c>
      <c r="R112" s="51">
        <f t="shared" si="34"/>
        <v>0</v>
      </c>
      <c r="S112" s="51">
        <f t="shared" si="34"/>
        <v>0</v>
      </c>
      <c r="T112" s="51">
        <f t="shared" si="34"/>
        <v>0</v>
      </c>
      <c r="U112" s="51">
        <f t="shared" si="34"/>
        <v>0</v>
      </c>
      <c r="V112" s="51">
        <f t="shared" si="34"/>
        <v>0</v>
      </c>
      <c r="W112" s="51">
        <f t="shared" si="34"/>
        <v>0</v>
      </c>
      <c r="X112" s="55">
        <f t="shared" si="34"/>
        <v>0</v>
      </c>
      <c r="Y112" s="59">
        <f t="shared" si="34"/>
        <v>0.29548919437736082</v>
      </c>
      <c r="Z112" s="51">
        <f t="shared" si="34"/>
        <v>0.34387550200803213</v>
      </c>
      <c r="AA112" s="51">
        <f t="shared" si="34"/>
        <v>0.30602156060104629</v>
      </c>
    </row>
    <row r="113" spans="1:27" x14ac:dyDescent="0.25">
      <c r="A113" s="30" t="s">
        <v>60</v>
      </c>
      <c r="B113" s="31" t="s">
        <v>13</v>
      </c>
      <c r="C113" s="32" t="s">
        <v>63</v>
      </c>
      <c r="D113" s="2"/>
      <c r="E113" s="2"/>
      <c r="F113" s="51">
        <f t="shared" si="34"/>
        <v>0</v>
      </c>
      <c r="G113" s="51">
        <f t="shared" si="34"/>
        <v>0</v>
      </c>
      <c r="H113" s="51">
        <f t="shared" si="34"/>
        <v>0</v>
      </c>
      <c r="I113" s="51">
        <f t="shared" si="34"/>
        <v>0</v>
      </c>
      <c r="J113" s="51">
        <f t="shared" si="34"/>
        <v>0</v>
      </c>
      <c r="K113" s="51">
        <f t="shared" si="34"/>
        <v>0</v>
      </c>
      <c r="L113" s="52">
        <f t="shared" si="34"/>
        <v>0</v>
      </c>
      <c r="M113" s="51">
        <f t="shared" si="34"/>
        <v>0</v>
      </c>
      <c r="N113" s="51">
        <f t="shared" si="34"/>
        <v>0</v>
      </c>
      <c r="O113" s="51">
        <f t="shared" si="34"/>
        <v>0</v>
      </c>
      <c r="P113" s="51">
        <f t="shared" si="34"/>
        <v>0</v>
      </c>
      <c r="Q113" s="51">
        <f t="shared" si="34"/>
        <v>0</v>
      </c>
      <c r="R113" s="51">
        <f t="shared" si="34"/>
        <v>0</v>
      </c>
      <c r="S113" s="51">
        <f t="shared" si="34"/>
        <v>0</v>
      </c>
      <c r="T113" s="51">
        <f t="shared" si="34"/>
        <v>0</v>
      </c>
      <c r="U113" s="51">
        <f t="shared" si="34"/>
        <v>0</v>
      </c>
      <c r="V113" s="51">
        <f t="shared" si="34"/>
        <v>0</v>
      </c>
      <c r="W113" s="51">
        <f t="shared" si="34"/>
        <v>0</v>
      </c>
      <c r="X113" s="55">
        <f t="shared" si="34"/>
        <v>0</v>
      </c>
      <c r="Y113" s="59">
        <f t="shared" si="34"/>
        <v>0</v>
      </c>
      <c r="Z113" s="51">
        <f t="shared" si="34"/>
        <v>0</v>
      </c>
      <c r="AA113" s="51">
        <f t="shared" si="34"/>
        <v>0</v>
      </c>
    </row>
    <row r="114" spans="1:27" x14ac:dyDescent="0.25">
      <c r="A114" s="30" t="s">
        <v>60</v>
      </c>
      <c r="B114" s="32" t="s">
        <v>23</v>
      </c>
      <c r="C114" s="31" t="s">
        <v>50</v>
      </c>
      <c r="D114" s="2"/>
      <c r="E114" s="2"/>
      <c r="F114" s="77">
        <v>0.32</v>
      </c>
      <c r="G114" s="51">
        <f t="shared" si="34"/>
        <v>0</v>
      </c>
      <c r="H114" s="51">
        <f t="shared" si="34"/>
        <v>0</v>
      </c>
      <c r="I114" s="51">
        <f t="shared" si="34"/>
        <v>0</v>
      </c>
      <c r="J114" s="77">
        <v>0.3</v>
      </c>
      <c r="K114" s="51">
        <f t="shared" si="34"/>
        <v>0.43655263157894741</v>
      </c>
      <c r="L114" s="52">
        <f t="shared" si="34"/>
        <v>0</v>
      </c>
      <c r="M114" s="51">
        <f t="shared" si="34"/>
        <v>0</v>
      </c>
      <c r="N114" s="51">
        <f t="shared" si="34"/>
        <v>0.46388888888888891</v>
      </c>
      <c r="O114" s="51">
        <f t="shared" si="34"/>
        <v>0</v>
      </c>
      <c r="P114" s="51">
        <f t="shared" si="34"/>
        <v>0</v>
      </c>
      <c r="Q114" s="51">
        <f t="shared" si="34"/>
        <v>0</v>
      </c>
      <c r="R114" s="51">
        <f t="shared" si="34"/>
        <v>0</v>
      </c>
      <c r="S114" s="51">
        <f t="shared" si="34"/>
        <v>0</v>
      </c>
      <c r="T114" s="51">
        <f t="shared" si="34"/>
        <v>0</v>
      </c>
      <c r="U114" s="51">
        <f t="shared" si="34"/>
        <v>0</v>
      </c>
      <c r="V114" s="51">
        <f t="shared" si="34"/>
        <v>0</v>
      </c>
      <c r="W114" s="51">
        <f t="shared" si="34"/>
        <v>0</v>
      </c>
      <c r="X114" s="55">
        <f t="shared" si="34"/>
        <v>0</v>
      </c>
      <c r="Y114" s="59">
        <f t="shared" si="34"/>
        <v>0.43523586135001302</v>
      </c>
      <c r="Z114" s="51">
        <f t="shared" si="34"/>
        <v>0.46388888888888891</v>
      </c>
      <c r="AA114" s="51">
        <f t="shared" si="34"/>
        <v>0.45135135135135135</v>
      </c>
    </row>
    <row r="115" spans="1:27" x14ac:dyDescent="0.25">
      <c r="A115" s="30" t="s">
        <v>60</v>
      </c>
      <c r="B115" s="32" t="s">
        <v>23</v>
      </c>
      <c r="C115" s="31" t="s">
        <v>49</v>
      </c>
      <c r="D115" s="2"/>
      <c r="E115" s="2"/>
      <c r="F115" s="51">
        <f t="shared" ref="F115:AA127" si="35">IF(F25&gt;0,F70/F25,0)</f>
        <v>0</v>
      </c>
      <c r="G115" s="51">
        <f t="shared" si="35"/>
        <v>0</v>
      </c>
      <c r="H115" s="51">
        <f t="shared" si="35"/>
        <v>0</v>
      </c>
      <c r="I115" s="51">
        <f t="shared" si="35"/>
        <v>0</v>
      </c>
      <c r="J115" s="51">
        <f>IF(J25&gt;0,J70/J25,0)</f>
        <v>0.26181818181818184</v>
      </c>
      <c r="K115" s="51">
        <f t="shared" si="35"/>
        <v>0.24489795918367346</v>
      </c>
      <c r="L115" s="52">
        <f t="shared" si="35"/>
        <v>0</v>
      </c>
      <c r="M115" s="51">
        <f t="shared" si="35"/>
        <v>0</v>
      </c>
      <c r="N115" s="51">
        <f t="shared" si="35"/>
        <v>0</v>
      </c>
      <c r="O115" s="51">
        <f t="shared" si="35"/>
        <v>0</v>
      </c>
      <c r="P115" s="51">
        <f t="shared" si="35"/>
        <v>0</v>
      </c>
      <c r="Q115" s="51">
        <f t="shared" si="35"/>
        <v>0</v>
      </c>
      <c r="R115" s="51">
        <f t="shared" si="35"/>
        <v>0</v>
      </c>
      <c r="S115" s="51">
        <f t="shared" si="34"/>
        <v>0.24489795918367346</v>
      </c>
      <c r="T115" s="51">
        <v>0.4</v>
      </c>
      <c r="U115" s="51">
        <f t="shared" si="34"/>
        <v>0</v>
      </c>
      <c r="V115" s="51">
        <v>0.9</v>
      </c>
      <c r="W115" s="51">
        <f t="shared" si="34"/>
        <v>0</v>
      </c>
      <c r="X115" s="51">
        <v>0.9</v>
      </c>
      <c r="Y115" s="59">
        <f t="shared" si="35"/>
        <v>0.2582496413199426</v>
      </c>
      <c r="Z115" s="51">
        <f t="shared" si="35"/>
        <v>0.45662100456621002</v>
      </c>
      <c r="AA115" s="51">
        <f t="shared" si="35"/>
        <v>0.34526051475204017</v>
      </c>
    </row>
    <row r="116" spans="1:27" x14ac:dyDescent="0.25">
      <c r="A116" s="30" t="s">
        <v>60</v>
      </c>
      <c r="B116" s="32" t="s">
        <v>23</v>
      </c>
      <c r="C116" s="31" t="s">
        <v>64</v>
      </c>
      <c r="D116" s="2"/>
      <c r="E116" s="2"/>
      <c r="F116" s="51">
        <f t="shared" si="35"/>
        <v>0</v>
      </c>
      <c r="G116" s="51">
        <f t="shared" si="35"/>
        <v>0</v>
      </c>
      <c r="H116" s="51">
        <f t="shared" si="35"/>
        <v>0</v>
      </c>
      <c r="I116" s="51">
        <f t="shared" si="35"/>
        <v>0</v>
      </c>
      <c r="J116" s="51">
        <f t="shared" si="35"/>
        <v>0</v>
      </c>
      <c r="K116" s="51">
        <f t="shared" si="35"/>
        <v>0</v>
      </c>
      <c r="L116" s="52">
        <f t="shared" si="35"/>
        <v>0</v>
      </c>
      <c r="M116" s="51">
        <f t="shared" si="35"/>
        <v>0</v>
      </c>
      <c r="N116" s="51">
        <f t="shared" si="35"/>
        <v>0</v>
      </c>
      <c r="O116" s="51">
        <f t="shared" si="35"/>
        <v>0</v>
      </c>
      <c r="P116" s="51">
        <f t="shared" si="35"/>
        <v>0</v>
      </c>
      <c r="Q116" s="51">
        <f t="shared" si="35"/>
        <v>0</v>
      </c>
      <c r="R116" s="51">
        <f t="shared" si="35"/>
        <v>0</v>
      </c>
      <c r="S116" s="51">
        <f t="shared" si="35"/>
        <v>0</v>
      </c>
      <c r="T116" s="51">
        <f t="shared" si="35"/>
        <v>0</v>
      </c>
      <c r="U116" s="51">
        <f t="shared" si="35"/>
        <v>0</v>
      </c>
      <c r="V116" s="51">
        <f t="shared" si="35"/>
        <v>0</v>
      </c>
      <c r="W116" s="51">
        <f t="shared" si="34"/>
        <v>0</v>
      </c>
      <c r="X116" s="55">
        <f t="shared" si="35"/>
        <v>0</v>
      </c>
      <c r="Y116" s="59">
        <f t="shared" si="35"/>
        <v>0</v>
      </c>
      <c r="Z116" s="51">
        <f t="shared" si="35"/>
        <v>0</v>
      </c>
      <c r="AA116" s="51">
        <f t="shared" si="35"/>
        <v>0</v>
      </c>
    </row>
    <row r="117" spans="1:27" x14ac:dyDescent="0.25">
      <c r="A117" s="30" t="s">
        <v>60</v>
      </c>
      <c r="B117" s="32" t="s">
        <v>65</v>
      </c>
      <c r="C117" s="31" t="s">
        <v>66</v>
      </c>
      <c r="D117" s="2"/>
      <c r="E117" s="2"/>
      <c r="F117" s="51">
        <f t="shared" si="35"/>
        <v>0</v>
      </c>
      <c r="G117" s="51">
        <f t="shared" si="35"/>
        <v>0</v>
      </c>
      <c r="H117" s="51">
        <f t="shared" si="35"/>
        <v>0</v>
      </c>
      <c r="I117" s="51">
        <f t="shared" si="35"/>
        <v>0</v>
      </c>
      <c r="J117" s="77">
        <v>0.12</v>
      </c>
      <c r="K117" s="51">
        <f t="shared" si="35"/>
        <v>0</v>
      </c>
      <c r="L117" s="52">
        <f t="shared" si="35"/>
        <v>0</v>
      </c>
      <c r="M117" s="77">
        <v>0.12</v>
      </c>
      <c r="N117" s="51">
        <f t="shared" si="35"/>
        <v>0</v>
      </c>
      <c r="O117" s="51">
        <f t="shared" si="35"/>
        <v>0</v>
      </c>
      <c r="P117" s="51">
        <f t="shared" si="35"/>
        <v>0</v>
      </c>
      <c r="Q117" s="51">
        <f t="shared" si="35"/>
        <v>0</v>
      </c>
      <c r="R117" s="51">
        <f t="shared" si="35"/>
        <v>0</v>
      </c>
      <c r="S117" s="51">
        <f t="shared" si="35"/>
        <v>0</v>
      </c>
      <c r="T117" s="51">
        <f t="shared" si="35"/>
        <v>0</v>
      </c>
      <c r="U117" s="51">
        <f t="shared" si="35"/>
        <v>0</v>
      </c>
      <c r="V117" s="51">
        <f t="shared" si="35"/>
        <v>0</v>
      </c>
      <c r="W117" s="51">
        <f t="shared" si="34"/>
        <v>0</v>
      </c>
      <c r="X117" s="55">
        <f t="shared" si="35"/>
        <v>0</v>
      </c>
      <c r="Y117" s="59">
        <f t="shared" si="35"/>
        <v>0.12</v>
      </c>
      <c r="Z117" s="51">
        <f t="shared" si="35"/>
        <v>0.11999999999999998</v>
      </c>
      <c r="AA117" s="51">
        <f t="shared" si="35"/>
        <v>0.11999999999999998</v>
      </c>
    </row>
    <row r="118" spans="1:27" x14ac:dyDescent="0.25">
      <c r="A118" s="30" t="s">
        <v>60</v>
      </c>
      <c r="B118" s="32" t="s">
        <v>65</v>
      </c>
      <c r="C118" s="31" t="s">
        <v>67</v>
      </c>
      <c r="D118" s="2"/>
      <c r="E118" s="2"/>
      <c r="F118" s="51">
        <f t="shared" si="35"/>
        <v>0</v>
      </c>
      <c r="G118" s="51">
        <f t="shared" si="35"/>
        <v>0</v>
      </c>
      <c r="H118" s="51">
        <f t="shared" si="35"/>
        <v>0</v>
      </c>
      <c r="I118" s="51">
        <f t="shared" si="35"/>
        <v>0</v>
      </c>
      <c r="J118" s="51">
        <f t="shared" si="35"/>
        <v>0</v>
      </c>
      <c r="K118" s="51">
        <f t="shared" si="35"/>
        <v>0</v>
      </c>
      <c r="L118" s="52">
        <f t="shared" si="35"/>
        <v>0</v>
      </c>
      <c r="M118" s="51">
        <f t="shared" si="35"/>
        <v>0</v>
      </c>
      <c r="N118" s="51">
        <f t="shared" si="35"/>
        <v>0</v>
      </c>
      <c r="O118" s="51">
        <f t="shared" si="35"/>
        <v>0</v>
      </c>
      <c r="P118" s="51">
        <f t="shared" si="35"/>
        <v>0</v>
      </c>
      <c r="Q118" s="77">
        <v>0.15</v>
      </c>
      <c r="R118" s="77">
        <v>0.18</v>
      </c>
      <c r="S118" s="51">
        <f t="shared" si="35"/>
        <v>0</v>
      </c>
      <c r="T118" s="77">
        <v>0.18</v>
      </c>
      <c r="U118" s="77">
        <v>0.22</v>
      </c>
      <c r="V118" s="77">
        <v>0.12</v>
      </c>
      <c r="W118" s="77">
        <v>0.12</v>
      </c>
      <c r="X118" s="77">
        <v>0.12</v>
      </c>
      <c r="Y118" s="59">
        <f t="shared" si="35"/>
        <v>0</v>
      </c>
      <c r="Z118" s="51">
        <f t="shared" si="35"/>
        <v>0.15862426188749609</v>
      </c>
      <c r="AA118" s="51">
        <f t="shared" si="35"/>
        <v>0.15862426188749609</v>
      </c>
    </row>
    <row r="119" spans="1:27" x14ac:dyDescent="0.25">
      <c r="A119" s="30" t="s">
        <v>60</v>
      </c>
      <c r="B119" s="32" t="s">
        <v>65</v>
      </c>
      <c r="C119" s="31" t="s">
        <v>68</v>
      </c>
      <c r="D119" s="2"/>
      <c r="E119" s="2"/>
      <c r="F119" s="51">
        <f t="shared" si="35"/>
        <v>0</v>
      </c>
      <c r="G119" s="51">
        <f t="shared" si="35"/>
        <v>0</v>
      </c>
      <c r="H119" s="51">
        <f t="shared" si="35"/>
        <v>0</v>
      </c>
      <c r="I119" s="51">
        <f t="shared" si="35"/>
        <v>0</v>
      </c>
      <c r="J119" s="51">
        <f t="shared" si="35"/>
        <v>0</v>
      </c>
      <c r="K119" s="51">
        <f t="shared" si="35"/>
        <v>0</v>
      </c>
      <c r="L119" s="77">
        <v>0.09</v>
      </c>
      <c r="M119" s="51">
        <f t="shared" si="35"/>
        <v>0</v>
      </c>
      <c r="N119" s="51">
        <f t="shared" si="35"/>
        <v>0</v>
      </c>
      <c r="O119" s="51">
        <f t="shared" si="35"/>
        <v>0</v>
      </c>
      <c r="P119" s="51">
        <f t="shared" si="35"/>
        <v>0</v>
      </c>
      <c r="Q119" s="51">
        <f t="shared" si="35"/>
        <v>0</v>
      </c>
      <c r="R119" s="51">
        <f t="shared" si="35"/>
        <v>0</v>
      </c>
      <c r="S119" s="51">
        <f t="shared" si="35"/>
        <v>0</v>
      </c>
      <c r="T119" s="51">
        <f t="shared" si="35"/>
        <v>0</v>
      </c>
      <c r="U119" s="51">
        <f t="shared" si="35"/>
        <v>0</v>
      </c>
      <c r="V119" s="51">
        <f t="shared" si="35"/>
        <v>0</v>
      </c>
      <c r="W119" s="51">
        <f t="shared" si="35"/>
        <v>0</v>
      </c>
      <c r="X119" s="55">
        <f t="shared" si="35"/>
        <v>0</v>
      </c>
      <c r="Y119" s="59">
        <f t="shared" si="35"/>
        <v>0</v>
      </c>
      <c r="Z119" s="51">
        <f t="shared" si="35"/>
        <v>0</v>
      </c>
      <c r="AA119" s="51">
        <f t="shared" si="35"/>
        <v>0.09</v>
      </c>
    </row>
    <row r="120" spans="1:27" x14ac:dyDescent="0.25">
      <c r="A120" s="30" t="s">
        <v>60</v>
      </c>
      <c r="B120" s="32" t="s">
        <v>9</v>
      </c>
      <c r="C120" s="31" t="s">
        <v>69</v>
      </c>
      <c r="D120" s="2"/>
      <c r="E120" s="2"/>
      <c r="F120" s="51">
        <f t="shared" si="35"/>
        <v>0</v>
      </c>
      <c r="G120" s="51">
        <f t="shared" si="35"/>
        <v>0</v>
      </c>
      <c r="H120" s="51">
        <f t="shared" si="35"/>
        <v>0</v>
      </c>
      <c r="I120" s="51">
        <f t="shared" si="35"/>
        <v>0</v>
      </c>
      <c r="J120" s="51">
        <f t="shared" si="35"/>
        <v>0</v>
      </c>
      <c r="K120" s="51">
        <f t="shared" si="35"/>
        <v>0</v>
      </c>
      <c r="L120" s="52">
        <f t="shared" si="35"/>
        <v>0</v>
      </c>
      <c r="M120" s="51">
        <f t="shared" si="35"/>
        <v>0</v>
      </c>
      <c r="N120" s="51">
        <f t="shared" si="35"/>
        <v>0</v>
      </c>
      <c r="O120" s="51">
        <f t="shared" si="35"/>
        <v>0</v>
      </c>
      <c r="P120" s="51">
        <f t="shared" si="35"/>
        <v>0</v>
      </c>
      <c r="Q120" s="51">
        <f t="shared" si="35"/>
        <v>0</v>
      </c>
      <c r="R120" s="51">
        <f t="shared" si="35"/>
        <v>0</v>
      </c>
      <c r="S120" s="51">
        <f t="shared" si="35"/>
        <v>0</v>
      </c>
      <c r="T120" s="51">
        <f t="shared" si="35"/>
        <v>0</v>
      </c>
      <c r="U120" s="51">
        <f t="shared" si="35"/>
        <v>0</v>
      </c>
      <c r="V120" s="51">
        <f t="shared" si="35"/>
        <v>1</v>
      </c>
      <c r="W120" s="51">
        <f t="shared" si="35"/>
        <v>0</v>
      </c>
      <c r="X120" s="79">
        <v>0.42</v>
      </c>
      <c r="Y120" s="59">
        <f t="shared" si="35"/>
        <v>0</v>
      </c>
      <c r="Z120" s="51">
        <f t="shared" si="35"/>
        <v>0.61607710230883284</v>
      </c>
      <c r="AA120" s="51">
        <f t="shared" si="35"/>
        <v>0.61607710230883284</v>
      </c>
    </row>
    <row r="121" spans="1:27" x14ac:dyDescent="0.25">
      <c r="A121" s="15" t="s">
        <v>51</v>
      </c>
      <c r="B121" s="16" t="s">
        <v>56</v>
      </c>
      <c r="C121" s="27" t="s">
        <v>57</v>
      </c>
      <c r="D121" s="16" t="s">
        <v>70</v>
      </c>
      <c r="E121" s="16"/>
      <c r="F121" s="1">
        <f t="shared" si="35"/>
        <v>0</v>
      </c>
      <c r="G121" s="1">
        <f t="shared" si="35"/>
        <v>0</v>
      </c>
      <c r="H121" s="1">
        <f t="shared" si="35"/>
        <v>0</v>
      </c>
      <c r="I121" s="1">
        <f t="shared" si="35"/>
        <v>0</v>
      </c>
      <c r="J121" s="1">
        <f t="shared" si="35"/>
        <v>0</v>
      </c>
      <c r="K121" s="1">
        <f t="shared" si="35"/>
        <v>0</v>
      </c>
      <c r="L121" s="52">
        <f t="shared" si="35"/>
        <v>0</v>
      </c>
      <c r="M121" s="1">
        <f t="shared" si="35"/>
        <v>0</v>
      </c>
      <c r="N121" s="1">
        <f t="shared" si="35"/>
        <v>0</v>
      </c>
      <c r="O121" s="1">
        <f t="shared" si="35"/>
        <v>0</v>
      </c>
      <c r="P121" s="1">
        <f t="shared" si="35"/>
        <v>0</v>
      </c>
      <c r="Q121" s="1">
        <f t="shared" si="35"/>
        <v>0</v>
      </c>
      <c r="R121" s="1">
        <f t="shared" si="35"/>
        <v>0</v>
      </c>
      <c r="S121" s="1">
        <f t="shared" si="35"/>
        <v>0</v>
      </c>
      <c r="T121" s="1">
        <f t="shared" si="35"/>
        <v>0</v>
      </c>
      <c r="U121" s="1">
        <f t="shared" si="35"/>
        <v>0</v>
      </c>
      <c r="V121" s="1">
        <f t="shared" si="35"/>
        <v>0</v>
      </c>
      <c r="W121" s="1">
        <f t="shared" si="35"/>
        <v>0</v>
      </c>
      <c r="X121" s="54">
        <f t="shared" si="35"/>
        <v>0</v>
      </c>
      <c r="Y121" s="58">
        <f t="shared" si="35"/>
        <v>0</v>
      </c>
      <c r="Z121" s="1">
        <f t="shared" si="35"/>
        <v>0</v>
      </c>
      <c r="AA121" s="1">
        <f t="shared" si="35"/>
        <v>0</v>
      </c>
    </row>
    <row r="122" spans="1:27" x14ac:dyDescent="0.25">
      <c r="A122" s="15" t="s">
        <v>51</v>
      </c>
      <c r="B122" s="16" t="s">
        <v>56</v>
      </c>
      <c r="C122" s="27" t="s">
        <v>57</v>
      </c>
      <c r="D122" s="16" t="s">
        <v>71</v>
      </c>
      <c r="E122" s="16"/>
      <c r="F122" s="1">
        <f t="shared" si="35"/>
        <v>0</v>
      </c>
      <c r="G122" s="1">
        <f t="shared" si="35"/>
        <v>0</v>
      </c>
      <c r="H122" s="1">
        <f t="shared" si="35"/>
        <v>0</v>
      </c>
      <c r="I122" s="1">
        <f t="shared" si="35"/>
        <v>0</v>
      </c>
      <c r="J122" s="1">
        <f t="shared" si="35"/>
        <v>0</v>
      </c>
      <c r="K122" s="1">
        <f t="shared" si="35"/>
        <v>0</v>
      </c>
      <c r="L122" s="52">
        <f t="shared" si="35"/>
        <v>0</v>
      </c>
      <c r="M122" s="1">
        <f t="shared" si="35"/>
        <v>0</v>
      </c>
      <c r="N122" s="1">
        <f t="shared" si="35"/>
        <v>0</v>
      </c>
      <c r="O122" s="1">
        <f t="shared" si="35"/>
        <v>0</v>
      </c>
      <c r="P122" s="1">
        <f t="shared" si="35"/>
        <v>0</v>
      </c>
      <c r="Q122" s="1">
        <f t="shared" si="35"/>
        <v>0</v>
      </c>
      <c r="R122" s="1">
        <f t="shared" si="35"/>
        <v>0</v>
      </c>
      <c r="S122" s="1">
        <f t="shared" si="35"/>
        <v>0</v>
      </c>
      <c r="T122" s="1">
        <f t="shared" si="35"/>
        <v>0</v>
      </c>
      <c r="U122" s="1">
        <f t="shared" si="35"/>
        <v>0</v>
      </c>
      <c r="V122" s="1">
        <f t="shared" si="35"/>
        <v>0</v>
      </c>
      <c r="W122" s="1">
        <f t="shared" si="35"/>
        <v>0</v>
      </c>
      <c r="X122" s="54">
        <f t="shared" si="35"/>
        <v>0</v>
      </c>
      <c r="Y122" s="58">
        <f t="shared" si="35"/>
        <v>0</v>
      </c>
      <c r="Z122" s="1">
        <f t="shared" si="35"/>
        <v>0</v>
      </c>
      <c r="AA122" s="1">
        <f t="shared" si="35"/>
        <v>0</v>
      </c>
    </row>
    <row r="123" spans="1:27" x14ac:dyDescent="0.25">
      <c r="A123" s="15" t="s">
        <v>51</v>
      </c>
      <c r="B123" s="16" t="s">
        <v>56</v>
      </c>
      <c r="C123" s="27" t="s">
        <v>27</v>
      </c>
      <c r="D123" s="16" t="s">
        <v>72</v>
      </c>
      <c r="E123" s="16"/>
      <c r="F123" s="1">
        <f t="shared" si="35"/>
        <v>0</v>
      </c>
      <c r="G123" s="1">
        <f t="shared" si="35"/>
        <v>0</v>
      </c>
      <c r="H123" s="1">
        <f t="shared" si="35"/>
        <v>0</v>
      </c>
      <c r="I123" s="1">
        <f t="shared" si="35"/>
        <v>0</v>
      </c>
      <c r="J123" s="1">
        <f t="shared" si="35"/>
        <v>0</v>
      </c>
      <c r="K123" s="1">
        <f t="shared" si="35"/>
        <v>0</v>
      </c>
      <c r="L123" s="52">
        <f t="shared" si="35"/>
        <v>0</v>
      </c>
      <c r="M123" s="1">
        <f t="shared" si="35"/>
        <v>0</v>
      </c>
      <c r="N123" s="1">
        <f t="shared" si="35"/>
        <v>0</v>
      </c>
      <c r="O123" s="1">
        <f t="shared" si="35"/>
        <v>0</v>
      </c>
      <c r="P123" s="1">
        <f t="shared" si="35"/>
        <v>0</v>
      </c>
      <c r="Q123" s="1">
        <f t="shared" si="35"/>
        <v>0</v>
      </c>
      <c r="R123" s="1">
        <f t="shared" si="35"/>
        <v>0</v>
      </c>
      <c r="S123" s="1">
        <f t="shared" si="35"/>
        <v>0</v>
      </c>
      <c r="T123" s="1">
        <f t="shared" si="35"/>
        <v>0</v>
      </c>
      <c r="U123" s="1">
        <f t="shared" si="35"/>
        <v>0</v>
      </c>
      <c r="V123" s="1">
        <f t="shared" si="35"/>
        <v>0</v>
      </c>
      <c r="W123" s="1">
        <f t="shared" si="35"/>
        <v>0</v>
      </c>
      <c r="X123" s="54">
        <f t="shared" si="35"/>
        <v>0</v>
      </c>
      <c r="Y123" s="58">
        <f t="shared" si="35"/>
        <v>0</v>
      </c>
      <c r="Z123" s="1">
        <f t="shared" si="35"/>
        <v>0</v>
      </c>
      <c r="AA123" s="1">
        <f t="shared" si="35"/>
        <v>0</v>
      </c>
    </row>
    <row r="124" spans="1:27" x14ac:dyDescent="0.25">
      <c r="A124" s="15" t="s">
        <v>51</v>
      </c>
      <c r="B124" s="16" t="s">
        <v>56</v>
      </c>
      <c r="C124" s="27" t="s">
        <v>57</v>
      </c>
      <c r="D124" s="16" t="s">
        <v>73</v>
      </c>
      <c r="E124" s="16"/>
      <c r="F124" s="1">
        <f t="shared" si="35"/>
        <v>0</v>
      </c>
      <c r="G124" s="1">
        <f t="shared" si="35"/>
        <v>0</v>
      </c>
      <c r="H124" s="1">
        <f t="shared" si="35"/>
        <v>0</v>
      </c>
      <c r="I124" s="1">
        <f t="shared" si="35"/>
        <v>0</v>
      </c>
      <c r="J124" s="1">
        <f t="shared" si="35"/>
        <v>0</v>
      </c>
      <c r="K124" s="1">
        <f t="shared" si="35"/>
        <v>0</v>
      </c>
      <c r="L124" s="52">
        <f t="shared" si="35"/>
        <v>0</v>
      </c>
      <c r="M124" s="1">
        <f t="shared" si="35"/>
        <v>0</v>
      </c>
      <c r="N124" s="1">
        <f t="shared" si="35"/>
        <v>0</v>
      </c>
      <c r="O124" s="1">
        <f t="shared" si="35"/>
        <v>0</v>
      </c>
      <c r="P124" s="1">
        <f t="shared" si="35"/>
        <v>0</v>
      </c>
      <c r="Q124" s="1">
        <f t="shared" si="35"/>
        <v>0</v>
      </c>
      <c r="R124" s="1">
        <f t="shared" si="35"/>
        <v>0</v>
      </c>
      <c r="S124" s="1">
        <f t="shared" si="35"/>
        <v>0</v>
      </c>
      <c r="T124" s="1">
        <f t="shared" si="35"/>
        <v>0</v>
      </c>
      <c r="U124" s="1">
        <f t="shared" si="35"/>
        <v>0</v>
      </c>
      <c r="V124" s="1">
        <f t="shared" si="35"/>
        <v>0</v>
      </c>
      <c r="W124" s="1">
        <f t="shared" si="35"/>
        <v>0</v>
      </c>
      <c r="X124" s="54">
        <f t="shared" si="35"/>
        <v>0</v>
      </c>
      <c r="Y124" s="58">
        <f t="shared" si="35"/>
        <v>0</v>
      </c>
      <c r="Z124" s="1">
        <f t="shared" si="35"/>
        <v>0</v>
      </c>
      <c r="AA124" s="1">
        <f t="shared" si="35"/>
        <v>0</v>
      </c>
    </row>
    <row r="125" spans="1:27" x14ac:dyDescent="0.25">
      <c r="A125" s="15" t="s">
        <v>51</v>
      </c>
      <c r="B125" s="16" t="s">
        <v>56</v>
      </c>
      <c r="C125" s="27" t="s">
        <v>57</v>
      </c>
      <c r="D125" s="16" t="s">
        <v>74</v>
      </c>
      <c r="E125" s="16"/>
      <c r="F125" s="1">
        <f t="shared" si="35"/>
        <v>0</v>
      </c>
      <c r="G125" s="1">
        <f t="shared" si="35"/>
        <v>0</v>
      </c>
      <c r="H125" s="1">
        <f t="shared" si="35"/>
        <v>0</v>
      </c>
      <c r="I125" s="1">
        <f t="shared" si="35"/>
        <v>0</v>
      </c>
      <c r="J125" s="1">
        <f t="shared" si="35"/>
        <v>0</v>
      </c>
      <c r="K125" s="1">
        <f t="shared" si="35"/>
        <v>0</v>
      </c>
      <c r="L125" s="52">
        <f t="shared" si="35"/>
        <v>0</v>
      </c>
      <c r="M125" s="1">
        <f t="shared" si="35"/>
        <v>0</v>
      </c>
      <c r="N125" s="1">
        <f t="shared" si="35"/>
        <v>0</v>
      </c>
      <c r="O125" s="1">
        <f t="shared" si="35"/>
        <v>0</v>
      </c>
      <c r="P125" s="1">
        <f t="shared" si="35"/>
        <v>0</v>
      </c>
      <c r="Q125" s="1">
        <f t="shared" si="35"/>
        <v>0</v>
      </c>
      <c r="R125" s="1">
        <f t="shared" si="35"/>
        <v>0</v>
      </c>
      <c r="S125" s="1">
        <f t="shared" si="35"/>
        <v>0</v>
      </c>
      <c r="T125" s="1">
        <f t="shared" si="35"/>
        <v>0</v>
      </c>
      <c r="U125" s="1">
        <f t="shared" si="35"/>
        <v>0</v>
      </c>
      <c r="V125" s="1">
        <f t="shared" si="35"/>
        <v>0</v>
      </c>
      <c r="W125" s="1">
        <f t="shared" si="35"/>
        <v>0</v>
      </c>
      <c r="X125" s="54">
        <f t="shared" si="35"/>
        <v>0</v>
      </c>
      <c r="Y125" s="58">
        <f t="shared" si="35"/>
        <v>0</v>
      </c>
      <c r="Z125" s="1">
        <f t="shared" si="35"/>
        <v>0</v>
      </c>
      <c r="AA125" s="1">
        <f t="shared" si="35"/>
        <v>0</v>
      </c>
    </row>
    <row r="126" spans="1:27" x14ac:dyDescent="0.25">
      <c r="A126" s="30" t="s">
        <v>60</v>
      </c>
      <c r="B126" s="31" t="s">
        <v>13</v>
      </c>
      <c r="C126" s="32" t="s">
        <v>61</v>
      </c>
      <c r="D126" s="31" t="s">
        <v>75</v>
      </c>
      <c r="E126" s="31"/>
      <c r="F126" s="51">
        <f t="shared" si="35"/>
        <v>0.19160416666666666</v>
      </c>
      <c r="G126" s="51">
        <f t="shared" si="35"/>
        <v>0.25701587301587303</v>
      </c>
      <c r="H126" s="51">
        <f t="shared" si="35"/>
        <v>0.34161490683229812</v>
      </c>
      <c r="I126" s="51">
        <f t="shared" si="35"/>
        <v>0.27210884353741499</v>
      </c>
      <c r="J126" s="51">
        <f t="shared" si="35"/>
        <v>0</v>
      </c>
      <c r="K126" s="51">
        <f t="shared" si="35"/>
        <v>0</v>
      </c>
      <c r="L126" s="52">
        <f t="shared" si="35"/>
        <v>0</v>
      </c>
      <c r="M126" s="51">
        <f t="shared" si="35"/>
        <v>0.45</v>
      </c>
      <c r="N126" s="51">
        <f t="shared" si="35"/>
        <v>0</v>
      </c>
      <c r="O126" s="51">
        <f t="shared" si="35"/>
        <v>0</v>
      </c>
      <c r="P126" s="51">
        <f t="shared" si="35"/>
        <v>0</v>
      </c>
      <c r="Q126" s="51">
        <f t="shared" si="35"/>
        <v>0</v>
      </c>
      <c r="R126" s="51">
        <f t="shared" si="35"/>
        <v>0</v>
      </c>
      <c r="S126" s="51">
        <f t="shared" si="35"/>
        <v>0</v>
      </c>
      <c r="T126" s="51">
        <f t="shared" si="35"/>
        <v>0</v>
      </c>
      <c r="U126" s="51">
        <f t="shared" si="35"/>
        <v>0</v>
      </c>
      <c r="V126" s="51">
        <f t="shared" si="35"/>
        <v>0</v>
      </c>
      <c r="W126" s="51">
        <f t="shared" si="35"/>
        <v>0.6</v>
      </c>
      <c r="X126" s="55">
        <f t="shared" si="35"/>
        <v>0</v>
      </c>
      <c r="Y126" s="59">
        <f t="shared" si="35"/>
        <v>0.26660083770087151</v>
      </c>
      <c r="Z126" s="51">
        <f t="shared" si="35"/>
        <v>0.58043478260869563</v>
      </c>
      <c r="AA126" s="51">
        <f t="shared" si="35"/>
        <v>0.29928427063979979</v>
      </c>
    </row>
    <row r="127" spans="1:27" x14ac:dyDescent="0.25">
      <c r="A127" s="30" t="s">
        <v>60</v>
      </c>
      <c r="B127" s="31" t="s">
        <v>13</v>
      </c>
      <c r="C127" s="32" t="s">
        <v>61</v>
      </c>
      <c r="D127" s="31" t="s">
        <v>76</v>
      </c>
      <c r="E127" s="31"/>
      <c r="F127" s="51">
        <f t="shared" si="35"/>
        <v>0.19160416666666666</v>
      </c>
      <c r="G127" s="51">
        <f t="shared" si="35"/>
        <v>0</v>
      </c>
      <c r="H127" s="51">
        <f t="shared" si="35"/>
        <v>0</v>
      </c>
      <c r="I127" s="51">
        <f t="shared" si="35"/>
        <v>0.27210884353741499</v>
      </c>
      <c r="J127" s="51">
        <f t="shared" si="35"/>
        <v>0.43243243243243246</v>
      </c>
      <c r="K127" s="51">
        <f t="shared" si="35"/>
        <v>0.38333333333333336</v>
      </c>
      <c r="L127" s="52">
        <f t="shared" si="35"/>
        <v>0</v>
      </c>
      <c r="M127" s="51">
        <f t="shared" si="35"/>
        <v>0.45</v>
      </c>
      <c r="N127" s="51">
        <f t="shared" si="35"/>
        <v>0.42105263157894735</v>
      </c>
      <c r="O127" s="51">
        <f t="shared" si="35"/>
        <v>0.36680053547523428</v>
      </c>
      <c r="P127" s="51">
        <f t="shared" ref="P127:AA127" si="36">IF(P37&gt;0,P82/P37,0)</f>
        <v>0.34387550200803207</v>
      </c>
      <c r="Q127" s="51">
        <f t="shared" si="36"/>
        <v>0</v>
      </c>
      <c r="R127" s="51">
        <f t="shared" si="36"/>
        <v>0.48</v>
      </c>
      <c r="S127" s="51">
        <f t="shared" si="36"/>
        <v>0</v>
      </c>
      <c r="T127" s="51">
        <f t="shared" si="36"/>
        <v>0</v>
      </c>
      <c r="U127" s="51">
        <f t="shared" si="36"/>
        <v>0</v>
      </c>
      <c r="V127" s="51">
        <f t="shared" si="36"/>
        <v>0</v>
      </c>
      <c r="W127" s="51">
        <f t="shared" si="36"/>
        <v>0</v>
      </c>
      <c r="X127" s="55">
        <f t="shared" si="36"/>
        <v>0</v>
      </c>
      <c r="Y127" s="59">
        <f t="shared" si="36"/>
        <v>0.27474764027267962</v>
      </c>
      <c r="Z127" s="51">
        <f t="shared" si="36"/>
        <v>0.4224844178487332</v>
      </c>
      <c r="AA127" s="51">
        <f t="shared" si="36"/>
        <v>0.31698925904189368</v>
      </c>
    </row>
    <row r="128" spans="1:27" x14ac:dyDescent="0.25">
      <c r="A128" s="30" t="s">
        <v>60</v>
      </c>
      <c r="B128" s="31" t="s">
        <v>13</v>
      </c>
      <c r="C128" s="32" t="s">
        <v>61</v>
      </c>
      <c r="D128" s="31" t="s">
        <v>77</v>
      </c>
      <c r="E128" s="31"/>
      <c r="F128" s="51">
        <f t="shared" ref="F128:AA135" si="37">IF(F38&gt;0,F83/F38,0)</f>
        <v>0</v>
      </c>
      <c r="G128" s="51">
        <f t="shared" si="37"/>
        <v>0</v>
      </c>
      <c r="H128" s="51">
        <f t="shared" si="37"/>
        <v>0</v>
      </c>
      <c r="I128" s="51">
        <f t="shared" si="37"/>
        <v>0</v>
      </c>
      <c r="J128" s="51">
        <f t="shared" si="37"/>
        <v>0</v>
      </c>
      <c r="K128" s="51">
        <f t="shared" si="37"/>
        <v>0.28749999999999998</v>
      </c>
      <c r="L128" s="52">
        <f t="shared" si="37"/>
        <v>0</v>
      </c>
      <c r="M128" s="51">
        <f t="shared" si="37"/>
        <v>0.45</v>
      </c>
      <c r="N128" s="51">
        <f t="shared" si="37"/>
        <v>0</v>
      </c>
      <c r="O128" s="51">
        <f t="shared" si="37"/>
        <v>0</v>
      </c>
      <c r="P128" s="51">
        <f t="shared" si="37"/>
        <v>0</v>
      </c>
      <c r="Q128" s="51">
        <f t="shared" si="37"/>
        <v>0</v>
      </c>
      <c r="R128" s="51">
        <f t="shared" si="37"/>
        <v>0</v>
      </c>
      <c r="S128" s="51">
        <f t="shared" si="37"/>
        <v>0</v>
      </c>
      <c r="T128" s="51">
        <f t="shared" si="37"/>
        <v>1</v>
      </c>
      <c r="U128" s="51">
        <f t="shared" si="37"/>
        <v>0.5</v>
      </c>
      <c r="V128" s="51">
        <f t="shared" si="37"/>
        <v>0</v>
      </c>
      <c r="W128" s="51">
        <f t="shared" ref="W128:W135" si="38">IF(W38&gt;0,W83/W38,0)</f>
        <v>0</v>
      </c>
      <c r="X128" s="55">
        <f t="shared" si="37"/>
        <v>0</v>
      </c>
      <c r="Y128" s="59">
        <f t="shared" si="37"/>
        <v>0.28749999999999998</v>
      </c>
      <c r="Z128" s="51">
        <f t="shared" si="37"/>
        <v>0.5</v>
      </c>
      <c r="AA128" s="51">
        <f t="shared" si="37"/>
        <v>0.4676190476190476</v>
      </c>
    </row>
    <row r="129" spans="1:55" x14ac:dyDescent="0.25">
      <c r="A129" s="30" t="s">
        <v>60</v>
      </c>
      <c r="B129" s="31" t="s">
        <v>13</v>
      </c>
      <c r="C129" s="32" t="s">
        <v>61</v>
      </c>
      <c r="D129" s="31" t="s">
        <v>78</v>
      </c>
      <c r="E129" s="31"/>
      <c r="F129" s="51">
        <f t="shared" si="37"/>
        <v>0</v>
      </c>
      <c r="G129" s="51">
        <f t="shared" si="37"/>
        <v>0</v>
      </c>
      <c r="H129" s="51">
        <f t="shared" si="37"/>
        <v>0</v>
      </c>
      <c r="I129" s="51">
        <f t="shared" si="37"/>
        <v>0.27210884353741499</v>
      </c>
      <c r="J129" s="51">
        <f t="shared" si="37"/>
        <v>0</v>
      </c>
      <c r="K129" s="51">
        <f t="shared" si="37"/>
        <v>0.28749999999999998</v>
      </c>
      <c r="L129" s="52">
        <f t="shared" si="37"/>
        <v>0</v>
      </c>
      <c r="M129" s="51">
        <f t="shared" si="37"/>
        <v>0.45</v>
      </c>
      <c r="N129" s="51">
        <f t="shared" si="37"/>
        <v>0</v>
      </c>
      <c r="O129" s="51">
        <f t="shared" si="37"/>
        <v>0.36680053547523428</v>
      </c>
      <c r="P129" s="51">
        <f t="shared" si="37"/>
        <v>0.34387550200803213</v>
      </c>
      <c r="Q129" s="51">
        <f t="shared" si="37"/>
        <v>0.40500000000000003</v>
      </c>
      <c r="R129" s="51">
        <f t="shared" si="37"/>
        <v>0</v>
      </c>
      <c r="S129" s="51">
        <f t="shared" si="37"/>
        <v>0</v>
      </c>
      <c r="T129" s="51">
        <f t="shared" si="37"/>
        <v>0</v>
      </c>
      <c r="U129" s="51">
        <f t="shared" si="37"/>
        <v>0</v>
      </c>
      <c r="V129" s="51">
        <f t="shared" si="37"/>
        <v>0</v>
      </c>
      <c r="W129" s="51">
        <f t="shared" si="38"/>
        <v>0</v>
      </c>
      <c r="X129" s="55">
        <f t="shared" si="37"/>
        <v>0.5</v>
      </c>
      <c r="Y129" s="59">
        <f t="shared" si="37"/>
        <v>0.27753303964757708</v>
      </c>
      <c r="Z129" s="51">
        <f t="shared" si="37"/>
        <v>0.36816556116569116</v>
      </c>
      <c r="AA129" s="51">
        <f t="shared" si="37"/>
        <v>0.35160369369180811</v>
      </c>
    </row>
    <row r="130" spans="1:55" ht="15.75" thickBot="1" x14ac:dyDescent="0.3">
      <c r="A130" s="33" t="s">
        <v>60</v>
      </c>
      <c r="B130" s="34" t="s">
        <v>13</v>
      </c>
      <c r="C130" s="35" t="s">
        <v>61</v>
      </c>
      <c r="D130" s="34" t="s">
        <v>79</v>
      </c>
      <c r="E130" s="31"/>
      <c r="F130" s="51">
        <f t="shared" si="37"/>
        <v>0</v>
      </c>
      <c r="G130" s="51">
        <f t="shared" si="37"/>
        <v>0</v>
      </c>
      <c r="H130" s="51">
        <f t="shared" si="37"/>
        <v>0</v>
      </c>
      <c r="I130" s="51">
        <f t="shared" si="37"/>
        <v>0</v>
      </c>
      <c r="J130" s="51">
        <f t="shared" si="37"/>
        <v>0</v>
      </c>
      <c r="K130" s="51">
        <f t="shared" si="37"/>
        <v>0</v>
      </c>
      <c r="L130" s="52">
        <f t="shared" si="37"/>
        <v>0</v>
      </c>
      <c r="M130" s="51">
        <f t="shared" si="37"/>
        <v>0</v>
      </c>
      <c r="N130" s="51">
        <f t="shared" si="37"/>
        <v>0</v>
      </c>
      <c r="O130" s="51">
        <f t="shared" si="37"/>
        <v>0</v>
      </c>
      <c r="P130" s="51">
        <f t="shared" si="37"/>
        <v>0</v>
      </c>
      <c r="Q130" s="51">
        <f t="shared" si="37"/>
        <v>0</v>
      </c>
      <c r="R130" s="51">
        <f t="shared" si="37"/>
        <v>0</v>
      </c>
      <c r="S130" s="51">
        <f t="shared" si="37"/>
        <v>0</v>
      </c>
      <c r="T130" s="51">
        <f t="shared" si="37"/>
        <v>0</v>
      </c>
      <c r="U130" s="51">
        <f t="shared" si="37"/>
        <v>0</v>
      </c>
      <c r="V130" s="51">
        <f t="shared" si="37"/>
        <v>0</v>
      </c>
      <c r="W130" s="51">
        <f t="shared" si="38"/>
        <v>0</v>
      </c>
      <c r="X130" s="55">
        <f t="shared" si="37"/>
        <v>0</v>
      </c>
      <c r="Y130" s="59">
        <f t="shared" si="37"/>
        <v>0</v>
      </c>
      <c r="Z130" s="51">
        <f t="shared" si="37"/>
        <v>0</v>
      </c>
      <c r="AA130" s="51">
        <f t="shared" si="37"/>
        <v>0</v>
      </c>
    </row>
    <row r="131" spans="1:55" x14ac:dyDescent="0.25">
      <c r="A131" s="30" t="s">
        <v>60</v>
      </c>
      <c r="B131" s="31" t="s">
        <v>13</v>
      </c>
      <c r="C131" s="32" t="s">
        <v>62</v>
      </c>
      <c r="D131" s="31" t="s">
        <v>75</v>
      </c>
      <c r="E131" s="31"/>
      <c r="F131" s="51">
        <f t="shared" si="37"/>
        <v>0</v>
      </c>
      <c r="G131" s="51">
        <f t="shared" si="37"/>
        <v>0</v>
      </c>
      <c r="H131" s="51">
        <f>IF(H41&gt;0,H86/H41,0)</f>
        <v>0</v>
      </c>
      <c r="I131" s="51">
        <f t="shared" si="37"/>
        <v>0</v>
      </c>
      <c r="J131" s="51">
        <f t="shared" si="37"/>
        <v>0</v>
      </c>
      <c r="K131" s="51">
        <f t="shared" si="37"/>
        <v>0</v>
      </c>
      <c r="L131" s="52">
        <f t="shared" si="37"/>
        <v>0</v>
      </c>
      <c r="M131" s="51">
        <f t="shared" si="37"/>
        <v>0</v>
      </c>
      <c r="N131" s="51">
        <f t="shared" si="37"/>
        <v>0</v>
      </c>
      <c r="O131" s="51">
        <f t="shared" si="37"/>
        <v>0</v>
      </c>
      <c r="P131" s="51">
        <f t="shared" si="37"/>
        <v>0</v>
      </c>
      <c r="Q131" s="51">
        <f t="shared" si="37"/>
        <v>0</v>
      </c>
      <c r="R131" s="51">
        <f t="shared" si="37"/>
        <v>0</v>
      </c>
      <c r="S131" s="51">
        <f t="shared" si="37"/>
        <v>0</v>
      </c>
      <c r="T131" s="51">
        <f t="shared" si="37"/>
        <v>0</v>
      </c>
      <c r="U131" s="51">
        <f t="shared" si="37"/>
        <v>0</v>
      </c>
      <c r="V131" s="51">
        <f t="shared" si="37"/>
        <v>0</v>
      </c>
      <c r="W131" s="51">
        <f t="shared" si="38"/>
        <v>0</v>
      </c>
      <c r="X131" s="55">
        <f t="shared" si="37"/>
        <v>0</v>
      </c>
      <c r="Y131" s="59">
        <f t="shared" si="37"/>
        <v>0</v>
      </c>
      <c r="Z131" s="51">
        <f t="shared" si="37"/>
        <v>0</v>
      </c>
      <c r="AA131" s="51">
        <f t="shared" si="37"/>
        <v>0</v>
      </c>
    </row>
    <row r="132" spans="1:55" x14ac:dyDescent="0.25">
      <c r="A132" s="30" t="s">
        <v>60</v>
      </c>
      <c r="B132" s="31" t="s">
        <v>13</v>
      </c>
      <c r="C132" s="32" t="s">
        <v>62</v>
      </c>
      <c r="D132" s="31" t="s">
        <v>76</v>
      </c>
      <c r="E132" s="31"/>
      <c r="F132" s="51">
        <f t="shared" si="37"/>
        <v>0.25547222222222221</v>
      </c>
      <c r="G132" s="51">
        <f t="shared" si="37"/>
        <v>0.25701587301587309</v>
      </c>
      <c r="H132" s="51">
        <f>IF(H42&gt;0,H87/H42,0)</f>
        <v>0.35637149028077753</v>
      </c>
      <c r="I132" s="51">
        <f t="shared" si="37"/>
        <v>0</v>
      </c>
      <c r="J132" s="51">
        <f t="shared" si="37"/>
        <v>0</v>
      </c>
      <c r="K132" s="51">
        <f t="shared" si="37"/>
        <v>0</v>
      </c>
      <c r="L132" s="52">
        <f t="shared" si="37"/>
        <v>0</v>
      </c>
      <c r="M132" s="51">
        <f t="shared" si="37"/>
        <v>0</v>
      </c>
      <c r="N132" s="51">
        <f t="shared" si="37"/>
        <v>0</v>
      </c>
      <c r="O132" s="51">
        <f t="shared" si="37"/>
        <v>0</v>
      </c>
      <c r="P132" s="51">
        <f t="shared" si="37"/>
        <v>0</v>
      </c>
      <c r="Q132" s="51">
        <f t="shared" si="37"/>
        <v>0</v>
      </c>
      <c r="R132" s="51">
        <f t="shared" si="37"/>
        <v>0</v>
      </c>
      <c r="S132" s="51">
        <f t="shared" si="37"/>
        <v>0</v>
      </c>
      <c r="T132" s="51">
        <f t="shared" si="37"/>
        <v>0</v>
      </c>
      <c r="U132" s="51">
        <f t="shared" si="37"/>
        <v>0</v>
      </c>
      <c r="V132" s="51">
        <f t="shared" si="37"/>
        <v>0</v>
      </c>
      <c r="W132" s="51">
        <f t="shared" si="38"/>
        <v>0</v>
      </c>
      <c r="X132" s="55">
        <f t="shared" si="37"/>
        <v>0</v>
      </c>
      <c r="Y132" s="59">
        <f t="shared" si="37"/>
        <v>0.27240621623329681</v>
      </c>
      <c r="Z132" s="51">
        <f t="shared" si="37"/>
        <v>0</v>
      </c>
      <c r="AA132" s="51">
        <f t="shared" si="37"/>
        <v>0.27240621623329681</v>
      </c>
    </row>
    <row r="133" spans="1:55" x14ac:dyDescent="0.25">
      <c r="A133" s="30" t="s">
        <v>60</v>
      </c>
      <c r="B133" s="31" t="s">
        <v>13</v>
      </c>
      <c r="C133" s="32" t="s">
        <v>62</v>
      </c>
      <c r="D133" s="31" t="s">
        <v>77</v>
      </c>
      <c r="E133" s="31"/>
      <c r="F133" s="51">
        <f t="shared" si="37"/>
        <v>0</v>
      </c>
      <c r="G133" s="51">
        <f t="shared" si="37"/>
        <v>0</v>
      </c>
      <c r="H133" s="51">
        <f t="shared" si="37"/>
        <v>0</v>
      </c>
      <c r="I133" s="51">
        <f t="shared" si="37"/>
        <v>0</v>
      </c>
      <c r="J133" s="51">
        <f t="shared" si="37"/>
        <v>0</v>
      </c>
      <c r="K133" s="51">
        <f t="shared" si="37"/>
        <v>0</v>
      </c>
      <c r="L133" s="52">
        <f t="shared" si="37"/>
        <v>0</v>
      </c>
      <c r="M133" s="51">
        <f t="shared" si="37"/>
        <v>0</v>
      </c>
      <c r="N133" s="51">
        <f t="shared" si="37"/>
        <v>0</v>
      </c>
      <c r="O133" s="51">
        <f t="shared" si="37"/>
        <v>0</v>
      </c>
      <c r="P133" s="51">
        <f t="shared" si="37"/>
        <v>0</v>
      </c>
      <c r="Q133" s="51">
        <f t="shared" si="37"/>
        <v>0</v>
      </c>
      <c r="R133" s="51">
        <f t="shared" si="37"/>
        <v>0</v>
      </c>
      <c r="S133" s="51">
        <f t="shared" si="37"/>
        <v>0</v>
      </c>
      <c r="T133" s="51">
        <f t="shared" si="37"/>
        <v>0</v>
      </c>
      <c r="U133" s="51">
        <f t="shared" si="37"/>
        <v>0</v>
      </c>
      <c r="V133" s="51">
        <f t="shared" si="37"/>
        <v>0</v>
      </c>
      <c r="W133" s="51">
        <f t="shared" si="38"/>
        <v>0</v>
      </c>
      <c r="X133" s="55">
        <f t="shared" si="37"/>
        <v>0</v>
      </c>
      <c r="Y133" s="59">
        <f t="shared" si="37"/>
        <v>0</v>
      </c>
      <c r="Z133" s="51">
        <f t="shared" si="37"/>
        <v>0</v>
      </c>
      <c r="AA133" s="51">
        <f t="shared" si="37"/>
        <v>0</v>
      </c>
    </row>
    <row r="134" spans="1:55" x14ac:dyDescent="0.25">
      <c r="A134" s="30" t="s">
        <v>60</v>
      </c>
      <c r="B134" s="31" t="s">
        <v>13</v>
      </c>
      <c r="C134" s="32" t="s">
        <v>62</v>
      </c>
      <c r="D134" s="31" t="s">
        <v>78</v>
      </c>
      <c r="E134" s="31"/>
      <c r="F134" s="51">
        <f t="shared" si="37"/>
        <v>0</v>
      </c>
      <c r="G134" s="51">
        <f t="shared" si="37"/>
        <v>0</v>
      </c>
      <c r="H134" s="51">
        <f t="shared" si="37"/>
        <v>0</v>
      </c>
      <c r="I134" s="51">
        <f t="shared" si="37"/>
        <v>0</v>
      </c>
      <c r="J134" s="51">
        <f t="shared" si="37"/>
        <v>0</v>
      </c>
      <c r="K134" s="51">
        <f t="shared" si="37"/>
        <v>0</v>
      </c>
      <c r="L134" s="52">
        <f t="shared" si="37"/>
        <v>0</v>
      </c>
      <c r="M134" s="51">
        <f t="shared" si="37"/>
        <v>0</v>
      </c>
      <c r="N134" s="51">
        <f t="shared" si="37"/>
        <v>0</v>
      </c>
      <c r="O134" s="51">
        <f t="shared" si="37"/>
        <v>0</v>
      </c>
      <c r="P134" s="51">
        <f t="shared" si="37"/>
        <v>0.34387550200803213</v>
      </c>
      <c r="Q134" s="51">
        <f t="shared" si="37"/>
        <v>0</v>
      </c>
      <c r="R134" s="51">
        <f t="shared" si="37"/>
        <v>0</v>
      </c>
      <c r="S134" s="51">
        <f t="shared" si="37"/>
        <v>0</v>
      </c>
      <c r="T134" s="51">
        <f t="shared" si="37"/>
        <v>0</v>
      </c>
      <c r="U134" s="51">
        <f t="shared" si="37"/>
        <v>0</v>
      </c>
      <c r="V134" s="51">
        <f t="shared" si="37"/>
        <v>0</v>
      </c>
      <c r="W134" s="51">
        <f t="shared" si="38"/>
        <v>0</v>
      </c>
      <c r="X134" s="55">
        <f t="shared" si="37"/>
        <v>0</v>
      </c>
      <c r="Y134" s="59">
        <f t="shared" si="37"/>
        <v>0</v>
      </c>
      <c r="Z134" s="51">
        <f t="shared" si="37"/>
        <v>0.34387550200803213</v>
      </c>
      <c r="AA134" s="51">
        <f t="shared" si="37"/>
        <v>0.34387550200803213</v>
      </c>
    </row>
    <row r="135" spans="1:55" ht="15.75" thickBot="1" x14ac:dyDescent="0.3">
      <c r="A135" s="33" t="s">
        <v>60</v>
      </c>
      <c r="B135" s="34" t="s">
        <v>13</v>
      </c>
      <c r="C135" s="32" t="s">
        <v>62</v>
      </c>
      <c r="D135" s="34" t="s">
        <v>79</v>
      </c>
      <c r="E135" s="31"/>
      <c r="F135" s="51">
        <f t="shared" si="37"/>
        <v>0</v>
      </c>
      <c r="G135" s="51">
        <f t="shared" si="37"/>
        <v>0</v>
      </c>
      <c r="H135" s="51">
        <f t="shared" si="37"/>
        <v>0</v>
      </c>
      <c r="I135" s="51">
        <f t="shared" si="37"/>
        <v>0</v>
      </c>
      <c r="J135" s="51">
        <f t="shared" si="37"/>
        <v>0</v>
      </c>
      <c r="K135" s="51">
        <f t="shared" si="37"/>
        <v>0</v>
      </c>
      <c r="L135" s="52">
        <f t="shared" si="37"/>
        <v>0</v>
      </c>
      <c r="M135" s="51">
        <f t="shared" si="37"/>
        <v>0</v>
      </c>
      <c r="N135" s="51">
        <f t="shared" si="37"/>
        <v>0</v>
      </c>
      <c r="O135" s="51">
        <f t="shared" si="37"/>
        <v>0</v>
      </c>
      <c r="P135" s="51">
        <f t="shared" si="37"/>
        <v>0</v>
      </c>
      <c r="Q135" s="51">
        <f t="shared" si="37"/>
        <v>0</v>
      </c>
      <c r="R135" s="51">
        <f t="shared" si="37"/>
        <v>0</v>
      </c>
      <c r="S135" s="51">
        <f t="shared" si="37"/>
        <v>0</v>
      </c>
      <c r="T135" s="51">
        <f t="shared" si="37"/>
        <v>0</v>
      </c>
      <c r="U135" s="51">
        <f t="shared" si="37"/>
        <v>0</v>
      </c>
      <c r="V135" s="51">
        <f t="shared" si="37"/>
        <v>0</v>
      </c>
      <c r="W135" s="51">
        <f t="shared" si="38"/>
        <v>0</v>
      </c>
      <c r="X135" s="55">
        <f t="shared" si="37"/>
        <v>0</v>
      </c>
      <c r="Y135" s="59">
        <f t="shared" si="37"/>
        <v>0</v>
      </c>
      <c r="Z135" s="51">
        <f t="shared" si="37"/>
        <v>0</v>
      </c>
      <c r="AA135" s="51">
        <f t="shared" si="37"/>
        <v>0</v>
      </c>
    </row>
    <row r="136" spans="1:5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55" x14ac:dyDescent="0.25">
      <c r="D137" s="41" t="s">
        <v>17</v>
      </c>
      <c r="E137" s="41"/>
      <c r="M137" s="24" t="s">
        <v>81</v>
      </c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AF137" s="41" t="s">
        <v>22</v>
      </c>
      <c r="AG137" s="41"/>
      <c r="AO137" s="24" t="s">
        <v>81</v>
      </c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</row>
    <row r="138" spans="1:55" x14ac:dyDescent="0.25">
      <c r="F138" s="23" t="s">
        <v>44</v>
      </c>
      <c r="G138" s="23"/>
      <c r="H138" s="23"/>
      <c r="I138" s="23"/>
      <c r="J138" s="23"/>
      <c r="K138" s="23"/>
      <c r="L138" s="7" t="s">
        <v>30</v>
      </c>
      <c r="M138" s="24" t="s">
        <v>46</v>
      </c>
      <c r="N138" s="24"/>
      <c r="O138" s="24"/>
      <c r="P138" s="24"/>
      <c r="Q138" s="24"/>
      <c r="R138" s="24" t="s">
        <v>47</v>
      </c>
      <c r="S138" s="24"/>
      <c r="T138" s="24"/>
      <c r="U138" s="24"/>
      <c r="V138" s="24"/>
      <c r="W138" s="24"/>
      <c r="X138" s="24"/>
      <c r="Y138" s="44" t="s">
        <v>85</v>
      </c>
      <c r="Z138" s="44" t="s">
        <v>48</v>
      </c>
      <c r="AA138" s="44" t="s">
        <v>3</v>
      </c>
      <c r="AH138" s="23" t="s">
        <v>44</v>
      </c>
      <c r="AI138" s="23"/>
      <c r="AJ138" s="23"/>
      <c r="AK138" s="23"/>
      <c r="AL138" s="23"/>
      <c r="AM138" s="23"/>
      <c r="AN138" s="7" t="s">
        <v>30</v>
      </c>
      <c r="AO138" s="24" t="s">
        <v>46</v>
      </c>
      <c r="AP138" s="24"/>
      <c r="AQ138" s="24"/>
      <c r="AR138" s="24"/>
      <c r="AS138" s="24"/>
      <c r="AT138" s="24" t="s">
        <v>47</v>
      </c>
      <c r="AU138" s="24"/>
      <c r="AV138" s="24"/>
      <c r="AW138" s="24"/>
      <c r="AX138" s="24"/>
      <c r="AY138" s="24"/>
      <c r="AZ138" s="24"/>
      <c r="BA138" s="44" t="s">
        <v>85</v>
      </c>
      <c r="BB138" s="44" t="s">
        <v>48</v>
      </c>
      <c r="BC138" s="44" t="s">
        <v>3</v>
      </c>
    </row>
    <row r="139" spans="1:55" ht="63" x14ac:dyDescent="0.25">
      <c r="F139" s="38" t="s">
        <v>36</v>
      </c>
      <c r="G139" s="38" t="s">
        <v>37</v>
      </c>
      <c r="H139" s="38" t="s">
        <v>38</v>
      </c>
      <c r="I139" s="38" t="s">
        <v>80</v>
      </c>
      <c r="J139" s="38" t="s">
        <v>39</v>
      </c>
      <c r="K139" s="38" t="s">
        <v>45</v>
      </c>
      <c r="L139" s="39" t="s">
        <v>16</v>
      </c>
      <c r="M139" s="40" t="s">
        <v>34</v>
      </c>
      <c r="N139" s="40" t="s">
        <v>5</v>
      </c>
      <c r="O139" s="40" t="s">
        <v>7</v>
      </c>
      <c r="P139" s="40" t="s">
        <v>8</v>
      </c>
      <c r="Q139" s="40" t="s">
        <v>40</v>
      </c>
      <c r="R139" s="40" t="s">
        <v>41</v>
      </c>
      <c r="S139" s="40" t="s">
        <v>42</v>
      </c>
      <c r="T139" s="40" t="s">
        <v>31</v>
      </c>
      <c r="U139" s="40" t="s">
        <v>43</v>
      </c>
      <c r="V139" s="40" t="s">
        <v>82</v>
      </c>
      <c r="W139" s="40" t="s">
        <v>87</v>
      </c>
      <c r="X139" s="40" t="s">
        <v>83</v>
      </c>
      <c r="Y139" s="45" t="s">
        <v>3</v>
      </c>
      <c r="Z139" s="45" t="s">
        <v>3</v>
      </c>
      <c r="AA139" s="45" t="s">
        <v>3</v>
      </c>
      <c r="AH139" s="38" t="s">
        <v>36</v>
      </c>
      <c r="AI139" s="38" t="s">
        <v>37</v>
      </c>
      <c r="AJ139" s="38" t="s">
        <v>38</v>
      </c>
      <c r="AK139" s="38" t="s">
        <v>80</v>
      </c>
      <c r="AL139" s="38" t="s">
        <v>39</v>
      </c>
      <c r="AM139" s="38" t="s">
        <v>45</v>
      </c>
      <c r="AN139" s="39" t="s">
        <v>16</v>
      </c>
      <c r="AO139" s="40" t="s">
        <v>34</v>
      </c>
      <c r="AP139" s="40" t="s">
        <v>5</v>
      </c>
      <c r="AQ139" s="40" t="s">
        <v>7</v>
      </c>
      <c r="AR139" s="40" t="s">
        <v>8</v>
      </c>
      <c r="AS139" s="40" t="s">
        <v>40</v>
      </c>
      <c r="AT139" s="40" t="s">
        <v>41</v>
      </c>
      <c r="AU139" s="40" t="s">
        <v>42</v>
      </c>
      <c r="AV139" s="40" t="s">
        <v>31</v>
      </c>
      <c r="AW139" s="40" t="s">
        <v>43</v>
      </c>
      <c r="AX139" s="40" t="s">
        <v>82</v>
      </c>
      <c r="AY139" s="40" t="s">
        <v>87</v>
      </c>
      <c r="AZ139" s="40" t="s">
        <v>83</v>
      </c>
      <c r="BA139" s="45" t="s">
        <v>3</v>
      </c>
      <c r="BB139" s="45" t="s">
        <v>86</v>
      </c>
      <c r="BC139" s="45" t="s">
        <v>3</v>
      </c>
    </row>
    <row r="140" spans="1:55" x14ac:dyDescent="0.25">
      <c r="A140" s="15" t="s">
        <v>51</v>
      </c>
      <c r="B140" s="2"/>
      <c r="C140" s="2"/>
      <c r="F140" s="1">
        <f t="shared" ref="F140:F156" si="39">IF(F185&gt;0,F5/F185,0)</f>
        <v>0</v>
      </c>
      <c r="G140" s="1">
        <f t="shared" ref="G140:AA152" si="40">IF(G185&gt;0,G5/G185,0)</f>
        <v>0</v>
      </c>
      <c r="H140" s="1">
        <f t="shared" si="40"/>
        <v>0</v>
      </c>
      <c r="I140" s="1">
        <f t="shared" si="40"/>
        <v>0</v>
      </c>
      <c r="J140" s="1">
        <f t="shared" si="40"/>
        <v>0</v>
      </c>
      <c r="K140" s="1">
        <f t="shared" si="40"/>
        <v>0</v>
      </c>
      <c r="L140" s="52">
        <f t="shared" si="40"/>
        <v>0</v>
      </c>
      <c r="M140" s="1">
        <f t="shared" si="40"/>
        <v>0</v>
      </c>
      <c r="N140" s="1">
        <f t="shared" si="40"/>
        <v>0</v>
      </c>
      <c r="O140" s="1">
        <f t="shared" si="40"/>
        <v>0</v>
      </c>
      <c r="P140" s="1">
        <f t="shared" si="40"/>
        <v>0</v>
      </c>
      <c r="Q140" s="1">
        <f t="shared" si="40"/>
        <v>0</v>
      </c>
      <c r="R140" s="1">
        <f t="shared" si="40"/>
        <v>0</v>
      </c>
      <c r="S140" s="1">
        <f t="shared" si="40"/>
        <v>0</v>
      </c>
      <c r="T140" s="1">
        <f t="shared" si="40"/>
        <v>0</v>
      </c>
      <c r="U140" s="1">
        <f t="shared" si="40"/>
        <v>0</v>
      </c>
      <c r="V140" s="1">
        <f t="shared" si="40"/>
        <v>0</v>
      </c>
      <c r="W140" s="1">
        <f t="shared" si="40"/>
        <v>0</v>
      </c>
      <c r="X140" s="54">
        <f t="shared" si="40"/>
        <v>0</v>
      </c>
      <c r="Y140" s="58">
        <f t="shared" si="40"/>
        <v>0</v>
      </c>
      <c r="Z140" s="1">
        <f t="shared" si="40"/>
        <v>0</v>
      </c>
      <c r="AA140" s="1">
        <f t="shared" si="40"/>
        <v>0</v>
      </c>
      <c r="AC140" s="15" t="s">
        <v>51</v>
      </c>
      <c r="AD140" s="2"/>
      <c r="AE140" s="2"/>
      <c r="AH140" s="1" t="str">
        <f t="shared" ref="AH140:AW155" si="41">IF(F185&gt;0,F50/F185,"")</f>
        <v/>
      </c>
      <c r="AI140" s="1" t="str">
        <f t="shared" si="41"/>
        <v/>
      </c>
      <c r="AJ140" s="1" t="str">
        <f t="shared" si="41"/>
        <v/>
      </c>
      <c r="AK140" s="1" t="str">
        <f t="shared" si="41"/>
        <v/>
      </c>
      <c r="AL140" s="1" t="str">
        <f t="shared" si="41"/>
        <v/>
      </c>
      <c r="AM140" s="1" t="str">
        <f t="shared" si="41"/>
        <v/>
      </c>
      <c r="AN140" s="52" t="str">
        <f t="shared" si="41"/>
        <v/>
      </c>
      <c r="AO140" s="1" t="str">
        <f t="shared" si="41"/>
        <v/>
      </c>
      <c r="AP140" s="1" t="str">
        <f t="shared" si="41"/>
        <v/>
      </c>
      <c r="AQ140" s="1" t="str">
        <f t="shared" si="41"/>
        <v/>
      </c>
      <c r="AR140" s="1" t="str">
        <f t="shared" si="41"/>
        <v/>
      </c>
      <c r="AS140" s="1" t="str">
        <f t="shared" si="41"/>
        <v/>
      </c>
      <c r="AT140" s="1" t="str">
        <f t="shared" si="41"/>
        <v/>
      </c>
      <c r="AU140" s="1" t="str">
        <f t="shared" si="41"/>
        <v/>
      </c>
      <c r="AV140" s="1" t="str">
        <f t="shared" si="41"/>
        <v/>
      </c>
      <c r="AW140" s="1" t="str">
        <f t="shared" si="41"/>
        <v/>
      </c>
      <c r="AX140" s="1" t="str">
        <f t="shared" ref="AX140:BC155" si="42">IF(V185&gt;0,V50/V185,"")</f>
        <v/>
      </c>
      <c r="AY140" s="1" t="str">
        <f t="shared" si="42"/>
        <v/>
      </c>
      <c r="AZ140" s="1" t="str">
        <f t="shared" si="42"/>
        <v/>
      </c>
      <c r="BA140" s="1" t="str">
        <f t="shared" si="42"/>
        <v/>
      </c>
      <c r="BB140" s="1" t="str">
        <f t="shared" si="42"/>
        <v/>
      </c>
      <c r="BC140" s="1" t="str">
        <f t="shared" si="42"/>
        <v/>
      </c>
    </row>
    <row r="141" spans="1:55" x14ac:dyDescent="0.25">
      <c r="A141" s="30" t="s">
        <v>60</v>
      </c>
      <c r="B141" s="2"/>
      <c r="C141" s="2"/>
      <c r="F141" s="1">
        <f t="shared" si="39"/>
        <v>52.941176470588232</v>
      </c>
      <c r="G141" s="1">
        <f t="shared" ref="G141:T141" si="43">IF(G186&gt;0,G6/G186,0)</f>
        <v>24.274790629930813</v>
      </c>
      <c r="H141" s="1">
        <f t="shared" si="43"/>
        <v>4.9789473684210526</v>
      </c>
      <c r="I141" s="1">
        <f t="shared" si="43"/>
        <v>29</v>
      </c>
      <c r="J141" s="1">
        <f t="shared" si="43"/>
        <v>52.8895804908529</v>
      </c>
      <c r="K141" s="1">
        <f t="shared" si="43"/>
        <v>3.4813061321348409</v>
      </c>
      <c r="L141" s="52">
        <f t="shared" si="43"/>
        <v>750</v>
      </c>
      <c r="M141" s="1">
        <f t="shared" si="43"/>
        <v>312.58741258741259</v>
      </c>
      <c r="N141" s="1">
        <f t="shared" si="43"/>
        <v>1051.5423387096773</v>
      </c>
      <c r="O141" s="1">
        <f t="shared" si="43"/>
        <v>10000</v>
      </c>
      <c r="P141" s="1">
        <f t="shared" si="43"/>
        <v>28000</v>
      </c>
      <c r="Q141" s="1">
        <f t="shared" si="43"/>
        <v>940</v>
      </c>
      <c r="R141" s="1">
        <f t="shared" si="43"/>
        <v>426</v>
      </c>
      <c r="S141" s="1">
        <f t="shared" si="43"/>
        <v>99.999999999999986</v>
      </c>
      <c r="T141" s="1">
        <f t="shared" si="43"/>
        <v>425.02132230074284</v>
      </c>
      <c r="U141" s="1">
        <f t="shared" si="40"/>
        <v>425.99999999999994</v>
      </c>
      <c r="V141" s="1">
        <f t="shared" si="40"/>
        <v>500.43123278302329</v>
      </c>
      <c r="W141" s="1">
        <f t="shared" si="40"/>
        <v>426</v>
      </c>
      <c r="X141" s="54">
        <f t="shared" si="40"/>
        <v>410.53627860612102</v>
      </c>
      <c r="Y141" s="58">
        <f t="shared" si="40"/>
        <v>10.942140121825602</v>
      </c>
      <c r="Z141" s="1">
        <f t="shared" si="40"/>
        <v>512.30532268655406</v>
      </c>
      <c r="AA141" s="1">
        <f t="shared" si="40"/>
        <v>91.99570142121982</v>
      </c>
      <c r="AC141" s="30" t="s">
        <v>60</v>
      </c>
      <c r="AD141" s="2"/>
      <c r="AE141" s="2"/>
      <c r="AH141" s="1">
        <f t="shared" si="41"/>
        <v>10.82</v>
      </c>
      <c r="AI141" s="1">
        <f t="shared" si="41"/>
        <v>6.2390065060292024</v>
      </c>
      <c r="AJ141" s="1">
        <f t="shared" si="41"/>
        <v>1.736842105263158</v>
      </c>
      <c r="AK141" s="1">
        <f t="shared" si="41"/>
        <v>7.8911564625850339</v>
      </c>
      <c r="AL141" s="1">
        <f t="shared" si="41"/>
        <v>11.957878673012702</v>
      </c>
      <c r="AM141" s="1">
        <f t="shared" si="41"/>
        <v>1.2939353212228015</v>
      </c>
      <c r="AN141" s="52">
        <f t="shared" si="41"/>
        <v>67.5</v>
      </c>
      <c r="AO141" s="1">
        <f t="shared" si="41"/>
        <v>55.384615384615373</v>
      </c>
      <c r="AP141" s="1">
        <f t="shared" si="41"/>
        <v>479.94707661290323</v>
      </c>
      <c r="AQ141" s="1">
        <f t="shared" si="41"/>
        <v>3668.005354752343</v>
      </c>
      <c r="AR141" s="1">
        <f t="shared" si="41"/>
        <v>9628.5140562248998</v>
      </c>
      <c r="AS141" s="1">
        <f t="shared" si="41"/>
        <v>143.3305785123967</v>
      </c>
      <c r="AT141" s="1">
        <f t="shared" si="41"/>
        <v>83.650909090909082</v>
      </c>
      <c r="AU141" s="1">
        <f t="shared" si="41"/>
        <v>24.489795918367346</v>
      </c>
      <c r="AV141" s="1">
        <f t="shared" si="41"/>
        <v>82.830763491131577</v>
      </c>
      <c r="AW141" s="1">
        <f t="shared" si="41"/>
        <v>109.24217118997912</v>
      </c>
      <c r="AX141" s="1">
        <f t="shared" si="42"/>
        <v>138.99042118661777</v>
      </c>
      <c r="AY141" s="1">
        <f t="shared" si="42"/>
        <v>87.072527472527469</v>
      </c>
      <c r="AZ141" s="1">
        <f t="shared" si="42"/>
        <v>81.35055886657193</v>
      </c>
      <c r="BA141" s="1">
        <f t="shared" si="42"/>
        <v>2.9754348080002329</v>
      </c>
      <c r="BB141" s="1">
        <f t="shared" si="42"/>
        <v>106.7954366929176</v>
      </c>
      <c r="BC141" s="1">
        <f t="shared" si="42"/>
        <v>13.103286687076849</v>
      </c>
    </row>
    <row r="142" spans="1:55" x14ac:dyDescent="0.25">
      <c r="A142" s="15" t="s">
        <v>51</v>
      </c>
      <c r="B142" s="16" t="s">
        <v>52</v>
      </c>
      <c r="C142" s="2"/>
      <c r="F142" s="1">
        <f t="shared" si="39"/>
        <v>0</v>
      </c>
      <c r="G142" s="1">
        <f t="shared" si="40"/>
        <v>0</v>
      </c>
      <c r="H142" s="1">
        <f t="shared" si="40"/>
        <v>0</v>
      </c>
      <c r="I142" s="1">
        <f t="shared" si="40"/>
        <v>0</v>
      </c>
      <c r="J142" s="1">
        <f t="shared" si="40"/>
        <v>0</v>
      </c>
      <c r="K142" s="1">
        <f t="shared" si="40"/>
        <v>0</v>
      </c>
      <c r="L142" s="52">
        <f t="shared" si="40"/>
        <v>0</v>
      </c>
      <c r="M142" s="1">
        <f t="shared" si="40"/>
        <v>0</v>
      </c>
      <c r="N142" s="1">
        <f t="shared" si="40"/>
        <v>0</v>
      </c>
      <c r="O142" s="1">
        <f t="shared" si="40"/>
        <v>0</v>
      </c>
      <c r="P142" s="1">
        <f t="shared" si="40"/>
        <v>0</v>
      </c>
      <c r="Q142" s="1">
        <f t="shared" si="40"/>
        <v>0</v>
      </c>
      <c r="R142" s="1">
        <f t="shared" si="40"/>
        <v>0</v>
      </c>
      <c r="S142" s="1">
        <f t="shared" si="40"/>
        <v>0</v>
      </c>
      <c r="T142" s="1">
        <f t="shared" si="40"/>
        <v>0</v>
      </c>
      <c r="U142" s="1">
        <f t="shared" si="40"/>
        <v>0</v>
      </c>
      <c r="V142" s="1">
        <f t="shared" si="40"/>
        <v>0</v>
      </c>
      <c r="W142" s="1">
        <f t="shared" si="40"/>
        <v>0</v>
      </c>
      <c r="X142" s="54">
        <f t="shared" si="40"/>
        <v>0</v>
      </c>
      <c r="Y142" s="58">
        <f t="shared" si="40"/>
        <v>0</v>
      </c>
      <c r="Z142" s="1">
        <f t="shared" si="40"/>
        <v>0</v>
      </c>
      <c r="AA142" s="1">
        <f t="shared" si="40"/>
        <v>0</v>
      </c>
      <c r="AC142" s="15" t="s">
        <v>51</v>
      </c>
      <c r="AD142" s="16" t="s">
        <v>52</v>
      </c>
      <c r="AE142" s="2"/>
      <c r="AH142" s="1" t="str">
        <f t="shared" si="41"/>
        <v/>
      </c>
      <c r="AI142" s="1" t="str">
        <f t="shared" si="41"/>
        <v/>
      </c>
      <c r="AJ142" s="1" t="str">
        <f t="shared" si="41"/>
        <v/>
      </c>
      <c r="AK142" s="1" t="str">
        <f t="shared" si="41"/>
        <v/>
      </c>
      <c r="AL142" s="1" t="str">
        <f t="shared" si="41"/>
        <v/>
      </c>
      <c r="AM142" s="1" t="str">
        <f t="shared" si="41"/>
        <v/>
      </c>
      <c r="AN142" s="52" t="str">
        <f t="shared" si="41"/>
        <v/>
      </c>
      <c r="AO142" s="1" t="str">
        <f t="shared" si="41"/>
        <v/>
      </c>
      <c r="AP142" s="1" t="str">
        <f t="shared" si="41"/>
        <v/>
      </c>
      <c r="AQ142" s="1" t="str">
        <f t="shared" si="41"/>
        <v/>
      </c>
      <c r="AR142" s="1" t="str">
        <f t="shared" si="41"/>
        <v/>
      </c>
      <c r="AS142" s="1" t="str">
        <f t="shared" si="41"/>
        <v/>
      </c>
      <c r="AT142" s="1" t="str">
        <f t="shared" si="41"/>
        <v/>
      </c>
      <c r="AU142" s="1" t="str">
        <f t="shared" si="41"/>
        <v/>
      </c>
      <c r="AV142" s="1" t="str">
        <f t="shared" si="41"/>
        <v/>
      </c>
      <c r="AW142" s="1" t="str">
        <f t="shared" si="41"/>
        <v/>
      </c>
      <c r="AX142" s="1" t="str">
        <f t="shared" si="42"/>
        <v/>
      </c>
      <c r="AY142" s="1" t="str">
        <f t="shared" si="42"/>
        <v/>
      </c>
      <c r="AZ142" s="1" t="str">
        <f t="shared" si="42"/>
        <v/>
      </c>
      <c r="BA142" s="1" t="str">
        <f t="shared" si="42"/>
        <v/>
      </c>
      <c r="BB142" s="1" t="str">
        <f t="shared" si="42"/>
        <v/>
      </c>
      <c r="BC142" s="1" t="str">
        <f t="shared" si="42"/>
        <v/>
      </c>
    </row>
    <row r="143" spans="1:55" x14ac:dyDescent="0.25">
      <c r="A143" s="15" t="s">
        <v>51</v>
      </c>
      <c r="B143" s="16" t="s">
        <v>56</v>
      </c>
      <c r="C143" s="2"/>
      <c r="F143" s="1">
        <f t="shared" si="39"/>
        <v>0</v>
      </c>
      <c r="G143" s="1">
        <f t="shared" si="40"/>
        <v>0</v>
      </c>
      <c r="H143" s="1">
        <f t="shared" si="40"/>
        <v>0</v>
      </c>
      <c r="I143" s="1">
        <f t="shared" si="40"/>
        <v>0</v>
      </c>
      <c r="J143" s="1">
        <f t="shared" si="40"/>
        <v>0</v>
      </c>
      <c r="K143" s="1">
        <f t="shared" si="40"/>
        <v>0</v>
      </c>
      <c r="L143" s="52">
        <f t="shared" si="40"/>
        <v>0</v>
      </c>
      <c r="M143" s="1">
        <f t="shared" si="40"/>
        <v>0</v>
      </c>
      <c r="N143" s="1">
        <f t="shared" si="40"/>
        <v>0</v>
      </c>
      <c r="O143" s="1">
        <f t="shared" si="40"/>
        <v>0</v>
      </c>
      <c r="P143" s="1">
        <f t="shared" si="40"/>
        <v>0</v>
      </c>
      <c r="Q143" s="1">
        <f t="shared" si="40"/>
        <v>0</v>
      </c>
      <c r="R143" s="1">
        <f t="shared" si="40"/>
        <v>0</v>
      </c>
      <c r="S143" s="1">
        <f t="shared" si="40"/>
        <v>0</v>
      </c>
      <c r="T143" s="1">
        <f t="shared" si="40"/>
        <v>0</v>
      </c>
      <c r="U143" s="1">
        <f t="shared" si="40"/>
        <v>0</v>
      </c>
      <c r="V143" s="1">
        <f t="shared" si="40"/>
        <v>0</v>
      </c>
      <c r="W143" s="1">
        <f t="shared" si="40"/>
        <v>0</v>
      </c>
      <c r="X143" s="54">
        <f t="shared" si="40"/>
        <v>0</v>
      </c>
      <c r="Y143" s="58">
        <f t="shared" si="40"/>
        <v>0</v>
      </c>
      <c r="Z143" s="1">
        <f t="shared" si="40"/>
        <v>0</v>
      </c>
      <c r="AA143" s="1">
        <f t="shared" si="40"/>
        <v>0</v>
      </c>
      <c r="AC143" s="15" t="s">
        <v>51</v>
      </c>
      <c r="AD143" s="16" t="s">
        <v>56</v>
      </c>
      <c r="AE143" s="2"/>
      <c r="AH143" s="1" t="str">
        <f t="shared" si="41"/>
        <v/>
      </c>
      <c r="AI143" s="1" t="str">
        <f t="shared" si="41"/>
        <v/>
      </c>
      <c r="AJ143" s="1" t="str">
        <f t="shared" si="41"/>
        <v/>
      </c>
      <c r="AK143" s="1" t="str">
        <f t="shared" si="41"/>
        <v/>
      </c>
      <c r="AL143" s="1" t="str">
        <f t="shared" si="41"/>
        <v/>
      </c>
      <c r="AM143" s="1" t="str">
        <f t="shared" si="41"/>
        <v/>
      </c>
      <c r="AN143" s="52" t="str">
        <f t="shared" si="41"/>
        <v/>
      </c>
      <c r="AO143" s="1" t="str">
        <f t="shared" si="41"/>
        <v/>
      </c>
      <c r="AP143" s="1" t="str">
        <f t="shared" si="41"/>
        <v/>
      </c>
      <c r="AQ143" s="1" t="str">
        <f t="shared" si="41"/>
        <v/>
      </c>
      <c r="AR143" s="1" t="str">
        <f t="shared" si="41"/>
        <v/>
      </c>
      <c r="AS143" s="1" t="str">
        <f t="shared" si="41"/>
        <v/>
      </c>
      <c r="AT143" s="1" t="str">
        <f t="shared" si="41"/>
        <v/>
      </c>
      <c r="AU143" s="1" t="str">
        <f t="shared" si="41"/>
        <v/>
      </c>
      <c r="AV143" s="1" t="str">
        <f t="shared" si="41"/>
        <v/>
      </c>
      <c r="AW143" s="1" t="str">
        <f t="shared" si="41"/>
        <v/>
      </c>
      <c r="AX143" s="1" t="str">
        <f t="shared" si="42"/>
        <v/>
      </c>
      <c r="AY143" s="1" t="str">
        <f t="shared" si="42"/>
        <v/>
      </c>
      <c r="AZ143" s="1" t="str">
        <f t="shared" si="42"/>
        <v/>
      </c>
      <c r="BA143" s="1" t="str">
        <f t="shared" si="42"/>
        <v/>
      </c>
      <c r="BB143" s="1" t="str">
        <f t="shared" si="42"/>
        <v/>
      </c>
      <c r="BC143" s="1" t="str">
        <f t="shared" si="42"/>
        <v/>
      </c>
    </row>
    <row r="144" spans="1:55" x14ac:dyDescent="0.25">
      <c r="A144" s="15" t="s">
        <v>51</v>
      </c>
      <c r="B144" s="16" t="s">
        <v>9</v>
      </c>
      <c r="C144" s="2"/>
      <c r="F144" s="1">
        <f t="shared" si="39"/>
        <v>0</v>
      </c>
      <c r="G144" s="1">
        <f t="shared" si="40"/>
        <v>0</v>
      </c>
      <c r="H144" s="1">
        <f t="shared" si="40"/>
        <v>0</v>
      </c>
      <c r="I144" s="1">
        <f t="shared" si="40"/>
        <v>0</v>
      </c>
      <c r="J144" s="1">
        <f t="shared" si="40"/>
        <v>0</v>
      </c>
      <c r="K144" s="1">
        <f t="shared" si="40"/>
        <v>0</v>
      </c>
      <c r="L144" s="52">
        <f t="shared" si="40"/>
        <v>0</v>
      </c>
      <c r="M144" s="1">
        <f t="shared" si="40"/>
        <v>0</v>
      </c>
      <c r="N144" s="1">
        <f t="shared" si="40"/>
        <v>0</v>
      </c>
      <c r="O144" s="1">
        <f t="shared" si="40"/>
        <v>0</v>
      </c>
      <c r="P144" s="1">
        <f t="shared" si="40"/>
        <v>0</v>
      </c>
      <c r="Q144" s="1">
        <f t="shared" si="40"/>
        <v>0</v>
      </c>
      <c r="R144" s="1">
        <f t="shared" si="40"/>
        <v>0</v>
      </c>
      <c r="S144" s="1">
        <f t="shared" si="40"/>
        <v>0</v>
      </c>
      <c r="T144" s="1">
        <f t="shared" si="40"/>
        <v>0</v>
      </c>
      <c r="U144" s="1">
        <f t="shared" si="40"/>
        <v>0</v>
      </c>
      <c r="V144" s="1">
        <f t="shared" si="40"/>
        <v>0</v>
      </c>
      <c r="W144" s="1">
        <f t="shared" si="40"/>
        <v>0</v>
      </c>
      <c r="X144" s="54">
        <f t="shared" si="40"/>
        <v>0</v>
      </c>
      <c r="Y144" s="58">
        <f t="shared" si="40"/>
        <v>0</v>
      </c>
      <c r="Z144" s="1">
        <f t="shared" si="40"/>
        <v>0</v>
      </c>
      <c r="AA144" s="1">
        <f t="shared" si="40"/>
        <v>0</v>
      </c>
      <c r="AC144" s="15" t="s">
        <v>51</v>
      </c>
      <c r="AD144" s="16" t="s">
        <v>9</v>
      </c>
      <c r="AE144" s="2"/>
      <c r="AH144" s="1" t="str">
        <f t="shared" si="41"/>
        <v/>
      </c>
      <c r="AI144" s="1" t="str">
        <f t="shared" si="41"/>
        <v/>
      </c>
      <c r="AJ144" s="1" t="str">
        <f t="shared" si="41"/>
        <v/>
      </c>
      <c r="AK144" s="1" t="str">
        <f t="shared" si="41"/>
        <v/>
      </c>
      <c r="AL144" s="1" t="str">
        <f t="shared" si="41"/>
        <v/>
      </c>
      <c r="AM144" s="1" t="str">
        <f t="shared" si="41"/>
        <v/>
      </c>
      <c r="AN144" s="52" t="str">
        <f t="shared" si="41"/>
        <v/>
      </c>
      <c r="AO144" s="1" t="str">
        <f t="shared" si="41"/>
        <v/>
      </c>
      <c r="AP144" s="1" t="str">
        <f t="shared" si="41"/>
        <v/>
      </c>
      <c r="AQ144" s="1" t="str">
        <f t="shared" si="41"/>
        <v/>
      </c>
      <c r="AR144" s="1" t="str">
        <f t="shared" si="41"/>
        <v/>
      </c>
      <c r="AS144" s="1" t="str">
        <f t="shared" si="41"/>
        <v/>
      </c>
      <c r="AT144" s="1" t="str">
        <f t="shared" si="41"/>
        <v/>
      </c>
      <c r="AU144" s="1" t="str">
        <f t="shared" si="41"/>
        <v/>
      </c>
      <c r="AV144" s="1" t="str">
        <f t="shared" si="41"/>
        <v/>
      </c>
      <c r="AW144" s="1" t="str">
        <f t="shared" si="41"/>
        <v/>
      </c>
      <c r="AX144" s="1" t="str">
        <f t="shared" si="42"/>
        <v/>
      </c>
      <c r="AY144" s="1" t="str">
        <f t="shared" si="42"/>
        <v/>
      </c>
      <c r="AZ144" s="1" t="str">
        <f t="shared" si="42"/>
        <v/>
      </c>
      <c r="BA144" s="1" t="str">
        <f t="shared" si="42"/>
        <v/>
      </c>
      <c r="BB144" s="1" t="str">
        <f t="shared" si="42"/>
        <v/>
      </c>
      <c r="BC144" s="1" t="str">
        <f t="shared" si="42"/>
        <v/>
      </c>
    </row>
    <row r="145" spans="1:55" x14ac:dyDescent="0.25">
      <c r="A145" s="30" t="s">
        <v>60</v>
      </c>
      <c r="B145" s="32" t="s">
        <v>13</v>
      </c>
      <c r="C145" s="2"/>
      <c r="F145" s="51">
        <f t="shared" si="39"/>
        <v>52.941176470588232</v>
      </c>
      <c r="G145" s="51">
        <f t="shared" si="40"/>
        <v>24.274790629930813</v>
      </c>
      <c r="H145" s="51">
        <f t="shared" si="40"/>
        <v>4.9789473684210526</v>
      </c>
      <c r="I145" s="51">
        <f t="shared" si="40"/>
        <v>29</v>
      </c>
      <c r="J145" s="51">
        <f t="shared" si="40"/>
        <v>63.269493844049251</v>
      </c>
      <c r="K145" s="51">
        <f t="shared" si="40"/>
        <v>29.000000000000004</v>
      </c>
      <c r="L145" s="52">
        <f t="shared" si="40"/>
        <v>0</v>
      </c>
      <c r="M145" s="51">
        <f t="shared" si="40"/>
        <v>400</v>
      </c>
      <c r="N145" s="51">
        <f t="shared" si="40"/>
        <v>870</v>
      </c>
      <c r="O145" s="51">
        <f t="shared" si="40"/>
        <v>10000</v>
      </c>
      <c r="P145" s="51">
        <f t="shared" si="40"/>
        <v>28000</v>
      </c>
      <c r="Q145" s="51">
        <f t="shared" si="40"/>
        <v>940</v>
      </c>
      <c r="R145" s="51">
        <f t="shared" si="40"/>
        <v>426</v>
      </c>
      <c r="S145" s="51">
        <f t="shared" si="40"/>
        <v>0</v>
      </c>
      <c r="T145" s="51">
        <f t="shared" si="40"/>
        <v>426</v>
      </c>
      <c r="U145" s="51">
        <f t="shared" si="40"/>
        <v>426</v>
      </c>
      <c r="V145" s="51">
        <f t="shared" si="40"/>
        <v>426</v>
      </c>
      <c r="W145" s="51">
        <f t="shared" si="40"/>
        <v>426</v>
      </c>
      <c r="X145" s="55">
        <f t="shared" si="40"/>
        <v>426</v>
      </c>
      <c r="Y145" s="59">
        <f t="shared" si="40"/>
        <v>12.028406820873915</v>
      </c>
      <c r="Z145" s="51">
        <f t="shared" si="40"/>
        <v>976.91664831409048</v>
      </c>
      <c r="AA145" s="51">
        <f t="shared" si="40"/>
        <v>18.677020819145991</v>
      </c>
      <c r="AC145" s="30" t="s">
        <v>60</v>
      </c>
      <c r="AD145" s="32" t="s">
        <v>13</v>
      </c>
      <c r="AE145" s="2"/>
      <c r="AH145" s="1">
        <f t="shared" si="41"/>
        <v>10.82</v>
      </c>
      <c r="AI145" s="1">
        <f t="shared" si="41"/>
        <v>6.2390065060292024</v>
      </c>
      <c r="AJ145" s="1">
        <f t="shared" si="41"/>
        <v>1.736842105263158</v>
      </c>
      <c r="AK145" s="1">
        <f t="shared" si="41"/>
        <v>7.8911564625850339</v>
      </c>
      <c r="AL145" s="1">
        <f t="shared" si="41"/>
        <v>27.359781121751027</v>
      </c>
      <c r="AM145" s="1">
        <f t="shared" si="41"/>
        <v>8.3375000000000004</v>
      </c>
      <c r="AN145" s="52" t="str">
        <f t="shared" si="41"/>
        <v/>
      </c>
      <c r="AO145" s="1">
        <f t="shared" si="41"/>
        <v>180</v>
      </c>
      <c r="AP145" s="1">
        <f t="shared" si="41"/>
        <v>366.31578947368422</v>
      </c>
      <c r="AQ145" s="1">
        <f t="shared" si="41"/>
        <v>3668.005354752343</v>
      </c>
      <c r="AR145" s="1">
        <f t="shared" si="41"/>
        <v>9628.5140562248998</v>
      </c>
      <c r="AS145" s="1">
        <f t="shared" si="41"/>
        <v>423</v>
      </c>
      <c r="AT145" s="1">
        <f t="shared" si="41"/>
        <v>204.48</v>
      </c>
      <c r="AU145" s="1" t="str">
        <f t="shared" si="41"/>
        <v/>
      </c>
      <c r="AV145" s="1">
        <f t="shared" si="41"/>
        <v>213</v>
      </c>
      <c r="AW145" s="1">
        <f t="shared" si="41"/>
        <v>213</v>
      </c>
      <c r="AX145" s="1">
        <f t="shared" si="42"/>
        <v>511.2</v>
      </c>
      <c r="AY145" s="1">
        <f t="shared" si="42"/>
        <v>255.59999999999997</v>
      </c>
      <c r="AZ145" s="1">
        <f t="shared" si="42"/>
        <v>213</v>
      </c>
      <c r="BA145" s="1">
        <f t="shared" si="42"/>
        <v>3.4128117463404855</v>
      </c>
      <c r="BB145" s="1">
        <f t="shared" si="42"/>
        <v>405.43432080540612</v>
      </c>
      <c r="BC145" s="1">
        <f t="shared" si="42"/>
        <v>5.7289110247617101</v>
      </c>
    </row>
    <row r="146" spans="1:55" x14ac:dyDescent="0.25">
      <c r="A146" s="30" t="s">
        <v>60</v>
      </c>
      <c r="B146" s="31" t="s">
        <v>23</v>
      </c>
      <c r="C146" s="2"/>
      <c r="F146" s="51">
        <f t="shared" si="39"/>
        <v>0</v>
      </c>
      <c r="G146" s="51">
        <f t="shared" si="40"/>
        <v>0</v>
      </c>
      <c r="H146" s="51">
        <f t="shared" si="40"/>
        <v>0</v>
      </c>
      <c r="I146" s="51">
        <f t="shared" si="40"/>
        <v>0</v>
      </c>
      <c r="J146" s="51">
        <f t="shared" si="40"/>
        <v>40.049339911988262</v>
      </c>
      <c r="K146" s="51">
        <f t="shared" si="40"/>
        <v>2.6764643979098408</v>
      </c>
      <c r="L146" s="52">
        <f t="shared" si="40"/>
        <v>0</v>
      </c>
      <c r="M146" s="51">
        <f t="shared" si="40"/>
        <v>0</v>
      </c>
      <c r="N146" s="51">
        <f t="shared" si="40"/>
        <v>1100</v>
      </c>
      <c r="O146" s="51">
        <f t="shared" si="40"/>
        <v>0</v>
      </c>
      <c r="P146" s="51">
        <f t="shared" si="40"/>
        <v>0</v>
      </c>
      <c r="Q146" s="51">
        <f t="shared" si="40"/>
        <v>0</v>
      </c>
      <c r="R146" s="51">
        <f t="shared" si="40"/>
        <v>0</v>
      </c>
      <c r="S146" s="51">
        <f t="shared" si="40"/>
        <v>99.999999999999986</v>
      </c>
      <c r="T146" s="51">
        <f t="shared" si="40"/>
        <v>406</v>
      </c>
      <c r="U146" s="51">
        <f t="shared" si="40"/>
        <v>0</v>
      </c>
      <c r="V146" s="51">
        <f t="shared" si="40"/>
        <v>406</v>
      </c>
      <c r="W146" s="51">
        <f t="shared" si="40"/>
        <v>0</v>
      </c>
      <c r="X146" s="55">
        <f t="shared" si="40"/>
        <v>100</v>
      </c>
      <c r="Y146" s="59">
        <f t="shared" si="40"/>
        <v>4.375642975585599</v>
      </c>
      <c r="Z146" s="51">
        <f t="shared" si="40"/>
        <v>417.52874955192357</v>
      </c>
      <c r="AA146" s="51">
        <f t="shared" si="40"/>
        <v>7.4784231406047672</v>
      </c>
      <c r="AC146" s="30" t="s">
        <v>60</v>
      </c>
      <c r="AD146" s="31" t="s">
        <v>23</v>
      </c>
      <c r="AE146" s="2"/>
      <c r="AH146" s="1" t="str">
        <f t="shared" si="41"/>
        <v/>
      </c>
      <c r="AI146" s="1" t="str">
        <f t="shared" si="41"/>
        <v/>
      </c>
      <c r="AJ146" s="1" t="str">
        <f t="shared" si="41"/>
        <v/>
      </c>
      <c r="AK146" s="1" t="str">
        <f t="shared" si="41"/>
        <v/>
      </c>
      <c r="AL146" s="1">
        <f t="shared" si="41"/>
        <v>10.502600346712896</v>
      </c>
      <c r="AM146" s="1">
        <f t="shared" si="41"/>
        <v>1.0717862237593252</v>
      </c>
      <c r="AN146" s="52" t="str">
        <f t="shared" si="41"/>
        <v/>
      </c>
      <c r="AO146" s="1" t="str">
        <f t="shared" si="41"/>
        <v/>
      </c>
      <c r="AP146" s="1">
        <f t="shared" si="41"/>
        <v>510.27777777777777</v>
      </c>
      <c r="AQ146" s="1" t="str">
        <f t="shared" si="41"/>
        <v/>
      </c>
      <c r="AR146" s="1" t="str">
        <f t="shared" si="41"/>
        <v/>
      </c>
      <c r="AS146" s="1" t="str">
        <f t="shared" si="41"/>
        <v/>
      </c>
      <c r="AT146" s="1" t="str">
        <f t="shared" si="41"/>
        <v/>
      </c>
      <c r="AU146" s="1">
        <f t="shared" si="41"/>
        <v>24.489795918367346</v>
      </c>
      <c r="AV146" s="1">
        <f t="shared" si="41"/>
        <v>162.4</v>
      </c>
      <c r="AW146" s="1" t="str">
        <f t="shared" si="41"/>
        <v/>
      </c>
      <c r="AX146" s="1">
        <f t="shared" si="42"/>
        <v>365.4</v>
      </c>
      <c r="AY146" s="1" t="str">
        <f t="shared" si="42"/>
        <v/>
      </c>
      <c r="AZ146" s="1">
        <f t="shared" si="42"/>
        <v>90</v>
      </c>
      <c r="BA146" s="1">
        <f t="shared" si="42"/>
        <v>1.5005634347001369</v>
      </c>
      <c r="BB146" s="1">
        <f t="shared" si="42"/>
        <v>192.53916430114612</v>
      </c>
      <c r="BC146" s="1">
        <f t="shared" si="42"/>
        <v>2.9352634819377101</v>
      </c>
    </row>
    <row r="147" spans="1:55" x14ac:dyDescent="0.25">
      <c r="A147" s="30" t="s">
        <v>60</v>
      </c>
      <c r="B147" s="31" t="s">
        <v>65</v>
      </c>
      <c r="C147" s="46"/>
      <c r="F147" s="51">
        <f t="shared" si="39"/>
        <v>0</v>
      </c>
      <c r="G147" s="51">
        <f t="shared" si="40"/>
        <v>0</v>
      </c>
      <c r="H147" s="51">
        <f t="shared" si="40"/>
        <v>0</v>
      </c>
      <c r="I147" s="51">
        <f t="shared" si="40"/>
        <v>0</v>
      </c>
      <c r="J147" s="51">
        <f t="shared" si="40"/>
        <v>56</v>
      </c>
      <c r="K147" s="51">
        <f t="shared" si="40"/>
        <v>0</v>
      </c>
      <c r="L147" s="52">
        <f t="shared" si="40"/>
        <v>750</v>
      </c>
      <c r="M147" s="51">
        <f t="shared" si="40"/>
        <v>300</v>
      </c>
      <c r="N147" s="51">
        <f t="shared" si="40"/>
        <v>0</v>
      </c>
      <c r="O147" s="51">
        <f t="shared" si="40"/>
        <v>0</v>
      </c>
      <c r="P147" s="51">
        <f t="shared" si="40"/>
        <v>0</v>
      </c>
      <c r="Q147" s="51">
        <f t="shared" si="40"/>
        <v>940</v>
      </c>
      <c r="R147" s="51">
        <f t="shared" si="40"/>
        <v>426</v>
      </c>
      <c r="S147" s="51">
        <f t="shared" si="40"/>
        <v>0</v>
      </c>
      <c r="T147" s="51">
        <f t="shared" si="40"/>
        <v>426</v>
      </c>
      <c r="U147" s="51">
        <f t="shared" si="40"/>
        <v>425.99999999999994</v>
      </c>
      <c r="V147" s="51">
        <f t="shared" si="40"/>
        <v>426</v>
      </c>
      <c r="W147" s="51">
        <f t="shared" si="40"/>
        <v>426</v>
      </c>
      <c r="X147" s="55">
        <f t="shared" si="40"/>
        <v>426</v>
      </c>
      <c r="Y147" s="59">
        <f t="shared" si="40"/>
        <v>56</v>
      </c>
      <c r="Z147" s="51">
        <f t="shared" si="40"/>
        <v>475.82576449618995</v>
      </c>
      <c r="AA147" s="51">
        <f>IF(AA192&gt;0,AB12/AA192,0)</f>
        <v>640.69591912201292</v>
      </c>
      <c r="AC147" s="30" t="s">
        <v>60</v>
      </c>
      <c r="AD147" s="31" t="s">
        <v>65</v>
      </c>
      <c r="AE147" s="46"/>
      <c r="AH147" s="1" t="str">
        <f t="shared" si="41"/>
        <v/>
      </c>
      <c r="AI147" s="1" t="str">
        <f t="shared" si="41"/>
        <v/>
      </c>
      <c r="AJ147" s="1" t="str">
        <f t="shared" si="41"/>
        <v/>
      </c>
      <c r="AK147" s="1" t="str">
        <f t="shared" si="41"/>
        <v/>
      </c>
      <c r="AL147" s="1">
        <f t="shared" si="41"/>
        <v>6.72</v>
      </c>
      <c r="AM147" s="1" t="str">
        <f t="shared" si="41"/>
        <v/>
      </c>
      <c r="AN147" s="52">
        <f t="shared" si="41"/>
        <v>67.5</v>
      </c>
      <c r="AO147" s="1">
        <f t="shared" si="41"/>
        <v>35.999999999999993</v>
      </c>
      <c r="AP147" s="1" t="str">
        <f t="shared" si="41"/>
        <v/>
      </c>
      <c r="AQ147" s="1" t="str">
        <f t="shared" si="41"/>
        <v/>
      </c>
      <c r="AR147" s="1" t="str">
        <f t="shared" si="41"/>
        <v/>
      </c>
      <c r="AS147" s="1">
        <f t="shared" si="41"/>
        <v>141</v>
      </c>
      <c r="AT147" s="1">
        <f t="shared" si="41"/>
        <v>76.679999999999993</v>
      </c>
      <c r="AU147" s="1" t="str">
        <f t="shared" si="41"/>
        <v/>
      </c>
      <c r="AV147" s="1">
        <f t="shared" si="41"/>
        <v>76.679999999999993</v>
      </c>
      <c r="AW147" s="1">
        <f t="shared" si="41"/>
        <v>93.72</v>
      </c>
      <c r="AX147" s="1">
        <f t="shared" si="42"/>
        <v>51.11999999999999</v>
      </c>
      <c r="AY147" s="1">
        <f t="shared" si="42"/>
        <v>51.12</v>
      </c>
      <c r="AZ147" s="1">
        <f t="shared" si="42"/>
        <v>51.12</v>
      </c>
      <c r="BA147" s="1">
        <f t="shared" si="42"/>
        <v>6.72</v>
      </c>
      <c r="BB147" s="1">
        <f t="shared" si="42"/>
        <v>73.186041144218095</v>
      </c>
      <c r="BC147" s="1">
        <f t="shared" si="42"/>
        <v>64.984871796661309</v>
      </c>
    </row>
    <row r="148" spans="1:55" ht="15.75" thickBot="1" x14ac:dyDescent="0.3">
      <c r="A148" s="48" t="s">
        <v>60</v>
      </c>
      <c r="B148" s="49" t="s">
        <v>9</v>
      </c>
      <c r="C148" s="50"/>
      <c r="D148" s="50"/>
      <c r="E148" s="50"/>
      <c r="F148" s="53">
        <f t="shared" si="39"/>
        <v>0</v>
      </c>
      <c r="G148" s="53">
        <f t="shared" si="40"/>
        <v>0</v>
      </c>
      <c r="H148" s="53">
        <f t="shared" si="40"/>
        <v>0</v>
      </c>
      <c r="I148" s="53">
        <f t="shared" si="40"/>
        <v>0</v>
      </c>
      <c r="J148" s="53">
        <f t="shared" si="40"/>
        <v>0</v>
      </c>
      <c r="K148" s="53">
        <f t="shared" si="40"/>
        <v>0</v>
      </c>
      <c r="L148" s="62">
        <f t="shared" si="40"/>
        <v>0</v>
      </c>
      <c r="M148" s="53">
        <f t="shared" si="40"/>
        <v>0</v>
      </c>
      <c r="N148" s="53">
        <f t="shared" si="40"/>
        <v>0</v>
      </c>
      <c r="O148" s="53">
        <f t="shared" si="40"/>
        <v>0</v>
      </c>
      <c r="P148" s="53">
        <f t="shared" si="40"/>
        <v>0</v>
      </c>
      <c r="Q148" s="53">
        <f t="shared" si="40"/>
        <v>0</v>
      </c>
      <c r="R148" s="53">
        <f t="shared" si="40"/>
        <v>0</v>
      </c>
      <c r="S148" s="53">
        <f t="shared" si="40"/>
        <v>0</v>
      </c>
      <c r="T148" s="53">
        <f t="shared" si="40"/>
        <v>0</v>
      </c>
      <c r="U148" s="53">
        <f t="shared" si="40"/>
        <v>0</v>
      </c>
      <c r="V148" s="53">
        <f t="shared" si="40"/>
        <v>0</v>
      </c>
      <c r="W148" s="53">
        <f t="shared" si="40"/>
        <v>0</v>
      </c>
      <c r="X148" s="56">
        <f t="shared" si="40"/>
        <v>426</v>
      </c>
      <c r="Y148" s="60">
        <f t="shared" si="40"/>
        <v>0</v>
      </c>
      <c r="Z148" s="53">
        <f t="shared" si="40"/>
        <v>643.56672000000003</v>
      </c>
      <c r="AA148" s="53">
        <f t="shared" si="40"/>
        <v>629.79840000000002</v>
      </c>
      <c r="AC148" s="48" t="s">
        <v>60</v>
      </c>
      <c r="AD148" s="49" t="s">
        <v>9</v>
      </c>
      <c r="AE148" s="50"/>
      <c r="AF148" s="50"/>
      <c r="AG148" s="50"/>
      <c r="AH148" s="1" t="str">
        <f t="shared" si="41"/>
        <v/>
      </c>
      <c r="AI148" s="1" t="str">
        <f t="shared" si="41"/>
        <v/>
      </c>
      <c r="AJ148" s="1" t="str">
        <f t="shared" si="41"/>
        <v/>
      </c>
      <c r="AK148" s="1" t="str">
        <f t="shared" si="41"/>
        <v/>
      </c>
      <c r="AL148" s="1" t="str">
        <f t="shared" si="41"/>
        <v/>
      </c>
      <c r="AM148" s="1" t="str">
        <f t="shared" si="41"/>
        <v/>
      </c>
      <c r="AN148" s="52" t="str">
        <f t="shared" si="41"/>
        <v/>
      </c>
      <c r="AO148" s="1" t="str">
        <f t="shared" si="41"/>
        <v/>
      </c>
      <c r="AP148" s="1" t="str">
        <f t="shared" si="41"/>
        <v/>
      </c>
      <c r="AQ148" s="1" t="str">
        <f t="shared" si="41"/>
        <v/>
      </c>
      <c r="AR148" s="1" t="str">
        <f t="shared" si="41"/>
        <v/>
      </c>
      <c r="AS148" s="1" t="str">
        <f t="shared" si="41"/>
        <v/>
      </c>
      <c r="AT148" s="1" t="str">
        <f t="shared" si="41"/>
        <v/>
      </c>
      <c r="AU148" s="1" t="str">
        <f t="shared" si="41"/>
        <v/>
      </c>
      <c r="AV148" s="1" t="str">
        <f t="shared" si="41"/>
        <v/>
      </c>
      <c r="AW148" s="1" t="str">
        <f t="shared" si="41"/>
        <v/>
      </c>
      <c r="AX148" s="1" t="str">
        <f t="shared" si="42"/>
        <v/>
      </c>
      <c r="AY148" s="1" t="str">
        <f t="shared" si="42"/>
        <v/>
      </c>
      <c r="AZ148" s="1">
        <f t="shared" si="42"/>
        <v>178.92000000000002</v>
      </c>
      <c r="BA148" s="1" t="str">
        <f t="shared" si="42"/>
        <v/>
      </c>
      <c r="BB148" s="1">
        <f t="shared" si="42"/>
        <v>396.48671999999999</v>
      </c>
      <c r="BC148" s="1">
        <f t="shared" si="42"/>
        <v>257.64480000000003</v>
      </c>
    </row>
    <row r="149" spans="1:55" ht="15.75" thickTop="1" x14ac:dyDescent="0.25">
      <c r="A149" s="15" t="s">
        <v>51</v>
      </c>
      <c r="B149" s="16" t="s">
        <v>52</v>
      </c>
      <c r="C149" s="16" t="s">
        <v>53</v>
      </c>
      <c r="D149" s="2"/>
      <c r="E149" s="2"/>
      <c r="F149" s="47">
        <f t="shared" si="39"/>
        <v>0</v>
      </c>
      <c r="G149" s="47">
        <f t="shared" si="40"/>
        <v>0</v>
      </c>
      <c r="H149" s="47">
        <f t="shared" si="40"/>
        <v>0</v>
      </c>
      <c r="I149" s="47">
        <f t="shared" si="40"/>
        <v>0</v>
      </c>
      <c r="J149" s="47">
        <f t="shared" si="40"/>
        <v>0</v>
      </c>
      <c r="K149" s="47">
        <f t="shared" si="40"/>
        <v>0</v>
      </c>
      <c r="L149" s="63">
        <f t="shared" si="40"/>
        <v>0</v>
      </c>
      <c r="M149" s="47">
        <f t="shared" si="40"/>
        <v>0</v>
      </c>
      <c r="N149" s="47">
        <f t="shared" si="40"/>
        <v>0</v>
      </c>
      <c r="O149" s="47">
        <f t="shared" si="40"/>
        <v>0</v>
      </c>
      <c r="P149" s="47">
        <f t="shared" si="40"/>
        <v>0</v>
      </c>
      <c r="Q149" s="47">
        <f t="shared" si="40"/>
        <v>0</v>
      </c>
      <c r="R149" s="47">
        <f t="shared" si="40"/>
        <v>0</v>
      </c>
      <c r="S149" s="47">
        <f t="shared" si="40"/>
        <v>0</v>
      </c>
      <c r="T149" s="47">
        <f t="shared" si="40"/>
        <v>0</v>
      </c>
      <c r="U149" s="47">
        <f t="shared" si="40"/>
        <v>0</v>
      </c>
      <c r="V149" s="47">
        <f t="shared" si="40"/>
        <v>0</v>
      </c>
      <c r="W149" s="47">
        <f t="shared" si="40"/>
        <v>0</v>
      </c>
      <c r="X149" s="57">
        <f t="shared" si="40"/>
        <v>0</v>
      </c>
      <c r="Y149" s="61">
        <f t="shared" si="40"/>
        <v>0</v>
      </c>
      <c r="Z149" s="47">
        <f t="shared" si="40"/>
        <v>0</v>
      </c>
      <c r="AA149" s="47">
        <f t="shared" si="40"/>
        <v>0</v>
      </c>
      <c r="AC149" s="15" t="s">
        <v>51</v>
      </c>
      <c r="AD149" s="16" t="s">
        <v>52</v>
      </c>
      <c r="AE149" s="16" t="s">
        <v>53</v>
      </c>
      <c r="AF149" s="2"/>
      <c r="AG149" s="2"/>
      <c r="AH149" s="90" t="str">
        <f t="shared" si="41"/>
        <v/>
      </c>
      <c r="AI149" s="90" t="str">
        <f t="shared" si="41"/>
        <v/>
      </c>
      <c r="AJ149" s="90" t="str">
        <f t="shared" si="41"/>
        <v/>
      </c>
      <c r="AK149" s="90" t="str">
        <f t="shared" si="41"/>
        <v/>
      </c>
      <c r="AL149" s="90" t="str">
        <f t="shared" si="41"/>
        <v/>
      </c>
      <c r="AM149" s="90" t="str">
        <f t="shared" si="41"/>
        <v/>
      </c>
      <c r="AN149" s="90" t="str">
        <f t="shared" si="41"/>
        <v/>
      </c>
      <c r="AO149" s="90" t="str">
        <f t="shared" si="41"/>
        <v/>
      </c>
      <c r="AP149" s="90" t="str">
        <f t="shared" si="41"/>
        <v/>
      </c>
      <c r="AQ149" s="90" t="str">
        <f t="shared" si="41"/>
        <v/>
      </c>
      <c r="AR149" s="90" t="str">
        <f t="shared" si="41"/>
        <v/>
      </c>
      <c r="AS149" s="90" t="str">
        <f t="shared" si="41"/>
        <v/>
      </c>
      <c r="AT149" s="90" t="str">
        <f t="shared" si="41"/>
        <v/>
      </c>
      <c r="AU149" s="90" t="str">
        <f t="shared" si="41"/>
        <v/>
      </c>
      <c r="AV149" s="90" t="str">
        <f t="shared" si="41"/>
        <v/>
      </c>
      <c r="AW149" s="90" t="str">
        <f t="shared" si="41"/>
        <v/>
      </c>
      <c r="AX149" s="90" t="str">
        <f t="shared" si="42"/>
        <v/>
      </c>
      <c r="AY149" s="90" t="str">
        <f t="shared" si="42"/>
        <v/>
      </c>
      <c r="AZ149" s="90" t="str">
        <f t="shared" si="42"/>
        <v/>
      </c>
      <c r="BA149" s="90" t="str">
        <f t="shared" si="42"/>
        <v/>
      </c>
      <c r="BB149" s="90" t="str">
        <f t="shared" si="42"/>
        <v/>
      </c>
      <c r="BC149" s="90" t="str">
        <f t="shared" si="42"/>
        <v/>
      </c>
    </row>
    <row r="150" spans="1:55" x14ac:dyDescent="0.25">
      <c r="A150" s="15" t="s">
        <v>51</v>
      </c>
      <c r="B150" s="16" t="s">
        <v>52</v>
      </c>
      <c r="C150" s="16" t="s">
        <v>54</v>
      </c>
      <c r="D150" s="2"/>
      <c r="E150" s="2"/>
      <c r="F150" s="1">
        <f t="shared" si="39"/>
        <v>0</v>
      </c>
      <c r="G150" s="1">
        <f t="shared" si="40"/>
        <v>0</v>
      </c>
      <c r="H150" s="1">
        <f t="shared" si="40"/>
        <v>0</v>
      </c>
      <c r="I150" s="1">
        <f t="shared" si="40"/>
        <v>0</v>
      </c>
      <c r="J150" s="1">
        <f t="shared" si="40"/>
        <v>0</v>
      </c>
      <c r="K150" s="1">
        <f t="shared" si="40"/>
        <v>0</v>
      </c>
      <c r="L150" s="52">
        <f t="shared" si="40"/>
        <v>0</v>
      </c>
      <c r="M150" s="1">
        <f t="shared" si="40"/>
        <v>0</v>
      </c>
      <c r="N150" s="1">
        <f t="shared" si="40"/>
        <v>0</v>
      </c>
      <c r="O150" s="1">
        <f t="shared" si="40"/>
        <v>0</v>
      </c>
      <c r="P150" s="1">
        <f t="shared" si="40"/>
        <v>0</v>
      </c>
      <c r="Q150" s="1">
        <f t="shared" si="40"/>
        <v>0</v>
      </c>
      <c r="R150" s="1">
        <f t="shared" si="40"/>
        <v>0</v>
      </c>
      <c r="S150" s="1">
        <f t="shared" si="40"/>
        <v>0</v>
      </c>
      <c r="T150" s="1">
        <f t="shared" si="40"/>
        <v>0</v>
      </c>
      <c r="U150" s="1">
        <f t="shared" si="40"/>
        <v>0</v>
      </c>
      <c r="V150" s="1">
        <f t="shared" si="40"/>
        <v>0</v>
      </c>
      <c r="W150" s="1">
        <f t="shared" si="40"/>
        <v>0</v>
      </c>
      <c r="X150" s="54">
        <f t="shared" si="40"/>
        <v>0</v>
      </c>
      <c r="Y150" s="58">
        <f t="shared" si="40"/>
        <v>0</v>
      </c>
      <c r="Z150" s="1">
        <f t="shared" si="40"/>
        <v>0</v>
      </c>
      <c r="AA150" s="1">
        <f t="shared" si="40"/>
        <v>0</v>
      </c>
      <c r="AC150" s="15" t="s">
        <v>51</v>
      </c>
      <c r="AD150" s="16" t="s">
        <v>52</v>
      </c>
      <c r="AE150" s="16" t="s">
        <v>54</v>
      </c>
      <c r="AF150" s="2"/>
      <c r="AG150" s="2"/>
      <c r="AH150" s="90" t="str">
        <f t="shared" si="41"/>
        <v/>
      </c>
      <c r="AI150" s="90" t="str">
        <f t="shared" si="41"/>
        <v/>
      </c>
      <c r="AJ150" s="90" t="str">
        <f t="shared" si="41"/>
        <v/>
      </c>
      <c r="AK150" s="90" t="str">
        <f t="shared" si="41"/>
        <v/>
      </c>
      <c r="AL150" s="90" t="str">
        <f t="shared" si="41"/>
        <v/>
      </c>
      <c r="AM150" s="90" t="str">
        <f t="shared" si="41"/>
        <v/>
      </c>
      <c r="AN150" s="90" t="str">
        <f t="shared" si="41"/>
        <v/>
      </c>
      <c r="AO150" s="90" t="str">
        <f t="shared" si="41"/>
        <v/>
      </c>
      <c r="AP150" s="90" t="str">
        <f t="shared" si="41"/>
        <v/>
      </c>
      <c r="AQ150" s="90" t="str">
        <f t="shared" si="41"/>
        <v/>
      </c>
      <c r="AR150" s="90" t="str">
        <f t="shared" si="41"/>
        <v/>
      </c>
      <c r="AS150" s="90" t="str">
        <f t="shared" si="41"/>
        <v/>
      </c>
      <c r="AT150" s="90" t="str">
        <f t="shared" si="41"/>
        <v/>
      </c>
      <c r="AU150" s="90" t="str">
        <f t="shared" si="41"/>
        <v/>
      </c>
      <c r="AV150" s="90" t="str">
        <f t="shared" si="41"/>
        <v/>
      </c>
      <c r="AW150" s="90" t="str">
        <f t="shared" si="41"/>
        <v/>
      </c>
      <c r="AX150" s="90" t="str">
        <f t="shared" si="42"/>
        <v/>
      </c>
      <c r="AY150" s="90" t="str">
        <f t="shared" si="42"/>
        <v/>
      </c>
      <c r="AZ150" s="90" t="str">
        <f t="shared" si="42"/>
        <v/>
      </c>
      <c r="BA150" s="90" t="str">
        <f t="shared" si="42"/>
        <v/>
      </c>
      <c r="BB150" s="90" t="str">
        <f t="shared" si="42"/>
        <v/>
      </c>
      <c r="BC150" s="90" t="str">
        <f t="shared" si="42"/>
        <v/>
      </c>
    </row>
    <row r="151" spans="1:55" x14ac:dyDescent="0.25">
      <c r="A151" s="15" t="s">
        <v>51</v>
      </c>
      <c r="B151" s="16" t="s">
        <v>52</v>
      </c>
      <c r="C151" s="16" t="s">
        <v>55</v>
      </c>
      <c r="D151" s="2"/>
      <c r="E151" s="2"/>
      <c r="F151" s="1">
        <f t="shared" si="39"/>
        <v>0</v>
      </c>
      <c r="G151" s="1">
        <f t="shared" si="40"/>
        <v>0</v>
      </c>
      <c r="H151" s="1">
        <f t="shared" si="40"/>
        <v>0</v>
      </c>
      <c r="I151" s="1">
        <f t="shared" si="40"/>
        <v>0</v>
      </c>
      <c r="J151" s="1">
        <f t="shared" si="40"/>
        <v>0</v>
      </c>
      <c r="K151" s="1">
        <f t="shared" si="40"/>
        <v>0</v>
      </c>
      <c r="L151" s="52">
        <f t="shared" si="40"/>
        <v>0</v>
      </c>
      <c r="M151" s="1">
        <f t="shared" si="40"/>
        <v>0</v>
      </c>
      <c r="N151" s="1">
        <f t="shared" si="40"/>
        <v>0</v>
      </c>
      <c r="O151" s="1">
        <f t="shared" si="40"/>
        <v>0</v>
      </c>
      <c r="P151" s="1">
        <f t="shared" si="40"/>
        <v>0</v>
      </c>
      <c r="Q151" s="1">
        <f t="shared" si="40"/>
        <v>0</v>
      </c>
      <c r="R151" s="1">
        <f t="shared" si="40"/>
        <v>0</v>
      </c>
      <c r="S151" s="1">
        <f t="shared" si="40"/>
        <v>0</v>
      </c>
      <c r="T151" s="1">
        <f t="shared" si="40"/>
        <v>0</v>
      </c>
      <c r="U151" s="1">
        <f t="shared" si="40"/>
        <v>0</v>
      </c>
      <c r="V151" s="1">
        <f t="shared" si="40"/>
        <v>0</v>
      </c>
      <c r="W151" s="1">
        <f t="shared" si="40"/>
        <v>0</v>
      </c>
      <c r="X151" s="54">
        <f t="shared" si="40"/>
        <v>0</v>
      </c>
      <c r="Y151" s="58">
        <f t="shared" si="40"/>
        <v>0</v>
      </c>
      <c r="Z151" s="1">
        <f t="shared" si="40"/>
        <v>0</v>
      </c>
      <c r="AA151" s="1">
        <f t="shared" si="40"/>
        <v>0</v>
      </c>
      <c r="AC151" s="15" t="s">
        <v>51</v>
      </c>
      <c r="AD151" s="16" t="s">
        <v>52</v>
      </c>
      <c r="AE151" s="16" t="s">
        <v>55</v>
      </c>
      <c r="AF151" s="2"/>
      <c r="AG151" s="2"/>
      <c r="AH151" s="90" t="str">
        <f t="shared" si="41"/>
        <v/>
      </c>
      <c r="AI151" s="90" t="str">
        <f t="shared" si="41"/>
        <v/>
      </c>
      <c r="AJ151" s="90" t="str">
        <f t="shared" si="41"/>
        <v/>
      </c>
      <c r="AK151" s="90" t="str">
        <f t="shared" si="41"/>
        <v/>
      </c>
      <c r="AL151" s="90" t="str">
        <f t="shared" si="41"/>
        <v/>
      </c>
      <c r="AM151" s="90" t="str">
        <f t="shared" si="41"/>
        <v/>
      </c>
      <c r="AN151" s="90" t="str">
        <f t="shared" si="41"/>
        <v/>
      </c>
      <c r="AO151" s="90" t="str">
        <f t="shared" si="41"/>
        <v/>
      </c>
      <c r="AP151" s="90" t="str">
        <f t="shared" si="41"/>
        <v/>
      </c>
      <c r="AQ151" s="90" t="str">
        <f t="shared" si="41"/>
        <v/>
      </c>
      <c r="AR151" s="90" t="str">
        <f t="shared" si="41"/>
        <v/>
      </c>
      <c r="AS151" s="90" t="str">
        <f t="shared" si="41"/>
        <v/>
      </c>
      <c r="AT151" s="90" t="str">
        <f t="shared" si="41"/>
        <v/>
      </c>
      <c r="AU151" s="90" t="str">
        <f t="shared" si="41"/>
        <v/>
      </c>
      <c r="AV151" s="90" t="str">
        <f t="shared" si="41"/>
        <v/>
      </c>
      <c r="AW151" s="90" t="str">
        <f t="shared" si="41"/>
        <v/>
      </c>
      <c r="AX151" s="90" t="str">
        <f t="shared" si="42"/>
        <v/>
      </c>
      <c r="AY151" s="90" t="str">
        <f t="shared" si="42"/>
        <v/>
      </c>
      <c r="AZ151" s="90" t="str">
        <f t="shared" si="42"/>
        <v/>
      </c>
      <c r="BA151" s="90" t="str">
        <f t="shared" si="42"/>
        <v/>
      </c>
      <c r="BB151" s="90" t="str">
        <f t="shared" si="42"/>
        <v/>
      </c>
      <c r="BC151" s="90" t="str">
        <f t="shared" si="42"/>
        <v/>
      </c>
    </row>
    <row r="152" spans="1:55" x14ac:dyDescent="0.25">
      <c r="A152" s="25" t="s">
        <v>51</v>
      </c>
      <c r="B152" s="26" t="s">
        <v>56</v>
      </c>
      <c r="C152" s="26" t="s">
        <v>57</v>
      </c>
      <c r="D152" s="2"/>
      <c r="E152" s="2"/>
      <c r="F152" s="1">
        <f t="shared" si="39"/>
        <v>0</v>
      </c>
      <c r="G152" s="1">
        <f t="shared" si="40"/>
        <v>0</v>
      </c>
      <c r="H152" s="1">
        <f t="shared" si="40"/>
        <v>0</v>
      </c>
      <c r="I152" s="1">
        <f t="shared" si="40"/>
        <v>0</v>
      </c>
      <c r="J152" s="1">
        <f t="shared" si="40"/>
        <v>0</v>
      </c>
      <c r="K152" s="1">
        <f t="shared" si="40"/>
        <v>0</v>
      </c>
      <c r="L152" s="52">
        <f t="shared" si="40"/>
        <v>0</v>
      </c>
      <c r="M152" s="1">
        <f t="shared" si="40"/>
        <v>0</v>
      </c>
      <c r="N152" s="1">
        <f t="shared" si="40"/>
        <v>0</v>
      </c>
      <c r="O152" s="1">
        <f t="shared" si="40"/>
        <v>0</v>
      </c>
      <c r="P152" s="1">
        <f t="shared" si="40"/>
        <v>0</v>
      </c>
      <c r="Q152" s="1">
        <f t="shared" si="40"/>
        <v>0</v>
      </c>
      <c r="R152" s="1">
        <f t="shared" si="40"/>
        <v>0</v>
      </c>
      <c r="S152" s="1">
        <f t="shared" si="40"/>
        <v>0</v>
      </c>
      <c r="T152" s="1">
        <f t="shared" si="40"/>
        <v>0</v>
      </c>
      <c r="U152" s="1">
        <f t="shared" si="40"/>
        <v>0</v>
      </c>
      <c r="V152" s="1">
        <f t="shared" si="40"/>
        <v>0</v>
      </c>
      <c r="W152" s="1">
        <f t="shared" si="40"/>
        <v>0</v>
      </c>
      <c r="X152" s="54">
        <f t="shared" si="40"/>
        <v>0</v>
      </c>
      <c r="Y152" s="58">
        <f t="shared" ref="G152:AA166" si="44">IF(Y197&gt;0,Y17/Y197,0)</f>
        <v>0</v>
      </c>
      <c r="Z152" s="1">
        <f t="shared" si="44"/>
        <v>0</v>
      </c>
      <c r="AA152" s="1">
        <f t="shared" si="44"/>
        <v>0</v>
      </c>
      <c r="AC152" s="25" t="s">
        <v>51</v>
      </c>
      <c r="AD152" s="26" t="s">
        <v>56</v>
      </c>
      <c r="AE152" s="26" t="s">
        <v>57</v>
      </c>
      <c r="AF152" s="2"/>
      <c r="AG152" s="2"/>
      <c r="AH152" s="90" t="str">
        <f t="shared" si="41"/>
        <v/>
      </c>
      <c r="AI152" s="90" t="str">
        <f t="shared" si="41"/>
        <v/>
      </c>
      <c r="AJ152" s="90" t="str">
        <f t="shared" si="41"/>
        <v/>
      </c>
      <c r="AK152" s="90" t="str">
        <f t="shared" si="41"/>
        <v/>
      </c>
      <c r="AL152" s="90" t="str">
        <f t="shared" si="41"/>
        <v/>
      </c>
      <c r="AM152" s="90" t="str">
        <f t="shared" si="41"/>
        <v/>
      </c>
      <c r="AN152" s="90" t="str">
        <f t="shared" si="41"/>
        <v/>
      </c>
      <c r="AO152" s="90" t="str">
        <f t="shared" si="41"/>
        <v/>
      </c>
      <c r="AP152" s="90" t="str">
        <f t="shared" si="41"/>
        <v/>
      </c>
      <c r="AQ152" s="90" t="str">
        <f t="shared" si="41"/>
        <v/>
      </c>
      <c r="AR152" s="90" t="str">
        <f t="shared" si="41"/>
        <v/>
      </c>
      <c r="AS152" s="90" t="str">
        <f t="shared" si="41"/>
        <v/>
      </c>
      <c r="AT152" s="90" t="str">
        <f t="shared" si="41"/>
        <v/>
      </c>
      <c r="AU152" s="90" t="str">
        <f t="shared" si="41"/>
        <v/>
      </c>
      <c r="AV152" s="90" t="str">
        <f t="shared" si="41"/>
        <v/>
      </c>
      <c r="AW152" s="90" t="str">
        <f t="shared" si="41"/>
        <v/>
      </c>
      <c r="AX152" s="90" t="str">
        <f t="shared" si="42"/>
        <v/>
      </c>
      <c r="AY152" s="90" t="str">
        <f t="shared" si="42"/>
        <v/>
      </c>
      <c r="AZ152" s="90" t="str">
        <f t="shared" si="42"/>
        <v/>
      </c>
      <c r="BA152" s="90" t="str">
        <f t="shared" si="42"/>
        <v/>
      </c>
      <c r="BB152" s="90" t="str">
        <f t="shared" si="42"/>
        <v/>
      </c>
      <c r="BC152" s="90" t="str">
        <f t="shared" si="42"/>
        <v/>
      </c>
    </row>
    <row r="153" spans="1:55" x14ac:dyDescent="0.25">
      <c r="A153" s="15" t="s">
        <v>51</v>
      </c>
      <c r="B153" s="16" t="s">
        <v>56</v>
      </c>
      <c r="C153" s="27" t="s">
        <v>58</v>
      </c>
      <c r="D153" s="2"/>
      <c r="E153" s="2"/>
      <c r="F153" s="1">
        <f t="shared" si="39"/>
        <v>0</v>
      </c>
      <c r="G153" s="1">
        <f t="shared" si="44"/>
        <v>0</v>
      </c>
      <c r="H153" s="1">
        <f t="shared" si="44"/>
        <v>0</v>
      </c>
      <c r="I153" s="1">
        <f t="shared" si="44"/>
        <v>0</v>
      </c>
      <c r="J153" s="1">
        <f t="shared" si="44"/>
        <v>0</v>
      </c>
      <c r="K153" s="1">
        <f t="shared" si="44"/>
        <v>0</v>
      </c>
      <c r="L153" s="52">
        <f t="shared" si="44"/>
        <v>0</v>
      </c>
      <c r="M153" s="1">
        <f t="shared" si="44"/>
        <v>0</v>
      </c>
      <c r="N153" s="1">
        <f t="shared" si="44"/>
        <v>0</v>
      </c>
      <c r="O153" s="1">
        <f t="shared" si="44"/>
        <v>0</v>
      </c>
      <c r="P153" s="1">
        <f t="shared" si="44"/>
        <v>0</v>
      </c>
      <c r="Q153" s="1">
        <f t="shared" si="44"/>
        <v>0</v>
      </c>
      <c r="R153" s="1">
        <f t="shared" si="44"/>
        <v>0</v>
      </c>
      <c r="S153" s="1">
        <f t="shared" si="44"/>
        <v>0</v>
      </c>
      <c r="T153" s="1">
        <f t="shared" si="44"/>
        <v>0</v>
      </c>
      <c r="U153" s="1">
        <f t="shared" si="44"/>
        <v>0</v>
      </c>
      <c r="V153" s="1">
        <f t="shared" si="44"/>
        <v>0</v>
      </c>
      <c r="W153" s="1">
        <f t="shared" si="44"/>
        <v>0</v>
      </c>
      <c r="X153" s="54">
        <f t="shared" si="44"/>
        <v>0</v>
      </c>
      <c r="Y153" s="58">
        <f t="shared" si="44"/>
        <v>0</v>
      </c>
      <c r="Z153" s="1">
        <f t="shared" si="44"/>
        <v>0</v>
      </c>
      <c r="AA153" s="1">
        <f t="shared" si="44"/>
        <v>0</v>
      </c>
      <c r="AC153" s="15" t="s">
        <v>51</v>
      </c>
      <c r="AD153" s="16" t="s">
        <v>56</v>
      </c>
      <c r="AE153" s="27" t="s">
        <v>58</v>
      </c>
      <c r="AF153" s="2"/>
      <c r="AG153" s="2"/>
      <c r="AH153" s="90" t="str">
        <f t="shared" si="41"/>
        <v/>
      </c>
      <c r="AI153" s="90" t="str">
        <f t="shared" si="41"/>
        <v/>
      </c>
      <c r="AJ153" s="90" t="str">
        <f t="shared" si="41"/>
        <v/>
      </c>
      <c r="AK153" s="90" t="str">
        <f t="shared" si="41"/>
        <v/>
      </c>
      <c r="AL153" s="90" t="str">
        <f t="shared" si="41"/>
        <v/>
      </c>
      <c r="AM153" s="90" t="str">
        <f t="shared" si="41"/>
        <v/>
      </c>
      <c r="AN153" s="90" t="str">
        <f t="shared" si="41"/>
        <v/>
      </c>
      <c r="AO153" s="90" t="str">
        <f t="shared" si="41"/>
        <v/>
      </c>
      <c r="AP153" s="90" t="str">
        <f t="shared" si="41"/>
        <v/>
      </c>
      <c r="AQ153" s="90" t="str">
        <f t="shared" si="41"/>
        <v/>
      </c>
      <c r="AR153" s="90" t="str">
        <f t="shared" si="41"/>
        <v/>
      </c>
      <c r="AS153" s="90" t="str">
        <f t="shared" si="41"/>
        <v/>
      </c>
      <c r="AT153" s="90" t="str">
        <f t="shared" si="41"/>
        <v/>
      </c>
      <c r="AU153" s="90" t="str">
        <f t="shared" si="41"/>
        <v/>
      </c>
      <c r="AV153" s="90" t="str">
        <f t="shared" si="41"/>
        <v/>
      </c>
      <c r="AW153" s="90" t="str">
        <f t="shared" si="41"/>
        <v/>
      </c>
      <c r="AX153" s="90" t="str">
        <f t="shared" si="42"/>
        <v/>
      </c>
      <c r="AY153" s="90" t="str">
        <f t="shared" si="42"/>
        <v/>
      </c>
      <c r="AZ153" s="90" t="str">
        <f t="shared" si="42"/>
        <v/>
      </c>
      <c r="BA153" s="90" t="str">
        <f t="shared" si="42"/>
        <v/>
      </c>
      <c r="BB153" s="90" t="str">
        <f t="shared" si="42"/>
        <v/>
      </c>
      <c r="BC153" s="90" t="str">
        <f t="shared" si="42"/>
        <v/>
      </c>
    </row>
    <row r="154" spans="1:55" x14ac:dyDescent="0.25">
      <c r="A154" s="15" t="s">
        <v>51</v>
      </c>
      <c r="B154" s="16" t="s">
        <v>9</v>
      </c>
      <c r="C154" s="27" t="s">
        <v>59</v>
      </c>
      <c r="D154" s="2"/>
      <c r="E154" s="2"/>
      <c r="F154" s="1">
        <f t="shared" si="39"/>
        <v>0</v>
      </c>
      <c r="G154" s="1">
        <f t="shared" si="44"/>
        <v>0</v>
      </c>
      <c r="H154" s="1">
        <f t="shared" si="44"/>
        <v>0</v>
      </c>
      <c r="I154" s="1">
        <f t="shared" si="44"/>
        <v>0</v>
      </c>
      <c r="J154" s="1">
        <f t="shared" si="44"/>
        <v>0</v>
      </c>
      <c r="K154" s="1">
        <f t="shared" si="44"/>
        <v>0</v>
      </c>
      <c r="L154" s="52">
        <f t="shared" si="44"/>
        <v>0</v>
      </c>
      <c r="M154" s="1">
        <f t="shared" si="44"/>
        <v>0</v>
      </c>
      <c r="N154" s="1">
        <f t="shared" si="44"/>
        <v>0</v>
      </c>
      <c r="O154" s="1">
        <f t="shared" si="44"/>
        <v>0</v>
      </c>
      <c r="P154" s="1">
        <f t="shared" si="44"/>
        <v>0</v>
      </c>
      <c r="Q154" s="1">
        <f t="shared" si="44"/>
        <v>0</v>
      </c>
      <c r="R154" s="1">
        <f t="shared" si="44"/>
        <v>0</v>
      </c>
      <c r="S154" s="1">
        <f t="shared" si="44"/>
        <v>0</v>
      </c>
      <c r="T154" s="1">
        <f t="shared" si="44"/>
        <v>0</v>
      </c>
      <c r="U154" s="1">
        <f t="shared" si="44"/>
        <v>0</v>
      </c>
      <c r="V154" s="1">
        <f t="shared" si="44"/>
        <v>0</v>
      </c>
      <c r="W154" s="1">
        <f t="shared" si="44"/>
        <v>0</v>
      </c>
      <c r="X154" s="54">
        <f t="shared" si="44"/>
        <v>0</v>
      </c>
      <c r="Y154" s="58">
        <f t="shared" si="44"/>
        <v>0</v>
      </c>
      <c r="Z154" s="1">
        <f t="shared" si="44"/>
        <v>0</v>
      </c>
      <c r="AA154" s="1">
        <f t="shared" si="44"/>
        <v>0</v>
      </c>
      <c r="AC154" s="15" t="s">
        <v>51</v>
      </c>
      <c r="AD154" s="16" t="s">
        <v>9</v>
      </c>
      <c r="AE154" s="27" t="s">
        <v>59</v>
      </c>
      <c r="AF154" s="2"/>
      <c r="AG154" s="2"/>
      <c r="AH154" s="90" t="str">
        <f t="shared" si="41"/>
        <v/>
      </c>
      <c r="AI154" s="90" t="str">
        <f t="shared" si="41"/>
        <v/>
      </c>
      <c r="AJ154" s="90" t="str">
        <f t="shared" si="41"/>
        <v/>
      </c>
      <c r="AK154" s="90" t="str">
        <f t="shared" si="41"/>
        <v/>
      </c>
      <c r="AL154" s="90" t="str">
        <f t="shared" si="41"/>
        <v/>
      </c>
      <c r="AM154" s="90" t="str">
        <f t="shared" si="41"/>
        <v/>
      </c>
      <c r="AN154" s="90" t="str">
        <f t="shared" si="41"/>
        <v/>
      </c>
      <c r="AO154" s="90" t="str">
        <f t="shared" si="41"/>
        <v/>
      </c>
      <c r="AP154" s="90" t="str">
        <f t="shared" si="41"/>
        <v/>
      </c>
      <c r="AQ154" s="90" t="str">
        <f t="shared" si="41"/>
        <v/>
      </c>
      <c r="AR154" s="90" t="str">
        <f t="shared" si="41"/>
        <v/>
      </c>
      <c r="AS154" s="90" t="str">
        <f t="shared" si="41"/>
        <v/>
      </c>
      <c r="AT154" s="90" t="str">
        <f t="shared" si="41"/>
        <v/>
      </c>
      <c r="AU154" s="90" t="str">
        <f t="shared" si="41"/>
        <v/>
      </c>
      <c r="AV154" s="90" t="str">
        <f t="shared" si="41"/>
        <v/>
      </c>
      <c r="AW154" s="90" t="str">
        <f t="shared" si="41"/>
        <v/>
      </c>
      <c r="AX154" s="90" t="str">
        <f t="shared" si="42"/>
        <v/>
      </c>
      <c r="AY154" s="90" t="str">
        <f t="shared" si="42"/>
        <v/>
      </c>
      <c r="AZ154" s="90" t="str">
        <f t="shared" si="42"/>
        <v/>
      </c>
      <c r="BA154" s="90" t="str">
        <f t="shared" si="42"/>
        <v/>
      </c>
      <c r="BB154" s="90" t="str">
        <f t="shared" si="42"/>
        <v/>
      </c>
      <c r="BC154" s="90" t="str">
        <f t="shared" si="42"/>
        <v/>
      </c>
    </row>
    <row r="155" spans="1:55" x14ac:dyDescent="0.25">
      <c r="A155" s="15" t="s">
        <v>51</v>
      </c>
      <c r="B155" s="16" t="s">
        <v>9</v>
      </c>
      <c r="C155" s="27" t="s">
        <v>9</v>
      </c>
      <c r="D155" s="2"/>
      <c r="E155" s="2"/>
      <c r="F155" s="1">
        <f t="shared" si="39"/>
        <v>0</v>
      </c>
      <c r="G155" s="1">
        <f t="shared" si="44"/>
        <v>0</v>
      </c>
      <c r="H155" s="1">
        <f t="shared" si="44"/>
        <v>0</v>
      </c>
      <c r="I155" s="1">
        <f t="shared" si="44"/>
        <v>0</v>
      </c>
      <c r="J155" s="1">
        <f t="shared" si="44"/>
        <v>0</v>
      </c>
      <c r="K155" s="1">
        <f t="shared" si="44"/>
        <v>0</v>
      </c>
      <c r="L155" s="52">
        <f t="shared" si="44"/>
        <v>0</v>
      </c>
      <c r="M155" s="1">
        <f t="shared" si="44"/>
        <v>0</v>
      </c>
      <c r="N155" s="1">
        <f t="shared" si="44"/>
        <v>0</v>
      </c>
      <c r="O155" s="1">
        <f t="shared" si="44"/>
        <v>0</v>
      </c>
      <c r="P155" s="1">
        <f t="shared" si="44"/>
        <v>0</v>
      </c>
      <c r="Q155" s="1">
        <f t="shared" si="44"/>
        <v>0</v>
      </c>
      <c r="R155" s="1">
        <f t="shared" si="44"/>
        <v>0</v>
      </c>
      <c r="S155" s="1">
        <f t="shared" si="44"/>
        <v>0</v>
      </c>
      <c r="T155" s="1">
        <f t="shared" si="44"/>
        <v>0</v>
      </c>
      <c r="U155" s="1">
        <f t="shared" si="44"/>
        <v>0</v>
      </c>
      <c r="V155" s="1">
        <f t="shared" si="44"/>
        <v>0</v>
      </c>
      <c r="W155" s="1">
        <f t="shared" si="44"/>
        <v>0</v>
      </c>
      <c r="X155" s="54">
        <f t="shared" si="44"/>
        <v>0</v>
      </c>
      <c r="Y155" s="58">
        <f t="shared" si="44"/>
        <v>0</v>
      </c>
      <c r="Z155" s="1">
        <f t="shared" si="44"/>
        <v>0</v>
      </c>
      <c r="AA155" s="1">
        <f t="shared" si="44"/>
        <v>0</v>
      </c>
      <c r="AC155" s="15" t="s">
        <v>51</v>
      </c>
      <c r="AD155" s="16" t="s">
        <v>9</v>
      </c>
      <c r="AE155" s="27" t="s">
        <v>9</v>
      </c>
      <c r="AF155" s="2"/>
      <c r="AG155" s="2"/>
      <c r="AH155" s="90" t="str">
        <f t="shared" si="41"/>
        <v/>
      </c>
      <c r="AI155" s="90" t="str">
        <f t="shared" si="41"/>
        <v/>
      </c>
      <c r="AJ155" s="90" t="str">
        <f t="shared" si="41"/>
        <v/>
      </c>
      <c r="AK155" s="90" t="str">
        <f t="shared" si="41"/>
        <v/>
      </c>
      <c r="AL155" s="90" t="str">
        <f t="shared" si="41"/>
        <v/>
      </c>
      <c r="AM155" s="90" t="str">
        <f t="shared" si="41"/>
        <v/>
      </c>
      <c r="AN155" s="90" t="str">
        <f t="shared" si="41"/>
        <v/>
      </c>
      <c r="AO155" s="90" t="str">
        <f t="shared" si="41"/>
        <v/>
      </c>
      <c r="AP155" s="90" t="str">
        <f t="shared" si="41"/>
        <v/>
      </c>
      <c r="AQ155" s="90" t="str">
        <f t="shared" si="41"/>
        <v/>
      </c>
      <c r="AR155" s="90" t="str">
        <f t="shared" si="41"/>
        <v/>
      </c>
      <c r="AS155" s="90" t="str">
        <f t="shared" si="41"/>
        <v/>
      </c>
      <c r="AT155" s="90" t="str">
        <f t="shared" si="41"/>
        <v/>
      </c>
      <c r="AU155" s="90" t="str">
        <f t="shared" si="41"/>
        <v/>
      </c>
      <c r="AV155" s="90" t="str">
        <f t="shared" si="41"/>
        <v/>
      </c>
      <c r="AW155" s="90" t="str">
        <f t="shared" ref="AW155:BC180" si="45">IF(U200&gt;0,U65/U200,"")</f>
        <v/>
      </c>
      <c r="AX155" s="90" t="str">
        <f t="shared" si="42"/>
        <v/>
      </c>
      <c r="AY155" s="90" t="str">
        <f t="shared" si="42"/>
        <v/>
      </c>
      <c r="AZ155" s="90" t="str">
        <f t="shared" si="42"/>
        <v/>
      </c>
      <c r="BA155" s="90" t="str">
        <f t="shared" si="42"/>
        <v/>
      </c>
      <c r="BB155" s="90" t="str">
        <f t="shared" si="42"/>
        <v/>
      </c>
      <c r="BC155" s="90" t="str">
        <f t="shared" si="42"/>
        <v/>
      </c>
    </row>
    <row r="156" spans="1:55" x14ac:dyDescent="0.25">
      <c r="A156" s="28" t="s">
        <v>60</v>
      </c>
      <c r="B156" s="29" t="s">
        <v>13</v>
      </c>
      <c r="C156" s="29" t="s">
        <v>61</v>
      </c>
      <c r="D156" s="2"/>
      <c r="E156" s="2"/>
      <c r="F156" s="51">
        <f t="shared" si="39"/>
        <v>52.941176470588232</v>
      </c>
      <c r="G156" s="51">
        <f t="shared" si="44"/>
        <v>0</v>
      </c>
      <c r="H156" s="51">
        <f t="shared" si="44"/>
        <v>5.0842105263157897</v>
      </c>
      <c r="I156" s="91">
        <v>29</v>
      </c>
      <c r="J156" s="51">
        <f>IF(J201&gt;0,J21/J201,0)</f>
        <v>63.269493844049251</v>
      </c>
      <c r="K156" s="91">
        <v>29</v>
      </c>
      <c r="L156" s="52">
        <f t="shared" si="44"/>
        <v>0</v>
      </c>
      <c r="M156" s="64">
        <v>400</v>
      </c>
      <c r="N156" s="64">
        <v>870</v>
      </c>
      <c r="O156" s="64">
        <v>10000</v>
      </c>
      <c r="P156" s="64">
        <v>28000</v>
      </c>
      <c r="Q156" s="77">
        <v>940</v>
      </c>
      <c r="R156" s="77">
        <v>426</v>
      </c>
      <c r="S156" s="51">
        <f t="shared" si="44"/>
        <v>0</v>
      </c>
      <c r="T156" s="77">
        <v>426</v>
      </c>
      <c r="U156" s="77">
        <v>426</v>
      </c>
      <c r="V156" s="77">
        <v>426</v>
      </c>
      <c r="W156" s="77">
        <v>426</v>
      </c>
      <c r="X156" s="79">
        <v>426</v>
      </c>
      <c r="Y156" s="59">
        <f t="shared" si="44"/>
        <v>14.161647537994055</v>
      </c>
      <c r="Z156" s="51">
        <f t="shared" si="44"/>
        <v>750.50441260094772</v>
      </c>
      <c r="AA156" s="51">
        <f t="shared" si="44"/>
        <v>22.410051893751696</v>
      </c>
      <c r="AC156" s="28" t="s">
        <v>60</v>
      </c>
      <c r="AD156" s="29" t="s">
        <v>13</v>
      </c>
      <c r="AE156" s="29" t="s">
        <v>61</v>
      </c>
      <c r="AF156" s="2"/>
      <c r="AG156" s="2"/>
      <c r="AH156" s="1">
        <f t="shared" ref="AH156:AV172" si="46">IF(F201&gt;0,F66/F201,"")</f>
        <v>10.143749999999999</v>
      </c>
      <c r="AI156" s="1" t="str">
        <f t="shared" si="46"/>
        <v/>
      </c>
      <c r="AJ156" s="1">
        <f t="shared" si="46"/>
        <v>1.736842105263158</v>
      </c>
      <c r="AK156" s="1">
        <f t="shared" si="46"/>
        <v>7.8911564625850339</v>
      </c>
      <c r="AL156" s="1">
        <f t="shared" si="46"/>
        <v>27.359781121751027</v>
      </c>
      <c r="AM156" s="1">
        <f t="shared" si="46"/>
        <v>8.3375000000000004</v>
      </c>
      <c r="AN156" s="52" t="str">
        <f t="shared" si="46"/>
        <v/>
      </c>
      <c r="AO156" s="1">
        <f t="shared" si="46"/>
        <v>180</v>
      </c>
      <c r="AP156" s="1">
        <f t="shared" si="46"/>
        <v>366.31578947368422</v>
      </c>
      <c r="AQ156" s="1">
        <f t="shared" si="46"/>
        <v>3668.005354752343</v>
      </c>
      <c r="AR156" s="1">
        <f t="shared" si="46"/>
        <v>9628.5140562248998</v>
      </c>
      <c r="AS156" s="1">
        <f t="shared" si="46"/>
        <v>423</v>
      </c>
      <c r="AT156" s="1">
        <f t="shared" si="46"/>
        <v>204.48</v>
      </c>
      <c r="AU156" s="1" t="str">
        <f t="shared" si="46"/>
        <v/>
      </c>
      <c r="AV156" s="1">
        <f t="shared" si="46"/>
        <v>213</v>
      </c>
      <c r="AW156" s="1">
        <f t="shared" si="45"/>
        <v>213</v>
      </c>
      <c r="AX156" s="1">
        <f t="shared" si="45"/>
        <v>511.2</v>
      </c>
      <c r="AY156" s="1">
        <f t="shared" si="45"/>
        <v>255.59999999999997</v>
      </c>
      <c r="AZ156" s="1">
        <f t="shared" si="45"/>
        <v>213</v>
      </c>
      <c r="BA156" s="1">
        <f t="shared" si="45"/>
        <v>3.905745419594723</v>
      </c>
      <c r="BB156" s="1">
        <f t="shared" si="45"/>
        <v>328.15897528393992</v>
      </c>
      <c r="BC156" s="1">
        <f t="shared" si="45"/>
        <v>7.5379828509666256</v>
      </c>
    </row>
    <row r="157" spans="1:55" x14ac:dyDescent="0.25">
      <c r="A157" s="36" t="s">
        <v>60</v>
      </c>
      <c r="B157" s="37" t="s">
        <v>13</v>
      </c>
      <c r="C157" s="29" t="s">
        <v>62</v>
      </c>
      <c r="D157" s="2"/>
      <c r="E157" s="2"/>
      <c r="F157" s="51">
        <f t="shared" ref="F157:F170" si="47">IF(F202&gt;0,F22/F202,0)</f>
        <v>52.941176470588232</v>
      </c>
      <c r="G157" s="51">
        <f t="shared" si="44"/>
        <v>24.274790629930813</v>
      </c>
      <c r="H157" s="51">
        <f t="shared" si="44"/>
        <v>4.8736842105263154</v>
      </c>
      <c r="I157" s="77">
        <v>20</v>
      </c>
      <c r="J157" s="51">
        <f t="shared" si="44"/>
        <v>0</v>
      </c>
      <c r="K157" s="51">
        <f t="shared" si="44"/>
        <v>0</v>
      </c>
      <c r="L157" s="52">
        <f t="shared" si="44"/>
        <v>0</v>
      </c>
      <c r="M157" s="51">
        <f t="shared" si="44"/>
        <v>0</v>
      </c>
      <c r="N157" s="51">
        <f t="shared" si="44"/>
        <v>0</v>
      </c>
      <c r="O157" s="51">
        <f t="shared" si="44"/>
        <v>0</v>
      </c>
      <c r="P157" s="64">
        <v>28000</v>
      </c>
      <c r="Q157" s="51">
        <f t="shared" si="44"/>
        <v>0</v>
      </c>
      <c r="R157" s="51">
        <f t="shared" si="44"/>
        <v>0</v>
      </c>
      <c r="S157" s="51">
        <f t="shared" si="44"/>
        <v>0</v>
      </c>
      <c r="T157" s="51">
        <f t="shared" si="44"/>
        <v>0</v>
      </c>
      <c r="U157" s="51">
        <f t="shared" si="44"/>
        <v>0</v>
      </c>
      <c r="V157" s="51">
        <f t="shared" si="44"/>
        <v>0</v>
      </c>
      <c r="W157" s="51">
        <f t="shared" si="44"/>
        <v>0</v>
      </c>
      <c r="X157" s="55">
        <f t="shared" si="44"/>
        <v>0</v>
      </c>
      <c r="Y157" s="59">
        <f t="shared" si="44"/>
        <v>9.832502237565528</v>
      </c>
      <c r="Z157" s="51">
        <f t="shared" si="44"/>
        <v>28000</v>
      </c>
      <c r="AA157" s="51">
        <f t="shared" si="44"/>
        <v>12.567040062066644</v>
      </c>
      <c r="AB157" s="14">
        <f>0.74*55</f>
        <v>40.700000000000003</v>
      </c>
      <c r="AC157" s="36" t="s">
        <v>60</v>
      </c>
      <c r="AD157" s="37" t="s">
        <v>13</v>
      </c>
      <c r="AE157" s="29" t="s">
        <v>62</v>
      </c>
      <c r="AF157" s="2"/>
      <c r="AG157" s="2"/>
      <c r="AH157" s="1">
        <f t="shared" si="46"/>
        <v>13.525</v>
      </c>
      <c r="AI157" s="1">
        <f t="shared" si="46"/>
        <v>6.2390065060292024</v>
      </c>
      <c r="AJ157" s="1">
        <f t="shared" si="46"/>
        <v>1.736842105263158</v>
      </c>
      <c r="AK157" s="1" t="str">
        <f t="shared" si="46"/>
        <v/>
      </c>
      <c r="AL157" s="1" t="str">
        <f t="shared" si="46"/>
        <v/>
      </c>
      <c r="AM157" s="1" t="str">
        <f t="shared" si="46"/>
        <v/>
      </c>
      <c r="AN157" s="52" t="str">
        <f t="shared" si="46"/>
        <v/>
      </c>
      <c r="AO157" s="1" t="str">
        <f t="shared" si="46"/>
        <v/>
      </c>
      <c r="AP157" s="1" t="str">
        <f t="shared" si="46"/>
        <v/>
      </c>
      <c r="AQ157" s="1" t="str">
        <f t="shared" si="46"/>
        <v/>
      </c>
      <c r="AR157" s="1">
        <f t="shared" si="46"/>
        <v>9628.5140562248998</v>
      </c>
      <c r="AS157" s="1" t="str">
        <f t="shared" si="46"/>
        <v/>
      </c>
      <c r="AT157" s="1" t="str">
        <f t="shared" si="46"/>
        <v/>
      </c>
      <c r="AU157" s="1" t="str">
        <f t="shared" si="46"/>
        <v/>
      </c>
      <c r="AV157" s="1" t="str">
        <f t="shared" si="46"/>
        <v/>
      </c>
      <c r="AW157" s="1" t="str">
        <f t="shared" si="45"/>
        <v/>
      </c>
      <c r="AX157" s="1" t="str">
        <f t="shared" si="45"/>
        <v/>
      </c>
      <c r="AY157" s="1" t="str">
        <f t="shared" si="45"/>
        <v/>
      </c>
      <c r="AZ157" s="1" t="str">
        <f t="shared" si="45"/>
        <v/>
      </c>
      <c r="BA157" s="1">
        <f t="shared" si="45"/>
        <v>2.9053981648918357</v>
      </c>
      <c r="BB157" s="1">
        <f t="shared" si="45"/>
        <v>9628.5140562248998</v>
      </c>
      <c r="BC157" s="1">
        <f t="shared" si="45"/>
        <v>3.8457852119295035</v>
      </c>
    </row>
    <row r="158" spans="1:55" x14ac:dyDescent="0.25">
      <c r="A158" s="30" t="s">
        <v>60</v>
      </c>
      <c r="B158" s="31" t="s">
        <v>13</v>
      </c>
      <c r="C158" s="32" t="s">
        <v>63</v>
      </c>
      <c r="D158" s="2"/>
      <c r="E158" s="2"/>
      <c r="F158" s="51">
        <f t="shared" si="47"/>
        <v>0</v>
      </c>
      <c r="G158" s="51">
        <f t="shared" si="44"/>
        <v>0</v>
      </c>
      <c r="H158" s="51">
        <f t="shared" si="44"/>
        <v>0</v>
      </c>
      <c r="I158" s="51">
        <f t="shared" si="44"/>
        <v>0</v>
      </c>
      <c r="J158" s="51">
        <f t="shared" si="44"/>
        <v>0</v>
      </c>
      <c r="K158" s="51">
        <f t="shared" si="44"/>
        <v>0</v>
      </c>
      <c r="L158" s="52">
        <f t="shared" si="44"/>
        <v>0</v>
      </c>
      <c r="M158" s="51">
        <f t="shared" si="44"/>
        <v>0</v>
      </c>
      <c r="N158" s="51">
        <f t="shared" si="44"/>
        <v>0</v>
      </c>
      <c r="O158" s="51">
        <f t="shared" si="44"/>
        <v>0</v>
      </c>
      <c r="P158" s="51">
        <f t="shared" si="44"/>
        <v>0</v>
      </c>
      <c r="Q158" s="51">
        <f t="shared" si="44"/>
        <v>0</v>
      </c>
      <c r="R158" s="51">
        <f t="shared" si="44"/>
        <v>0</v>
      </c>
      <c r="S158" s="51">
        <f t="shared" si="44"/>
        <v>0</v>
      </c>
      <c r="T158" s="51">
        <f t="shared" si="44"/>
        <v>0</v>
      </c>
      <c r="U158" s="51">
        <f t="shared" si="44"/>
        <v>0</v>
      </c>
      <c r="V158" s="51">
        <f t="shared" si="44"/>
        <v>0</v>
      </c>
      <c r="W158" s="51">
        <f t="shared" si="44"/>
        <v>0</v>
      </c>
      <c r="X158" s="55">
        <f t="shared" si="44"/>
        <v>0</v>
      </c>
      <c r="Y158" s="59">
        <f t="shared" si="44"/>
        <v>0</v>
      </c>
      <c r="Z158" s="51">
        <f t="shared" si="44"/>
        <v>0</v>
      </c>
      <c r="AA158" s="51">
        <f t="shared" si="44"/>
        <v>0</v>
      </c>
      <c r="AB158" s="14">
        <f>0.75*70</f>
        <v>52.5</v>
      </c>
      <c r="AC158" s="30" t="s">
        <v>60</v>
      </c>
      <c r="AD158" s="31" t="s">
        <v>13</v>
      </c>
      <c r="AE158" s="32" t="s">
        <v>63</v>
      </c>
      <c r="AF158" s="2"/>
      <c r="AG158" s="2"/>
      <c r="AH158" s="1" t="str">
        <f t="shared" si="46"/>
        <v/>
      </c>
      <c r="AI158" s="1" t="str">
        <f t="shared" si="46"/>
        <v/>
      </c>
      <c r="AJ158" s="1" t="str">
        <f t="shared" si="46"/>
        <v/>
      </c>
      <c r="AK158" s="1" t="str">
        <f t="shared" si="46"/>
        <v/>
      </c>
      <c r="AL158" s="1" t="str">
        <f t="shared" si="46"/>
        <v/>
      </c>
      <c r="AM158" s="1" t="str">
        <f t="shared" si="46"/>
        <v/>
      </c>
      <c r="AN158" s="52" t="str">
        <f t="shared" si="46"/>
        <v/>
      </c>
      <c r="AO158" s="1" t="str">
        <f t="shared" si="46"/>
        <v/>
      </c>
      <c r="AP158" s="1" t="str">
        <f t="shared" si="46"/>
        <v/>
      </c>
      <c r="AQ158" s="1" t="str">
        <f t="shared" si="46"/>
        <v/>
      </c>
      <c r="AR158" s="1" t="str">
        <f t="shared" si="46"/>
        <v/>
      </c>
      <c r="AS158" s="1" t="str">
        <f t="shared" si="46"/>
        <v/>
      </c>
      <c r="AT158" s="1" t="str">
        <f t="shared" si="46"/>
        <v/>
      </c>
      <c r="AU158" s="1" t="str">
        <f t="shared" si="46"/>
        <v/>
      </c>
      <c r="AV158" s="1" t="str">
        <f t="shared" si="46"/>
        <v/>
      </c>
      <c r="AW158" s="1" t="str">
        <f t="shared" si="45"/>
        <v/>
      </c>
      <c r="AX158" s="1" t="str">
        <f t="shared" si="45"/>
        <v/>
      </c>
      <c r="AY158" s="1" t="str">
        <f t="shared" si="45"/>
        <v/>
      </c>
      <c r="AZ158" s="1" t="str">
        <f t="shared" si="45"/>
        <v/>
      </c>
      <c r="BA158" s="1" t="str">
        <f t="shared" si="45"/>
        <v/>
      </c>
      <c r="BB158" s="1" t="str">
        <f t="shared" si="45"/>
        <v/>
      </c>
      <c r="BC158" s="1" t="str">
        <f t="shared" si="45"/>
        <v/>
      </c>
    </row>
    <row r="159" spans="1:55" x14ac:dyDescent="0.25">
      <c r="A159" s="30" t="s">
        <v>60</v>
      </c>
      <c r="B159" s="32" t="s">
        <v>23</v>
      </c>
      <c r="C159" s="31" t="s">
        <v>50</v>
      </c>
      <c r="D159" s="2"/>
      <c r="E159" s="2"/>
      <c r="F159" s="77">
        <v>40</v>
      </c>
      <c r="G159" s="51">
        <f t="shared" si="44"/>
        <v>0</v>
      </c>
      <c r="H159" s="51">
        <f t="shared" si="44"/>
        <v>0</v>
      </c>
      <c r="I159" s="51">
        <f t="shared" si="44"/>
        <v>0</v>
      </c>
      <c r="J159" s="77">
        <v>45</v>
      </c>
      <c r="K159" s="77">
        <v>2.2000000000000002</v>
      </c>
      <c r="L159" s="52">
        <f t="shared" si="44"/>
        <v>0</v>
      </c>
      <c r="M159" s="51">
        <f t="shared" si="44"/>
        <v>0</v>
      </c>
      <c r="N159" s="77">
        <v>1100</v>
      </c>
      <c r="O159" s="51">
        <f t="shared" si="44"/>
        <v>0</v>
      </c>
      <c r="P159" s="51">
        <f t="shared" si="44"/>
        <v>0</v>
      </c>
      <c r="Q159" s="51">
        <f t="shared" si="44"/>
        <v>0</v>
      </c>
      <c r="R159" s="51">
        <f t="shared" si="44"/>
        <v>0</v>
      </c>
      <c r="S159" s="51">
        <f t="shared" si="44"/>
        <v>0</v>
      </c>
      <c r="T159" s="51">
        <f t="shared" si="44"/>
        <v>0</v>
      </c>
      <c r="U159" s="51">
        <f t="shared" si="44"/>
        <v>0</v>
      </c>
      <c r="V159" s="77">
        <v>426</v>
      </c>
      <c r="W159" s="51">
        <f t="shared" si="44"/>
        <v>0</v>
      </c>
      <c r="X159" s="55">
        <f t="shared" si="44"/>
        <v>0</v>
      </c>
      <c r="Y159" s="59">
        <f t="shared" si="44"/>
        <v>2.2203641073781255</v>
      </c>
      <c r="Z159" s="51">
        <f t="shared" si="44"/>
        <v>1100</v>
      </c>
      <c r="AA159" s="51">
        <f t="shared" si="44"/>
        <v>4.2740777128375189</v>
      </c>
      <c r="AC159" s="30" t="s">
        <v>60</v>
      </c>
      <c r="AD159" s="32" t="s">
        <v>23</v>
      </c>
      <c r="AE159" s="31" t="s">
        <v>50</v>
      </c>
      <c r="AF159" s="2"/>
      <c r="AG159" s="2"/>
      <c r="AH159" s="1" t="str">
        <f t="shared" si="46"/>
        <v/>
      </c>
      <c r="AI159" s="1" t="str">
        <f t="shared" si="46"/>
        <v/>
      </c>
      <c r="AJ159" s="1" t="str">
        <f t="shared" si="46"/>
        <v/>
      </c>
      <c r="AK159" s="1" t="str">
        <f t="shared" si="46"/>
        <v/>
      </c>
      <c r="AL159" s="1">
        <f t="shared" si="46"/>
        <v>13.5</v>
      </c>
      <c r="AM159" s="1">
        <f t="shared" si="46"/>
        <v>0.96041578947368444</v>
      </c>
      <c r="AN159" s="52" t="str">
        <f t="shared" si="46"/>
        <v/>
      </c>
      <c r="AO159" s="1" t="str">
        <f t="shared" si="46"/>
        <v/>
      </c>
      <c r="AP159" s="1">
        <f t="shared" si="46"/>
        <v>510.27777777777777</v>
      </c>
      <c r="AQ159" s="1" t="str">
        <f t="shared" si="46"/>
        <v/>
      </c>
      <c r="AR159" s="1" t="str">
        <f t="shared" si="46"/>
        <v/>
      </c>
      <c r="AS159" s="1" t="str">
        <f t="shared" si="46"/>
        <v/>
      </c>
      <c r="AT159" s="1" t="str">
        <f t="shared" si="46"/>
        <v/>
      </c>
      <c r="AU159" s="1" t="str">
        <f t="shared" si="46"/>
        <v/>
      </c>
      <c r="AV159" s="1" t="str">
        <f t="shared" si="46"/>
        <v/>
      </c>
      <c r="AW159" s="1" t="str">
        <f t="shared" si="45"/>
        <v/>
      </c>
      <c r="AX159" s="1" t="str">
        <f t="shared" si="45"/>
        <v/>
      </c>
      <c r="AY159" s="1" t="str">
        <f t="shared" si="45"/>
        <v/>
      </c>
      <c r="AZ159" s="1" t="str">
        <f t="shared" si="45"/>
        <v/>
      </c>
      <c r="BA159" s="1">
        <f t="shared" si="45"/>
        <v>0.96638208478537124</v>
      </c>
      <c r="BB159" s="1">
        <f t="shared" si="45"/>
        <v>510.27777777777777</v>
      </c>
      <c r="BC159" s="1">
        <f t="shared" si="45"/>
        <v>1.9291107514699073</v>
      </c>
    </row>
    <row r="160" spans="1:55" x14ac:dyDescent="0.25">
      <c r="A160" s="30" t="s">
        <v>60</v>
      </c>
      <c r="B160" s="32" t="s">
        <v>23</v>
      </c>
      <c r="C160" s="31" t="s">
        <v>49</v>
      </c>
      <c r="D160" s="2"/>
      <c r="E160" s="2"/>
      <c r="F160" s="51">
        <f t="shared" si="47"/>
        <v>0</v>
      </c>
      <c r="G160" s="51">
        <f t="shared" si="44"/>
        <v>0</v>
      </c>
      <c r="H160" s="51">
        <f t="shared" si="44"/>
        <v>0</v>
      </c>
      <c r="I160" s="51">
        <f t="shared" si="44"/>
        <v>0</v>
      </c>
      <c r="J160" s="77">
        <v>40</v>
      </c>
      <c r="K160" s="77">
        <v>40</v>
      </c>
      <c r="L160" s="52">
        <f t="shared" si="44"/>
        <v>0</v>
      </c>
      <c r="M160" s="51">
        <f t="shared" si="44"/>
        <v>0</v>
      </c>
      <c r="N160" s="51">
        <f t="shared" si="44"/>
        <v>0</v>
      </c>
      <c r="O160" s="51">
        <f t="shared" si="44"/>
        <v>0</v>
      </c>
      <c r="P160" s="51">
        <f t="shared" si="44"/>
        <v>0</v>
      </c>
      <c r="Q160" s="51">
        <f t="shared" si="44"/>
        <v>0</v>
      </c>
      <c r="R160" s="51">
        <f t="shared" si="44"/>
        <v>0</v>
      </c>
      <c r="S160" s="77">
        <v>100</v>
      </c>
      <c r="T160" s="77">
        <v>406</v>
      </c>
      <c r="U160" s="51">
        <f t="shared" si="44"/>
        <v>0</v>
      </c>
      <c r="V160" s="77">
        <v>406</v>
      </c>
      <c r="W160" s="51">
        <f t="shared" si="44"/>
        <v>0</v>
      </c>
      <c r="X160" s="77">
        <v>100</v>
      </c>
      <c r="Y160" s="59">
        <f t="shared" si="44"/>
        <v>40</v>
      </c>
      <c r="Z160" s="51">
        <f t="shared" si="44"/>
        <v>206.70944343702052</v>
      </c>
      <c r="AA160" s="51">
        <f t="shared" si="44"/>
        <v>55.339121729588207</v>
      </c>
      <c r="AC160" s="30" t="s">
        <v>60</v>
      </c>
      <c r="AD160" s="32" t="s">
        <v>23</v>
      </c>
      <c r="AE160" s="31" t="s">
        <v>49</v>
      </c>
      <c r="AF160" s="2"/>
      <c r="AG160" s="2"/>
      <c r="AH160" s="1" t="str">
        <f t="shared" si="46"/>
        <v/>
      </c>
      <c r="AI160" s="1" t="str">
        <f t="shared" si="46"/>
        <v/>
      </c>
      <c r="AJ160" s="1" t="str">
        <f t="shared" si="46"/>
        <v/>
      </c>
      <c r="AK160" s="1" t="str">
        <f t="shared" si="46"/>
        <v/>
      </c>
      <c r="AL160" s="1">
        <f t="shared" si="46"/>
        <v>10.472727272727273</v>
      </c>
      <c r="AM160" s="1">
        <f t="shared" si="46"/>
        <v>9.795918367346939</v>
      </c>
      <c r="AN160" s="52" t="str">
        <f t="shared" si="46"/>
        <v/>
      </c>
      <c r="AO160" s="1" t="str">
        <f t="shared" si="46"/>
        <v/>
      </c>
      <c r="AP160" s="1" t="str">
        <f t="shared" si="46"/>
        <v/>
      </c>
      <c r="AQ160" s="1" t="str">
        <f t="shared" si="46"/>
        <v/>
      </c>
      <c r="AR160" s="1" t="str">
        <f t="shared" si="46"/>
        <v/>
      </c>
      <c r="AS160" s="1" t="str">
        <f t="shared" si="46"/>
        <v/>
      </c>
      <c r="AT160" s="1" t="str">
        <f t="shared" si="46"/>
        <v/>
      </c>
      <c r="AU160" s="1">
        <f t="shared" si="46"/>
        <v>24.489795918367346</v>
      </c>
      <c r="AV160" s="1">
        <f t="shared" si="46"/>
        <v>162.4</v>
      </c>
      <c r="AW160" s="1" t="str">
        <f t="shared" si="45"/>
        <v/>
      </c>
      <c r="AX160" s="1">
        <f t="shared" si="45"/>
        <v>365.4</v>
      </c>
      <c r="AY160" s="1" t="str">
        <f t="shared" si="45"/>
        <v/>
      </c>
      <c r="AZ160" s="1">
        <f t="shared" si="45"/>
        <v>90</v>
      </c>
      <c r="BA160" s="1">
        <f t="shared" si="45"/>
        <v>10.329985652797705</v>
      </c>
      <c r="BB160" s="1">
        <f t="shared" si="45"/>
        <v>94.387873715534482</v>
      </c>
      <c r="BC160" s="1">
        <f t="shared" si="45"/>
        <v>19.106413654283436</v>
      </c>
    </row>
    <row r="161" spans="1:55" x14ac:dyDescent="0.25">
      <c r="A161" s="30" t="s">
        <v>60</v>
      </c>
      <c r="B161" s="32" t="s">
        <v>23</v>
      </c>
      <c r="C161" s="31" t="s">
        <v>64</v>
      </c>
      <c r="D161" s="2"/>
      <c r="E161" s="2"/>
      <c r="F161" s="51">
        <f t="shared" si="47"/>
        <v>0</v>
      </c>
      <c r="G161" s="51">
        <f t="shared" si="44"/>
        <v>0</v>
      </c>
      <c r="H161" s="51">
        <f t="shared" si="44"/>
        <v>0</v>
      </c>
      <c r="I161" s="51">
        <f t="shared" si="44"/>
        <v>0</v>
      </c>
      <c r="J161" s="51">
        <f t="shared" si="44"/>
        <v>0</v>
      </c>
      <c r="K161" s="51">
        <f t="shared" si="44"/>
        <v>0</v>
      </c>
      <c r="L161" s="52">
        <f t="shared" si="44"/>
        <v>0</v>
      </c>
      <c r="M161" s="51">
        <f t="shared" si="44"/>
        <v>0</v>
      </c>
      <c r="N161" s="51">
        <f t="shared" si="44"/>
        <v>0</v>
      </c>
      <c r="O161" s="51">
        <f t="shared" si="44"/>
        <v>0</v>
      </c>
      <c r="P161" s="51">
        <f t="shared" si="44"/>
        <v>0</v>
      </c>
      <c r="Q161" s="51">
        <f t="shared" si="44"/>
        <v>0</v>
      </c>
      <c r="R161" s="51">
        <f t="shared" si="44"/>
        <v>0</v>
      </c>
      <c r="S161" s="51">
        <f t="shared" si="44"/>
        <v>0</v>
      </c>
      <c r="T161" s="51">
        <f t="shared" si="44"/>
        <v>0</v>
      </c>
      <c r="U161" s="51">
        <f t="shared" si="44"/>
        <v>0</v>
      </c>
      <c r="V161" s="51">
        <f t="shared" si="44"/>
        <v>0</v>
      </c>
      <c r="W161" s="51">
        <f t="shared" si="44"/>
        <v>0</v>
      </c>
      <c r="X161" s="55">
        <f t="shared" si="44"/>
        <v>0</v>
      </c>
      <c r="Y161" s="59">
        <f t="shared" si="44"/>
        <v>0</v>
      </c>
      <c r="Z161" s="51">
        <f t="shared" si="44"/>
        <v>0</v>
      </c>
      <c r="AA161" s="51">
        <f t="shared" si="44"/>
        <v>0</v>
      </c>
      <c r="AC161" s="30" t="s">
        <v>60</v>
      </c>
      <c r="AD161" s="32" t="s">
        <v>23</v>
      </c>
      <c r="AE161" s="31" t="s">
        <v>64</v>
      </c>
      <c r="AF161" s="2"/>
      <c r="AG161" s="2"/>
      <c r="AH161" s="1" t="str">
        <f t="shared" si="46"/>
        <v/>
      </c>
      <c r="AI161" s="1" t="str">
        <f t="shared" si="46"/>
        <v/>
      </c>
      <c r="AJ161" s="1" t="str">
        <f t="shared" si="46"/>
        <v/>
      </c>
      <c r="AK161" s="1" t="str">
        <f t="shared" si="46"/>
        <v/>
      </c>
      <c r="AL161" s="1" t="str">
        <f t="shared" si="46"/>
        <v/>
      </c>
      <c r="AM161" s="1" t="str">
        <f t="shared" si="46"/>
        <v/>
      </c>
      <c r="AN161" s="52" t="str">
        <f t="shared" si="46"/>
        <v/>
      </c>
      <c r="AO161" s="1" t="str">
        <f t="shared" si="46"/>
        <v/>
      </c>
      <c r="AP161" s="1" t="str">
        <f t="shared" si="46"/>
        <v/>
      </c>
      <c r="AQ161" s="1" t="str">
        <f t="shared" si="46"/>
        <v/>
      </c>
      <c r="AR161" s="1" t="str">
        <f t="shared" si="46"/>
        <v/>
      </c>
      <c r="AS161" s="1" t="str">
        <f t="shared" si="46"/>
        <v/>
      </c>
      <c r="AT161" s="1" t="str">
        <f t="shared" si="46"/>
        <v/>
      </c>
      <c r="AU161" s="1" t="str">
        <f t="shared" si="46"/>
        <v/>
      </c>
      <c r="AV161" s="1" t="str">
        <f t="shared" si="46"/>
        <v/>
      </c>
      <c r="AW161" s="1" t="str">
        <f t="shared" si="45"/>
        <v/>
      </c>
      <c r="AX161" s="1" t="str">
        <f t="shared" si="45"/>
        <v/>
      </c>
      <c r="AY161" s="1" t="str">
        <f t="shared" si="45"/>
        <v/>
      </c>
      <c r="AZ161" s="1" t="str">
        <f t="shared" si="45"/>
        <v/>
      </c>
      <c r="BA161" s="1" t="str">
        <f t="shared" si="45"/>
        <v/>
      </c>
      <c r="BB161" s="1" t="str">
        <f t="shared" si="45"/>
        <v/>
      </c>
      <c r="BC161" s="1" t="str">
        <f t="shared" si="45"/>
        <v/>
      </c>
    </row>
    <row r="162" spans="1:55" x14ac:dyDescent="0.25">
      <c r="A162" s="30" t="s">
        <v>60</v>
      </c>
      <c r="B162" s="32" t="s">
        <v>65</v>
      </c>
      <c r="C162" s="31" t="s">
        <v>66</v>
      </c>
      <c r="D162" s="2"/>
      <c r="E162" s="2"/>
      <c r="F162" s="51">
        <f t="shared" si="47"/>
        <v>0</v>
      </c>
      <c r="G162" s="51">
        <f t="shared" si="44"/>
        <v>0</v>
      </c>
      <c r="H162" s="51">
        <f t="shared" si="44"/>
        <v>0</v>
      </c>
      <c r="I162" s="51">
        <f t="shared" si="44"/>
        <v>0</v>
      </c>
      <c r="J162" s="77">
        <v>56</v>
      </c>
      <c r="K162" s="51">
        <f t="shared" si="44"/>
        <v>0</v>
      </c>
      <c r="L162" s="52">
        <f t="shared" si="44"/>
        <v>0</v>
      </c>
      <c r="M162" s="77">
        <f>300</f>
        <v>300</v>
      </c>
      <c r="N162" s="51">
        <f t="shared" si="44"/>
        <v>0</v>
      </c>
      <c r="O162" s="51">
        <f t="shared" si="44"/>
        <v>0</v>
      </c>
      <c r="P162" s="51">
        <f t="shared" si="44"/>
        <v>0</v>
      </c>
      <c r="Q162" s="51">
        <f t="shared" si="44"/>
        <v>0</v>
      </c>
      <c r="R162" s="51">
        <f t="shared" si="44"/>
        <v>0</v>
      </c>
      <c r="S162" s="51">
        <f t="shared" si="44"/>
        <v>0</v>
      </c>
      <c r="T162" s="51">
        <f t="shared" si="44"/>
        <v>0</v>
      </c>
      <c r="U162" s="51">
        <f t="shared" si="44"/>
        <v>0</v>
      </c>
      <c r="V162" s="51">
        <f t="shared" si="44"/>
        <v>0</v>
      </c>
      <c r="W162" s="51">
        <f t="shared" si="44"/>
        <v>0</v>
      </c>
      <c r="X162" s="55">
        <f t="shared" si="44"/>
        <v>0</v>
      </c>
      <c r="Y162" s="59">
        <f t="shared" si="44"/>
        <v>56</v>
      </c>
      <c r="Z162" s="51">
        <f t="shared" si="44"/>
        <v>300</v>
      </c>
      <c r="AA162" s="51">
        <f t="shared" si="44"/>
        <v>133.63636363636365</v>
      </c>
      <c r="AC162" s="30" t="s">
        <v>60</v>
      </c>
      <c r="AD162" s="32" t="s">
        <v>65</v>
      </c>
      <c r="AE162" s="31" t="s">
        <v>66</v>
      </c>
      <c r="AF162" s="2"/>
      <c r="AG162" s="2"/>
      <c r="AH162" s="1" t="str">
        <f t="shared" si="46"/>
        <v/>
      </c>
      <c r="AI162" s="1" t="str">
        <f t="shared" si="46"/>
        <v/>
      </c>
      <c r="AJ162" s="1" t="str">
        <f t="shared" si="46"/>
        <v/>
      </c>
      <c r="AK162" s="1" t="str">
        <f t="shared" si="46"/>
        <v/>
      </c>
      <c r="AL162" s="1">
        <f t="shared" si="46"/>
        <v>6.72</v>
      </c>
      <c r="AM162" s="1" t="str">
        <f t="shared" si="46"/>
        <v/>
      </c>
      <c r="AN162" s="52" t="str">
        <f t="shared" si="46"/>
        <v/>
      </c>
      <c r="AO162" s="1">
        <f t="shared" si="46"/>
        <v>35.999999999999993</v>
      </c>
      <c r="AP162" s="1" t="str">
        <f t="shared" si="46"/>
        <v/>
      </c>
      <c r="AQ162" s="1" t="str">
        <f t="shared" si="46"/>
        <v/>
      </c>
      <c r="AR162" s="1" t="str">
        <f t="shared" si="46"/>
        <v/>
      </c>
      <c r="AS162" s="1" t="str">
        <f t="shared" si="46"/>
        <v/>
      </c>
      <c r="AT162" s="1" t="str">
        <f t="shared" si="46"/>
        <v/>
      </c>
      <c r="AU162" s="1" t="str">
        <f t="shared" si="46"/>
        <v/>
      </c>
      <c r="AV162" s="1" t="str">
        <f t="shared" si="46"/>
        <v/>
      </c>
      <c r="AW162" s="1" t="str">
        <f t="shared" si="45"/>
        <v/>
      </c>
      <c r="AX162" s="1" t="str">
        <f t="shared" si="45"/>
        <v/>
      </c>
      <c r="AY162" s="1" t="str">
        <f t="shared" si="45"/>
        <v/>
      </c>
      <c r="AZ162" s="1" t="str">
        <f t="shared" si="45"/>
        <v/>
      </c>
      <c r="BA162" s="1">
        <f t="shared" si="45"/>
        <v>6.72</v>
      </c>
      <c r="BB162" s="1">
        <f t="shared" si="45"/>
        <v>35.999999999999993</v>
      </c>
      <c r="BC162" s="1">
        <f t="shared" si="45"/>
        <v>16.036363636363635</v>
      </c>
    </row>
    <row r="163" spans="1:55" x14ac:dyDescent="0.25">
      <c r="A163" s="30" t="s">
        <v>60</v>
      </c>
      <c r="B163" s="32" t="s">
        <v>65</v>
      </c>
      <c r="C163" s="31" t="s">
        <v>67</v>
      </c>
      <c r="D163" s="2"/>
      <c r="E163" s="2"/>
      <c r="F163" s="51">
        <f t="shared" si="47"/>
        <v>0</v>
      </c>
      <c r="G163" s="51">
        <f t="shared" si="44"/>
        <v>0</v>
      </c>
      <c r="H163" s="51">
        <f t="shared" si="44"/>
        <v>0</v>
      </c>
      <c r="I163" s="51">
        <f t="shared" si="44"/>
        <v>0</v>
      </c>
      <c r="J163" s="51">
        <f t="shared" si="44"/>
        <v>0</v>
      </c>
      <c r="K163" s="51">
        <f t="shared" si="44"/>
        <v>0</v>
      </c>
      <c r="L163" s="52">
        <f t="shared" si="44"/>
        <v>0</v>
      </c>
      <c r="M163" s="51">
        <f t="shared" si="44"/>
        <v>0</v>
      </c>
      <c r="N163" s="51">
        <f t="shared" si="44"/>
        <v>0</v>
      </c>
      <c r="O163" s="51">
        <f t="shared" si="44"/>
        <v>0</v>
      </c>
      <c r="P163" s="51">
        <f t="shared" si="44"/>
        <v>0</v>
      </c>
      <c r="Q163" s="77">
        <v>940</v>
      </c>
      <c r="R163" s="77">
        <v>426</v>
      </c>
      <c r="S163" s="51">
        <f t="shared" si="44"/>
        <v>0</v>
      </c>
      <c r="T163" s="77">
        <v>426</v>
      </c>
      <c r="U163" s="77">
        <v>426</v>
      </c>
      <c r="V163" s="77">
        <v>426</v>
      </c>
      <c r="W163" s="77">
        <v>426</v>
      </c>
      <c r="X163" s="79">
        <v>426</v>
      </c>
      <c r="Y163" s="59">
        <f t="shared" si="44"/>
        <v>0</v>
      </c>
      <c r="Z163" s="51">
        <f t="shared" si="44"/>
        <v>519.16781053924353</v>
      </c>
      <c r="AA163" s="51">
        <f t="shared" si="44"/>
        <v>519.16781053924353</v>
      </c>
      <c r="AC163" s="30" t="s">
        <v>60</v>
      </c>
      <c r="AD163" s="32" t="s">
        <v>65</v>
      </c>
      <c r="AE163" s="31" t="s">
        <v>67</v>
      </c>
      <c r="AF163" s="2"/>
      <c r="AG163" s="2"/>
      <c r="AH163" s="1" t="str">
        <f t="shared" si="46"/>
        <v/>
      </c>
      <c r="AI163" s="1" t="str">
        <f t="shared" si="46"/>
        <v/>
      </c>
      <c r="AJ163" s="1" t="str">
        <f t="shared" si="46"/>
        <v/>
      </c>
      <c r="AK163" s="1" t="str">
        <f t="shared" si="46"/>
        <v/>
      </c>
      <c r="AL163" s="1" t="str">
        <f t="shared" si="46"/>
        <v/>
      </c>
      <c r="AM163" s="1" t="str">
        <f t="shared" si="46"/>
        <v/>
      </c>
      <c r="AN163" s="52" t="str">
        <f t="shared" si="46"/>
        <v/>
      </c>
      <c r="AO163" s="1" t="str">
        <f t="shared" si="46"/>
        <v/>
      </c>
      <c r="AP163" s="1" t="str">
        <f t="shared" si="46"/>
        <v/>
      </c>
      <c r="AQ163" s="1" t="str">
        <f t="shared" si="46"/>
        <v/>
      </c>
      <c r="AR163" s="1" t="str">
        <f t="shared" si="46"/>
        <v/>
      </c>
      <c r="AS163" s="1">
        <f t="shared" si="46"/>
        <v>141</v>
      </c>
      <c r="AT163" s="1">
        <f t="shared" si="46"/>
        <v>76.679999999999993</v>
      </c>
      <c r="AU163" s="1" t="str">
        <f t="shared" si="46"/>
        <v/>
      </c>
      <c r="AV163" s="1">
        <f t="shared" si="46"/>
        <v>76.679999999999993</v>
      </c>
      <c r="AW163" s="1">
        <f t="shared" si="45"/>
        <v>93.72</v>
      </c>
      <c r="AX163" s="1">
        <f t="shared" si="45"/>
        <v>51.11999999999999</v>
      </c>
      <c r="AY163" s="1">
        <f t="shared" si="45"/>
        <v>51.12</v>
      </c>
      <c r="AZ163" s="1">
        <f t="shared" si="45"/>
        <v>51.12</v>
      </c>
      <c r="BA163" s="1" t="str">
        <f t="shared" si="45"/>
        <v/>
      </c>
      <c r="BB163" s="1">
        <f t="shared" si="45"/>
        <v>82.352610742534921</v>
      </c>
      <c r="BC163" s="1">
        <f t="shared" si="45"/>
        <v>82.352610742534921</v>
      </c>
    </row>
    <row r="164" spans="1:55" x14ac:dyDescent="0.25">
      <c r="A164" s="30" t="s">
        <v>60</v>
      </c>
      <c r="B164" s="32" t="s">
        <v>65</v>
      </c>
      <c r="C164" s="31" t="s">
        <v>68</v>
      </c>
      <c r="D164" s="2"/>
      <c r="E164" s="2"/>
      <c r="F164" s="51">
        <f t="shared" si="47"/>
        <v>0</v>
      </c>
      <c r="G164" s="51">
        <f t="shared" si="44"/>
        <v>0</v>
      </c>
      <c r="H164" s="51">
        <f t="shared" si="44"/>
        <v>0</v>
      </c>
      <c r="I164" s="51">
        <f t="shared" si="44"/>
        <v>0</v>
      </c>
      <c r="J164" s="51">
        <f t="shared" si="44"/>
        <v>0</v>
      </c>
      <c r="K164" s="51">
        <f t="shared" si="44"/>
        <v>0</v>
      </c>
      <c r="L164" s="77">
        <v>750</v>
      </c>
      <c r="M164" s="51">
        <f t="shared" si="44"/>
        <v>0</v>
      </c>
      <c r="N164" s="51">
        <f t="shared" si="44"/>
        <v>0</v>
      </c>
      <c r="O164" s="51">
        <f t="shared" si="44"/>
        <v>0</v>
      </c>
      <c r="P164" s="51">
        <f t="shared" si="44"/>
        <v>0</v>
      </c>
      <c r="Q164" s="51">
        <f t="shared" si="44"/>
        <v>0</v>
      </c>
      <c r="R164" s="51">
        <f t="shared" si="44"/>
        <v>0</v>
      </c>
      <c r="S164" s="51">
        <f t="shared" si="44"/>
        <v>0</v>
      </c>
      <c r="T164" s="51">
        <f t="shared" si="44"/>
        <v>0</v>
      </c>
      <c r="U164" s="51">
        <f t="shared" si="44"/>
        <v>0</v>
      </c>
      <c r="V164" s="51">
        <f t="shared" si="44"/>
        <v>0</v>
      </c>
      <c r="W164" s="51">
        <f t="shared" si="44"/>
        <v>0</v>
      </c>
      <c r="X164" s="55">
        <f t="shared" si="44"/>
        <v>0</v>
      </c>
      <c r="Y164" s="59">
        <f t="shared" si="44"/>
        <v>0</v>
      </c>
      <c r="Z164" s="51">
        <f t="shared" si="44"/>
        <v>0</v>
      </c>
      <c r="AA164" s="51">
        <f t="shared" si="44"/>
        <v>750</v>
      </c>
      <c r="AC164" s="30" t="s">
        <v>60</v>
      </c>
      <c r="AD164" s="32" t="s">
        <v>65</v>
      </c>
      <c r="AE164" s="31" t="s">
        <v>68</v>
      </c>
      <c r="AF164" s="2"/>
      <c r="AG164" s="2"/>
      <c r="AH164" s="1" t="str">
        <f t="shared" si="46"/>
        <v/>
      </c>
      <c r="AI164" s="1" t="str">
        <f t="shared" si="46"/>
        <v/>
      </c>
      <c r="AJ164" s="1" t="str">
        <f t="shared" si="46"/>
        <v/>
      </c>
      <c r="AK164" s="1" t="str">
        <f t="shared" si="46"/>
        <v/>
      </c>
      <c r="AL164" s="1" t="str">
        <f t="shared" si="46"/>
        <v/>
      </c>
      <c r="AM164" s="1" t="str">
        <f t="shared" si="46"/>
        <v/>
      </c>
      <c r="AN164" s="52">
        <f t="shared" si="46"/>
        <v>67.5</v>
      </c>
      <c r="AO164" s="1" t="str">
        <f t="shared" si="46"/>
        <v/>
      </c>
      <c r="AP164" s="1" t="str">
        <f t="shared" si="46"/>
        <v/>
      </c>
      <c r="AQ164" s="1" t="str">
        <f t="shared" si="46"/>
        <v/>
      </c>
      <c r="AR164" s="1" t="str">
        <f t="shared" si="46"/>
        <v/>
      </c>
      <c r="AS164" s="1" t="str">
        <f t="shared" si="46"/>
        <v/>
      </c>
      <c r="AT164" s="1" t="str">
        <f t="shared" si="46"/>
        <v/>
      </c>
      <c r="AU164" s="1" t="str">
        <f t="shared" si="46"/>
        <v/>
      </c>
      <c r="AV164" s="1" t="str">
        <f t="shared" si="46"/>
        <v/>
      </c>
      <c r="AW164" s="1" t="str">
        <f t="shared" si="45"/>
        <v/>
      </c>
      <c r="AX164" s="1" t="str">
        <f t="shared" si="45"/>
        <v/>
      </c>
      <c r="AY164" s="1" t="str">
        <f t="shared" si="45"/>
        <v/>
      </c>
      <c r="AZ164" s="1" t="str">
        <f t="shared" si="45"/>
        <v/>
      </c>
      <c r="BA164" s="1" t="str">
        <f t="shared" si="45"/>
        <v/>
      </c>
      <c r="BB164" s="1" t="str">
        <f t="shared" si="45"/>
        <v/>
      </c>
      <c r="BC164" s="1">
        <f t="shared" si="45"/>
        <v>67.5</v>
      </c>
    </row>
    <row r="165" spans="1:55" x14ac:dyDescent="0.25">
      <c r="A165" s="30" t="s">
        <v>60</v>
      </c>
      <c r="B165" s="32" t="s">
        <v>9</v>
      </c>
      <c r="C165" s="31" t="s">
        <v>69</v>
      </c>
      <c r="D165" s="2"/>
      <c r="E165" s="2"/>
      <c r="F165" s="51">
        <f t="shared" si="47"/>
        <v>0</v>
      </c>
      <c r="G165" s="51">
        <f t="shared" si="44"/>
        <v>0</v>
      </c>
      <c r="H165" s="51">
        <f t="shared" si="44"/>
        <v>0</v>
      </c>
      <c r="I165" s="51">
        <f t="shared" si="44"/>
        <v>0</v>
      </c>
      <c r="J165" s="51">
        <f t="shared" si="44"/>
        <v>0</v>
      </c>
      <c r="K165" s="51">
        <f t="shared" si="44"/>
        <v>0</v>
      </c>
      <c r="L165" s="52">
        <f t="shared" si="44"/>
        <v>0</v>
      </c>
      <c r="M165" s="51">
        <f t="shared" si="44"/>
        <v>0</v>
      </c>
      <c r="N165" s="51">
        <f t="shared" si="44"/>
        <v>0</v>
      </c>
      <c r="O165" s="51">
        <f t="shared" si="44"/>
        <v>0</v>
      </c>
      <c r="P165" s="51">
        <f t="shared" si="44"/>
        <v>0</v>
      </c>
      <c r="Q165" s="51">
        <f t="shared" si="44"/>
        <v>0</v>
      </c>
      <c r="R165" s="51">
        <f t="shared" si="44"/>
        <v>0</v>
      </c>
      <c r="S165" s="51">
        <f t="shared" si="44"/>
        <v>0</v>
      </c>
      <c r="T165" s="51">
        <f t="shared" si="44"/>
        <v>0</v>
      </c>
      <c r="U165" s="51">
        <f t="shared" si="44"/>
        <v>0</v>
      </c>
      <c r="V165" s="51">
        <f t="shared" si="44"/>
        <v>0</v>
      </c>
      <c r="W165" s="51">
        <f t="shared" si="44"/>
        <v>0</v>
      </c>
      <c r="X165" s="79">
        <v>426</v>
      </c>
      <c r="Y165" s="59">
        <f t="shared" si="44"/>
        <v>0</v>
      </c>
      <c r="Z165" s="51">
        <f t="shared" si="44"/>
        <v>643.56672000000003</v>
      </c>
      <c r="AA165" s="51">
        <f t="shared" si="44"/>
        <v>643.56672000000003</v>
      </c>
      <c r="AC165" s="30" t="s">
        <v>60</v>
      </c>
      <c r="AD165" s="32" t="s">
        <v>9</v>
      </c>
      <c r="AE165" s="31" t="s">
        <v>69</v>
      </c>
      <c r="AF165" s="2"/>
      <c r="AG165" s="2"/>
      <c r="AH165" s="1" t="str">
        <f t="shared" si="46"/>
        <v/>
      </c>
      <c r="AI165" s="1" t="str">
        <f t="shared" si="46"/>
        <v/>
      </c>
      <c r="AJ165" s="1" t="str">
        <f t="shared" si="46"/>
        <v/>
      </c>
      <c r="AK165" s="1" t="str">
        <f t="shared" si="46"/>
        <v/>
      </c>
      <c r="AL165" s="1" t="str">
        <f t="shared" si="46"/>
        <v/>
      </c>
      <c r="AM165" s="1" t="str">
        <f t="shared" si="46"/>
        <v/>
      </c>
      <c r="AN165" s="52" t="str">
        <f t="shared" si="46"/>
        <v/>
      </c>
      <c r="AO165" s="1" t="str">
        <f t="shared" si="46"/>
        <v/>
      </c>
      <c r="AP165" s="1" t="str">
        <f t="shared" si="46"/>
        <v/>
      </c>
      <c r="AQ165" s="1" t="str">
        <f t="shared" si="46"/>
        <v/>
      </c>
      <c r="AR165" s="1" t="str">
        <f t="shared" si="46"/>
        <v/>
      </c>
      <c r="AS165" s="1" t="str">
        <f t="shared" si="46"/>
        <v/>
      </c>
      <c r="AT165" s="1" t="str">
        <f t="shared" si="46"/>
        <v/>
      </c>
      <c r="AU165" s="1" t="str">
        <f t="shared" si="46"/>
        <v/>
      </c>
      <c r="AV165" s="1" t="str">
        <f t="shared" si="46"/>
        <v/>
      </c>
      <c r="AW165" s="1" t="str">
        <f t="shared" si="45"/>
        <v/>
      </c>
      <c r="AX165" s="1" t="str">
        <f t="shared" si="45"/>
        <v/>
      </c>
      <c r="AY165" s="1" t="str">
        <f t="shared" si="45"/>
        <v/>
      </c>
      <c r="AZ165" s="1">
        <f t="shared" si="45"/>
        <v>178.92000000000002</v>
      </c>
      <c r="BA165" s="1" t="str">
        <f t="shared" si="45"/>
        <v/>
      </c>
      <c r="BB165" s="1">
        <f t="shared" si="45"/>
        <v>396.48671999999999</v>
      </c>
      <c r="BC165" s="1">
        <f t="shared" si="45"/>
        <v>396.48671999999999</v>
      </c>
    </row>
    <row r="166" spans="1:55" x14ac:dyDescent="0.25">
      <c r="A166" s="15" t="s">
        <v>51</v>
      </c>
      <c r="B166" s="16" t="s">
        <v>56</v>
      </c>
      <c r="C166" s="27" t="s">
        <v>57</v>
      </c>
      <c r="D166" s="16" t="s">
        <v>70</v>
      </c>
      <c r="E166" s="16"/>
      <c r="F166" s="1">
        <f t="shared" si="47"/>
        <v>0</v>
      </c>
      <c r="G166" s="1">
        <f t="shared" si="44"/>
        <v>0</v>
      </c>
      <c r="H166" s="1">
        <f t="shared" si="44"/>
        <v>0</v>
      </c>
      <c r="I166" s="1">
        <f t="shared" si="44"/>
        <v>0</v>
      </c>
      <c r="J166" s="1">
        <f t="shared" si="44"/>
        <v>0</v>
      </c>
      <c r="K166" s="1">
        <f t="shared" si="44"/>
        <v>0</v>
      </c>
      <c r="L166" s="52">
        <f t="shared" si="44"/>
        <v>0</v>
      </c>
      <c r="M166" s="1">
        <f t="shared" si="44"/>
        <v>0</v>
      </c>
      <c r="N166" s="1">
        <f t="shared" si="44"/>
        <v>0</v>
      </c>
      <c r="O166" s="1">
        <f t="shared" si="44"/>
        <v>0</v>
      </c>
      <c r="P166" s="1">
        <f t="shared" si="44"/>
        <v>0</v>
      </c>
      <c r="Q166" s="1">
        <f t="shared" si="44"/>
        <v>0</v>
      </c>
      <c r="R166" s="1">
        <f t="shared" si="44"/>
        <v>0</v>
      </c>
      <c r="S166" s="1">
        <f t="shared" si="44"/>
        <v>0</v>
      </c>
      <c r="T166" s="1">
        <f t="shared" si="44"/>
        <v>0</v>
      </c>
      <c r="U166" s="1">
        <f t="shared" ref="G166:AA180" si="48">IF(U211&gt;0,U31/U211,0)</f>
        <v>0</v>
      </c>
      <c r="V166" s="1">
        <f t="shared" si="48"/>
        <v>0</v>
      </c>
      <c r="W166" s="1">
        <f t="shared" si="48"/>
        <v>0</v>
      </c>
      <c r="X166" s="54">
        <f t="shared" si="48"/>
        <v>0</v>
      </c>
      <c r="Y166" s="58">
        <f t="shared" si="48"/>
        <v>0</v>
      </c>
      <c r="Z166" s="1">
        <f t="shared" si="48"/>
        <v>0</v>
      </c>
      <c r="AA166" s="1">
        <f t="shared" si="48"/>
        <v>0</v>
      </c>
      <c r="AC166" s="15" t="s">
        <v>51</v>
      </c>
      <c r="AD166" s="16" t="s">
        <v>56</v>
      </c>
      <c r="AE166" s="27" t="s">
        <v>57</v>
      </c>
      <c r="AF166" s="16" t="s">
        <v>70</v>
      </c>
      <c r="AG166" s="16"/>
      <c r="AH166" s="90" t="str">
        <f t="shared" si="46"/>
        <v/>
      </c>
      <c r="AI166" s="90" t="str">
        <f t="shared" si="46"/>
        <v/>
      </c>
      <c r="AJ166" s="90" t="str">
        <f t="shared" si="46"/>
        <v/>
      </c>
      <c r="AK166" s="90" t="str">
        <f t="shared" si="46"/>
        <v/>
      </c>
      <c r="AL166" s="90" t="str">
        <f t="shared" si="46"/>
        <v/>
      </c>
      <c r="AM166" s="90" t="str">
        <f t="shared" si="46"/>
        <v/>
      </c>
      <c r="AN166" s="90" t="str">
        <f t="shared" si="46"/>
        <v/>
      </c>
      <c r="AO166" s="90" t="str">
        <f t="shared" si="46"/>
        <v/>
      </c>
      <c r="AP166" s="90" t="str">
        <f t="shared" si="46"/>
        <v/>
      </c>
      <c r="AQ166" s="90" t="str">
        <f t="shared" si="46"/>
        <v/>
      </c>
      <c r="AR166" s="90" t="str">
        <f t="shared" si="46"/>
        <v/>
      </c>
      <c r="AS166" s="90" t="str">
        <f t="shared" si="46"/>
        <v/>
      </c>
      <c r="AT166" s="90" t="str">
        <f t="shared" si="46"/>
        <v/>
      </c>
      <c r="AU166" s="90" t="str">
        <f t="shared" si="46"/>
        <v/>
      </c>
      <c r="AV166" s="90" t="str">
        <f t="shared" si="46"/>
        <v/>
      </c>
      <c r="AW166" s="90" t="str">
        <f t="shared" si="45"/>
        <v/>
      </c>
      <c r="AX166" s="90" t="str">
        <f t="shared" si="45"/>
        <v/>
      </c>
      <c r="AY166" s="90" t="str">
        <f t="shared" si="45"/>
        <v/>
      </c>
      <c r="AZ166" s="90" t="str">
        <f t="shared" si="45"/>
        <v/>
      </c>
      <c r="BA166" s="90" t="str">
        <f t="shared" si="45"/>
        <v/>
      </c>
      <c r="BB166" s="90" t="str">
        <f t="shared" si="45"/>
        <v/>
      </c>
      <c r="BC166" s="90" t="str">
        <f t="shared" si="45"/>
        <v/>
      </c>
    </row>
    <row r="167" spans="1:55" x14ac:dyDescent="0.25">
      <c r="A167" s="15" t="s">
        <v>51</v>
      </c>
      <c r="B167" s="16" t="s">
        <v>56</v>
      </c>
      <c r="C167" s="27" t="s">
        <v>57</v>
      </c>
      <c r="D167" s="16" t="s">
        <v>71</v>
      </c>
      <c r="E167" s="16"/>
      <c r="F167" s="1">
        <f t="shared" si="47"/>
        <v>0</v>
      </c>
      <c r="G167" s="1">
        <f t="shared" si="48"/>
        <v>0</v>
      </c>
      <c r="H167" s="1">
        <f t="shared" si="48"/>
        <v>0</v>
      </c>
      <c r="I167" s="1">
        <f t="shared" si="48"/>
        <v>0</v>
      </c>
      <c r="J167" s="1">
        <f t="shared" si="48"/>
        <v>0</v>
      </c>
      <c r="K167" s="1">
        <f t="shared" si="48"/>
        <v>0</v>
      </c>
      <c r="L167" s="52">
        <f t="shared" si="48"/>
        <v>0</v>
      </c>
      <c r="M167" s="1">
        <f t="shared" si="48"/>
        <v>0</v>
      </c>
      <c r="N167" s="1">
        <f t="shared" si="48"/>
        <v>0</v>
      </c>
      <c r="O167" s="1">
        <f t="shared" si="48"/>
        <v>0</v>
      </c>
      <c r="P167" s="1">
        <f t="shared" si="48"/>
        <v>0</v>
      </c>
      <c r="Q167" s="1">
        <f t="shared" si="48"/>
        <v>0</v>
      </c>
      <c r="R167" s="1">
        <f t="shared" si="48"/>
        <v>0</v>
      </c>
      <c r="S167" s="1">
        <f t="shared" si="48"/>
        <v>0</v>
      </c>
      <c r="T167" s="1">
        <f t="shared" si="48"/>
        <v>0</v>
      </c>
      <c r="U167" s="1">
        <f t="shared" si="48"/>
        <v>0</v>
      </c>
      <c r="V167" s="1">
        <f t="shared" si="48"/>
        <v>0</v>
      </c>
      <c r="W167" s="1">
        <f t="shared" si="48"/>
        <v>0</v>
      </c>
      <c r="X167" s="54">
        <f t="shared" si="48"/>
        <v>0</v>
      </c>
      <c r="Y167" s="58">
        <f t="shared" si="48"/>
        <v>0</v>
      </c>
      <c r="Z167" s="1">
        <f t="shared" si="48"/>
        <v>0</v>
      </c>
      <c r="AA167" s="1">
        <f t="shared" si="48"/>
        <v>0</v>
      </c>
      <c r="AC167" s="15" t="s">
        <v>51</v>
      </c>
      <c r="AD167" s="16" t="s">
        <v>56</v>
      </c>
      <c r="AE167" s="27" t="s">
        <v>57</v>
      </c>
      <c r="AF167" s="16" t="s">
        <v>71</v>
      </c>
      <c r="AG167" s="16"/>
      <c r="AH167" s="90" t="str">
        <f t="shared" si="46"/>
        <v/>
      </c>
      <c r="AI167" s="90" t="str">
        <f t="shared" si="46"/>
        <v/>
      </c>
      <c r="AJ167" s="90" t="str">
        <f t="shared" si="46"/>
        <v/>
      </c>
      <c r="AK167" s="90" t="str">
        <f t="shared" si="46"/>
        <v/>
      </c>
      <c r="AL167" s="90" t="str">
        <f t="shared" si="46"/>
        <v/>
      </c>
      <c r="AM167" s="90" t="str">
        <f t="shared" si="46"/>
        <v/>
      </c>
      <c r="AN167" s="90" t="str">
        <f t="shared" si="46"/>
        <v/>
      </c>
      <c r="AO167" s="90" t="str">
        <f t="shared" si="46"/>
        <v/>
      </c>
      <c r="AP167" s="90" t="str">
        <f t="shared" si="46"/>
        <v/>
      </c>
      <c r="AQ167" s="90" t="str">
        <f t="shared" si="46"/>
        <v/>
      </c>
      <c r="AR167" s="90" t="str">
        <f t="shared" si="46"/>
        <v/>
      </c>
      <c r="AS167" s="90" t="str">
        <f t="shared" si="46"/>
        <v/>
      </c>
      <c r="AT167" s="90" t="str">
        <f t="shared" si="46"/>
        <v/>
      </c>
      <c r="AU167" s="90" t="str">
        <f t="shared" si="46"/>
        <v/>
      </c>
      <c r="AV167" s="90" t="str">
        <f t="shared" si="46"/>
        <v/>
      </c>
      <c r="AW167" s="90" t="str">
        <f t="shared" si="45"/>
        <v/>
      </c>
      <c r="AX167" s="90" t="str">
        <f t="shared" si="45"/>
        <v/>
      </c>
      <c r="AY167" s="90" t="str">
        <f t="shared" si="45"/>
        <v/>
      </c>
      <c r="AZ167" s="90" t="str">
        <f t="shared" si="45"/>
        <v/>
      </c>
      <c r="BA167" s="90" t="str">
        <f t="shared" si="45"/>
        <v/>
      </c>
      <c r="BB167" s="90" t="str">
        <f t="shared" si="45"/>
        <v/>
      </c>
      <c r="BC167" s="90" t="str">
        <f t="shared" si="45"/>
        <v/>
      </c>
    </row>
    <row r="168" spans="1:55" x14ac:dyDescent="0.25">
      <c r="A168" s="15" t="s">
        <v>51</v>
      </c>
      <c r="B168" s="16" t="s">
        <v>56</v>
      </c>
      <c r="C168" s="27" t="s">
        <v>27</v>
      </c>
      <c r="D168" s="16" t="s">
        <v>72</v>
      </c>
      <c r="E168" s="16"/>
      <c r="F168" s="1">
        <f t="shared" si="47"/>
        <v>0</v>
      </c>
      <c r="G168" s="1">
        <f t="shared" si="48"/>
        <v>0</v>
      </c>
      <c r="H168" s="1">
        <f t="shared" si="48"/>
        <v>0</v>
      </c>
      <c r="I168" s="1">
        <f t="shared" si="48"/>
        <v>0</v>
      </c>
      <c r="J168" s="1">
        <f t="shared" si="48"/>
        <v>0</v>
      </c>
      <c r="K168" s="1">
        <f t="shared" si="48"/>
        <v>0</v>
      </c>
      <c r="L168" s="52">
        <f t="shared" si="48"/>
        <v>0</v>
      </c>
      <c r="M168" s="1">
        <f t="shared" si="48"/>
        <v>0</v>
      </c>
      <c r="N168" s="1">
        <f t="shared" si="48"/>
        <v>0</v>
      </c>
      <c r="O168" s="1">
        <f t="shared" si="48"/>
        <v>0</v>
      </c>
      <c r="P168" s="1">
        <f t="shared" si="48"/>
        <v>0</v>
      </c>
      <c r="Q168" s="1">
        <f t="shared" si="48"/>
        <v>0</v>
      </c>
      <c r="R168" s="1">
        <f t="shared" si="48"/>
        <v>0</v>
      </c>
      <c r="S168" s="1">
        <f t="shared" si="48"/>
        <v>0</v>
      </c>
      <c r="T168" s="1">
        <f t="shared" si="48"/>
        <v>0</v>
      </c>
      <c r="U168" s="1">
        <f t="shared" si="48"/>
        <v>0</v>
      </c>
      <c r="V168" s="1">
        <f t="shared" si="48"/>
        <v>0</v>
      </c>
      <c r="W168" s="1">
        <f t="shared" si="48"/>
        <v>0</v>
      </c>
      <c r="X168" s="54">
        <f t="shared" si="48"/>
        <v>0</v>
      </c>
      <c r="Y168" s="58">
        <f t="shared" si="48"/>
        <v>0</v>
      </c>
      <c r="Z168" s="1">
        <f t="shared" si="48"/>
        <v>0</v>
      </c>
      <c r="AA168" s="1">
        <f t="shared" si="48"/>
        <v>0</v>
      </c>
      <c r="AC168" s="15" t="s">
        <v>51</v>
      </c>
      <c r="AD168" s="16" t="s">
        <v>56</v>
      </c>
      <c r="AE168" s="27" t="s">
        <v>27</v>
      </c>
      <c r="AF168" s="16" t="s">
        <v>72</v>
      </c>
      <c r="AG168" s="16"/>
      <c r="AH168" s="90" t="str">
        <f t="shared" si="46"/>
        <v/>
      </c>
      <c r="AI168" s="90" t="str">
        <f t="shared" si="46"/>
        <v/>
      </c>
      <c r="AJ168" s="90" t="str">
        <f t="shared" si="46"/>
        <v/>
      </c>
      <c r="AK168" s="90" t="str">
        <f t="shared" si="46"/>
        <v/>
      </c>
      <c r="AL168" s="90" t="str">
        <f t="shared" si="46"/>
        <v/>
      </c>
      <c r="AM168" s="90" t="str">
        <f t="shared" si="46"/>
        <v/>
      </c>
      <c r="AN168" s="90" t="str">
        <f t="shared" si="46"/>
        <v/>
      </c>
      <c r="AO168" s="90" t="str">
        <f t="shared" si="46"/>
        <v/>
      </c>
      <c r="AP168" s="90" t="str">
        <f t="shared" si="46"/>
        <v/>
      </c>
      <c r="AQ168" s="90" t="str">
        <f t="shared" si="46"/>
        <v/>
      </c>
      <c r="AR168" s="90" t="str">
        <f t="shared" si="46"/>
        <v/>
      </c>
      <c r="AS168" s="90" t="str">
        <f t="shared" si="46"/>
        <v/>
      </c>
      <c r="AT168" s="90" t="str">
        <f t="shared" si="46"/>
        <v/>
      </c>
      <c r="AU168" s="90" t="str">
        <f t="shared" si="46"/>
        <v/>
      </c>
      <c r="AV168" s="90" t="str">
        <f t="shared" si="46"/>
        <v/>
      </c>
      <c r="AW168" s="90" t="str">
        <f t="shared" si="45"/>
        <v/>
      </c>
      <c r="AX168" s="90" t="str">
        <f t="shared" si="45"/>
        <v/>
      </c>
      <c r="AY168" s="90" t="str">
        <f t="shared" si="45"/>
        <v/>
      </c>
      <c r="AZ168" s="90" t="str">
        <f t="shared" si="45"/>
        <v/>
      </c>
      <c r="BA168" s="90" t="str">
        <f t="shared" si="45"/>
        <v/>
      </c>
      <c r="BB168" s="90" t="str">
        <f t="shared" si="45"/>
        <v/>
      </c>
      <c r="BC168" s="90" t="str">
        <f t="shared" si="45"/>
        <v/>
      </c>
    </row>
    <row r="169" spans="1:55" x14ac:dyDescent="0.25">
      <c r="A169" s="15" t="s">
        <v>51</v>
      </c>
      <c r="B169" s="16" t="s">
        <v>56</v>
      </c>
      <c r="C169" s="27" t="s">
        <v>57</v>
      </c>
      <c r="D169" s="16" t="s">
        <v>73</v>
      </c>
      <c r="E169" s="16"/>
      <c r="F169" s="1">
        <f t="shared" si="47"/>
        <v>0</v>
      </c>
      <c r="G169" s="1">
        <f t="shared" si="48"/>
        <v>0</v>
      </c>
      <c r="H169" s="1">
        <f t="shared" si="48"/>
        <v>0</v>
      </c>
      <c r="I169" s="1">
        <f t="shared" si="48"/>
        <v>0</v>
      </c>
      <c r="J169" s="1">
        <f t="shared" si="48"/>
        <v>0</v>
      </c>
      <c r="K169" s="1">
        <f t="shared" si="48"/>
        <v>0</v>
      </c>
      <c r="L169" s="52">
        <f t="shared" si="48"/>
        <v>0</v>
      </c>
      <c r="M169" s="1">
        <f t="shared" si="48"/>
        <v>0</v>
      </c>
      <c r="N169" s="1">
        <f t="shared" si="48"/>
        <v>0</v>
      </c>
      <c r="O169" s="1">
        <f t="shared" si="48"/>
        <v>0</v>
      </c>
      <c r="P169" s="1">
        <f t="shared" si="48"/>
        <v>0</v>
      </c>
      <c r="Q169" s="1">
        <f t="shared" si="48"/>
        <v>0</v>
      </c>
      <c r="R169" s="1">
        <f t="shared" si="48"/>
        <v>0</v>
      </c>
      <c r="S169" s="1">
        <f t="shared" si="48"/>
        <v>0</v>
      </c>
      <c r="T169" s="1">
        <f t="shared" si="48"/>
        <v>0</v>
      </c>
      <c r="U169" s="1">
        <f t="shared" si="48"/>
        <v>0</v>
      </c>
      <c r="V169" s="1">
        <f t="shared" si="48"/>
        <v>0</v>
      </c>
      <c r="W169" s="1">
        <f t="shared" si="48"/>
        <v>0</v>
      </c>
      <c r="X169" s="54">
        <f t="shared" si="48"/>
        <v>0</v>
      </c>
      <c r="Y169" s="58">
        <f t="shared" si="48"/>
        <v>0</v>
      </c>
      <c r="Z169" s="1">
        <f t="shared" si="48"/>
        <v>0</v>
      </c>
      <c r="AA169" s="1">
        <f t="shared" si="48"/>
        <v>0</v>
      </c>
      <c r="AC169" s="15" t="s">
        <v>51</v>
      </c>
      <c r="AD169" s="16" t="s">
        <v>56</v>
      </c>
      <c r="AE169" s="27" t="s">
        <v>57</v>
      </c>
      <c r="AF169" s="16" t="s">
        <v>73</v>
      </c>
      <c r="AG169" s="16"/>
      <c r="AH169" s="90" t="str">
        <f t="shared" si="46"/>
        <v/>
      </c>
      <c r="AI169" s="90" t="str">
        <f t="shared" si="46"/>
        <v/>
      </c>
      <c r="AJ169" s="90" t="str">
        <f t="shared" si="46"/>
        <v/>
      </c>
      <c r="AK169" s="90" t="str">
        <f t="shared" si="46"/>
        <v/>
      </c>
      <c r="AL169" s="90" t="str">
        <f t="shared" si="46"/>
        <v/>
      </c>
      <c r="AM169" s="90" t="str">
        <f t="shared" si="46"/>
        <v/>
      </c>
      <c r="AN169" s="90" t="str">
        <f t="shared" si="46"/>
        <v/>
      </c>
      <c r="AO169" s="90" t="str">
        <f t="shared" si="46"/>
        <v/>
      </c>
      <c r="AP169" s="90" t="str">
        <f t="shared" si="46"/>
        <v/>
      </c>
      <c r="AQ169" s="90" t="str">
        <f t="shared" si="46"/>
        <v/>
      </c>
      <c r="AR169" s="90" t="str">
        <f t="shared" si="46"/>
        <v/>
      </c>
      <c r="AS169" s="90" t="str">
        <f t="shared" si="46"/>
        <v/>
      </c>
      <c r="AT169" s="90" t="str">
        <f t="shared" si="46"/>
        <v/>
      </c>
      <c r="AU169" s="90" t="str">
        <f t="shared" si="46"/>
        <v/>
      </c>
      <c r="AV169" s="90" t="str">
        <f t="shared" si="46"/>
        <v/>
      </c>
      <c r="AW169" s="90" t="str">
        <f t="shared" si="45"/>
        <v/>
      </c>
      <c r="AX169" s="90" t="str">
        <f t="shared" si="45"/>
        <v/>
      </c>
      <c r="AY169" s="90" t="str">
        <f t="shared" si="45"/>
        <v/>
      </c>
      <c r="AZ169" s="90" t="str">
        <f t="shared" si="45"/>
        <v/>
      </c>
      <c r="BA169" s="90" t="str">
        <f t="shared" si="45"/>
        <v/>
      </c>
      <c r="BB169" s="90" t="str">
        <f t="shared" si="45"/>
        <v/>
      </c>
      <c r="BC169" s="90" t="str">
        <f t="shared" si="45"/>
        <v/>
      </c>
    </row>
    <row r="170" spans="1:55" x14ac:dyDescent="0.25">
      <c r="A170" s="15" t="s">
        <v>51</v>
      </c>
      <c r="B170" s="16" t="s">
        <v>56</v>
      </c>
      <c r="C170" s="27" t="s">
        <v>57</v>
      </c>
      <c r="D170" s="16" t="s">
        <v>74</v>
      </c>
      <c r="E170" s="16"/>
      <c r="F170" s="1">
        <f t="shared" si="47"/>
        <v>0</v>
      </c>
      <c r="G170" s="1">
        <f t="shared" si="48"/>
        <v>0</v>
      </c>
      <c r="H170" s="1">
        <f t="shared" si="48"/>
        <v>0</v>
      </c>
      <c r="I170" s="1">
        <f t="shared" si="48"/>
        <v>0</v>
      </c>
      <c r="J170" s="1">
        <f t="shared" si="48"/>
        <v>0</v>
      </c>
      <c r="K170" s="1">
        <f t="shared" si="48"/>
        <v>0</v>
      </c>
      <c r="L170" s="52">
        <f t="shared" si="48"/>
        <v>0</v>
      </c>
      <c r="M170" s="1">
        <f t="shared" si="48"/>
        <v>0</v>
      </c>
      <c r="N170" s="1">
        <f t="shared" si="48"/>
        <v>0</v>
      </c>
      <c r="O170" s="1">
        <f t="shared" si="48"/>
        <v>0</v>
      </c>
      <c r="P170" s="1">
        <f t="shared" si="48"/>
        <v>0</v>
      </c>
      <c r="Q170" s="1">
        <f t="shared" si="48"/>
        <v>0</v>
      </c>
      <c r="R170" s="1">
        <f t="shared" si="48"/>
        <v>0</v>
      </c>
      <c r="S170" s="1">
        <f t="shared" si="48"/>
        <v>0</v>
      </c>
      <c r="T170" s="1">
        <f t="shared" si="48"/>
        <v>0</v>
      </c>
      <c r="U170" s="1">
        <f t="shared" si="48"/>
        <v>0</v>
      </c>
      <c r="V170" s="1">
        <f t="shared" si="48"/>
        <v>0</v>
      </c>
      <c r="W170" s="1">
        <f t="shared" si="48"/>
        <v>0</v>
      </c>
      <c r="X170" s="54">
        <f t="shared" si="48"/>
        <v>0</v>
      </c>
      <c r="Y170" s="58">
        <f t="shared" si="48"/>
        <v>0</v>
      </c>
      <c r="Z170" s="1">
        <f t="shared" si="48"/>
        <v>0</v>
      </c>
      <c r="AA170" s="1">
        <f t="shared" si="48"/>
        <v>0</v>
      </c>
      <c r="AC170" s="15" t="s">
        <v>51</v>
      </c>
      <c r="AD170" s="16" t="s">
        <v>56</v>
      </c>
      <c r="AE170" s="27" t="s">
        <v>57</v>
      </c>
      <c r="AF170" s="16" t="s">
        <v>74</v>
      </c>
      <c r="AG170" s="16"/>
      <c r="AH170" s="90" t="str">
        <f t="shared" si="46"/>
        <v/>
      </c>
      <c r="AI170" s="90" t="str">
        <f t="shared" si="46"/>
        <v/>
      </c>
      <c r="AJ170" s="90" t="str">
        <f t="shared" si="46"/>
        <v/>
      </c>
      <c r="AK170" s="90" t="str">
        <f t="shared" si="46"/>
        <v/>
      </c>
      <c r="AL170" s="90" t="str">
        <f t="shared" si="46"/>
        <v/>
      </c>
      <c r="AM170" s="90" t="str">
        <f t="shared" si="46"/>
        <v/>
      </c>
      <c r="AN170" s="90" t="str">
        <f t="shared" si="46"/>
        <v/>
      </c>
      <c r="AO170" s="90" t="str">
        <f t="shared" si="46"/>
        <v/>
      </c>
      <c r="AP170" s="90" t="str">
        <f t="shared" si="46"/>
        <v/>
      </c>
      <c r="AQ170" s="90" t="str">
        <f t="shared" si="46"/>
        <v/>
      </c>
      <c r="AR170" s="90" t="str">
        <f t="shared" si="46"/>
        <v/>
      </c>
      <c r="AS170" s="90" t="str">
        <f t="shared" si="46"/>
        <v/>
      </c>
      <c r="AT170" s="90" t="str">
        <f t="shared" si="46"/>
        <v/>
      </c>
      <c r="AU170" s="90" t="str">
        <f t="shared" si="46"/>
        <v/>
      </c>
      <c r="AV170" s="90" t="str">
        <f t="shared" si="46"/>
        <v/>
      </c>
      <c r="AW170" s="90" t="str">
        <f t="shared" si="45"/>
        <v/>
      </c>
      <c r="AX170" s="90" t="str">
        <f t="shared" si="45"/>
        <v/>
      </c>
      <c r="AY170" s="90" t="str">
        <f t="shared" si="45"/>
        <v/>
      </c>
      <c r="AZ170" s="90" t="str">
        <f t="shared" si="45"/>
        <v/>
      </c>
      <c r="BA170" s="90" t="str">
        <f t="shared" si="45"/>
        <v/>
      </c>
      <c r="BB170" s="90" t="str">
        <f t="shared" si="45"/>
        <v/>
      </c>
      <c r="BC170" s="90" t="str">
        <f t="shared" si="45"/>
        <v/>
      </c>
    </row>
    <row r="171" spans="1:55" x14ac:dyDescent="0.25">
      <c r="A171" s="30" t="s">
        <v>60</v>
      </c>
      <c r="B171" s="31" t="s">
        <v>13</v>
      </c>
      <c r="C171" s="32" t="s">
        <v>61</v>
      </c>
      <c r="D171" s="31" t="s">
        <v>75</v>
      </c>
      <c r="E171" s="31"/>
      <c r="F171" s="51">
        <f t="shared" ref="F171:K171" si="49">F156</f>
        <v>52.941176470588232</v>
      </c>
      <c r="G171" s="51">
        <f t="shared" si="49"/>
        <v>0</v>
      </c>
      <c r="H171" s="51">
        <f t="shared" si="49"/>
        <v>5.0842105263157897</v>
      </c>
      <c r="I171" s="51">
        <f t="shared" si="49"/>
        <v>29</v>
      </c>
      <c r="J171" s="51">
        <f t="shared" si="49"/>
        <v>63.269493844049251</v>
      </c>
      <c r="K171" s="51">
        <f t="shared" si="49"/>
        <v>29</v>
      </c>
      <c r="L171" s="52">
        <f t="shared" si="48"/>
        <v>0</v>
      </c>
      <c r="M171" s="51">
        <f t="shared" si="48"/>
        <v>400</v>
      </c>
      <c r="N171" s="51">
        <f t="shared" si="48"/>
        <v>0</v>
      </c>
      <c r="O171" s="51">
        <f t="shared" si="48"/>
        <v>0</v>
      </c>
      <c r="P171" s="51">
        <f t="shared" si="48"/>
        <v>0</v>
      </c>
      <c r="Q171" s="51">
        <f t="shared" si="48"/>
        <v>0</v>
      </c>
      <c r="R171" s="51">
        <f t="shared" si="48"/>
        <v>0</v>
      </c>
      <c r="S171" s="51">
        <f t="shared" si="48"/>
        <v>0</v>
      </c>
      <c r="T171" s="51">
        <f t="shared" si="48"/>
        <v>0</v>
      </c>
      <c r="U171" s="51">
        <f t="shared" si="48"/>
        <v>0</v>
      </c>
      <c r="V171" s="51">
        <f t="shared" si="48"/>
        <v>0</v>
      </c>
      <c r="W171" s="51">
        <f t="shared" si="48"/>
        <v>426</v>
      </c>
      <c r="X171" s="55">
        <f t="shared" si="48"/>
        <v>0</v>
      </c>
      <c r="Y171" s="59">
        <f t="shared" si="48"/>
        <v>12.000772929774623</v>
      </c>
      <c r="Z171" s="51">
        <f t="shared" si="48"/>
        <v>422.4186247035999</v>
      </c>
      <c r="AA171" s="51">
        <f t="shared" si="48"/>
        <v>13.351753978332626</v>
      </c>
      <c r="AC171" s="30" t="s">
        <v>60</v>
      </c>
      <c r="AD171" s="31" t="s">
        <v>13</v>
      </c>
      <c r="AE171" s="32" t="s">
        <v>61</v>
      </c>
      <c r="AF171" s="31" t="s">
        <v>75</v>
      </c>
      <c r="AG171" s="31"/>
      <c r="AH171" s="1">
        <f t="shared" si="46"/>
        <v>10.143749999999999</v>
      </c>
      <c r="AI171" s="1" t="str">
        <f t="shared" si="46"/>
        <v/>
      </c>
      <c r="AJ171" s="1">
        <f t="shared" si="46"/>
        <v>1.5631578947368421</v>
      </c>
      <c r="AK171" s="1">
        <f t="shared" si="46"/>
        <v>0.98639455782312913</v>
      </c>
      <c r="AL171" s="1" t="str">
        <f t="shared" si="46"/>
        <v/>
      </c>
      <c r="AM171" s="1" t="str">
        <f t="shared" si="46"/>
        <v/>
      </c>
      <c r="AN171" s="52" t="str">
        <f t="shared" si="46"/>
        <v/>
      </c>
      <c r="AO171" s="1">
        <f t="shared" si="46"/>
        <v>180</v>
      </c>
      <c r="AP171" s="1" t="str">
        <f t="shared" si="46"/>
        <v/>
      </c>
      <c r="AQ171" s="1" t="str">
        <f t="shared" si="46"/>
        <v/>
      </c>
      <c r="AR171" s="1" t="str">
        <f t="shared" si="46"/>
        <v/>
      </c>
      <c r="AS171" s="1" t="str">
        <f t="shared" si="46"/>
        <v/>
      </c>
      <c r="AT171" s="1" t="str">
        <f t="shared" si="46"/>
        <v/>
      </c>
      <c r="AU171" s="1" t="str">
        <f t="shared" si="46"/>
        <v/>
      </c>
      <c r="AV171" s="1" t="str">
        <f t="shared" si="46"/>
        <v/>
      </c>
      <c r="AW171" s="1" t="str">
        <f t="shared" si="45"/>
        <v/>
      </c>
      <c r="AX171" s="1" t="str">
        <f t="shared" si="45"/>
        <v/>
      </c>
      <c r="AY171" s="1">
        <f t="shared" si="45"/>
        <v>255.59999999999997</v>
      </c>
      <c r="AZ171" s="1" t="str">
        <f t="shared" si="45"/>
        <v/>
      </c>
      <c r="BA171" s="1">
        <f t="shared" si="45"/>
        <v>3.1994161161358563</v>
      </c>
      <c r="BB171" s="1">
        <f t="shared" si="45"/>
        <v>245.18646259969819</v>
      </c>
      <c r="BC171" s="1">
        <f t="shared" si="45"/>
        <v>3.9959699511673255</v>
      </c>
    </row>
    <row r="172" spans="1:55" x14ac:dyDescent="0.25">
      <c r="A172" s="30" t="s">
        <v>60</v>
      </c>
      <c r="B172" s="31" t="s">
        <v>13</v>
      </c>
      <c r="C172" s="32" t="s">
        <v>61</v>
      </c>
      <c r="D172" s="31" t="s">
        <v>76</v>
      </c>
      <c r="E172" s="31"/>
      <c r="F172" s="51">
        <f t="shared" ref="F172:K172" si="50">F156</f>
        <v>52.941176470588232</v>
      </c>
      <c r="G172" s="51">
        <f t="shared" si="50"/>
        <v>0</v>
      </c>
      <c r="H172" s="51">
        <f t="shared" si="50"/>
        <v>5.0842105263157897</v>
      </c>
      <c r="I172" s="51">
        <f t="shared" si="50"/>
        <v>29</v>
      </c>
      <c r="J172" s="51">
        <f t="shared" si="50"/>
        <v>63.269493844049251</v>
      </c>
      <c r="K172" s="51">
        <f t="shared" si="50"/>
        <v>29</v>
      </c>
      <c r="L172" s="52">
        <f t="shared" si="48"/>
        <v>0</v>
      </c>
      <c r="M172" s="51">
        <f t="shared" si="48"/>
        <v>400</v>
      </c>
      <c r="N172" s="51">
        <f t="shared" si="48"/>
        <v>870</v>
      </c>
      <c r="O172" s="51">
        <f>IF(O217&gt;0,O37/O217,0)</f>
        <v>10000</v>
      </c>
      <c r="P172" s="51">
        <f t="shared" si="48"/>
        <v>28000.000000000004</v>
      </c>
      <c r="Q172" s="51">
        <f t="shared" si="48"/>
        <v>0</v>
      </c>
      <c r="R172" s="51">
        <f>R156</f>
        <v>426</v>
      </c>
      <c r="S172" s="51">
        <f t="shared" si="48"/>
        <v>0</v>
      </c>
      <c r="T172" s="51">
        <f t="shared" si="48"/>
        <v>0</v>
      </c>
      <c r="U172" s="51">
        <f t="shared" si="48"/>
        <v>0</v>
      </c>
      <c r="V172" s="51">
        <f t="shared" si="48"/>
        <v>0</v>
      </c>
      <c r="W172" s="51">
        <f t="shared" si="48"/>
        <v>0</v>
      </c>
      <c r="X172" s="55">
        <f t="shared" si="48"/>
        <v>0</v>
      </c>
      <c r="Y172" s="59">
        <f t="shared" si="48"/>
        <v>67.567105279233715</v>
      </c>
      <c r="Z172" s="51">
        <f t="shared" si="48"/>
        <v>762.36069497805238</v>
      </c>
      <c r="AA172" s="51">
        <f t="shared" si="48"/>
        <v>91.378976545153691</v>
      </c>
      <c r="AC172" s="30" t="s">
        <v>60</v>
      </c>
      <c r="AD172" s="31" t="s">
        <v>13</v>
      </c>
      <c r="AE172" s="32" t="s">
        <v>61</v>
      </c>
      <c r="AF172" s="31" t="s">
        <v>76</v>
      </c>
      <c r="AG172" s="31"/>
      <c r="AH172" s="1">
        <f t="shared" si="46"/>
        <v>10.143749999999999</v>
      </c>
      <c r="AI172" s="1" t="str">
        <f t="shared" si="46"/>
        <v/>
      </c>
      <c r="AJ172" s="1" t="str">
        <f t="shared" si="46"/>
        <v/>
      </c>
      <c r="AK172" s="1">
        <f t="shared" si="46"/>
        <v>55.238095238095234</v>
      </c>
      <c r="AL172" s="1">
        <f t="shared" si="46"/>
        <v>27.359781121751027</v>
      </c>
      <c r="AM172" s="1">
        <f t="shared" si="46"/>
        <v>8.3374999999999986</v>
      </c>
      <c r="AN172" s="52" t="str">
        <f t="shared" si="46"/>
        <v/>
      </c>
      <c r="AO172" s="1">
        <f t="shared" si="46"/>
        <v>180</v>
      </c>
      <c r="AP172" s="1">
        <f t="shared" si="46"/>
        <v>366.31578947368422</v>
      </c>
      <c r="AQ172" s="1">
        <f t="shared" si="46"/>
        <v>3668.0053547523435</v>
      </c>
      <c r="AR172" s="1">
        <f t="shared" si="46"/>
        <v>9628.5140562248998</v>
      </c>
      <c r="AS172" s="1" t="str">
        <f t="shared" si="46"/>
        <v/>
      </c>
      <c r="AT172" s="1">
        <f t="shared" si="46"/>
        <v>204.48</v>
      </c>
      <c r="AU172" s="1" t="str">
        <f t="shared" si="46"/>
        <v/>
      </c>
      <c r="AV172" s="1" t="str">
        <f t="shared" si="46"/>
        <v/>
      </c>
      <c r="AW172" s="1" t="str">
        <f t="shared" si="45"/>
        <v/>
      </c>
      <c r="AX172" s="1" t="str">
        <f t="shared" si="45"/>
        <v/>
      </c>
      <c r="AY172" s="1" t="str">
        <f t="shared" si="45"/>
        <v/>
      </c>
      <c r="AZ172" s="1" t="str">
        <f t="shared" si="45"/>
        <v/>
      </c>
      <c r="BA172" s="1">
        <f t="shared" si="45"/>
        <v>18.563902735525176</v>
      </c>
      <c r="BB172" s="1">
        <f t="shared" si="45"/>
        <v>322.08551440855808</v>
      </c>
      <c r="BC172" s="1">
        <f t="shared" si="45"/>
        <v>28.966154067054848</v>
      </c>
    </row>
    <row r="173" spans="1:55" x14ac:dyDescent="0.25">
      <c r="A173" s="30" t="s">
        <v>60</v>
      </c>
      <c r="B173" s="31" t="s">
        <v>13</v>
      </c>
      <c r="C173" s="32" t="s">
        <v>61</v>
      </c>
      <c r="D173" s="31" t="s">
        <v>77</v>
      </c>
      <c r="E173" s="31"/>
      <c r="F173" s="51">
        <f t="shared" ref="F173:K173" si="51">F156</f>
        <v>52.941176470588232</v>
      </c>
      <c r="G173" s="51">
        <f t="shared" si="51"/>
        <v>0</v>
      </c>
      <c r="H173" s="51">
        <f t="shared" si="51"/>
        <v>5.0842105263157897</v>
      </c>
      <c r="I173" s="51">
        <f t="shared" si="51"/>
        <v>29</v>
      </c>
      <c r="J173" s="51">
        <f t="shared" si="51"/>
        <v>63.269493844049251</v>
      </c>
      <c r="K173" s="51">
        <f t="shared" si="51"/>
        <v>29</v>
      </c>
      <c r="L173" s="52">
        <f t="shared" si="48"/>
        <v>0</v>
      </c>
      <c r="M173" s="51">
        <f t="shared" si="48"/>
        <v>400</v>
      </c>
      <c r="N173" s="51">
        <f t="shared" si="48"/>
        <v>0</v>
      </c>
      <c r="O173" s="51">
        <f t="shared" si="48"/>
        <v>0</v>
      </c>
      <c r="P173" s="51">
        <f t="shared" si="48"/>
        <v>0</v>
      </c>
      <c r="Q173" s="51">
        <f t="shared" si="48"/>
        <v>0</v>
      </c>
      <c r="R173" s="51">
        <f t="shared" si="48"/>
        <v>0</v>
      </c>
      <c r="S173" s="51">
        <f t="shared" si="48"/>
        <v>0</v>
      </c>
      <c r="T173" s="51">
        <f t="shared" si="48"/>
        <v>213</v>
      </c>
      <c r="U173" s="51">
        <f t="shared" si="48"/>
        <v>426</v>
      </c>
      <c r="V173" s="51">
        <f t="shared" si="48"/>
        <v>0</v>
      </c>
      <c r="W173" s="51">
        <f t="shared" si="48"/>
        <v>0</v>
      </c>
      <c r="X173" s="55">
        <f t="shared" si="48"/>
        <v>0</v>
      </c>
      <c r="Y173" s="59">
        <f t="shared" si="48"/>
        <v>28.999999999999996</v>
      </c>
      <c r="Z173" s="51">
        <f t="shared" si="48"/>
        <v>389.86118251928025</v>
      </c>
      <c r="AA173" s="51">
        <f t="shared" si="48"/>
        <v>134.61356855623296</v>
      </c>
      <c r="AC173" s="30" t="s">
        <v>60</v>
      </c>
      <c r="AD173" s="31" t="s">
        <v>13</v>
      </c>
      <c r="AE173" s="32" t="s">
        <v>61</v>
      </c>
      <c r="AF173" s="31" t="s">
        <v>77</v>
      </c>
      <c r="AG173" s="31"/>
      <c r="AH173" s="1" t="str">
        <f t="shared" ref="AH173:AV180" si="52">IF(F218&gt;0,F83/F218,"")</f>
        <v/>
      </c>
      <c r="AI173" s="1" t="str">
        <f t="shared" si="52"/>
        <v/>
      </c>
      <c r="AJ173" s="1" t="str">
        <f t="shared" si="52"/>
        <v/>
      </c>
      <c r="AK173" s="1" t="str">
        <f t="shared" si="52"/>
        <v/>
      </c>
      <c r="AL173" s="1" t="str">
        <f t="shared" si="52"/>
        <v/>
      </c>
      <c r="AM173" s="1">
        <f t="shared" si="52"/>
        <v>8.3374999999999986</v>
      </c>
      <c r="AN173" s="52" t="str">
        <f t="shared" si="52"/>
        <v/>
      </c>
      <c r="AO173" s="1">
        <f t="shared" si="52"/>
        <v>180</v>
      </c>
      <c r="AP173" s="1" t="str">
        <f t="shared" si="52"/>
        <v/>
      </c>
      <c r="AQ173" s="1" t="str">
        <f t="shared" si="52"/>
        <v/>
      </c>
      <c r="AR173" s="1" t="str">
        <f t="shared" si="52"/>
        <v/>
      </c>
      <c r="AS173" s="1" t="str">
        <f t="shared" si="52"/>
        <v/>
      </c>
      <c r="AT173" s="1" t="str">
        <f t="shared" si="52"/>
        <v/>
      </c>
      <c r="AU173" s="1" t="str">
        <f t="shared" si="52"/>
        <v/>
      </c>
      <c r="AV173" s="1">
        <f t="shared" si="52"/>
        <v>213</v>
      </c>
      <c r="AW173" s="1">
        <f t="shared" si="45"/>
        <v>213</v>
      </c>
      <c r="AX173" s="1" t="str">
        <f t="shared" si="45"/>
        <v/>
      </c>
      <c r="AY173" s="1" t="str">
        <f t="shared" si="45"/>
        <v/>
      </c>
      <c r="AZ173" s="1" t="str">
        <f t="shared" si="45"/>
        <v/>
      </c>
      <c r="BA173" s="1">
        <f t="shared" si="45"/>
        <v>8.3374999999999986</v>
      </c>
      <c r="BB173" s="1">
        <f t="shared" si="45"/>
        <v>194.93059125964012</v>
      </c>
      <c r="BC173" s="1">
        <f t="shared" si="45"/>
        <v>62.947868724867035</v>
      </c>
    </row>
    <row r="174" spans="1:55" x14ac:dyDescent="0.25">
      <c r="A174" s="30" t="s">
        <v>60</v>
      </c>
      <c r="B174" s="31" t="s">
        <v>13</v>
      </c>
      <c r="C174" s="32" t="s">
        <v>61</v>
      </c>
      <c r="D174" s="31" t="s">
        <v>78</v>
      </c>
      <c r="E174" s="31"/>
      <c r="F174" s="51">
        <f t="shared" ref="F174:K174" si="53">F156</f>
        <v>52.941176470588232</v>
      </c>
      <c r="G174" s="51">
        <f t="shared" si="53"/>
        <v>0</v>
      </c>
      <c r="H174" s="51">
        <f t="shared" si="53"/>
        <v>5.0842105263157897</v>
      </c>
      <c r="I174" s="51">
        <f t="shared" si="53"/>
        <v>29</v>
      </c>
      <c r="J174" s="51">
        <f t="shared" si="53"/>
        <v>63.269493844049251</v>
      </c>
      <c r="K174" s="51">
        <f t="shared" si="53"/>
        <v>29</v>
      </c>
      <c r="L174" s="52">
        <f t="shared" si="48"/>
        <v>0</v>
      </c>
      <c r="M174" s="51">
        <f t="shared" si="48"/>
        <v>400</v>
      </c>
      <c r="N174" s="51">
        <f t="shared" si="48"/>
        <v>0</v>
      </c>
      <c r="O174" s="51">
        <f t="shared" si="48"/>
        <v>10000</v>
      </c>
      <c r="P174" s="51">
        <f t="shared" si="48"/>
        <v>28000</v>
      </c>
      <c r="Q174" s="51">
        <f t="shared" si="48"/>
        <v>940</v>
      </c>
      <c r="R174" s="51">
        <f t="shared" si="48"/>
        <v>0</v>
      </c>
      <c r="S174" s="51">
        <f t="shared" si="48"/>
        <v>0</v>
      </c>
      <c r="T174" s="51">
        <f t="shared" si="48"/>
        <v>0</v>
      </c>
      <c r="U174" s="51">
        <f t="shared" si="48"/>
        <v>0</v>
      </c>
      <c r="V174" s="51">
        <f t="shared" si="48"/>
        <v>0</v>
      </c>
      <c r="W174" s="51">
        <f t="shared" si="48"/>
        <v>0</v>
      </c>
      <c r="X174" s="55">
        <f t="shared" si="48"/>
        <v>426</v>
      </c>
      <c r="Y174" s="59">
        <f t="shared" si="48"/>
        <v>42.885993485342013</v>
      </c>
      <c r="Z174" s="51">
        <f t="shared" si="48"/>
        <v>2286.7029262880669</v>
      </c>
      <c r="AA174" s="51">
        <f t="shared" si="48"/>
        <v>216.52610046942928</v>
      </c>
      <c r="AC174" s="30" t="s">
        <v>60</v>
      </c>
      <c r="AD174" s="31" t="s">
        <v>13</v>
      </c>
      <c r="AE174" s="32" t="s">
        <v>61</v>
      </c>
      <c r="AF174" s="31" t="s">
        <v>78</v>
      </c>
      <c r="AG174" s="31"/>
      <c r="AH174" s="1" t="str">
        <f t="shared" si="52"/>
        <v/>
      </c>
      <c r="AI174" s="1" t="str">
        <f t="shared" si="52"/>
        <v/>
      </c>
      <c r="AJ174" s="1" t="str">
        <f t="shared" si="52"/>
        <v/>
      </c>
      <c r="AK174" s="1">
        <f t="shared" si="52"/>
        <v>15.782312925170066</v>
      </c>
      <c r="AL174" s="1" t="str">
        <f t="shared" si="52"/>
        <v/>
      </c>
      <c r="AM174" s="1">
        <f t="shared" si="52"/>
        <v>8.3374999999999986</v>
      </c>
      <c r="AN174" s="52" t="str">
        <f t="shared" si="52"/>
        <v/>
      </c>
      <c r="AO174" s="1">
        <f t="shared" si="52"/>
        <v>180</v>
      </c>
      <c r="AP174" s="1" t="str">
        <f t="shared" si="52"/>
        <v/>
      </c>
      <c r="AQ174" s="1">
        <f t="shared" si="52"/>
        <v>3668.0053547523426</v>
      </c>
      <c r="AR174" s="1">
        <f t="shared" si="52"/>
        <v>9628.5140562248998</v>
      </c>
      <c r="AS174" s="1">
        <f t="shared" si="52"/>
        <v>380.7</v>
      </c>
      <c r="AT174" s="1" t="str">
        <f t="shared" si="52"/>
        <v/>
      </c>
      <c r="AU174" s="1" t="str">
        <f t="shared" si="52"/>
        <v/>
      </c>
      <c r="AV174" s="1" t="str">
        <f t="shared" si="52"/>
        <v/>
      </c>
      <c r="AW174" s="1" t="str">
        <f t="shared" si="45"/>
        <v/>
      </c>
      <c r="AX174" s="1" t="str">
        <f t="shared" si="45"/>
        <v/>
      </c>
      <c r="AY174" s="1" t="str">
        <f t="shared" si="45"/>
        <v/>
      </c>
      <c r="AZ174" s="1">
        <f t="shared" si="45"/>
        <v>213</v>
      </c>
      <c r="BA174" s="1">
        <f t="shared" si="45"/>
        <v>11.902280130293157</v>
      </c>
      <c r="BB174" s="1">
        <f t="shared" si="45"/>
        <v>841.88526607607434</v>
      </c>
      <c r="BC174" s="1">
        <f t="shared" si="45"/>
        <v>76.131376705734866</v>
      </c>
    </row>
    <row r="175" spans="1:55" ht="15.75" thickBot="1" x14ac:dyDescent="0.3">
      <c r="A175" s="33" t="s">
        <v>60</v>
      </c>
      <c r="B175" s="34" t="s">
        <v>13</v>
      </c>
      <c r="C175" s="35" t="s">
        <v>61</v>
      </c>
      <c r="D175" s="34" t="s">
        <v>79</v>
      </c>
      <c r="E175" s="31"/>
      <c r="F175" s="51">
        <f>F156</f>
        <v>52.941176470588232</v>
      </c>
      <c r="G175" s="51">
        <f t="shared" ref="G175:K176" si="54">G156</f>
        <v>0</v>
      </c>
      <c r="H175" s="51">
        <f t="shared" si="54"/>
        <v>5.0842105263157897</v>
      </c>
      <c r="I175" s="51">
        <f t="shared" si="54"/>
        <v>29</v>
      </c>
      <c r="J175" s="51">
        <f t="shared" si="54"/>
        <v>63.269493844049251</v>
      </c>
      <c r="K175" s="51">
        <f t="shared" si="54"/>
        <v>29</v>
      </c>
      <c r="L175" s="52">
        <f t="shared" si="48"/>
        <v>0</v>
      </c>
      <c r="M175" s="51">
        <f t="shared" si="48"/>
        <v>0</v>
      </c>
      <c r="N175" s="51">
        <f t="shared" si="48"/>
        <v>0</v>
      </c>
      <c r="O175" s="51">
        <f t="shared" si="48"/>
        <v>0</v>
      </c>
      <c r="P175" s="51">
        <f t="shared" si="48"/>
        <v>0</v>
      </c>
      <c r="Q175" s="51">
        <f t="shared" si="48"/>
        <v>0</v>
      </c>
      <c r="R175" s="51">
        <f t="shared" si="48"/>
        <v>0</v>
      </c>
      <c r="S175" s="51">
        <f t="shared" si="48"/>
        <v>0</v>
      </c>
      <c r="T175" s="51">
        <f t="shared" si="48"/>
        <v>0</v>
      </c>
      <c r="U175" s="51">
        <f t="shared" si="48"/>
        <v>0</v>
      </c>
      <c r="V175" s="51">
        <f t="shared" si="48"/>
        <v>0</v>
      </c>
      <c r="W175" s="51">
        <f t="shared" si="48"/>
        <v>0</v>
      </c>
      <c r="X175" s="55">
        <f t="shared" si="48"/>
        <v>0</v>
      </c>
      <c r="Y175" s="59">
        <f t="shared" si="48"/>
        <v>0</v>
      </c>
      <c r="Z175" s="51">
        <f t="shared" si="48"/>
        <v>0</v>
      </c>
      <c r="AA175" s="51">
        <f t="shared" si="48"/>
        <v>0</v>
      </c>
      <c r="AC175" s="33" t="s">
        <v>60</v>
      </c>
      <c r="AD175" s="34" t="s">
        <v>13</v>
      </c>
      <c r="AE175" s="35" t="s">
        <v>61</v>
      </c>
      <c r="AF175" s="34" t="s">
        <v>79</v>
      </c>
      <c r="AG175" s="31"/>
      <c r="AH175" s="1" t="str">
        <f t="shared" si="52"/>
        <v/>
      </c>
      <c r="AI175" s="1" t="str">
        <f t="shared" si="52"/>
        <v/>
      </c>
      <c r="AJ175" s="1" t="str">
        <f t="shared" si="52"/>
        <v/>
      </c>
      <c r="AK175" s="1" t="str">
        <f t="shared" si="52"/>
        <v/>
      </c>
      <c r="AL175" s="1" t="str">
        <f t="shared" si="52"/>
        <v/>
      </c>
      <c r="AM175" s="1" t="str">
        <f t="shared" si="52"/>
        <v/>
      </c>
      <c r="AN175" s="52" t="str">
        <f t="shared" si="52"/>
        <v/>
      </c>
      <c r="AO175" s="1" t="str">
        <f t="shared" si="52"/>
        <v/>
      </c>
      <c r="AP175" s="1" t="str">
        <f t="shared" si="52"/>
        <v/>
      </c>
      <c r="AQ175" s="1" t="str">
        <f t="shared" si="52"/>
        <v/>
      </c>
      <c r="AR175" s="1" t="str">
        <f t="shared" si="52"/>
        <v/>
      </c>
      <c r="AS175" s="1" t="str">
        <f t="shared" si="52"/>
        <v/>
      </c>
      <c r="AT175" s="1" t="str">
        <f t="shared" si="52"/>
        <v/>
      </c>
      <c r="AU175" s="1" t="str">
        <f t="shared" si="52"/>
        <v/>
      </c>
      <c r="AV175" s="1" t="str">
        <f t="shared" si="52"/>
        <v/>
      </c>
      <c r="AW175" s="1" t="str">
        <f t="shared" si="45"/>
        <v/>
      </c>
      <c r="AX175" s="1" t="str">
        <f t="shared" si="45"/>
        <v/>
      </c>
      <c r="AY175" s="1" t="str">
        <f t="shared" si="45"/>
        <v/>
      </c>
      <c r="AZ175" s="1" t="str">
        <f t="shared" si="45"/>
        <v/>
      </c>
      <c r="BA175" s="1" t="str">
        <f t="shared" si="45"/>
        <v/>
      </c>
      <c r="BB175" s="1" t="str">
        <f t="shared" si="45"/>
        <v/>
      </c>
      <c r="BC175" s="1" t="str">
        <f t="shared" si="45"/>
        <v/>
      </c>
    </row>
    <row r="176" spans="1:55" x14ac:dyDescent="0.25">
      <c r="A176" s="30" t="s">
        <v>60</v>
      </c>
      <c r="B176" s="31" t="s">
        <v>13</v>
      </c>
      <c r="C176" s="32" t="s">
        <v>62</v>
      </c>
      <c r="D176" s="31" t="s">
        <v>75</v>
      </c>
      <c r="E176" s="31"/>
      <c r="F176" s="51">
        <f>F157</f>
        <v>52.941176470588232</v>
      </c>
      <c r="G176" s="51">
        <f t="shared" si="54"/>
        <v>24.274790629930813</v>
      </c>
      <c r="H176" s="51">
        <f t="shared" si="54"/>
        <v>4.8736842105263154</v>
      </c>
      <c r="I176" s="51">
        <f t="shared" si="54"/>
        <v>20</v>
      </c>
      <c r="J176" s="51">
        <f t="shared" si="54"/>
        <v>0</v>
      </c>
      <c r="K176" s="51">
        <f t="shared" si="54"/>
        <v>0</v>
      </c>
      <c r="L176" s="52">
        <f t="shared" si="48"/>
        <v>0</v>
      </c>
      <c r="M176" s="51">
        <f t="shared" si="48"/>
        <v>0</v>
      </c>
      <c r="N176" s="51">
        <f t="shared" si="48"/>
        <v>0</v>
      </c>
      <c r="O176" s="51">
        <f t="shared" si="48"/>
        <v>0</v>
      </c>
      <c r="P176" s="51">
        <f t="shared" si="48"/>
        <v>0</v>
      </c>
      <c r="Q176" s="51">
        <f t="shared" si="48"/>
        <v>0</v>
      </c>
      <c r="R176" s="51">
        <f t="shared" si="48"/>
        <v>0</v>
      </c>
      <c r="S176" s="51">
        <f t="shared" si="48"/>
        <v>0</v>
      </c>
      <c r="T176" s="51">
        <f t="shared" si="48"/>
        <v>0</v>
      </c>
      <c r="U176" s="51">
        <f t="shared" si="48"/>
        <v>0</v>
      </c>
      <c r="V176" s="51">
        <f t="shared" si="48"/>
        <v>0</v>
      </c>
      <c r="W176" s="51">
        <f t="shared" si="48"/>
        <v>0</v>
      </c>
      <c r="X176" s="55">
        <f t="shared" si="48"/>
        <v>0</v>
      </c>
      <c r="Y176" s="59">
        <f t="shared" si="48"/>
        <v>0</v>
      </c>
      <c r="Z176" s="51">
        <f t="shared" si="48"/>
        <v>0</v>
      </c>
      <c r="AA176" s="51">
        <f t="shared" si="48"/>
        <v>0</v>
      </c>
      <c r="AC176" s="30" t="s">
        <v>60</v>
      </c>
      <c r="AD176" s="31" t="s">
        <v>13</v>
      </c>
      <c r="AE176" s="32" t="s">
        <v>62</v>
      </c>
      <c r="AF176" s="31" t="s">
        <v>75</v>
      </c>
      <c r="AG176" s="31"/>
      <c r="AH176" s="1" t="str">
        <f t="shared" si="52"/>
        <v/>
      </c>
      <c r="AI176" s="1">
        <f t="shared" si="52"/>
        <v>0</v>
      </c>
      <c r="AJ176" s="1">
        <f t="shared" si="52"/>
        <v>0</v>
      </c>
      <c r="AK176" s="1" t="str">
        <f t="shared" si="52"/>
        <v/>
      </c>
      <c r="AL176" s="1" t="str">
        <f t="shared" si="52"/>
        <v/>
      </c>
      <c r="AM176" s="1" t="str">
        <f t="shared" si="52"/>
        <v/>
      </c>
      <c r="AN176" s="52" t="str">
        <f t="shared" si="52"/>
        <v/>
      </c>
      <c r="AO176" s="1" t="str">
        <f t="shared" si="52"/>
        <v/>
      </c>
      <c r="AP176" s="1" t="str">
        <f t="shared" si="52"/>
        <v/>
      </c>
      <c r="AQ176" s="1" t="str">
        <f t="shared" si="52"/>
        <v/>
      </c>
      <c r="AR176" s="1" t="str">
        <f t="shared" si="52"/>
        <v/>
      </c>
      <c r="AS176" s="1" t="str">
        <f t="shared" si="52"/>
        <v/>
      </c>
      <c r="AT176" s="1" t="str">
        <f t="shared" si="52"/>
        <v/>
      </c>
      <c r="AU176" s="1" t="str">
        <f t="shared" si="52"/>
        <v/>
      </c>
      <c r="AV176" s="1" t="str">
        <f t="shared" si="52"/>
        <v/>
      </c>
      <c r="AW176" s="1" t="str">
        <f t="shared" si="45"/>
        <v/>
      </c>
      <c r="AX176" s="1" t="str">
        <f t="shared" si="45"/>
        <v/>
      </c>
      <c r="AY176" s="1" t="str">
        <f t="shared" si="45"/>
        <v/>
      </c>
      <c r="AZ176" s="1" t="str">
        <f t="shared" si="45"/>
        <v/>
      </c>
      <c r="BA176" s="1">
        <f t="shared" si="45"/>
        <v>0</v>
      </c>
      <c r="BB176" s="1" t="str">
        <f t="shared" si="45"/>
        <v/>
      </c>
      <c r="BC176" s="1">
        <f t="shared" si="45"/>
        <v>0</v>
      </c>
    </row>
    <row r="177" spans="1:55" x14ac:dyDescent="0.25">
      <c r="A177" s="30" t="s">
        <v>60</v>
      </c>
      <c r="B177" s="31" t="s">
        <v>13</v>
      </c>
      <c r="C177" s="32" t="s">
        <v>62</v>
      </c>
      <c r="D177" s="31" t="s">
        <v>76</v>
      </c>
      <c r="E177" s="31"/>
      <c r="F177" s="51">
        <f t="shared" ref="F177:K177" si="55">F157</f>
        <v>52.941176470588232</v>
      </c>
      <c r="G177" s="51">
        <f t="shared" si="55"/>
        <v>24.274790629930813</v>
      </c>
      <c r="H177" s="51">
        <f t="shared" si="55"/>
        <v>4.8736842105263154</v>
      </c>
      <c r="I177" s="51">
        <f t="shared" si="55"/>
        <v>20</v>
      </c>
      <c r="J177" s="51">
        <f t="shared" si="55"/>
        <v>0</v>
      </c>
      <c r="K177" s="51">
        <f t="shared" si="55"/>
        <v>0</v>
      </c>
      <c r="L177" s="52">
        <f t="shared" si="48"/>
        <v>0</v>
      </c>
      <c r="M177" s="51">
        <f t="shared" si="48"/>
        <v>0</v>
      </c>
      <c r="N177" s="51">
        <f t="shared" si="48"/>
        <v>0</v>
      </c>
      <c r="O177" s="51">
        <f t="shared" si="48"/>
        <v>0</v>
      </c>
      <c r="P177" s="51">
        <f t="shared" si="48"/>
        <v>0</v>
      </c>
      <c r="Q177" s="51">
        <f t="shared" si="48"/>
        <v>0</v>
      </c>
      <c r="R177" s="51">
        <f t="shared" si="48"/>
        <v>0</v>
      </c>
      <c r="S177" s="51">
        <f t="shared" si="48"/>
        <v>0</v>
      </c>
      <c r="T177" s="51">
        <f t="shared" si="48"/>
        <v>0</v>
      </c>
      <c r="U177" s="51">
        <f t="shared" si="48"/>
        <v>0</v>
      </c>
      <c r="V177" s="51">
        <f t="shared" si="48"/>
        <v>0</v>
      </c>
      <c r="W177" s="51">
        <f t="shared" si="48"/>
        <v>0</v>
      </c>
      <c r="X177" s="55">
        <f t="shared" si="48"/>
        <v>0</v>
      </c>
      <c r="Y177" s="59">
        <f t="shared" si="48"/>
        <v>18.541325314943855</v>
      </c>
      <c r="Z177" s="51">
        <f t="shared" si="48"/>
        <v>0</v>
      </c>
      <c r="AA177" s="51">
        <f t="shared" si="48"/>
        <v>18.541325314943855</v>
      </c>
      <c r="AC177" s="30" t="s">
        <v>60</v>
      </c>
      <c r="AD177" s="31" t="s">
        <v>13</v>
      </c>
      <c r="AE177" s="32" t="s">
        <v>62</v>
      </c>
      <c r="AF177" s="31" t="s">
        <v>76</v>
      </c>
      <c r="AG177" s="31"/>
      <c r="AH177" s="1">
        <f t="shared" si="52"/>
        <v>13.525</v>
      </c>
      <c r="AI177" s="1">
        <f t="shared" si="52"/>
        <v>6.2390065060292033</v>
      </c>
      <c r="AJ177" s="1">
        <f t="shared" si="52"/>
        <v>1.736842105263158</v>
      </c>
      <c r="AK177" s="1" t="str">
        <f t="shared" si="52"/>
        <v/>
      </c>
      <c r="AL177" s="1" t="str">
        <f t="shared" si="52"/>
        <v/>
      </c>
      <c r="AM177" s="1" t="str">
        <f t="shared" si="52"/>
        <v/>
      </c>
      <c r="AN177" s="52" t="str">
        <f t="shared" si="52"/>
        <v/>
      </c>
      <c r="AO177" s="1" t="str">
        <f t="shared" si="52"/>
        <v/>
      </c>
      <c r="AP177" s="1" t="str">
        <f t="shared" si="52"/>
        <v/>
      </c>
      <c r="AQ177" s="1" t="str">
        <f t="shared" si="52"/>
        <v/>
      </c>
      <c r="AR177" s="1" t="str">
        <f t="shared" si="52"/>
        <v/>
      </c>
      <c r="AS177" s="1" t="str">
        <f t="shared" si="52"/>
        <v/>
      </c>
      <c r="AT177" s="1" t="str">
        <f t="shared" si="52"/>
        <v/>
      </c>
      <c r="AU177" s="1" t="str">
        <f t="shared" si="52"/>
        <v/>
      </c>
      <c r="AV177" s="1" t="str">
        <f t="shared" si="52"/>
        <v/>
      </c>
      <c r="AW177" s="1" t="str">
        <f t="shared" si="45"/>
        <v/>
      </c>
      <c r="AX177" s="1" t="str">
        <f t="shared" si="45"/>
        <v/>
      </c>
      <c r="AY177" s="1" t="str">
        <f t="shared" si="45"/>
        <v/>
      </c>
      <c r="AZ177" s="1" t="str">
        <f t="shared" si="45"/>
        <v/>
      </c>
      <c r="BA177" s="1">
        <f t="shared" si="45"/>
        <v>5.0507722729944957</v>
      </c>
      <c r="BB177" s="1" t="str">
        <f t="shared" si="45"/>
        <v/>
      </c>
      <c r="BC177" s="1">
        <f t="shared" si="45"/>
        <v>5.0507722729944957</v>
      </c>
    </row>
    <row r="178" spans="1:55" x14ac:dyDescent="0.25">
      <c r="A178" s="30" t="s">
        <v>60</v>
      </c>
      <c r="B178" s="31" t="s">
        <v>13</v>
      </c>
      <c r="C178" s="32" t="s">
        <v>62</v>
      </c>
      <c r="D178" s="31" t="s">
        <v>77</v>
      </c>
      <c r="E178" s="31"/>
      <c r="F178" s="51">
        <f t="shared" ref="F178:K178" si="56">F157</f>
        <v>52.941176470588232</v>
      </c>
      <c r="G178" s="51">
        <f t="shared" si="56"/>
        <v>24.274790629930813</v>
      </c>
      <c r="H178" s="51">
        <f t="shared" si="56"/>
        <v>4.8736842105263154</v>
      </c>
      <c r="I178" s="51">
        <f t="shared" si="56"/>
        <v>20</v>
      </c>
      <c r="J178" s="51">
        <f t="shared" si="56"/>
        <v>0</v>
      </c>
      <c r="K178" s="51">
        <f t="shared" si="56"/>
        <v>0</v>
      </c>
      <c r="L178" s="52">
        <f t="shared" si="48"/>
        <v>0</v>
      </c>
      <c r="M178" s="51">
        <f t="shared" si="48"/>
        <v>0</v>
      </c>
      <c r="N178" s="51">
        <f t="shared" si="48"/>
        <v>0</v>
      </c>
      <c r="O178" s="51">
        <f t="shared" si="48"/>
        <v>0</v>
      </c>
      <c r="P178" s="51">
        <f t="shared" si="48"/>
        <v>0</v>
      </c>
      <c r="Q178" s="51">
        <f t="shared" si="48"/>
        <v>0</v>
      </c>
      <c r="R178" s="51">
        <f t="shared" si="48"/>
        <v>0</v>
      </c>
      <c r="S178" s="51">
        <f t="shared" si="48"/>
        <v>0</v>
      </c>
      <c r="T178" s="51">
        <f t="shared" si="48"/>
        <v>0</v>
      </c>
      <c r="U178" s="51">
        <f t="shared" si="48"/>
        <v>0</v>
      </c>
      <c r="V178" s="51">
        <f t="shared" si="48"/>
        <v>0</v>
      </c>
      <c r="W178" s="51">
        <f t="shared" si="48"/>
        <v>0</v>
      </c>
      <c r="X178" s="55">
        <f t="shared" si="48"/>
        <v>0</v>
      </c>
      <c r="Y178" s="59">
        <f t="shared" si="48"/>
        <v>0</v>
      </c>
      <c r="Z178" s="51">
        <f t="shared" si="48"/>
        <v>0</v>
      </c>
      <c r="AA178" s="51">
        <f t="shared" si="48"/>
        <v>0</v>
      </c>
      <c r="AC178" s="30" t="s">
        <v>60</v>
      </c>
      <c r="AD178" s="31" t="s">
        <v>13</v>
      </c>
      <c r="AE178" s="32" t="s">
        <v>62</v>
      </c>
      <c r="AF178" s="31" t="s">
        <v>77</v>
      </c>
      <c r="AG178" s="31"/>
      <c r="AH178" s="1" t="str">
        <f t="shared" si="52"/>
        <v/>
      </c>
      <c r="AI178" s="1" t="str">
        <f t="shared" si="52"/>
        <v/>
      </c>
      <c r="AJ178" s="1" t="str">
        <f t="shared" si="52"/>
        <v/>
      </c>
      <c r="AK178" s="1" t="str">
        <f t="shared" si="52"/>
        <v/>
      </c>
      <c r="AL178" s="1" t="str">
        <f t="shared" si="52"/>
        <v/>
      </c>
      <c r="AM178" s="1" t="str">
        <f t="shared" si="52"/>
        <v/>
      </c>
      <c r="AN178" s="52" t="str">
        <f t="shared" si="52"/>
        <v/>
      </c>
      <c r="AO178" s="1" t="str">
        <f t="shared" si="52"/>
        <v/>
      </c>
      <c r="AP178" s="1" t="str">
        <f t="shared" si="52"/>
        <v/>
      </c>
      <c r="AQ178" s="1" t="str">
        <f t="shared" si="52"/>
        <v/>
      </c>
      <c r="AR178" s="1" t="str">
        <f t="shared" si="52"/>
        <v/>
      </c>
      <c r="AS178" s="1" t="str">
        <f t="shared" si="52"/>
        <v/>
      </c>
      <c r="AT178" s="1" t="str">
        <f t="shared" si="52"/>
        <v/>
      </c>
      <c r="AU178" s="1" t="str">
        <f t="shared" si="52"/>
        <v/>
      </c>
      <c r="AV178" s="1" t="str">
        <f t="shared" si="52"/>
        <v/>
      </c>
      <c r="AW178" s="1" t="str">
        <f t="shared" si="45"/>
        <v/>
      </c>
      <c r="AX178" s="1" t="str">
        <f t="shared" si="45"/>
        <v/>
      </c>
      <c r="AY178" s="1" t="str">
        <f t="shared" si="45"/>
        <v/>
      </c>
      <c r="AZ178" s="1" t="str">
        <f t="shared" si="45"/>
        <v/>
      </c>
      <c r="BA178" s="1" t="str">
        <f t="shared" si="45"/>
        <v/>
      </c>
      <c r="BB178" s="1" t="str">
        <f t="shared" si="45"/>
        <v/>
      </c>
      <c r="BC178" s="1" t="str">
        <f t="shared" si="45"/>
        <v/>
      </c>
    </row>
    <row r="179" spans="1:55" x14ac:dyDescent="0.25">
      <c r="A179" s="30" t="s">
        <v>60</v>
      </c>
      <c r="B179" s="31" t="s">
        <v>13</v>
      </c>
      <c r="C179" s="32" t="s">
        <v>62</v>
      </c>
      <c r="D179" s="31" t="s">
        <v>78</v>
      </c>
      <c r="E179" s="31"/>
      <c r="F179" s="51">
        <f t="shared" ref="F179:K179" si="57">F157</f>
        <v>52.941176470588232</v>
      </c>
      <c r="G179" s="51">
        <f t="shared" si="57"/>
        <v>24.274790629930813</v>
      </c>
      <c r="H179" s="51">
        <f t="shared" si="57"/>
        <v>4.8736842105263154</v>
      </c>
      <c r="I179" s="51">
        <f t="shared" si="57"/>
        <v>20</v>
      </c>
      <c r="J179" s="51">
        <f t="shared" si="57"/>
        <v>0</v>
      </c>
      <c r="K179" s="51">
        <f t="shared" si="57"/>
        <v>0</v>
      </c>
      <c r="L179" s="52">
        <f t="shared" si="48"/>
        <v>0</v>
      </c>
      <c r="M179" s="51">
        <f t="shared" si="48"/>
        <v>0</v>
      </c>
      <c r="N179" s="51">
        <f t="shared" si="48"/>
        <v>0</v>
      </c>
      <c r="O179" s="51">
        <f t="shared" si="48"/>
        <v>0</v>
      </c>
      <c r="P179" s="51">
        <f t="shared" si="48"/>
        <v>28000</v>
      </c>
      <c r="Q179" s="51">
        <f t="shared" si="48"/>
        <v>0</v>
      </c>
      <c r="R179" s="51">
        <f t="shared" si="48"/>
        <v>0</v>
      </c>
      <c r="S179" s="51">
        <f t="shared" si="48"/>
        <v>0</v>
      </c>
      <c r="T179" s="51">
        <f t="shared" si="48"/>
        <v>0</v>
      </c>
      <c r="U179" s="51">
        <f t="shared" si="48"/>
        <v>0</v>
      </c>
      <c r="V179" s="51">
        <f t="shared" si="48"/>
        <v>0</v>
      </c>
      <c r="W179" s="51">
        <f t="shared" si="48"/>
        <v>0</v>
      </c>
      <c r="X179" s="55">
        <f t="shared" si="48"/>
        <v>0</v>
      </c>
      <c r="Y179" s="59">
        <f t="shared" si="48"/>
        <v>0</v>
      </c>
      <c r="Z179" s="51">
        <f t="shared" si="48"/>
        <v>28000</v>
      </c>
      <c r="AA179" s="51">
        <f t="shared" si="48"/>
        <v>28000</v>
      </c>
      <c r="AC179" s="30" t="s">
        <v>60</v>
      </c>
      <c r="AD179" s="31" t="s">
        <v>13</v>
      </c>
      <c r="AE179" s="32" t="s">
        <v>62</v>
      </c>
      <c r="AF179" s="31" t="s">
        <v>78</v>
      </c>
      <c r="AG179" s="31"/>
      <c r="AH179" s="1" t="str">
        <f t="shared" si="52"/>
        <v/>
      </c>
      <c r="AI179" s="1" t="str">
        <f t="shared" si="52"/>
        <v/>
      </c>
      <c r="AJ179" s="1" t="str">
        <f t="shared" si="52"/>
        <v/>
      </c>
      <c r="AK179" s="1" t="str">
        <f t="shared" si="52"/>
        <v/>
      </c>
      <c r="AL179" s="1" t="str">
        <f t="shared" si="52"/>
        <v/>
      </c>
      <c r="AM179" s="1" t="str">
        <f t="shared" si="52"/>
        <v/>
      </c>
      <c r="AN179" s="52" t="str">
        <f t="shared" si="52"/>
        <v/>
      </c>
      <c r="AO179" s="1" t="str">
        <f t="shared" si="52"/>
        <v/>
      </c>
      <c r="AP179" s="1" t="str">
        <f t="shared" si="52"/>
        <v/>
      </c>
      <c r="AQ179" s="1" t="str">
        <f t="shared" si="52"/>
        <v/>
      </c>
      <c r="AR179" s="1">
        <f t="shared" si="52"/>
        <v>9628.5140562248998</v>
      </c>
      <c r="AS179" s="1" t="str">
        <f t="shared" si="52"/>
        <v/>
      </c>
      <c r="AT179" s="1" t="str">
        <f t="shared" si="52"/>
        <v/>
      </c>
      <c r="AU179" s="1" t="str">
        <f t="shared" si="52"/>
        <v/>
      </c>
      <c r="AV179" s="1" t="str">
        <f t="shared" si="52"/>
        <v/>
      </c>
      <c r="AW179" s="1" t="str">
        <f t="shared" si="45"/>
        <v/>
      </c>
      <c r="AX179" s="1" t="str">
        <f t="shared" si="45"/>
        <v/>
      </c>
      <c r="AY179" s="1" t="str">
        <f t="shared" si="45"/>
        <v/>
      </c>
      <c r="AZ179" s="1" t="str">
        <f t="shared" si="45"/>
        <v/>
      </c>
      <c r="BA179" s="1" t="str">
        <f t="shared" si="45"/>
        <v/>
      </c>
      <c r="BB179" s="1">
        <f t="shared" si="45"/>
        <v>9628.5140562248998</v>
      </c>
      <c r="BC179" s="1">
        <f t="shared" si="45"/>
        <v>9628.5140562248998</v>
      </c>
    </row>
    <row r="180" spans="1:55" ht="15.75" thickBot="1" x14ac:dyDescent="0.3">
      <c r="A180" s="33" t="s">
        <v>60</v>
      </c>
      <c r="B180" s="34" t="s">
        <v>13</v>
      </c>
      <c r="C180" s="32" t="s">
        <v>62</v>
      </c>
      <c r="D180" s="34" t="s">
        <v>79</v>
      </c>
      <c r="E180" s="31"/>
      <c r="F180" s="51">
        <f t="shared" ref="F180:K180" si="58">F157</f>
        <v>52.941176470588232</v>
      </c>
      <c r="G180" s="51">
        <f t="shared" si="58"/>
        <v>24.274790629930813</v>
      </c>
      <c r="H180" s="51">
        <f t="shared" si="58"/>
        <v>4.8736842105263154</v>
      </c>
      <c r="I180" s="51">
        <f t="shared" si="58"/>
        <v>20</v>
      </c>
      <c r="J180" s="51">
        <f t="shared" si="58"/>
        <v>0</v>
      </c>
      <c r="K180" s="51">
        <f t="shared" si="58"/>
        <v>0</v>
      </c>
      <c r="L180" s="52">
        <f t="shared" si="48"/>
        <v>0</v>
      </c>
      <c r="M180" s="51">
        <f t="shared" si="48"/>
        <v>0</v>
      </c>
      <c r="N180" s="51">
        <f t="shared" si="48"/>
        <v>0</v>
      </c>
      <c r="O180" s="51">
        <f t="shared" si="48"/>
        <v>0</v>
      </c>
      <c r="P180" s="51">
        <f t="shared" si="48"/>
        <v>0</v>
      </c>
      <c r="Q180" s="51">
        <f t="shared" si="48"/>
        <v>0</v>
      </c>
      <c r="R180" s="51">
        <f t="shared" si="48"/>
        <v>0</v>
      </c>
      <c r="S180" s="51">
        <f t="shared" si="48"/>
        <v>0</v>
      </c>
      <c r="T180" s="51">
        <f t="shared" si="48"/>
        <v>0</v>
      </c>
      <c r="U180" s="51">
        <f t="shared" si="48"/>
        <v>0</v>
      </c>
      <c r="V180" s="51">
        <f t="shared" si="48"/>
        <v>0</v>
      </c>
      <c r="W180" s="51">
        <f t="shared" si="48"/>
        <v>0</v>
      </c>
      <c r="X180" s="55">
        <f t="shared" si="48"/>
        <v>0</v>
      </c>
      <c r="Y180" s="59">
        <f t="shared" si="48"/>
        <v>0</v>
      </c>
      <c r="Z180" s="51">
        <f t="shared" si="48"/>
        <v>0</v>
      </c>
      <c r="AA180" s="51">
        <f t="shared" si="48"/>
        <v>0</v>
      </c>
      <c r="AC180" s="33" t="s">
        <v>60</v>
      </c>
      <c r="AD180" s="34" t="s">
        <v>13</v>
      </c>
      <c r="AE180" s="32" t="s">
        <v>62</v>
      </c>
      <c r="AF180" s="34" t="s">
        <v>79</v>
      </c>
      <c r="AG180" s="31"/>
      <c r="AH180" s="1" t="str">
        <f t="shared" si="52"/>
        <v/>
      </c>
      <c r="AI180" s="1" t="str">
        <f t="shared" si="52"/>
        <v/>
      </c>
      <c r="AJ180" s="1" t="str">
        <f t="shared" si="52"/>
        <v/>
      </c>
      <c r="AK180" s="1" t="str">
        <f t="shared" si="52"/>
        <v/>
      </c>
      <c r="AL180" s="1" t="str">
        <f t="shared" si="52"/>
        <v/>
      </c>
      <c r="AM180" s="1" t="str">
        <f t="shared" si="52"/>
        <v/>
      </c>
      <c r="AN180" s="52" t="str">
        <f t="shared" si="52"/>
        <v/>
      </c>
      <c r="AO180" s="1" t="str">
        <f t="shared" si="52"/>
        <v/>
      </c>
      <c r="AP180" s="1" t="str">
        <f t="shared" si="52"/>
        <v/>
      </c>
      <c r="AQ180" s="1" t="str">
        <f t="shared" si="52"/>
        <v/>
      </c>
      <c r="AR180" s="1" t="str">
        <f t="shared" si="52"/>
        <v/>
      </c>
      <c r="AS180" s="1" t="str">
        <f t="shared" si="52"/>
        <v/>
      </c>
      <c r="AT180" s="1" t="str">
        <f t="shared" si="52"/>
        <v/>
      </c>
      <c r="AU180" s="1" t="str">
        <f t="shared" si="52"/>
        <v/>
      </c>
      <c r="AV180" s="1" t="str">
        <f t="shared" si="52"/>
        <v/>
      </c>
      <c r="AW180" s="1" t="str">
        <f t="shared" si="45"/>
        <v/>
      </c>
      <c r="AX180" s="1" t="str">
        <f t="shared" si="45"/>
        <v/>
      </c>
      <c r="AY180" s="1" t="str">
        <f t="shared" si="45"/>
        <v/>
      </c>
      <c r="AZ180" s="1" t="str">
        <f t="shared" si="45"/>
        <v/>
      </c>
      <c r="BA180" s="1" t="str">
        <f t="shared" si="45"/>
        <v/>
      </c>
      <c r="BB180" s="1" t="str">
        <f t="shared" si="45"/>
        <v/>
      </c>
      <c r="BC180" s="1" t="str">
        <f t="shared" si="45"/>
        <v/>
      </c>
    </row>
    <row r="181" spans="1:55" x14ac:dyDescent="0.25">
      <c r="F181" s="99">
        <v>170</v>
      </c>
      <c r="G181" s="99">
        <v>230</v>
      </c>
      <c r="H181" s="99">
        <v>1900</v>
      </c>
      <c r="M181" s="5" t="s">
        <v>126</v>
      </c>
      <c r="N181" s="5">
        <v>0.6</v>
      </c>
    </row>
    <row r="182" spans="1:55" x14ac:dyDescent="0.25">
      <c r="D182" s="41" t="s">
        <v>35</v>
      </c>
      <c r="E182" s="41"/>
      <c r="M182" s="24" t="s">
        <v>81</v>
      </c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AF182" s="41" t="s">
        <v>101</v>
      </c>
      <c r="AG182" s="41"/>
      <c r="AO182" s="24" t="s">
        <v>81</v>
      </c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</row>
    <row r="183" spans="1:55" x14ac:dyDescent="0.25">
      <c r="F183" s="23" t="s">
        <v>44</v>
      </c>
      <c r="G183" s="23"/>
      <c r="H183" s="23"/>
      <c r="I183" s="23"/>
      <c r="J183" s="23"/>
      <c r="K183" s="23"/>
      <c r="L183" s="7" t="s">
        <v>30</v>
      </c>
      <c r="M183" s="24" t="s">
        <v>46</v>
      </c>
      <c r="N183" s="24"/>
      <c r="O183" s="24"/>
      <c r="P183" s="24"/>
      <c r="Q183" s="24"/>
      <c r="R183" s="24" t="s">
        <v>47</v>
      </c>
      <c r="S183" s="24"/>
      <c r="T183" s="24"/>
      <c r="U183" s="24"/>
      <c r="V183" s="24"/>
      <c r="W183" s="24"/>
      <c r="X183" s="24"/>
      <c r="Y183" s="44" t="s">
        <v>85</v>
      </c>
      <c r="Z183" s="44" t="s">
        <v>48</v>
      </c>
      <c r="AA183" s="44" t="s">
        <v>3</v>
      </c>
      <c r="AH183" s="23" t="s">
        <v>44</v>
      </c>
      <c r="AI183" s="23"/>
      <c r="AJ183" s="23"/>
      <c r="AK183" s="23"/>
      <c r="AL183" s="23"/>
      <c r="AM183" s="23"/>
      <c r="AN183" s="7" t="s">
        <v>30</v>
      </c>
      <c r="AO183" s="24" t="s">
        <v>46</v>
      </c>
      <c r="AP183" s="24"/>
      <c r="AQ183" s="24"/>
      <c r="AR183" s="24"/>
      <c r="AS183" s="24"/>
      <c r="AT183" s="24" t="s">
        <v>47</v>
      </c>
      <c r="AU183" s="24"/>
      <c r="AV183" s="24"/>
      <c r="AW183" s="24"/>
      <c r="AX183" s="24"/>
      <c r="AY183" s="24"/>
      <c r="AZ183" s="24"/>
      <c r="BA183" s="44" t="s">
        <v>85</v>
      </c>
      <c r="BB183" s="44" t="s">
        <v>48</v>
      </c>
      <c r="BC183" s="44" t="s">
        <v>3</v>
      </c>
    </row>
    <row r="184" spans="1:55" ht="63" x14ac:dyDescent="0.25">
      <c r="F184" s="38" t="s">
        <v>36</v>
      </c>
      <c r="G184" s="38" t="s">
        <v>37</v>
      </c>
      <c r="H184" s="38" t="s">
        <v>38</v>
      </c>
      <c r="I184" s="38" t="s">
        <v>80</v>
      </c>
      <c r="J184" s="38" t="s">
        <v>39</v>
      </c>
      <c r="K184" s="38" t="s">
        <v>45</v>
      </c>
      <c r="L184" s="39" t="s">
        <v>16</v>
      </c>
      <c r="M184" s="40" t="s">
        <v>34</v>
      </c>
      <c r="N184" s="40" t="s">
        <v>5</v>
      </c>
      <c r="O184" s="40" t="s">
        <v>7</v>
      </c>
      <c r="P184" s="40" t="s">
        <v>8</v>
      </c>
      <c r="Q184" s="40" t="s">
        <v>40</v>
      </c>
      <c r="R184" s="40" t="s">
        <v>41</v>
      </c>
      <c r="S184" s="40" t="s">
        <v>42</v>
      </c>
      <c r="T184" s="40" t="s">
        <v>31</v>
      </c>
      <c r="U184" s="40" t="s">
        <v>43</v>
      </c>
      <c r="V184" s="40" t="s">
        <v>82</v>
      </c>
      <c r="W184" s="40" t="s">
        <v>87</v>
      </c>
      <c r="X184" s="40" t="s">
        <v>83</v>
      </c>
      <c r="Y184" s="45" t="s">
        <v>3</v>
      </c>
      <c r="Z184" s="45" t="s">
        <v>3</v>
      </c>
      <c r="AA184" s="45" t="s">
        <v>3</v>
      </c>
      <c r="AH184" s="38" t="s">
        <v>36</v>
      </c>
      <c r="AI184" s="38" t="s">
        <v>37</v>
      </c>
      <c r="AJ184" s="38" t="s">
        <v>38</v>
      </c>
      <c r="AK184" s="38" t="s">
        <v>80</v>
      </c>
      <c r="AL184" s="38" t="s">
        <v>39</v>
      </c>
      <c r="AM184" s="38" t="s">
        <v>45</v>
      </c>
      <c r="AN184" s="39" t="s">
        <v>16</v>
      </c>
      <c r="AO184" s="40" t="s">
        <v>34</v>
      </c>
      <c r="AP184" s="40" t="s">
        <v>5</v>
      </c>
      <c r="AQ184" s="40" t="s">
        <v>7</v>
      </c>
      <c r="AR184" s="40" t="s">
        <v>8</v>
      </c>
      <c r="AS184" s="40" t="s">
        <v>40</v>
      </c>
      <c r="AT184" s="40" t="s">
        <v>41</v>
      </c>
      <c r="AU184" s="40" t="s">
        <v>42</v>
      </c>
      <c r="AV184" s="40" t="s">
        <v>31</v>
      </c>
      <c r="AW184" s="40" t="s">
        <v>43</v>
      </c>
      <c r="AX184" s="40" t="s">
        <v>82</v>
      </c>
      <c r="AY184" s="40" t="s">
        <v>87</v>
      </c>
      <c r="AZ184" s="40" t="s">
        <v>83</v>
      </c>
      <c r="BA184" s="45" t="s">
        <v>3</v>
      </c>
      <c r="BB184" s="45" t="s">
        <v>86</v>
      </c>
      <c r="BC184" s="45" t="s">
        <v>3</v>
      </c>
    </row>
    <row r="185" spans="1:55" x14ac:dyDescent="0.25">
      <c r="A185" s="15" t="s">
        <v>51</v>
      </c>
      <c r="B185" s="2"/>
      <c r="C185" s="2"/>
      <c r="F185" s="1">
        <f t="shared" ref="F185:M185" si="59">F187+F188+F189</f>
        <v>0</v>
      </c>
      <c r="G185" s="1">
        <f t="shared" si="59"/>
        <v>0</v>
      </c>
      <c r="H185" s="1">
        <f t="shared" si="59"/>
        <v>0</v>
      </c>
      <c r="I185" s="1">
        <f t="shared" si="59"/>
        <v>0</v>
      </c>
      <c r="J185" s="1">
        <f t="shared" si="59"/>
        <v>0</v>
      </c>
      <c r="K185" s="1">
        <f t="shared" si="59"/>
        <v>0</v>
      </c>
      <c r="L185" s="52">
        <f t="shared" si="59"/>
        <v>0</v>
      </c>
      <c r="M185" s="1">
        <f t="shared" si="59"/>
        <v>0</v>
      </c>
      <c r="N185" s="1">
        <f t="shared" ref="N185:X185" si="60">N187+N188+N189</f>
        <v>0</v>
      </c>
      <c r="O185" s="1">
        <f t="shared" si="60"/>
        <v>0</v>
      </c>
      <c r="P185" s="1">
        <f t="shared" si="60"/>
        <v>0</v>
      </c>
      <c r="Q185" s="1">
        <f t="shared" si="60"/>
        <v>0</v>
      </c>
      <c r="R185" s="1">
        <f t="shared" si="60"/>
        <v>0</v>
      </c>
      <c r="S185" s="1">
        <f t="shared" si="60"/>
        <v>0</v>
      </c>
      <c r="T185" s="1">
        <f t="shared" si="60"/>
        <v>0</v>
      </c>
      <c r="U185" s="1">
        <f t="shared" si="60"/>
        <v>0</v>
      </c>
      <c r="V185" s="1">
        <f t="shared" si="60"/>
        <v>0</v>
      </c>
      <c r="W185" s="1">
        <f t="shared" si="60"/>
        <v>0</v>
      </c>
      <c r="X185" s="1">
        <f t="shared" si="60"/>
        <v>0</v>
      </c>
      <c r="Y185" s="58">
        <f t="shared" ref="Y185:Y225" si="61">SUM(F185:K185)</f>
        <v>0</v>
      </c>
      <c r="Z185" s="1">
        <f t="shared" ref="Z185:Z225" si="62">SUM(M185:X185)</f>
        <v>0</v>
      </c>
      <c r="AA185" s="1">
        <f t="shared" ref="AA185:AA225" si="63">L185+Y185+Z185</f>
        <v>0</v>
      </c>
      <c r="AC185" s="15" t="s">
        <v>51</v>
      </c>
      <c r="AD185" s="2"/>
      <c r="AE185" s="2"/>
      <c r="AH185" s="1" t="str">
        <f t="shared" ref="AH185:AW200" si="64">IF(F185&gt;0,F230/F185*1000,"")</f>
        <v/>
      </c>
      <c r="AI185" s="1" t="str">
        <f t="shared" si="64"/>
        <v/>
      </c>
      <c r="AJ185" s="1" t="str">
        <f t="shared" si="64"/>
        <v/>
      </c>
      <c r="AK185" s="1" t="str">
        <f t="shared" si="64"/>
        <v/>
      </c>
      <c r="AL185" s="1" t="str">
        <f t="shared" si="64"/>
        <v/>
      </c>
      <c r="AM185" s="1" t="str">
        <f t="shared" si="64"/>
        <v/>
      </c>
      <c r="AN185" s="52" t="str">
        <f t="shared" si="64"/>
        <v/>
      </c>
      <c r="AO185" s="1" t="str">
        <f t="shared" si="64"/>
        <v/>
      </c>
      <c r="AP185" s="1" t="str">
        <f t="shared" si="64"/>
        <v/>
      </c>
      <c r="AQ185" s="1" t="str">
        <f t="shared" si="64"/>
        <v/>
      </c>
      <c r="AR185" s="1" t="str">
        <f t="shared" si="64"/>
        <v/>
      </c>
      <c r="AS185" s="1" t="str">
        <f t="shared" si="64"/>
        <v/>
      </c>
      <c r="AT185" s="1" t="str">
        <f t="shared" si="64"/>
        <v/>
      </c>
      <c r="AU185" s="1" t="str">
        <f t="shared" si="64"/>
        <v/>
      </c>
      <c r="AV185" s="1" t="str">
        <f t="shared" si="64"/>
        <v/>
      </c>
      <c r="AW185" s="1" t="str">
        <f t="shared" si="64"/>
        <v/>
      </c>
      <c r="AX185" s="1" t="str">
        <f t="shared" ref="AX185:BC200" si="65">IF(V185&gt;0,V230/V185*1000,"")</f>
        <v/>
      </c>
      <c r="AY185" s="1" t="str">
        <f t="shared" si="65"/>
        <v/>
      </c>
      <c r="AZ185" s="1" t="str">
        <f t="shared" si="65"/>
        <v/>
      </c>
      <c r="BA185" s="1" t="str">
        <f t="shared" si="65"/>
        <v/>
      </c>
      <c r="BB185" s="1" t="str">
        <f t="shared" si="65"/>
        <v/>
      </c>
      <c r="BC185" s="1" t="str">
        <f t="shared" si="65"/>
        <v/>
      </c>
    </row>
    <row r="186" spans="1:55" x14ac:dyDescent="0.25">
      <c r="A186" s="30" t="s">
        <v>60</v>
      </c>
      <c r="B186" s="2"/>
      <c r="C186" s="2"/>
      <c r="F186" s="1">
        <f>F190+F191+F192+F193</f>
        <v>170</v>
      </c>
      <c r="G186" s="1">
        <f t="shared" ref="G186:X186" si="66">G190+G191+G192+G193</f>
        <v>224.70000000000002</v>
      </c>
      <c r="H186" s="1">
        <f t="shared" si="66"/>
        <v>1900</v>
      </c>
      <c r="I186" s="1">
        <f t="shared" si="66"/>
        <v>101.37931034482759</v>
      </c>
      <c r="J186" s="1">
        <f t="shared" si="66"/>
        <v>145.30587301587303</v>
      </c>
      <c r="K186" s="1">
        <f t="shared" si="66"/>
        <v>902.24757053291523</v>
      </c>
      <c r="L186" s="52">
        <f t="shared" si="66"/>
        <v>296.2962962962963</v>
      </c>
      <c r="M186" s="1">
        <f t="shared" si="66"/>
        <v>39.722222222222229</v>
      </c>
      <c r="N186" s="1">
        <f t="shared" si="66"/>
        <v>2.0731452455590387</v>
      </c>
      <c r="O186" s="1">
        <f t="shared" si="66"/>
        <v>0.11952</v>
      </c>
      <c r="P186" s="1">
        <f t="shared" si="66"/>
        <v>0.23619428571428569</v>
      </c>
      <c r="Q186" s="1">
        <f t="shared" si="66"/>
        <v>25.74468085106383</v>
      </c>
      <c r="R186" s="1">
        <f t="shared" si="66"/>
        <v>35.863328116849246</v>
      </c>
      <c r="S186" s="1">
        <f t="shared" si="66"/>
        <v>2.4500000000000002</v>
      </c>
      <c r="T186" s="1">
        <f t="shared" si="66"/>
        <v>32.717312816875712</v>
      </c>
      <c r="U186" s="1">
        <f t="shared" si="66"/>
        <v>12.266325224071704</v>
      </c>
      <c r="V186" s="1">
        <f t="shared" si="66"/>
        <v>10.144583978969605</v>
      </c>
      <c r="W186" s="1">
        <f t="shared" si="66"/>
        <v>17.801251956181535</v>
      </c>
      <c r="X186" s="54">
        <f t="shared" si="66"/>
        <v>21.081600715403532</v>
      </c>
      <c r="Y186" s="58">
        <f t="shared" si="61"/>
        <v>3443.6327538936157</v>
      </c>
      <c r="Z186" s="1">
        <f t="shared" si="62"/>
        <v>200.22016541291072</v>
      </c>
      <c r="AA186" s="1">
        <f t="shared" si="63"/>
        <v>3940.149215602823</v>
      </c>
      <c r="AC186" s="30" t="s">
        <v>60</v>
      </c>
      <c r="AD186" s="2"/>
      <c r="AE186" s="2"/>
      <c r="AH186" s="1">
        <f t="shared" si="64"/>
        <v>294.11764705882354</v>
      </c>
      <c r="AI186" s="1">
        <f t="shared" si="64"/>
        <v>134.85994794406008</v>
      </c>
      <c r="AJ186" s="1">
        <f t="shared" si="64"/>
        <v>29.287925696594424</v>
      </c>
      <c r="AK186" s="1">
        <f t="shared" si="64"/>
        <v>170.58823529411762</v>
      </c>
      <c r="AL186" s="1">
        <f t="shared" si="64"/>
        <v>1046.0712874456276</v>
      </c>
      <c r="AM186" s="1">
        <f t="shared" si="64"/>
        <v>46.161099077494178</v>
      </c>
      <c r="AN186" s="52">
        <f t="shared" si="64"/>
        <v>18750</v>
      </c>
      <c r="AO186" s="1">
        <f t="shared" si="64"/>
        <v>6835.6643356643344</v>
      </c>
      <c r="AP186" s="1">
        <f t="shared" si="64"/>
        <v>14503.232591501241</v>
      </c>
      <c r="AQ186" s="1">
        <f t="shared" si="64"/>
        <v>55555.555555555555</v>
      </c>
      <c r="AR186" s="1">
        <f t="shared" si="64"/>
        <v>155555.55555555553</v>
      </c>
      <c r="AS186" s="1">
        <f t="shared" si="64"/>
        <v>26678.341860160039</v>
      </c>
      <c r="AT186" s="1">
        <f t="shared" si="64"/>
        <v>11636.623376623376</v>
      </c>
      <c r="AU186" s="1">
        <f t="shared" si="64"/>
        <v>2222.2222222222222</v>
      </c>
      <c r="AV186" s="1">
        <f t="shared" si="64"/>
        <v>12002.770976223252</v>
      </c>
      <c r="AW186" s="1">
        <f t="shared" si="64"/>
        <v>10895.513139145705</v>
      </c>
      <c r="AX186" s="1">
        <f t="shared" si="65"/>
        <v>11981.528202595131</v>
      </c>
      <c r="AY186" s="1">
        <f t="shared" si="65"/>
        <v>10447.514390371534</v>
      </c>
      <c r="AZ186" s="1">
        <f t="shared" si="65"/>
        <v>10422.463891068739</v>
      </c>
      <c r="BA186" s="1">
        <f t="shared" si="65"/>
        <v>100.7346812857207</v>
      </c>
      <c r="BB186" s="1">
        <f t="shared" si="65"/>
        <v>12527.056377282199</v>
      </c>
      <c r="BC186" s="1">
        <f t="shared" si="65"/>
        <v>2134.5938042586581</v>
      </c>
    </row>
    <row r="187" spans="1:55" x14ac:dyDescent="0.25">
      <c r="A187" s="15" t="s">
        <v>51</v>
      </c>
      <c r="B187" s="16" t="s">
        <v>52</v>
      </c>
      <c r="C187" s="2"/>
      <c r="F187" s="1">
        <f>F194+F195+F196</f>
        <v>0</v>
      </c>
      <c r="G187" s="1">
        <f t="shared" ref="G187:X187" si="67">G194+G195+G196</f>
        <v>0</v>
      </c>
      <c r="H187" s="1">
        <f t="shared" si="67"/>
        <v>0</v>
      </c>
      <c r="I187" s="1">
        <f t="shared" si="67"/>
        <v>0</v>
      </c>
      <c r="J187" s="1">
        <f t="shared" si="67"/>
        <v>0</v>
      </c>
      <c r="K187" s="1">
        <f t="shared" si="67"/>
        <v>0</v>
      </c>
      <c r="L187" s="52">
        <f t="shared" si="67"/>
        <v>0</v>
      </c>
      <c r="M187" s="1">
        <f t="shared" si="67"/>
        <v>0</v>
      </c>
      <c r="N187" s="1">
        <f t="shared" si="67"/>
        <v>0</v>
      </c>
      <c r="O187" s="1">
        <f t="shared" si="67"/>
        <v>0</v>
      </c>
      <c r="P187" s="1">
        <f t="shared" si="67"/>
        <v>0</v>
      </c>
      <c r="Q187" s="1">
        <f t="shared" si="67"/>
        <v>0</v>
      </c>
      <c r="R187" s="1">
        <f t="shared" si="67"/>
        <v>0</v>
      </c>
      <c r="S187" s="1">
        <f t="shared" si="67"/>
        <v>0</v>
      </c>
      <c r="T187" s="1">
        <f t="shared" si="67"/>
        <v>0</v>
      </c>
      <c r="U187" s="1">
        <f t="shared" si="67"/>
        <v>0</v>
      </c>
      <c r="V187" s="1">
        <f t="shared" si="67"/>
        <v>0</v>
      </c>
      <c r="W187" s="1">
        <f t="shared" si="67"/>
        <v>0</v>
      </c>
      <c r="X187" s="54">
        <f t="shared" si="67"/>
        <v>0</v>
      </c>
      <c r="Y187" s="58">
        <f t="shared" si="61"/>
        <v>0</v>
      </c>
      <c r="Z187" s="1">
        <f t="shared" si="62"/>
        <v>0</v>
      </c>
      <c r="AA187" s="1">
        <f t="shared" si="63"/>
        <v>0</v>
      </c>
      <c r="AC187" s="15" t="s">
        <v>51</v>
      </c>
      <c r="AD187" s="16" t="s">
        <v>52</v>
      </c>
      <c r="AE187" s="2"/>
      <c r="AH187" s="1" t="str">
        <f t="shared" si="64"/>
        <v/>
      </c>
      <c r="AI187" s="1" t="str">
        <f t="shared" si="64"/>
        <v/>
      </c>
      <c r="AJ187" s="1" t="str">
        <f t="shared" si="64"/>
        <v/>
      </c>
      <c r="AK187" s="1" t="str">
        <f t="shared" si="64"/>
        <v/>
      </c>
      <c r="AL187" s="1" t="str">
        <f t="shared" si="64"/>
        <v/>
      </c>
      <c r="AM187" s="1" t="str">
        <f t="shared" si="64"/>
        <v/>
      </c>
      <c r="AN187" s="52" t="str">
        <f t="shared" si="64"/>
        <v/>
      </c>
      <c r="AO187" s="1" t="str">
        <f t="shared" si="64"/>
        <v/>
      </c>
      <c r="AP187" s="1" t="str">
        <f t="shared" si="64"/>
        <v/>
      </c>
      <c r="AQ187" s="1" t="str">
        <f t="shared" si="64"/>
        <v/>
      </c>
      <c r="AR187" s="1" t="str">
        <f t="shared" si="64"/>
        <v/>
      </c>
      <c r="AS187" s="1" t="str">
        <f t="shared" si="64"/>
        <v/>
      </c>
      <c r="AT187" s="1" t="str">
        <f t="shared" si="64"/>
        <v/>
      </c>
      <c r="AU187" s="1" t="str">
        <f t="shared" si="64"/>
        <v/>
      </c>
      <c r="AV187" s="1" t="str">
        <f t="shared" si="64"/>
        <v/>
      </c>
      <c r="AW187" s="1" t="str">
        <f t="shared" si="64"/>
        <v/>
      </c>
      <c r="AX187" s="1" t="str">
        <f t="shared" si="65"/>
        <v/>
      </c>
      <c r="AY187" s="1" t="str">
        <f t="shared" si="65"/>
        <v/>
      </c>
      <c r="AZ187" s="1" t="str">
        <f t="shared" si="65"/>
        <v/>
      </c>
      <c r="BA187" s="1" t="str">
        <f t="shared" si="65"/>
        <v/>
      </c>
      <c r="BB187" s="1" t="str">
        <f t="shared" si="65"/>
        <v/>
      </c>
      <c r="BC187" s="1" t="str">
        <f t="shared" si="65"/>
        <v/>
      </c>
    </row>
    <row r="188" spans="1:55" x14ac:dyDescent="0.25">
      <c r="A188" s="15" t="s">
        <v>51</v>
      </c>
      <c r="B188" s="16" t="s">
        <v>56</v>
      </c>
      <c r="C188" s="2"/>
      <c r="F188" s="1">
        <f>F197+F198+F199</f>
        <v>0</v>
      </c>
      <c r="G188" s="1">
        <f t="shared" ref="G188:X188" si="68">G197+G198+G199</f>
        <v>0</v>
      </c>
      <c r="H188" s="1">
        <f t="shared" si="68"/>
        <v>0</v>
      </c>
      <c r="I188" s="1">
        <f t="shared" si="68"/>
        <v>0</v>
      </c>
      <c r="J188" s="1">
        <f t="shared" si="68"/>
        <v>0</v>
      </c>
      <c r="K188" s="1">
        <f t="shared" si="68"/>
        <v>0</v>
      </c>
      <c r="L188" s="52">
        <f t="shared" si="68"/>
        <v>0</v>
      </c>
      <c r="M188" s="1">
        <f t="shared" si="68"/>
        <v>0</v>
      </c>
      <c r="N188" s="1">
        <f t="shared" si="68"/>
        <v>0</v>
      </c>
      <c r="O188" s="1">
        <f t="shared" si="68"/>
        <v>0</v>
      </c>
      <c r="P188" s="1">
        <f t="shared" si="68"/>
        <v>0</v>
      </c>
      <c r="Q188" s="1">
        <f t="shared" si="68"/>
        <v>0</v>
      </c>
      <c r="R188" s="1">
        <f t="shared" si="68"/>
        <v>0</v>
      </c>
      <c r="S188" s="1">
        <f t="shared" si="68"/>
        <v>0</v>
      </c>
      <c r="T188" s="1">
        <f t="shared" si="68"/>
        <v>0</v>
      </c>
      <c r="U188" s="1">
        <f t="shared" si="68"/>
        <v>0</v>
      </c>
      <c r="V188" s="1">
        <f t="shared" si="68"/>
        <v>0</v>
      </c>
      <c r="W188" s="1">
        <f t="shared" si="68"/>
        <v>0</v>
      </c>
      <c r="X188" s="54">
        <f t="shared" si="68"/>
        <v>0</v>
      </c>
      <c r="Y188" s="58">
        <f t="shared" si="61"/>
        <v>0</v>
      </c>
      <c r="Z188" s="1">
        <f t="shared" si="62"/>
        <v>0</v>
      </c>
      <c r="AA188" s="1">
        <f t="shared" si="63"/>
        <v>0</v>
      </c>
      <c r="AC188" s="15" t="s">
        <v>51</v>
      </c>
      <c r="AD188" s="16" t="s">
        <v>56</v>
      </c>
      <c r="AE188" s="2"/>
      <c r="AH188" s="1" t="str">
        <f t="shared" si="64"/>
        <v/>
      </c>
      <c r="AI188" s="1" t="str">
        <f t="shared" si="64"/>
        <v/>
      </c>
      <c r="AJ188" s="1" t="str">
        <f t="shared" si="64"/>
        <v/>
      </c>
      <c r="AK188" s="1" t="str">
        <f t="shared" si="64"/>
        <v/>
      </c>
      <c r="AL188" s="1" t="str">
        <f t="shared" si="64"/>
        <v/>
      </c>
      <c r="AM188" s="1" t="str">
        <f t="shared" si="64"/>
        <v/>
      </c>
      <c r="AN188" s="52" t="str">
        <f t="shared" si="64"/>
        <v/>
      </c>
      <c r="AO188" s="1" t="str">
        <f t="shared" si="64"/>
        <v/>
      </c>
      <c r="AP188" s="1" t="str">
        <f t="shared" si="64"/>
        <v/>
      </c>
      <c r="AQ188" s="1" t="str">
        <f t="shared" si="64"/>
        <v/>
      </c>
      <c r="AR188" s="1" t="str">
        <f t="shared" si="64"/>
        <v/>
      </c>
      <c r="AS188" s="1" t="str">
        <f t="shared" si="64"/>
        <v/>
      </c>
      <c r="AT188" s="1" t="str">
        <f t="shared" si="64"/>
        <v/>
      </c>
      <c r="AU188" s="1" t="str">
        <f t="shared" si="64"/>
        <v/>
      </c>
      <c r="AV188" s="1" t="str">
        <f t="shared" si="64"/>
        <v/>
      </c>
      <c r="AW188" s="1" t="str">
        <f t="shared" si="64"/>
        <v/>
      </c>
      <c r="AX188" s="1" t="str">
        <f t="shared" si="65"/>
        <v/>
      </c>
      <c r="AY188" s="1" t="str">
        <f t="shared" si="65"/>
        <v/>
      </c>
      <c r="AZ188" s="1" t="str">
        <f t="shared" si="65"/>
        <v/>
      </c>
      <c r="BA188" s="1" t="str">
        <f t="shared" si="65"/>
        <v/>
      </c>
      <c r="BB188" s="1" t="str">
        <f t="shared" si="65"/>
        <v/>
      </c>
      <c r="BC188" s="1" t="str">
        <f t="shared" si="65"/>
        <v/>
      </c>
    </row>
    <row r="189" spans="1:55" x14ac:dyDescent="0.25">
      <c r="A189" s="15" t="s">
        <v>51</v>
      </c>
      <c r="B189" s="16" t="s">
        <v>9</v>
      </c>
      <c r="C189" s="2"/>
      <c r="F189" s="1">
        <f>F200</f>
        <v>0</v>
      </c>
      <c r="G189" s="1">
        <f t="shared" ref="G189:X189" si="69">G200</f>
        <v>0</v>
      </c>
      <c r="H189" s="1">
        <f t="shared" si="69"/>
        <v>0</v>
      </c>
      <c r="I189" s="1">
        <f t="shared" si="69"/>
        <v>0</v>
      </c>
      <c r="J189" s="1">
        <f t="shared" si="69"/>
        <v>0</v>
      </c>
      <c r="K189" s="1">
        <f t="shared" si="69"/>
        <v>0</v>
      </c>
      <c r="L189" s="52">
        <f t="shared" si="69"/>
        <v>0</v>
      </c>
      <c r="M189" s="1">
        <f t="shared" si="69"/>
        <v>0</v>
      </c>
      <c r="N189" s="1">
        <f t="shared" si="69"/>
        <v>0</v>
      </c>
      <c r="O189" s="1">
        <f t="shared" si="69"/>
        <v>0</v>
      </c>
      <c r="P189" s="1">
        <f t="shared" si="69"/>
        <v>0</v>
      </c>
      <c r="Q189" s="1">
        <f t="shared" si="69"/>
        <v>0</v>
      </c>
      <c r="R189" s="1">
        <f t="shared" si="69"/>
        <v>0</v>
      </c>
      <c r="S189" s="1">
        <f t="shared" si="69"/>
        <v>0</v>
      </c>
      <c r="T189" s="1">
        <f t="shared" si="69"/>
        <v>0</v>
      </c>
      <c r="U189" s="1">
        <f t="shared" si="69"/>
        <v>0</v>
      </c>
      <c r="V189" s="1">
        <f t="shared" si="69"/>
        <v>0</v>
      </c>
      <c r="W189" s="1">
        <f t="shared" si="69"/>
        <v>0</v>
      </c>
      <c r="X189" s="54">
        <f t="shared" si="69"/>
        <v>0</v>
      </c>
      <c r="Y189" s="58">
        <f t="shared" si="61"/>
        <v>0</v>
      </c>
      <c r="Z189" s="1">
        <f t="shared" si="62"/>
        <v>0</v>
      </c>
      <c r="AA189" s="1">
        <f t="shared" si="63"/>
        <v>0</v>
      </c>
      <c r="AC189" s="15" t="s">
        <v>51</v>
      </c>
      <c r="AD189" s="16" t="s">
        <v>9</v>
      </c>
      <c r="AE189" s="2"/>
      <c r="AH189" s="1" t="str">
        <f t="shared" si="64"/>
        <v/>
      </c>
      <c r="AI189" s="1" t="str">
        <f t="shared" si="64"/>
        <v/>
      </c>
      <c r="AJ189" s="1" t="str">
        <f t="shared" si="64"/>
        <v/>
      </c>
      <c r="AK189" s="1" t="str">
        <f t="shared" si="64"/>
        <v/>
      </c>
      <c r="AL189" s="1" t="str">
        <f t="shared" si="64"/>
        <v/>
      </c>
      <c r="AM189" s="1" t="str">
        <f t="shared" si="64"/>
        <v/>
      </c>
      <c r="AN189" s="52" t="str">
        <f t="shared" si="64"/>
        <v/>
      </c>
      <c r="AO189" s="1" t="str">
        <f t="shared" si="64"/>
        <v/>
      </c>
      <c r="AP189" s="1" t="str">
        <f t="shared" si="64"/>
        <v/>
      </c>
      <c r="AQ189" s="1" t="str">
        <f t="shared" si="64"/>
        <v/>
      </c>
      <c r="AR189" s="1" t="str">
        <f t="shared" si="64"/>
        <v/>
      </c>
      <c r="AS189" s="1" t="str">
        <f t="shared" si="64"/>
        <v/>
      </c>
      <c r="AT189" s="1" t="str">
        <f t="shared" si="64"/>
        <v/>
      </c>
      <c r="AU189" s="1" t="str">
        <f t="shared" si="64"/>
        <v/>
      </c>
      <c r="AV189" s="1" t="str">
        <f t="shared" si="64"/>
        <v/>
      </c>
      <c r="AW189" s="1" t="str">
        <f t="shared" si="64"/>
        <v/>
      </c>
      <c r="AX189" s="1" t="str">
        <f t="shared" si="65"/>
        <v/>
      </c>
      <c r="AY189" s="1" t="str">
        <f t="shared" si="65"/>
        <v/>
      </c>
      <c r="AZ189" s="1" t="str">
        <f t="shared" si="65"/>
        <v/>
      </c>
      <c r="BA189" s="1" t="str">
        <f t="shared" si="65"/>
        <v/>
      </c>
      <c r="BB189" s="1" t="str">
        <f t="shared" si="65"/>
        <v/>
      </c>
      <c r="BC189" s="1" t="str">
        <f t="shared" si="65"/>
        <v/>
      </c>
    </row>
    <row r="190" spans="1:55" x14ac:dyDescent="0.25">
      <c r="A190" s="30" t="s">
        <v>60</v>
      </c>
      <c r="B190" s="32" t="s">
        <v>13</v>
      </c>
      <c r="C190" s="2"/>
      <c r="F190" s="51">
        <f>F201+F202+F203</f>
        <v>170</v>
      </c>
      <c r="G190" s="51">
        <f t="shared" ref="G190:X190" si="70">G201+G202+G203</f>
        <v>224.70000000000002</v>
      </c>
      <c r="H190" s="51">
        <f t="shared" si="70"/>
        <v>1900</v>
      </c>
      <c r="I190" s="51">
        <f t="shared" si="70"/>
        <v>101.37931034482759</v>
      </c>
      <c r="J190" s="51">
        <f t="shared" si="70"/>
        <v>29.24</v>
      </c>
      <c r="K190" s="51">
        <f t="shared" si="70"/>
        <v>27.586206896551722</v>
      </c>
      <c r="L190" s="52">
        <f t="shared" si="70"/>
        <v>0</v>
      </c>
      <c r="M190" s="51">
        <f t="shared" si="70"/>
        <v>5</v>
      </c>
      <c r="N190" s="51">
        <f t="shared" si="70"/>
        <v>0.43678160919540232</v>
      </c>
      <c r="O190" s="51">
        <f t="shared" si="70"/>
        <v>0.11952</v>
      </c>
      <c r="P190" s="51">
        <f t="shared" si="70"/>
        <v>0.23619428571428569</v>
      </c>
      <c r="Q190" s="51">
        <f t="shared" si="70"/>
        <v>0.21276595744680851</v>
      </c>
      <c r="R190" s="51">
        <f t="shared" si="70"/>
        <v>1.9561815336463224</v>
      </c>
      <c r="S190" s="51">
        <f t="shared" si="70"/>
        <v>0</v>
      </c>
      <c r="T190" s="51">
        <f t="shared" si="70"/>
        <v>0.46948356807511737</v>
      </c>
      <c r="U190" s="51">
        <f t="shared" si="70"/>
        <v>1.596244131455399</v>
      </c>
      <c r="V190" s="51">
        <f t="shared" si="70"/>
        <v>0.11737089201877934</v>
      </c>
      <c r="W190" s="51">
        <f t="shared" si="70"/>
        <v>3.1298904538341161</v>
      </c>
      <c r="X190" s="55">
        <f t="shared" si="70"/>
        <v>0.93896713615023475</v>
      </c>
      <c r="Y190" s="59">
        <f t="shared" si="61"/>
        <v>2452.9055172413787</v>
      </c>
      <c r="Z190" s="51">
        <f t="shared" si="62"/>
        <v>14.213399567536467</v>
      </c>
      <c r="AA190" s="51">
        <f t="shared" si="63"/>
        <v>2467.1189168089149</v>
      </c>
      <c r="AB190" s="97">
        <v>5200</v>
      </c>
      <c r="AC190" s="30" t="s">
        <v>60</v>
      </c>
      <c r="AD190" s="32" t="s">
        <v>13</v>
      </c>
      <c r="AE190" s="2"/>
      <c r="AH190" s="1">
        <f t="shared" si="64"/>
        <v>294.11764705882354</v>
      </c>
      <c r="AI190" s="1">
        <f t="shared" si="64"/>
        <v>134.85994794406008</v>
      </c>
      <c r="AJ190" s="1">
        <f t="shared" si="64"/>
        <v>29.287925696594424</v>
      </c>
      <c r="AK190" s="1">
        <f t="shared" si="64"/>
        <v>170.58823529411762</v>
      </c>
      <c r="AL190" s="1">
        <f t="shared" si="64"/>
        <v>372.17349320028973</v>
      </c>
      <c r="AM190" s="1">
        <f t="shared" si="64"/>
        <v>170.58823529411765</v>
      </c>
      <c r="AN190" s="52" t="str">
        <f t="shared" si="64"/>
        <v/>
      </c>
      <c r="AO190" s="1">
        <f t="shared" si="64"/>
        <v>2222.2222222222222</v>
      </c>
      <c r="AP190" s="1">
        <f t="shared" si="64"/>
        <v>5437.5</v>
      </c>
      <c r="AQ190" s="1">
        <f t="shared" si="64"/>
        <v>55555.555555555555</v>
      </c>
      <c r="AR190" s="1">
        <f t="shared" si="64"/>
        <v>155555.55555555553</v>
      </c>
      <c r="AS190" s="1">
        <f t="shared" si="64"/>
        <v>5222.2222222222226</v>
      </c>
      <c r="AT190" s="1">
        <f t="shared" si="64"/>
        <v>2366.6666666666665</v>
      </c>
      <c r="AU190" s="1" t="str">
        <f t="shared" si="64"/>
        <v/>
      </c>
      <c r="AV190" s="1">
        <f t="shared" si="64"/>
        <v>2366.6666666666665</v>
      </c>
      <c r="AW190" s="1">
        <f t="shared" si="64"/>
        <v>2366.6666666666665</v>
      </c>
      <c r="AX190" s="1">
        <f t="shared" si="65"/>
        <v>2366.6666666666665</v>
      </c>
      <c r="AY190" s="1">
        <f t="shared" si="65"/>
        <v>2366.6666666666665</v>
      </c>
      <c r="AZ190" s="1">
        <f t="shared" si="65"/>
        <v>2366.6666666666665</v>
      </c>
      <c r="BA190" s="1">
        <f t="shared" si="65"/>
        <v>68.829574103453808</v>
      </c>
      <c r="BB190" s="1">
        <f t="shared" si="65"/>
        <v>5445.8809177695966</v>
      </c>
      <c r="BC190" s="1">
        <f t="shared" si="65"/>
        <v>99.807480649417499</v>
      </c>
    </row>
    <row r="191" spans="1:55" x14ac:dyDescent="0.25">
      <c r="A191" s="30" t="s">
        <v>60</v>
      </c>
      <c r="B191" s="31" t="s">
        <v>23</v>
      </c>
      <c r="C191" s="2"/>
      <c r="F191" s="51">
        <f>F204+F205+F206</f>
        <v>0</v>
      </c>
      <c r="G191" s="51">
        <f t="shared" ref="G191:X191" si="71">G204+G205+G206</f>
        <v>0</v>
      </c>
      <c r="H191" s="51">
        <f t="shared" si="71"/>
        <v>0</v>
      </c>
      <c r="I191" s="51">
        <f t="shared" si="71"/>
        <v>0</v>
      </c>
      <c r="J191" s="51">
        <f t="shared" si="71"/>
        <v>41.661111111111111</v>
      </c>
      <c r="K191" s="51">
        <f t="shared" si="71"/>
        <v>874.66136363636349</v>
      </c>
      <c r="L191" s="52">
        <f t="shared" si="71"/>
        <v>0</v>
      </c>
      <c r="M191" s="51">
        <f t="shared" si="71"/>
        <v>0</v>
      </c>
      <c r="N191" s="51">
        <f t="shared" si="71"/>
        <v>1.6363636363636365</v>
      </c>
      <c r="O191" s="51">
        <f t="shared" si="71"/>
        <v>0</v>
      </c>
      <c r="P191" s="51">
        <f t="shared" si="71"/>
        <v>0</v>
      </c>
      <c r="Q191" s="51">
        <f t="shared" si="71"/>
        <v>0</v>
      </c>
      <c r="R191" s="51">
        <f t="shared" si="71"/>
        <v>0</v>
      </c>
      <c r="S191" s="51">
        <f t="shared" si="71"/>
        <v>2.4500000000000002</v>
      </c>
      <c r="T191" s="51">
        <f t="shared" si="71"/>
        <v>1.6009852216748768</v>
      </c>
      <c r="U191" s="51">
        <f t="shared" si="71"/>
        <v>0</v>
      </c>
      <c r="V191" s="51">
        <f t="shared" si="71"/>
        <v>0.24630541871921183</v>
      </c>
      <c r="W191" s="51">
        <f t="shared" si="71"/>
        <v>0</v>
      </c>
      <c r="X191" s="55">
        <f t="shared" si="71"/>
        <v>1</v>
      </c>
      <c r="Y191" s="59">
        <f t="shared" si="61"/>
        <v>916.32247474747464</v>
      </c>
      <c r="Z191" s="51">
        <f t="shared" si="62"/>
        <v>6.9336542767577249</v>
      </c>
      <c r="AA191" s="51">
        <f t="shared" si="63"/>
        <v>923.25612902423234</v>
      </c>
      <c r="AC191" s="30" t="s">
        <v>60</v>
      </c>
      <c r="AD191" s="31" t="s">
        <v>23</v>
      </c>
      <c r="AE191" s="2"/>
      <c r="AH191" s="1" t="str">
        <f t="shared" si="64"/>
        <v/>
      </c>
      <c r="AI191" s="1" t="str">
        <f t="shared" si="64"/>
        <v/>
      </c>
      <c r="AJ191" s="1" t="str">
        <f t="shared" si="64"/>
        <v/>
      </c>
      <c r="AK191" s="1" t="str">
        <f t="shared" si="64"/>
        <v/>
      </c>
      <c r="AL191" s="1">
        <f t="shared" si="64"/>
        <v>886.949029101316</v>
      </c>
      <c r="AM191" s="1">
        <f t="shared" si="64"/>
        <v>42.236754335722516</v>
      </c>
      <c r="AN191" s="52" t="str">
        <f t="shared" si="64"/>
        <v/>
      </c>
      <c r="AO191" s="1" t="str">
        <f t="shared" si="64"/>
        <v/>
      </c>
      <c r="AP191" s="1">
        <f t="shared" si="64"/>
        <v>16923.076923076922</v>
      </c>
      <c r="AQ191" s="1" t="str">
        <f t="shared" si="64"/>
        <v/>
      </c>
      <c r="AR191" s="1" t="str">
        <f t="shared" si="64"/>
        <v/>
      </c>
      <c r="AS191" s="1" t="str">
        <f t="shared" si="64"/>
        <v/>
      </c>
      <c r="AT191" s="1" t="str">
        <f t="shared" si="64"/>
        <v/>
      </c>
      <c r="AU191" s="1">
        <f t="shared" si="64"/>
        <v>2222.2222222222222</v>
      </c>
      <c r="AV191" s="1">
        <f t="shared" si="64"/>
        <v>11600.000000000002</v>
      </c>
      <c r="AW191" s="1" t="str">
        <f t="shared" si="64"/>
        <v/>
      </c>
      <c r="AX191" s="1">
        <f t="shared" si="65"/>
        <v>9022.2222222222226</v>
      </c>
      <c r="AY191" s="1" t="str">
        <f t="shared" si="65"/>
        <v/>
      </c>
      <c r="AZ191" s="1">
        <f t="shared" si="65"/>
        <v>2222.2222222222222</v>
      </c>
      <c r="BA191" s="1">
        <f t="shared" si="65"/>
        <v>80.64206786426729</v>
      </c>
      <c r="BB191" s="1">
        <f t="shared" si="65"/>
        <v>8098.5614383535294</v>
      </c>
      <c r="BC191" s="1">
        <f t="shared" si="65"/>
        <v>140.85664883070714</v>
      </c>
    </row>
    <row r="192" spans="1:55" x14ac:dyDescent="0.25">
      <c r="A192" s="30" t="s">
        <v>60</v>
      </c>
      <c r="B192" s="31" t="s">
        <v>65</v>
      </c>
      <c r="C192" s="46"/>
      <c r="F192" s="51">
        <f>F207+F208+F209</f>
        <v>0</v>
      </c>
      <c r="G192" s="51">
        <f t="shared" ref="G192:X192" si="72">G207+G208+G209</f>
        <v>0</v>
      </c>
      <c r="H192" s="51">
        <f t="shared" si="72"/>
        <v>0</v>
      </c>
      <c r="I192" s="51">
        <f t="shared" si="72"/>
        <v>0</v>
      </c>
      <c r="J192" s="51">
        <f t="shared" si="72"/>
        <v>74.404761904761912</v>
      </c>
      <c r="K192" s="51">
        <f t="shared" si="72"/>
        <v>0</v>
      </c>
      <c r="L192" s="52">
        <f t="shared" si="72"/>
        <v>296.2962962962963</v>
      </c>
      <c r="M192" s="51">
        <f t="shared" si="72"/>
        <v>34.722222222222229</v>
      </c>
      <c r="N192" s="51">
        <f t="shared" si="72"/>
        <v>0</v>
      </c>
      <c r="O192" s="51">
        <f t="shared" si="72"/>
        <v>0</v>
      </c>
      <c r="P192" s="51">
        <f t="shared" si="72"/>
        <v>0</v>
      </c>
      <c r="Q192" s="51">
        <f t="shared" si="72"/>
        <v>25.531914893617021</v>
      </c>
      <c r="R192" s="51">
        <f t="shared" si="72"/>
        <v>33.907146583202923</v>
      </c>
      <c r="S192" s="51">
        <f t="shared" si="72"/>
        <v>0</v>
      </c>
      <c r="T192" s="51">
        <f t="shared" si="72"/>
        <v>30.64684402712572</v>
      </c>
      <c r="U192" s="51">
        <f t="shared" si="72"/>
        <v>10.670081092616304</v>
      </c>
      <c r="V192" s="51">
        <f t="shared" si="72"/>
        <v>9.7809076682316132</v>
      </c>
      <c r="W192" s="51">
        <f t="shared" si="72"/>
        <v>14.671361502347418</v>
      </c>
      <c r="X192" s="55">
        <f t="shared" si="72"/>
        <v>15.649452269170579</v>
      </c>
      <c r="Y192" s="59">
        <f t="shared" si="61"/>
        <v>74.404761904761912</v>
      </c>
      <c r="Z192" s="51">
        <f t="shared" si="62"/>
        <v>175.57993025853381</v>
      </c>
      <c r="AA192" s="51">
        <f t="shared" si="63"/>
        <v>546.28098845959198</v>
      </c>
      <c r="AC192" s="30" t="s">
        <v>60</v>
      </c>
      <c r="AD192" s="31" t="s">
        <v>65</v>
      </c>
      <c r="AE192" s="46"/>
      <c r="AH192" s="1" t="str">
        <f t="shared" si="64"/>
        <v/>
      </c>
      <c r="AI192" s="1" t="str">
        <f t="shared" si="64"/>
        <v/>
      </c>
      <c r="AJ192" s="1" t="str">
        <f t="shared" si="64"/>
        <v/>
      </c>
      <c r="AK192" s="1" t="str">
        <f t="shared" si="64"/>
        <v/>
      </c>
      <c r="AL192" s="1">
        <f t="shared" si="64"/>
        <v>1400</v>
      </c>
      <c r="AM192" s="1" t="str">
        <f t="shared" si="64"/>
        <v/>
      </c>
      <c r="AN192" s="52">
        <f t="shared" si="64"/>
        <v>18750</v>
      </c>
      <c r="AO192" s="1">
        <f t="shared" si="64"/>
        <v>7499.9999999999991</v>
      </c>
      <c r="AP192" s="1" t="str">
        <f t="shared" si="64"/>
        <v/>
      </c>
      <c r="AQ192" s="1" t="str">
        <f t="shared" si="64"/>
        <v/>
      </c>
      <c r="AR192" s="1" t="str">
        <f t="shared" si="64"/>
        <v/>
      </c>
      <c r="AS192" s="1">
        <f t="shared" si="64"/>
        <v>26857.142857142855</v>
      </c>
      <c r="AT192" s="1">
        <f t="shared" si="64"/>
        <v>12171.428571428571</v>
      </c>
      <c r="AU192" s="1" t="str">
        <f t="shared" si="64"/>
        <v/>
      </c>
      <c r="AV192" s="1">
        <f t="shared" si="64"/>
        <v>12171.428571428572</v>
      </c>
      <c r="AW192" s="1">
        <f t="shared" si="64"/>
        <v>12171.428571428571</v>
      </c>
      <c r="AX192" s="1">
        <f t="shared" si="65"/>
        <v>12171.428571428571</v>
      </c>
      <c r="AY192" s="1">
        <f t="shared" si="65"/>
        <v>12171.428571428572</v>
      </c>
      <c r="AZ192" s="1">
        <f t="shared" si="65"/>
        <v>12171.428571428571</v>
      </c>
      <c r="BA192" s="1">
        <f t="shared" si="65"/>
        <v>1400</v>
      </c>
      <c r="BB192" s="1">
        <f t="shared" si="65"/>
        <v>13383.138964690395</v>
      </c>
      <c r="BC192" s="1">
        <f t="shared" si="65"/>
        <v>14661.928563298863</v>
      </c>
    </row>
    <row r="193" spans="1:55" ht="15.75" thickBot="1" x14ac:dyDescent="0.3">
      <c r="A193" s="48" t="s">
        <v>60</v>
      </c>
      <c r="B193" s="49" t="s">
        <v>9</v>
      </c>
      <c r="C193" s="50"/>
      <c r="D193" s="50"/>
      <c r="E193" s="50"/>
      <c r="F193" s="53">
        <f>F210</f>
        <v>0</v>
      </c>
      <c r="G193" s="53">
        <f t="shared" ref="G193:X193" si="73">G210</f>
        <v>0</v>
      </c>
      <c r="H193" s="53">
        <f t="shared" si="73"/>
        <v>0</v>
      </c>
      <c r="I193" s="53">
        <f t="shared" si="73"/>
        <v>0</v>
      </c>
      <c r="J193" s="53">
        <f t="shared" si="73"/>
        <v>0</v>
      </c>
      <c r="K193" s="53">
        <f t="shared" si="73"/>
        <v>0</v>
      </c>
      <c r="L193" s="62">
        <f t="shared" si="73"/>
        <v>0</v>
      </c>
      <c r="M193" s="53">
        <f t="shared" si="73"/>
        <v>0</v>
      </c>
      <c r="N193" s="53">
        <f t="shared" si="73"/>
        <v>0</v>
      </c>
      <c r="O193" s="53">
        <f t="shared" si="73"/>
        <v>0</v>
      </c>
      <c r="P193" s="53">
        <f t="shared" si="73"/>
        <v>0</v>
      </c>
      <c r="Q193" s="53">
        <f t="shared" si="73"/>
        <v>0</v>
      </c>
      <c r="R193" s="53">
        <f t="shared" si="73"/>
        <v>0</v>
      </c>
      <c r="S193" s="53">
        <f t="shared" si="73"/>
        <v>0</v>
      </c>
      <c r="T193" s="53">
        <f t="shared" si="73"/>
        <v>0</v>
      </c>
      <c r="U193" s="53">
        <f t="shared" si="73"/>
        <v>0</v>
      </c>
      <c r="V193" s="53">
        <f t="shared" si="73"/>
        <v>0</v>
      </c>
      <c r="W193" s="53">
        <f t="shared" si="73"/>
        <v>0</v>
      </c>
      <c r="X193" s="56">
        <f t="shared" si="73"/>
        <v>3.4931813100827185</v>
      </c>
      <c r="Y193" s="60">
        <f t="shared" si="61"/>
        <v>0</v>
      </c>
      <c r="Z193" s="53">
        <f t="shared" si="62"/>
        <v>3.4931813100827185</v>
      </c>
      <c r="AA193" s="53">
        <f t="shared" si="63"/>
        <v>3.4931813100827185</v>
      </c>
      <c r="AC193" s="48" t="s">
        <v>60</v>
      </c>
      <c r="AD193" s="49" t="s">
        <v>9</v>
      </c>
      <c r="AE193" s="50"/>
      <c r="AF193" s="50"/>
      <c r="AG193" s="50"/>
      <c r="AH193" s="1" t="str">
        <f t="shared" si="64"/>
        <v/>
      </c>
      <c r="AI193" s="1" t="str">
        <f t="shared" si="64"/>
        <v/>
      </c>
      <c r="AJ193" s="1" t="str">
        <f t="shared" si="64"/>
        <v/>
      </c>
      <c r="AK193" s="1" t="str">
        <f t="shared" si="64"/>
        <v/>
      </c>
      <c r="AL193" s="1" t="str">
        <f t="shared" si="64"/>
        <v/>
      </c>
      <c r="AM193" s="1" t="str">
        <f t="shared" si="64"/>
        <v/>
      </c>
      <c r="AN193" s="52" t="str">
        <f t="shared" si="64"/>
        <v/>
      </c>
      <c r="AO193" s="1" t="str">
        <f t="shared" si="64"/>
        <v/>
      </c>
      <c r="AP193" s="1" t="str">
        <f t="shared" si="64"/>
        <v/>
      </c>
      <c r="AQ193" s="1" t="str">
        <f t="shared" si="64"/>
        <v/>
      </c>
      <c r="AR193" s="1" t="str">
        <f t="shared" si="64"/>
        <v/>
      </c>
      <c r="AS193" s="1" t="str">
        <f t="shared" si="64"/>
        <v/>
      </c>
      <c r="AT193" s="1" t="str">
        <f t="shared" si="64"/>
        <v/>
      </c>
      <c r="AU193" s="1" t="str">
        <f t="shared" si="64"/>
        <v/>
      </c>
      <c r="AV193" s="1" t="str">
        <f t="shared" si="64"/>
        <v/>
      </c>
      <c r="AW193" s="1" t="str">
        <f t="shared" si="64"/>
        <v/>
      </c>
      <c r="AX193" s="1" t="str">
        <f t="shared" si="65"/>
        <v/>
      </c>
      <c r="AY193" s="1" t="str">
        <f t="shared" si="65"/>
        <v/>
      </c>
      <c r="AZ193" s="1">
        <f t="shared" si="65"/>
        <v>7100</v>
      </c>
      <c r="BA193" s="1" t="str">
        <f t="shared" si="65"/>
        <v/>
      </c>
      <c r="BB193" s="1">
        <f t="shared" si="65"/>
        <v>7100</v>
      </c>
      <c r="BC193" s="1">
        <f t="shared" si="65"/>
        <v>7100</v>
      </c>
    </row>
    <row r="194" spans="1:55" ht="15.75" thickTop="1" x14ac:dyDescent="0.25">
      <c r="A194" s="15" t="s">
        <v>51</v>
      </c>
      <c r="B194" s="16" t="s">
        <v>52</v>
      </c>
      <c r="C194" s="16" t="s">
        <v>53</v>
      </c>
      <c r="D194" s="2"/>
      <c r="E194" s="2"/>
      <c r="F194" s="47">
        <v>0</v>
      </c>
      <c r="G194" s="47">
        <v>0</v>
      </c>
      <c r="H194" s="47">
        <v>0</v>
      </c>
      <c r="I194" s="47">
        <v>0</v>
      </c>
      <c r="J194" s="47">
        <v>0</v>
      </c>
      <c r="K194" s="47">
        <v>0</v>
      </c>
      <c r="L194" s="63">
        <v>0</v>
      </c>
      <c r="M194" s="47">
        <v>0</v>
      </c>
      <c r="N194" s="47">
        <v>0</v>
      </c>
      <c r="O194" s="47">
        <v>0</v>
      </c>
      <c r="P194" s="47">
        <v>0</v>
      </c>
      <c r="Q194" s="47">
        <v>0</v>
      </c>
      <c r="R194" s="47">
        <v>0</v>
      </c>
      <c r="S194" s="47">
        <v>0</v>
      </c>
      <c r="T194" s="47">
        <v>0</v>
      </c>
      <c r="U194" s="47">
        <v>0</v>
      </c>
      <c r="V194" s="47">
        <v>0</v>
      </c>
      <c r="W194" s="47">
        <v>0</v>
      </c>
      <c r="X194" s="57">
        <v>0</v>
      </c>
      <c r="Y194" s="61">
        <f t="shared" si="61"/>
        <v>0</v>
      </c>
      <c r="Z194" s="47">
        <f t="shared" si="62"/>
        <v>0</v>
      </c>
      <c r="AA194" s="47">
        <f t="shared" si="63"/>
        <v>0</v>
      </c>
      <c r="AC194" s="15" t="s">
        <v>51</v>
      </c>
      <c r="AD194" s="16" t="s">
        <v>52</v>
      </c>
      <c r="AE194" s="16" t="s">
        <v>53</v>
      </c>
      <c r="AF194" s="2"/>
      <c r="AG194" s="2"/>
      <c r="AH194" s="90" t="str">
        <f t="shared" si="64"/>
        <v/>
      </c>
      <c r="AI194" s="90" t="str">
        <f t="shared" si="64"/>
        <v/>
      </c>
      <c r="AJ194" s="90" t="str">
        <f t="shared" si="64"/>
        <v/>
      </c>
      <c r="AK194" s="90" t="str">
        <f t="shared" si="64"/>
        <v/>
      </c>
      <c r="AL194" s="90" t="str">
        <f t="shared" si="64"/>
        <v/>
      </c>
      <c r="AM194" s="90" t="str">
        <f t="shared" si="64"/>
        <v/>
      </c>
      <c r="AN194" s="90" t="str">
        <f t="shared" si="64"/>
        <v/>
      </c>
      <c r="AO194" s="90" t="str">
        <f t="shared" si="64"/>
        <v/>
      </c>
      <c r="AP194" s="90" t="str">
        <f t="shared" si="64"/>
        <v/>
      </c>
      <c r="AQ194" s="90" t="str">
        <f t="shared" si="64"/>
        <v/>
      </c>
      <c r="AR194" s="90" t="str">
        <f t="shared" si="64"/>
        <v/>
      </c>
      <c r="AS194" s="90" t="str">
        <f t="shared" si="64"/>
        <v/>
      </c>
      <c r="AT194" s="90" t="str">
        <f t="shared" si="64"/>
        <v/>
      </c>
      <c r="AU194" s="90" t="str">
        <f t="shared" si="64"/>
        <v/>
      </c>
      <c r="AV194" s="90" t="str">
        <f t="shared" si="64"/>
        <v/>
      </c>
      <c r="AW194" s="90" t="str">
        <f t="shared" si="64"/>
        <v/>
      </c>
      <c r="AX194" s="90" t="str">
        <f t="shared" si="65"/>
        <v/>
      </c>
      <c r="AY194" s="90" t="str">
        <f t="shared" si="65"/>
        <v/>
      </c>
      <c r="AZ194" s="90" t="str">
        <f t="shared" si="65"/>
        <v/>
      </c>
      <c r="BA194" s="90" t="str">
        <f t="shared" si="65"/>
        <v/>
      </c>
      <c r="BB194" s="90" t="str">
        <f t="shared" si="65"/>
        <v/>
      </c>
      <c r="BC194" s="90" t="str">
        <f t="shared" si="65"/>
        <v/>
      </c>
    </row>
    <row r="195" spans="1:55" x14ac:dyDescent="0.25">
      <c r="A195" s="15" t="s">
        <v>51</v>
      </c>
      <c r="B195" s="16" t="s">
        <v>52</v>
      </c>
      <c r="C195" s="16" t="s">
        <v>54</v>
      </c>
      <c r="D195" s="2"/>
      <c r="E195" s="2"/>
      <c r="F195" s="47">
        <v>0</v>
      </c>
      <c r="G195" s="47">
        <v>0</v>
      </c>
      <c r="H195" s="1">
        <v>0</v>
      </c>
      <c r="I195" s="1">
        <v>0</v>
      </c>
      <c r="J195" s="1">
        <v>0</v>
      </c>
      <c r="K195" s="1">
        <v>0</v>
      </c>
      <c r="L195" s="52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54">
        <v>0</v>
      </c>
      <c r="Y195" s="58">
        <f t="shared" si="61"/>
        <v>0</v>
      </c>
      <c r="Z195" s="1">
        <f t="shared" si="62"/>
        <v>0</v>
      </c>
      <c r="AA195" s="1">
        <f t="shared" si="63"/>
        <v>0</v>
      </c>
      <c r="AC195" s="15" t="s">
        <v>51</v>
      </c>
      <c r="AD195" s="16" t="s">
        <v>52</v>
      </c>
      <c r="AE195" s="16" t="s">
        <v>54</v>
      </c>
      <c r="AF195" s="2"/>
      <c r="AG195" s="2"/>
      <c r="AH195" s="90" t="str">
        <f t="shared" si="64"/>
        <v/>
      </c>
      <c r="AI195" s="90" t="str">
        <f t="shared" si="64"/>
        <v/>
      </c>
      <c r="AJ195" s="90" t="str">
        <f t="shared" si="64"/>
        <v/>
      </c>
      <c r="AK195" s="90" t="str">
        <f t="shared" si="64"/>
        <v/>
      </c>
      <c r="AL195" s="90" t="str">
        <f t="shared" si="64"/>
        <v/>
      </c>
      <c r="AM195" s="90" t="str">
        <f t="shared" si="64"/>
        <v/>
      </c>
      <c r="AN195" s="90" t="str">
        <f t="shared" si="64"/>
        <v/>
      </c>
      <c r="AO195" s="90" t="str">
        <f t="shared" si="64"/>
        <v/>
      </c>
      <c r="AP195" s="90" t="str">
        <f t="shared" si="64"/>
        <v/>
      </c>
      <c r="AQ195" s="90" t="str">
        <f t="shared" si="64"/>
        <v/>
      </c>
      <c r="AR195" s="90" t="str">
        <f t="shared" si="64"/>
        <v/>
      </c>
      <c r="AS195" s="90" t="str">
        <f t="shared" si="64"/>
        <v/>
      </c>
      <c r="AT195" s="90" t="str">
        <f t="shared" si="64"/>
        <v/>
      </c>
      <c r="AU195" s="90" t="str">
        <f t="shared" si="64"/>
        <v/>
      </c>
      <c r="AV195" s="90" t="str">
        <f t="shared" si="64"/>
        <v/>
      </c>
      <c r="AW195" s="90" t="str">
        <f t="shared" si="64"/>
        <v/>
      </c>
      <c r="AX195" s="90" t="str">
        <f t="shared" si="65"/>
        <v/>
      </c>
      <c r="AY195" s="90" t="str">
        <f t="shared" si="65"/>
        <v/>
      </c>
      <c r="AZ195" s="90" t="str">
        <f t="shared" si="65"/>
        <v/>
      </c>
      <c r="BA195" s="90" t="str">
        <f t="shared" si="65"/>
        <v/>
      </c>
      <c r="BB195" s="90" t="str">
        <f t="shared" si="65"/>
        <v/>
      </c>
      <c r="BC195" s="90" t="str">
        <f t="shared" si="65"/>
        <v/>
      </c>
    </row>
    <row r="196" spans="1:55" x14ac:dyDescent="0.25">
      <c r="A196" s="15" t="s">
        <v>51</v>
      </c>
      <c r="B196" s="16" t="s">
        <v>52</v>
      </c>
      <c r="C196" s="16" t="s">
        <v>55</v>
      </c>
      <c r="D196" s="2"/>
      <c r="E196" s="2"/>
      <c r="F196" s="47">
        <v>0</v>
      </c>
      <c r="G196" s="47">
        <v>0</v>
      </c>
      <c r="H196" s="1">
        <v>0</v>
      </c>
      <c r="I196" s="1">
        <v>0</v>
      </c>
      <c r="J196" s="1">
        <v>0</v>
      </c>
      <c r="K196" s="1">
        <v>0</v>
      </c>
      <c r="L196" s="52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54">
        <v>0</v>
      </c>
      <c r="Y196" s="58">
        <f t="shared" si="61"/>
        <v>0</v>
      </c>
      <c r="Z196" s="1">
        <f t="shared" si="62"/>
        <v>0</v>
      </c>
      <c r="AA196" s="1">
        <f t="shared" si="63"/>
        <v>0</v>
      </c>
      <c r="AC196" s="15" t="s">
        <v>51</v>
      </c>
      <c r="AD196" s="16" t="s">
        <v>52</v>
      </c>
      <c r="AE196" s="16" t="s">
        <v>55</v>
      </c>
      <c r="AF196" s="2"/>
      <c r="AG196" s="2"/>
      <c r="AH196" s="90" t="str">
        <f t="shared" si="64"/>
        <v/>
      </c>
      <c r="AI196" s="90" t="str">
        <f t="shared" si="64"/>
        <v/>
      </c>
      <c r="AJ196" s="90" t="str">
        <f t="shared" si="64"/>
        <v/>
      </c>
      <c r="AK196" s="90" t="str">
        <f t="shared" si="64"/>
        <v/>
      </c>
      <c r="AL196" s="90" t="str">
        <f t="shared" si="64"/>
        <v/>
      </c>
      <c r="AM196" s="90" t="str">
        <f t="shared" si="64"/>
        <v/>
      </c>
      <c r="AN196" s="90" t="str">
        <f t="shared" si="64"/>
        <v/>
      </c>
      <c r="AO196" s="90" t="str">
        <f t="shared" si="64"/>
        <v/>
      </c>
      <c r="AP196" s="90" t="str">
        <f t="shared" si="64"/>
        <v/>
      </c>
      <c r="AQ196" s="90" t="str">
        <f t="shared" si="64"/>
        <v/>
      </c>
      <c r="AR196" s="90" t="str">
        <f t="shared" si="64"/>
        <v/>
      </c>
      <c r="AS196" s="90" t="str">
        <f t="shared" si="64"/>
        <v/>
      </c>
      <c r="AT196" s="90" t="str">
        <f t="shared" si="64"/>
        <v/>
      </c>
      <c r="AU196" s="90" t="str">
        <f t="shared" si="64"/>
        <v/>
      </c>
      <c r="AV196" s="90" t="str">
        <f t="shared" si="64"/>
        <v/>
      </c>
      <c r="AW196" s="90" t="str">
        <f t="shared" si="64"/>
        <v/>
      </c>
      <c r="AX196" s="90" t="str">
        <f t="shared" si="65"/>
        <v/>
      </c>
      <c r="AY196" s="90" t="str">
        <f t="shared" si="65"/>
        <v/>
      </c>
      <c r="AZ196" s="90" t="str">
        <f t="shared" si="65"/>
        <v/>
      </c>
      <c r="BA196" s="90" t="str">
        <f t="shared" si="65"/>
        <v/>
      </c>
      <c r="BB196" s="90" t="str">
        <f t="shared" si="65"/>
        <v/>
      </c>
      <c r="BC196" s="90" t="str">
        <f t="shared" si="65"/>
        <v/>
      </c>
    </row>
    <row r="197" spans="1:55" x14ac:dyDescent="0.25">
      <c r="A197" s="25" t="s">
        <v>51</v>
      </c>
      <c r="B197" s="26" t="s">
        <v>56</v>
      </c>
      <c r="C197" s="26" t="s">
        <v>57</v>
      </c>
      <c r="D197" s="2"/>
      <c r="E197" s="2"/>
      <c r="F197" s="47">
        <v>0</v>
      </c>
      <c r="G197" s="47">
        <v>0</v>
      </c>
      <c r="H197" s="1">
        <v>0</v>
      </c>
      <c r="I197" s="1">
        <v>0</v>
      </c>
      <c r="J197" s="1">
        <v>0</v>
      </c>
      <c r="K197" s="1">
        <v>0</v>
      </c>
      <c r="L197" s="52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54">
        <v>0</v>
      </c>
      <c r="Y197" s="58">
        <f t="shared" si="61"/>
        <v>0</v>
      </c>
      <c r="Z197" s="1">
        <f t="shared" si="62"/>
        <v>0</v>
      </c>
      <c r="AA197" s="1">
        <f t="shared" si="63"/>
        <v>0</v>
      </c>
      <c r="AC197" s="25" t="s">
        <v>51</v>
      </c>
      <c r="AD197" s="26" t="s">
        <v>56</v>
      </c>
      <c r="AE197" s="26" t="s">
        <v>57</v>
      </c>
      <c r="AF197" s="2"/>
      <c r="AG197" s="2"/>
      <c r="AH197" s="90" t="str">
        <f t="shared" si="64"/>
        <v/>
      </c>
      <c r="AI197" s="90" t="str">
        <f t="shared" si="64"/>
        <v/>
      </c>
      <c r="AJ197" s="90" t="str">
        <f t="shared" si="64"/>
        <v/>
      </c>
      <c r="AK197" s="90" t="str">
        <f t="shared" si="64"/>
        <v/>
      </c>
      <c r="AL197" s="90" t="str">
        <f t="shared" si="64"/>
        <v/>
      </c>
      <c r="AM197" s="90" t="str">
        <f t="shared" si="64"/>
        <v/>
      </c>
      <c r="AN197" s="90" t="str">
        <f t="shared" si="64"/>
        <v/>
      </c>
      <c r="AO197" s="90" t="str">
        <f t="shared" si="64"/>
        <v/>
      </c>
      <c r="AP197" s="90" t="str">
        <f t="shared" si="64"/>
        <v/>
      </c>
      <c r="AQ197" s="90" t="str">
        <f t="shared" si="64"/>
        <v/>
      </c>
      <c r="AR197" s="90" t="str">
        <f t="shared" si="64"/>
        <v/>
      </c>
      <c r="AS197" s="90" t="str">
        <f t="shared" si="64"/>
        <v/>
      </c>
      <c r="AT197" s="90" t="str">
        <f t="shared" si="64"/>
        <v/>
      </c>
      <c r="AU197" s="90" t="str">
        <f t="shared" si="64"/>
        <v/>
      </c>
      <c r="AV197" s="90" t="str">
        <f t="shared" si="64"/>
        <v/>
      </c>
      <c r="AW197" s="90" t="str">
        <f t="shared" si="64"/>
        <v/>
      </c>
      <c r="AX197" s="90" t="str">
        <f t="shared" si="65"/>
        <v/>
      </c>
      <c r="AY197" s="90" t="str">
        <f t="shared" si="65"/>
        <v/>
      </c>
      <c r="AZ197" s="90" t="str">
        <f t="shared" si="65"/>
        <v/>
      </c>
      <c r="BA197" s="90" t="str">
        <f t="shared" si="65"/>
        <v/>
      </c>
      <c r="BB197" s="90" t="str">
        <f t="shared" si="65"/>
        <v/>
      </c>
      <c r="BC197" s="90" t="str">
        <f t="shared" si="65"/>
        <v/>
      </c>
    </row>
    <row r="198" spans="1:55" x14ac:dyDescent="0.25">
      <c r="A198" s="15" t="s">
        <v>51</v>
      </c>
      <c r="B198" s="16" t="s">
        <v>56</v>
      </c>
      <c r="C198" s="27" t="s">
        <v>58</v>
      </c>
      <c r="D198" s="2"/>
      <c r="E198" s="2"/>
      <c r="F198" s="47">
        <v>0</v>
      </c>
      <c r="G198" s="47">
        <v>0</v>
      </c>
      <c r="H198" s="1">
        <v>0</v>
      </c>
      <c r="I198" s="1">
        <v>0</v>
      </c>
      <c r="J198" s="1">
        <v>0</v>
      </c>
      <c r="K198" s="1">
        <v>0</v>
      </c>
      <c r="L198" s="52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54">
        <v>0</v>
      </c>
      <c r="Y198" s="58">
        <f t="shared" si="61"/>
        <v>0</v>
      </c>
      <c r="Z198" s="1">
        <f t="shared" si="62"/>
        <v>0</v>
      </c>
      <c r="AA198" s="1">
        <f t="shared" si="63"/>
        <v>0</v>
      </c>
      <c r="AC198" s="15" t="s">
        <v>51</v>
      </c>
      <c r="AD198" s="16" t="s">
        <v>56</v>
      </c>
      <c r="AE198" s="27" t="s">
        <v>58</v>
      </c>
      <c r="AF198" s="2"/>
      <c r="AG198" s="2"/>
      <c r="AH198" s="90" t="str">
        <f t="shared" si="64"/>
        <v/>
      </c>
      <c r="AI198" s="90" t="str">
        <f t="shared" si="64"/>
        <v/>
      </c>
      <c r="AJ198" s="90" t="str">
        <f t="shared" si="64"/>
        <v/>
      </c>
      <c r="AK198" s="90" t="str">
        <f t="shared" si="64"/>
        <v/>
      </c>
      <c r="AL198" s="90" t="str">
        <f t="shared" si="64"/>
        <v/>
      </c>
      <c r="AM198" s="90" t="str">
        <f t="shared" si="64"/>
        <v/>
      </c>
      <c r="AN198" s="90" t="str">
        <f t="shared" si="64"/>
        <v/>
      </c>
      <c r="AO198" s="90" t="str">
        <f t="shared" si="64"/>
        <v/>
      </c>
      <c r="AP198" s="90" t="str">
        <f t="shared" si="64"/>
        <v/>
      </c>
      <c r="AQ198" s="90" t="str">
        <f t="shared" si="64"/>
        <v/>
      </c>
      <c r="AR198" s="90" t="str">
        <f t="shared" si="64"/>
        <v/>
      </c>
      <c r="AS198" s="90" t="str">
        <f t="shared" si="64"/>
        <v/>
      </c>
      <c r="AT198" s="90" t="str">
        <f t="shared" si="64"/>
        <v/>
      </c>
      <c r="AU198" s="90" t="str">
        <f t="shared" si="64"/>
        <v/>
      </c>
      <c r="AV198" s="90" t="str">
        <f t="shared" si="64"/>
        <v/>
      </c>
      <c r="AW198" s="90" t="str">
        <f t="shared" si="64"/>
        <v/>
      </c>
      <c r="AX198" s="90" t="str">
        <f t="shared" si="65"/>
        <v/>
      </c>
      <c r="AY198" s="90" t="str">
        <f t="shared" si="65"/>
        <v/>
      </c>
      <c r="AZ198" s="90" t="str">
        <f t="shared" si="65"/>
        <v/>
      </c>
      <c r="BA198" s="90" t="str">
        <f t="shared" si="65"/>
        <v/>
      </c>
      <c r="BB198" s="90" t="str">
        <f t="shared" si="65"/>
        <v/>
      </c>
      <c r="BC198" s="90" t="str">
        <f t="shared" si="65"/>
        <v/>
      </c>
    </row>
    <row r="199" spans="1:55" x14ac:dyDescent="0.25">
      <c r="A199" s="15" t="s">
        <v>51</v>
      </c>
      <c r="B199" s="16" t="s">
        <v>9</v>
      </c>
      <c r="C199" s="27" t="s">
        <v>59</v>
      </c>
      <c r="D199" s="2"/>
      <c r="E199" s="2"/>
      <c r="F199" s="47">
        <v>0</v>
      </c>
      <c r="G199" s="47">
        <v>0</v>
      </c>
      <c r="H199" s="1">
        <v>0</v>
      </c>
      <c r="I199" s="1">
        <v>0</v>
      </c>
      <c r="J199" s="1">
        <v>0</v>
      </c>
      <c r="K199" s="1">
        <v>0</v>
      </c>
      <c r="L199" s="52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54">
        <v>0</v>
      </c>
      <c r="Y199" s="58">
        <f t="shared" si="61"/>
        <v>0</v>
      </c>
      <c r="Z199" s="1">
        <f t="shared" si="62"/>
        <v>0</v>
      </c>
      <c r="AA199" s="1">
        <f t="shared" si="63"/>
        <v>0</v>
      </c>
      <c r="AC199" s="15" t="s">
        <v>51</v>
      </c>
      <c r="AD199" s="16" t="s">
        <v>9</v>
      </c>
      <c r="AE199" s="27" t="s">
        <v>59</v>
      </c>
      <c r="AF199" s="2"/>
      <c r="AG199" s="2"/>
      <c r="AH199" s="90" t="str">
        <f t="shared" si="64"/>
        <v/>
      </c>
      <c r="AI199" s="90" t="str">
        <f t="shared" si="64"/>
        <v/>
      </c>
      <c r="AJ199" s="90" t="str">
        <f t="shared" si="64"/>
        <v/>
      </c>
      <c r="AK199" s="90" t="str">
        <f t="shared" si="64"/>
        <v/>
      </c>
      <c r="AL199" s="90" t="str">
        <f t="shared" si="64"/>
        <v/>
      </c>
      <c r="AM199" s="90" t="str">
        <f t="shared" si="64"/>
        <v/>
      </c>
      <c r="AN199" s="90" t="str">
        <f t="shared" si="64"/>
        <v/>
      </c>
      <c r="AO199" s="90" t="str">
        <f t="shared" si="64"/>
        <v/>
      </c>
      <c r="AP199" s="90" t="str">
        <f t="shared" si="64"/>
        <v/>
      </c>
      <c r="AQ199" s="90" t="str">
        <f t="shared" si="64"/>
        <v/>
      </c>
      <c r="AR199" s="90" t="str">
        <f t="shared" si="64"/>
        <v/>
      </c>
      <c r="AS199" s="90" t="str">
        <f t="shared" si="64"/>
        <v/>
      </c>
      <c r="AT199" s="90" t="str">
        <f t="shared" si="64"/>
        <v/>
      </c>
      <c r="AU199" s="90" t="str">
        <f t="shared" si="64"/>
        <v/>
      </c>
      <c r="AV199" s="90" t="str">
        <f t="shared" si="64"/>
        <v/>
      </c>
      <c r="AW199" s="90" t="str">
        <f t="shared" si="64"/>
        <v/>
      </c>
      <c r="AX199" s="90" t="str">
        <f t="shared" si="65"/>
        <v/>
      </c>
      <c r="AY199" s="90" t="str">
        <f t="shared" si="65"/>
        <v/>
      </c>
      <c r="AZ199" s="90" t="str">
        <f t="shared" si="65"/>
        <v/>
      </c>
      <c r="BA199" s="90" t="str">
        <f t="shared" si="65"/>
        <v/>
      </c>
      <c r="BB199" s="90" t="str">
        <f t="shared" si="65"/>
        <v/>
      </c>
      <c r="BC199" s="90" t="str">
        <f t="shared" si="65"/>
        <v/>
      </c>
    </row>
    <row r="200" spans="1:55" x14ac:dyDescent="0.25">
      <c r="A200" s="15" t="s">
        <v>51</v>
      </c>
      <c r="B200" s="16" t="s">
        <v>9</v>
      </c>
      <c r="C200" s="27" t="s">
        <v>9</v>
      </c>
      <c r="D200" s="2"/>
      <c r="E200" s="2"/>
      <c r="F200" s="47">
        <v>0</v>
      </c>
      <c r="G200" s="47">
        <v>0</v>
      </c>
      <c r="H200" s="1">
        <v>0</v>
      </c>
      <c r="I200" s="1">
        <v>0</v>
      </c>
      <c r="J200" s="1">
        <v>0</v>
      </c>
      <c r="K200" s="1">
        <v>0</v>
      </c>
      <c r="L200" s="52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54">
        <v>0</v>
      </c>
      <c r="Y200" s="58">
        <f t="shared" si="61"/>
        <v>0</v>
      </c>
      <c r="Z200" s="1">
        <f t="shared" si="62"/>
        <v>0</v>
      </c>
      <c r="AA200" s="1">
        <f t="shared" si="63"/>
        <v>0</v>
      </c>
      <c r="AC200" s="15" t="s">
        <v>51</v>
      </c>
      <c r="AD200" s="16" t="s">
        <v>9</v>
      </c>
      <c r="AE200" s="27" t="s">
        <v>9</v>
      </c>
      <c r="AF200" s="2"/>
      <c r="AG200" s="2"/>
      <c r="AH200" s="90" t="str">
        <f t="shared" si="64"/>
        <v/>
      </c>
      <c r="AI200" s="90" t="str">
        <f t="shared" si="64"/>
        <v/>
      </c>
      <c r="AJ200" s="90" t="str">
        <f t="shared" si="64"/>
        <v/>
      </c>
      <c r="AK200" s="90" t="str">
        <f t="shared" si="64"/>
        <v/>
      </c>
      <c r="AL200" s="90" t="str">
        <f t="shared" si="64"/>
        <v/>
      </c>
      <c r="AM200" s="90" t="str">
        <f t="shared" si="64"/>
        <v/>
      </c>
      <c r="AN200" s="90" t="str">
        <f t="shared" si="64"/>
        <v/>
      </c>
      <c r="AO200" s="90" t="str">
        <f t="shared" si="64"/>
        <v/>
      </c>
      <c r="AP200" s="90" t="str">
        <f t="shared" si="64"/>
        <v/>
      </c>
      <c r="AQ200" s="90" t="str">
        <f t="shared" si="64"/>
        <v/>
      </c>
      <c r="AR200" s="90" t="str">
        <f t="shared" si="64"/>
        <v/>
      </c>
      <c r="AS200" s="90" t="str">
        <f t="shared" si="64"/>
        <v/>
      </c>
      <c r="AT200" s="90" t="str">
        <f t="shared" si="64"/>
        <v/>
      </c>
      <c r="AU200" s="90" t="str">
        <f t="shared" si="64"/>
        <v/>
      </c>
      <c r="AV200" s="90" t="str">
        <f t="shared" si="64"/>
        <v/>
      </c>
      <c r="AW200" s="90" t="str">
        <f t="shared" ref="AW200:BC225" si="74">IF(U200&gt;0,U245/U200*1000,"")</f>
        <v/>
      </c>
      <c r="AX200" s="90" t="str">
        <f t="shared" si="65"/>
        <v/>
      </c>
      <c r="AY200" s="90" t="str">
        <f t="shared" si="65"/>
        <v/>
      </c>
      <c r="AZ200" s="90" t="str">
        <f t="shared" si="65"/>
        <v/>
      </c>
      <c r="BA200" s="90" t="str">
        <f t="shared" si="65"/>
        <v/>
      </c>
      <c r="BB200" s="90" t="str">
        <f t="shared" si="65"/>
        <v/>
      </c>
      <c r="BC200" s="90" t="str">
        <f t="shared" si="65"/>
        <v/>
      </c>
    </row>
    <row r="201" spans="1:55" x14ac:dyDescent="0.25">
      <c r="A201" s="28" t="s">
        <v>60</v>
      </c>
      <c r="B201" s="29" t="s">
        <v>13</v>
      </c>
      <c r="C201" s="29" t="s">
        <v>61</v>
      </c>
      <c r="D201" s="2"/>
      <c r="E201" s="2"/>
      <c r="F201" s="83">
        <f>170*0.8</f>
        <v>136</v>
      </c>
      <c r="G201" s="51">
        <v>0</v>
      </c>
      <c r="H201" s="64">
        <f>1900*0.5</f>
        <v>950</v>
      </c>
      <c r="I201" s="77">
        <f>I21/I156</f>
        <v>101.37931034482759</v>
      </c>
      <c r="J201" s="83">
        <f>68*0.43</f>
        <v>29.24</v>
      </c>
      <c r="K201" s="77">
        <f>K21/K156</f>
        <v>27.586206896551722</v>
      </c>
      <c r="L201" s="52">
        <v>0</v>
      </c>
      <c r="M201" s="80">
        <f>M21/M156</f>
        <v>5</v>
      </c>
      <c r="N201" s="84">
        <f t="shared" ref="N201:X202" si="75">N21/N156</f>
        <v>0.43678160919540232</v>
      </c>
      <c r="O201" s="84">
        <f t="shared" si="75"/>
        <v>0.11952</v>
      </c>
      <c r="P201" s="84">
        <f t="shared" si="75"/>
        <v>0.11809714285714284</v>
      </c>
      <c r="Q201" s="84">
        <f t="shared" si="75"/>
        <v>0.21276595744680851</v>
      </c>
      <c r="R201" s="80">
        <f t="shared" si="75"/>
        <v>1.9561815336463224</v>
      </c>
      <c r="S201" s="51">
        <v>0</v>
      </c>
      <c r="T201" s="80">
        <f t="shared" si="75"/>
        <v>0.46948356807511737</v>
      </c>
      <c r="U201" s="80">
        <f t="shared" si="75"/>
        <v>1.596244131455399</v>
      </c>
      <c r="V201" s="80">
        <f t="shared" si="75"/>
        <v>0.11737089201877934</v>
      </c>
      <c r="W201" s="80">
        <f t="shared" si="75"/>
        <v>3.1298904538341161</v>
      </c>
      <c r="X201" s="80">
        <f t="shared" si="75"/>
        <v>0.93896713615023475</v>
      </c>
      <c r="Y201" s="59">
        <f t="shared" si="61"/>
        <v>1244.2055172413793</v>
      </c>
      <c r="Z201" s="51">
        <f t="shared" si="62"/>
        <v>14.095302424679321</v>
      </c>
      <c r="AA201" s="51">
        <f t="shared" si="63"/>
        <v>1258.3008196660587</v>
      </c>
      <c r="AB201" s="5" t="s">
        <v>124</v>
      </c>
      <c r="AC201" s="28" t="s">
        <v>60</v>
      </c>
      <c r="AD201" s="29" t="s">
        <v>13</v>
      </c>
      <c r="AE201" s="29" t="s">
        <v>61</v>
      </c>
      <c r="AF201" s="2"/>
      <c r="AG201" s="2"/>
      <c r="AH201" s="1">
        <f t="shared" ref="AH201:AV217" si="76">IF(F201&gt;0,F246/F201*1000,"")</f>
        <v>294.11764705882354</v>
      </c>
      <c r="AI201" s="1" t="str">
        <f t="shared" si="76"/>
        <v/>
      </c>
      <c r="AJ201" s="1">
        <f t="shared" si="76"/>
        <v>29.907120743034053</v>
      </c>
      <c r="AK201" s="1">
        <f t="shared" si="76"/>
        <v>170.58823529411762</v>
      </c>
      <c r="AL201" s="1">
        <f t="shared" si="76"/>
        <v>372.17349320028973</v>
      </c>
      <c r="AM201" s="1">
        <f t="shared" si="76"/>
        <v>170.58823529411765</v>
      </c>
      <c r="AN201" s="52" t="str">
        <f t="shared" si="76"/>
        <v/>
      </c>
      <c r="AO201" s="1">
        <f t="shared" si="76"/>
        <v>2222.2222222222222</v>
      </c>
      <c r="AP201" s="1">
        <f t="shared" si="76"/>
        <v>5437.5</v>
      </c>
      <c r="AQ201" s="1">
        <f t="shared" si="76"/>
        <v>55555.555555555555</v>
      </c>
      <c r="AR201" s="1">
        <f t="shared" si="76"/>
        <v>155555.55555555553</v>
      </c>
      <c r="AS201" s="1">
        <f t="shared" si="76"/>
        <v>5222.2222222222226</v>
      </c>
      <c r="AT201" s="1">
        <f t="shared" si="76"/>
        <v>2366.6666666666665</v>
      </c>
      <c r="AU201" s="1" t="str">
        <f t="shared" si="76"/>
        <v/>
      </c>
      <c r="AV201" s="1">
        <f t="shared" si="76"/>
        <v>2366.6666666666665</v>
      </c>
      <c r="AW201" s="1">
        <f t="shared" si="74"/>
        <v>2366.6666666666665</v>
      </c>
      <c r="AX201" s="1">
        <f t="shared" si="74"/>
        <v>2366.6666666666665</v>
      </c>
      <c r="AY201" s="1">
        <f t="shared" si="74"/>
        <v>2366.6666666666665</v>
      </c>
      <c r="AZ201" s="1">
        <f t="shared" si="74"/>
        <v>2366.6666666666665</v>
      </c>
      <c r="BA201" s="1">
        <f t="shared" si="74"/>
        <v>0</v>
      </c>
      <c r="BB201" s="1">
        <f t="shared" si="74"/>
        <v>0</v>
      </c>
      <c r="BC201" s="1">
        <f t="shared" si="74"/>
        <v>0</v>
      </c>
    </row>
    <row r="202" spans="1:55" x14ac:dyDescent="0.25">
      <c r="A202" s="36" t="s">
        <v>60</v>
      </c>
      <c r="B202" s="37" t="s">
        <v>13</v>
      </c>
      <c r="C202" s="29" t="s">
        <v>62</v>
      </c>
      <c r="D202" s="2"/>
      <c r="E202" s="2"/>
      <c r="F202" s="83">
        <f>170*0.2</f>
        <v>34</v>
      </c>
      <c r="G202" s="64">
        <f>210*1.07</f>
        <v>224.70000000000002</v>
      </c>
      <c r="H202" s="64">
        <f>1900*0.5</f>
        <v>950</v>
      </c>
      <c r="I202" s="51">
        <v>0</v>
      </c>
      <c r="J202" s="51">
        <v>0</v>
      </c>
      <c r="K202" s="51">
        <v>0</v>
      </c>
      <c r="L202" s="52">
        <v>0</v>
      </c>
      <c r="M202" s="51">
        <v>0</v>
      </c>
      <c r="N202" s="51">
        <v>0</v>
      </c>
      <c r="O202" s="51">
        <v>0</v>
      </c>
      <c r="P202" s="84">
        <f t="shared" si="75"/>
        <v>0.11809714285714284</v>
      </c>
      <c r="Q202" s="51">
        <v>0</v>
      </c>
      <c r="R202" s="51">
        <v>0</v>
      </c>
      <c r="S202" s="51">
        <v>0</v>
      </c>
      <c r="T202" s="51">
        <v>0</v>
      </c>
      <c r="U202" s="51">
        <v>0</v>
      </c>
      <c r="V202" s="51">
        <v>0</v>
      </c>
      <c r="W202" s="51">
        <v>0</v>
      </c>
      <c r="X202" s="55">
        <v>0</v>
      </c>
      <c r="Y202" s="59">
        <f t="shared" si="61"/>
        <v>1208.7</v>
      </c>
      <c r="Z202" s="51">
        <f t="shared" si="62"/>
        <v>0.11809714285714284</v>
      </c>
      <c r="AA202" s="51">
        <f t="shared" si="63"/>
        <v>1208.8180971428571</v>
      </c>
      <c r="AC202" s="36" t="s">
        <v>60</v>
      </c>
      <c r="AD202" s="37" t="s">
        <v>13</v>
      </c>
      <c r="AE202" s="29" t="s">
        <v>62</v>
      </c>
      <c r="AF202" s="2"/>
      <c r="AG202" s="2"/>
      <c r="AH202" s="1">
        <f t="shared" si="76"/>
        <v>294.11764705882354</v>
      </c>
      <c r="AI202" s="1">
        <f t="shared" si="76"/>
        <v>134.85994794406008</v>
      </c>
      <c r="AJ202" s="1">
        <f t="shared" si="76"/>
        <v>28.668730650154799</v>
      </c>
      <c r="AK202" s="1" t="str">
        <f t="shared" si="76"/>
        <v/>
      </c>
      <c r="AL202" s="1" t="str">
        <f t="shared" si="76"/>
        <v/>
      </c>
      <c r="AM202" s="1" t="str">
        <f t="shared" si="76"/>
        <v/>
      </c>
      <c r="AN202" s="52" t="str">
        <f t="shared" si="76"/>
        <v/>
      </c>
      <c r="AO202" s="1" t="str">
        <f t="shared" si="76"/>
        <v/>
      </c>
      <c r="AP202" s="1" t="str">
        <f t="shared" si="76"/>
        <v/>
      </c>
      <c r="AQ202" s="1" t="str">
        <f t="shared" si="76"/>
        <v/>
      </c>
      <c r="AR202" s="1">
        <f t="shared" si="76"/>
        <v>155555.55555555553</v>
      </c>
      <c r="AS202" s="1" t="str">
        <f t="shared" si="76"/>
        <v/>
      </c>
      <c r="AT202" s="1" t="str">
        <f t="shared" si="76"/>
        <v/>
      </c>
      <c r="AU202" s="1" t="str">
        <f t="shared" si="76"/>
        <v/>
      </c>
      <c r="AV202" s="1" t="str">
        <f t="shared" si="76"/>
        <v/>
      </c>
      <c r="AW202" s="1" t="str">
        <f t="shared" si="74"/>
        <v/>
      </c>
      <c r="AX202" s="1" t="str">
        <f t="shared" si="74"/>
        <v/>
      </c>
      <c r="AY202" s="1" t="str">
        <f t="shared" si="74"/>
        <v/>
      </c>
      <c r="AZ202" s="1" t="str">
        <f t="shared" si="74"/>
        <v/>
      </c>
      <c r="BA202" s="1">
        <f t="shared" si="74"/>
        <v>0</v>
      </c>
      <c r="BB202" s="1">
        <f t="shared" si="74"/>
        <v>0</v>
      </c>
      <c r="BC202" s="1">
        <f t="shared" si="74"/>
        <v>0</v>
      </c>
    </row>
    <row r="203" spans="1:55" x14ac:dyDescent="0.25">
      <c r="A203" s="30" t="s">
        <v>60</v>
      </c>
      <c r="B203" s="31" t="s">
        <v>13</v>
      </c>
      <c r="C203" s="32" t="s">
        <v>63</v>
      </c>
      <c r="D203" s="2"/>
      <c r="E203" s="2"/>
      <c r="F203" s="51">
        <v>0</v>
      </c>
      <c r="G203" s="51">
        <v>0</v>
      </c>
      <c r="H203" s="51">
        <v>0</v>
      </c>
      <c r="I203" s="51">
        <v>0</v>
      </c>
      <c r="J203" s="51">
        <v>0</v>
      </c>
      <c r="K203" s="51">
        <v>0</v>
      </c>
      <c r="L203" s="52">
        <v>0</v>
      </c>
      <c r="M203" s="51">
        <v>0</v>
      </c>
      <c r="N203" s="51">
        <v>0</v>
      </c>
      <c r="O203" s="51">
        <v>0</v>
      </c>
      <c r="P203" s="51">
        <v>0</v>
      </c>
      <c r="Q203" s="51">
        <v>0</v>
      </c>
      <c r="R203" s="51">
        <v>0</v>
      </c>
      <c r="S203" s="51">
        <v>0</v>
      </c>
      <c r="T203" s="51">
        <v>0</v>
      </c>
      <c r="U203" s="51">
        <v>0</v>
      </c>
      <c r="V203" s="51">
        <v>0</v>
      </c>
      <c r="W203" s="51">
        <v>0</v>
      </c>
      <c r="X203" s="55">
        <v>0</v>
      </c>
      <c r="Y203" s="59">
        <f t="shared" si="61"/>
        <v>0</v>
      </c>
      <c r="Z203" s="51">
        <f t="shared" si="62"/>
        <v>0</v>
      </c>
      <c r="AA203" s="51">
        <f t="shared" si="63"/>
        <v>0</v>
      </c>
      <c r="AC203" s="30" t="s">
        <v>60</v>
      </c>
      <c r="AD203" s="31" t="s">
        <v>13</v>
      </c>
      <c r="AE203" s="32" t="s">
        <v>63</v>
      </c>
      <c r="AF203" s="2"/>
      <c r="AG203" s="2"/>
      <c r="AH203" s="1" t="str">
        <f t="shared" si="76"/>
        <v/>
      </c>
      <c r="AI203" s="1" t="str">
        <f t="shared" si="76"/>
        <v/>
      </c>
      <c r="AJ203" s="1" t="str">
        <f t="shared" si="76"/>
        <v/>
      </c>
      <c r="AK203" s="1" t="str">
        <f t="shared" si="76"/>
        <v/>
      </c>
      <c r="AL203" s="1" t="str">
        <f t="shared" si="76"/>
        <v/>
      </c>
      <c r="AM203" s="1" t="str">
        <f t="shared" si="76"/>
        <v/>
      </c>
      <c r="AN203" s="52" t="str">
        <f t="shared" si="76"/>
        <v/>
      </c>
      <c r="AO203" s="1" t="str">
        <f t="shared" si="76"/>
        <v/>
      </c>
      <c r="AP203" s="1" t="str">
        <f t="shared" si="76"/>
        <v/>
      </c>
      <c r="AQ203" s="1" t="str">
        <f t="shared" si="76"/>
        <v/>
      </c>
      <c r="AR203" s="1" t="str">
        <f t="shared" si="76"/>
        <v/>
      </c>
      <c r="AS203" s="1" t="str">
        <f t="shared" si="76"/>
        <v/>
      </c>
      <c r="AT203" s="1" t="str">
        <f t="shared" si="76"/>
        <v/>
      </c>
      <c r="AU203" s="1" t="str">
        <f t="shared" si="76"/>
        <v/>
      </c>
      <c r="AV203" s="1" t="str">
        <f t="shared" si="76"/>
        <v/>
      </c>
      <c r="AW203" s="1" t="str">
        <f t="shared" si="74"/>
        <v/>
      </c>
      <c r="AX203" s="1" t="str">
        <f t="shared" si="74"/>
        <v/>
      </c>
      <c r="AY203" s="1" t="str">
        <f t="shared" si="74"/>
        <v/>
      </c>
      <c r="AZ203" s="1" t="str">
        <f t="shared" si="74"/>
        <v/>
      </c>
      <c r="BA203" s="1" t="str">
        <f t="shared" si="74"/>
        <v/>
      </c>
      <c r="BB203" s="1" t="str">
        <f t="shared" si="74"/>
        <v/>
      </c>
      <c r="BC203" s="1" t="str">
        <f t="shared" si="74"/>
        <v/>
      </c>
    </row>
    <row r="204" spans="1:55" x14ac:dyDescent="0.25">
      <c r="A204" s="30" t="s">
        <v>60</v>
      </c>
      <c r="B204" s="32" t="s">
        <v>23</v>
      </c>
      <c r="C204" s="31" t="s">
        <v>50</v>
      </c>
      <c r="D204" s="2"/>
      <c r="E204" s="2"/>
      <c r="F204" s="64">
        <v>0</v>
      </c>
      <c r="G204" s="51">
        <v>0</v>
      </c>
      <c r="H204" s="51">
        <v>0</v>
      </c>
      <c r="I204" s="51">
        <v>0</v>
      </c>
      <c r="J204" s="80">
        <f>J24/J159</f>
        <v>0.41111111111111109</v>
      </c>
      <c r="K204" s="77">
        <f>K24/K159</f>
        <v>863.63636363636351</v>
      </c>
      <c r="L204" s="52">
        <v>0</v>
      </c>
      <c r="M204" s="51">
        <v>0</v>
      </c>
      <c r="N204" s="84">
        <f>N24/N159</f>
        <v>1.6363636363636365</v>
      </c>
      <c r="O204" s="51">
        <v>0</v>
      </c>
      <c r="P204" s="51">
        <v>0</v>
      </c>
      <c r="Q204" s="51">
        <v>0</v>
      </c>
      <c r="R204" s="51">
        <v>0</v>
      </c>
      <c r="S204" s="51">
        <v>0</v>
      </c>
      <c r="T204" s="51">
        <v>0</v>
      </c>
      <c r="U204" s="51">
        <v>0</v>
      </c>
      <c r="V204" s="51">
        <v>0</v>
      </c>
      <c r="W204" s="51">
        <v>0</v>
      </c>
      <c r="X204" s="55">
        <v>0</v>
      </c>
      <c r="Y204" s="59">
        <f t="shared" si="61"/>
        <v>864.04747474747467</v>
      </c>
      <c r="Z204" s="51">
        <f t="shared" si="62"/>
        <v>1.6363636363636365</v>
      </c>
      <c r="AA204" s="51">
        <f t="shared" si="63"/>
        <v>865.68383838383829</v>
      </c>
      <c r="AB204" s="64">
        <v>1200</v>
      </c>
      <c r="AC204" s="30" t="s">
        <v>60</v>
      </c>
      <c r="AD204" s="32" t="s">
        <v>23</v>
      </c>
      <c r="AE204" s="31" t="s">
        <v>50</v>
      </c>
      <c r="AF204" s="2"/>
      <c r="AG204" s="2"/>
      <c r="AH204" s="1" t="str">
        <f t="shared" si="76"/>
        <v/>
      </c>
      <c r="AI204" s="1" t="str">
        <f t="shared" si="76"/>
        <v/>
      </c>
      <c r="AJ204" s="1" t="str">
        <f t="shared" si="76"/>
        <v/>
      </c>
      <c r="AK204" s="1" t="str">
        <f t="shared" si="76"/>
        <v/>
      </c>
      <c r="AL204" s="1">
        <f t="shared" si="76"/>
        <v>692.30769230769226</v>
      </c>
      <c r="AM204" s="1">
        <f t="shared" si="76"/>
        <v>31.428571428571431</v>
      </c>
      <c r="AN204" s="52" t="str">
        <f t="shared" si="76"/>
        <v/>
      </c>
      <c r="AO204" s="1" t="str">
        <f t="shared" si="76"/>
        <v/>
      </c>
      <c r="AP204" s="1">
        <f t="shared" si="76"/>
        <v>16923.076923076922</v>
      </c>
      <c r="AQ204" s="1" t="str">
        <f t="shared" si="76"/>
        <v/>
      </c>
      <c r="AR204" s="1" t="str">
        <f t="shared" si="76"/>
        <v/>
      </c>
      <c r="AS204" s="1" t="str">
        <f t="shared" si="76"/>
        <v/>
      </c>
      <c r="AT204" s="1" t="str">
        <f t="shared" si="76"/>
        <v/>
      </c>
      <c r="AU204" s="1" t="str">
        <f t="shared" si="76"/>
        <v/>
      </c>
      <c r="AV204" s="1" t="str">
        <f t="shared" si="76"/>
        <v/>
      </c>
      <c r="AW204" s="1" t="str">
        <f t="shared" si="74"/>
        <v/>
      </c>
      <c r="AX204" s="1" t="str">
        <f t="shared" si="74"/>
        <v/>
      </c>
      <c r="AY204" s="1" t="str">
        <f t="shared" si="74"/>
        <v/>
      </c>
      <c r="AZ204" s="1" t="str">
        <f t="shared" si="74"/>
        <v/>
      </c>
      <c r="BA204" s="1">
        <f t="shared" si="74"/>
        <v>0</v>
      </c>
      <c r="BB204" s="1">
        <f t="shared" si="74"/>
        <v>0</v>
      </c>
      <c r="BC204" s="1">
        <f t="shared" si="74"/>
        <v>0</v>
      </c>
    </row>
    <row r="205" spans="1:55" x14ac:dyDescent="0.25">
      <c r="A205" s="30" t="s">
        <v>60</v>
      </c>
      <c r="B205" s="32" t="s">
        <v>23</v>
      </c>
      <c r="C205" s="31" t="s">
        <v>49</v>
      </c>
      <c r="D205" s="2"/>
      <c r="E205" s="2"/>
      <c r="F205" s="51">
        <v>0</v>
      </c>
      <c r="G205" s="51">
        <v>0</v>
      </c>
      <c r="H205" s="51">
        <v>0</v>
      </c>
      <c r="I205" s="51">
        <v>0</v>
      </c>
      <c r="J205" s="80">
        <f>J25/J160</f>
        <v>41.25</v>
      </c>
      <c r="K205" s="80">
        <f>K25/K160</f>
        <v>11.025</v>
      </c>
      <c r="L205" s="52">
        <v>0</v>
      </c>
      <c r="M205" s="51">
        <v>0</v>
      </c>
      <c r="N205" s="51">
        <v>0</v>
      </c>
      <c r="O205" s="51">
        <v>0</v>
      </c>
      <c r="P205" s="51">
        <v>0</v>
      </c>
      <c r="Q205" s="51">
        <v>0</v>
      </c>
      <c r="R205" s="51">
        <v>0</v>
      </c>
      <c r="S205" s="77">
        <f t="shared" ref="S205:X205" si="77">S25/S160</f>
        <v>2.4500000000000002</v>
      </c>
      <c r="T205" s="80">
        <f t="shared" si="77"/>
        <v>1.6009852216748768</v>
      </c>
      <c r="U205" s="86">
        <v>0</v>
      </c>
      <c r="V205" s="80">
        <f t="shared" si="77"/>
        <v>0.24630541871921183</v>
      </c>
      <c r="W205" s="86">
        <v>0</v>
      </c>
      <c r="X205" s="80">
        <f t="shared" si="77"/>
        <v>1</v>
      </c>
      <c r="Y205" s="59">
        <f t="shared" si="61"/>
        <v>52.274999999999999</v>
      </c>
      <c r="Z205" s="51">
        <f t="shared" si="62"/>
        <v>5.2972906403940883</v>
      </c>
      <c r="AA205" s="51">
        <f t="shared" si="63"/>
        <v>57.572290640394087</v>
      </c>
      <c r="AB205" s="97">
        <v>900</v>
      </c>
      <c r="AC205" s="30" t="s">
        <v>60</v>
      </c>
      <c r="AD205" s="32" t="s">
        <v>23</v>
      </c>
      <c r="AE205" s="31" t="s">
        <v>49</v>
      </c>
      <c r="AF205" s="2"/>
      <c r="AG205" s="2"/>
      <c r="AH205" s="1" t="str">
        <f t="shared" si="76"/>
        <v/>
      </c>
      <c r="AI205" s="1" t="str">
        <f t="shared" si="76"/>
        <v/>
      </c>
      <c r="AJ205" s="1" t="str">
        <f t="shared" si="76"/>
        <v/>
      </c>
      <c r="AK205" s="1" t="str">
        <f t="shared" si="76"/>
        <v/>
      </c>
      <c r="AL205" s="1">
        <f t="shared" si="76"/>
        <v>888.8888888888888</v>
      </c>
      <c r="AM205" s="1">
        <f t="shared" si="76"/>
        <v>888.88888888888891</v>
      </c>
      <c r="AN205" s="52" t="str">
        <f t="shared" si="76"/>
        <v/>
      </c>
      <c r="AO205" s="1" t="str">
        <f t="shared" si="76"/>
        <v/>
      </c>
      <c r="AP205" s="1" t="str">
        <f t="shared" si="76"/>
        <v/>
      </c>
      <c r="AQ205" s="1" t="str">
        <f t="shared" si="76"/>
        <v/>
      </c>
      <c r="AR205" s="1" t="str">
        <f t="shared" si="76"/>
        <v/>
      </c>
      <c r="AS205" s="1" t="str">
        <f t="shared" si="76"/>
        <v/>
      </c>
      <c r="AT205" s="1" t="str">
        <f t="shared" si="76"/>
        <v/>
      </c>
      <c r="AU205" s="1">
        <f t="shared" si="76"/>
        <v>2222.2222222222222</v>
      </c>
      <c r="AV205" s="1">
        <f t="shared" si="76"/>
        <v>11600.000000000002</v>
      </c>
      <c r="AW205" s="1" t="str">
        <f t="shared" si="74"/>
        <v/>
      </c>
      <c r="AX205" s="1">
        <f t="shared" si="74"/>
        <v>9022.2222222222226</v>
      </c>
      <c r="AY205" s="1" t="str">
        <f t="shared" si="74"/>
        <v/>
      </c>
      <c r="AZ205" s="1">
        <f t="shared" si="74"/>
        <v>2222.2222222222222</v>
      </c>
      <c r="BA205" s="1">
        <f t="shared" si="74"/>
        <v>0</v>
      </c>
      <c r="BB205" s="1">
        <f t="shared" si="74"/>
        <v>0</v>
      </c>
      <c r="BC205" s="1">
        <f t="shared" si="74"/>
        <v>0</v>
      </c>
    </row>
    <row r="206" spans="1:55" x14ac:dyDescent="0.25">
      <c r="A206" s="30" t="s">
        <v>60</v>
      </c>
      <c r="B206" s="32" t="s">
        <v>23</v>
      </c>
      <c r="C206" s="31" t="s">
        <v>64</v>
      </c>
      <c r="D206" s="2"/>
      <c r="E206" s="2"/>
      <c r="F206" s="51">
        <v>0</v>
      </c>
      <c r="G206" s="51">
        <v>0</v>
      </c>
      <c r="H206" s="51">
        <v>0</v>
      </c>
      <c r="I206" s="51">
        <v>0</v>
      </c>
      <c r="J206" s="51">
        <v>0</v>
      </c>
      <c r="K206" s="51">
        <v>0</v>
      </c>
      <c r="L206" s="52">
        <v>0</v>
      </c>
      <c r="M206" s="51">
        <v>0</v>
      </c>
      <c r="N206" s="51">
        <v>0</v>
      </c>
      <c r="O206" s="51">
        <v>0</v>
      </c>
      <c r="P206" s="51">
        <v>0</v>
      </c>
      <c r="Q206" s="51">
        <v>0</v>
      </c>
      <c r="R206" s="51">
        <v>0</v>
      </c>
      <c r="S206" s="51">
        <v>0</v>
      </c>
      <c r="T206" s="51">
        <v>0</v>
      </c>
      <c r="U206" s="51">
        <v>0</v>
      </c>
      <c r="V206" s="51">
        <v>0</v>
      </c>
      <c r="W206" s="51">
        <v>0</v>
      </c>
      <c r="X206" s="55">
        <v>0</v>
      </c>
      <c r="Y206" s="59">
        <f t="shared" si="61"/>
        <v>0</v>
      </c>
      <c r="Z206" s="51">
        <f t="shared" si="62"/>
        <v>0</v>
      </c>
      <c r="AA206" s="51">
        <f t="shared" si="63"/>
        <v>0</v>
      </c>
      <c r="AC206" s="30" t="s">
        <v>60</v>
      </c>
      <c r="AD206" s="32" t="s">
        <v>23</v>
      </c>
      <c r="AE206" s="31" t="s">
        <v>64</v>
      </c>
      <c r="AF206" s="2"/>
      <c r="AG206" s="2"/>
      <c r="AH206" s="1" t="str">
        <f t="shared" si="76"/>
        <v/>
      </c>
      <c r="AI206" s="1" t="str">
        <f t="shared" si="76"/>
        <v/>
      </c>
      <c r="AJ206" s="1" t="str">
        <f t="shared" si="76"/>
        <v/>
      </c>
      <c r="AK206" s="1" t="str">
        <f t="shared" si="76"/>
        <v/>
      </c>
      <c r="AL206" s="1" t="str">
        <f t="shared" si="76"/>
        <v/>
      </c>
      <c r="AM206" s="1" t="str">
        <f t="shared" si="76"/>
        <v/>
      </c>
      <c r="AN206" s="52" t="str">
        <f t="shared" si="76"/>
        <v/>
      </c>
      <c r="AO206" s="1" t="str">
        <f t="shared" si="76"/>
        <v/>
      </c>
      <c r="AP206" s="1" t="str">
        <f t="shared" si="76"/>
        <v/>
      </c>
      <c r="AQ206" s="1" t="str">
        <f t="shared" si="76"/>
        <v/>
      </c>
      <c r="AR206" s="1" t="str">
        <f t="shared" si="76"/>
        <v/>
      </c>
      <c r="AS206" s="1" t="str">
        <f t="shared" si="76"/>
        <v/>
      </c>
      <c r="AT206" s="1" t="str">
        <f t="shared" si="76"/>
        <v/>
      </c>
      <c r="AU206" s="1" t="str">
        <f t="shared" si="76"/>
        <v/>
      </c>
      <c r="AV206" s="1" t="str">
        <f t="shared" si="76"/>
        <v/>
      </c>
      <c r="AW206" s="1" t="str">
        <f t="shared" si="74"/>
        <v/>
      </c>
      <c r="AX206" s="1" t="str">
        <f t="shared" si="74"/>
        <v/>
      </c>
      <c r="AY206" s="1" t="str">
        <f t="shared" si="74"/>
        <v/>
      </c>
      <c r="AZ206" s="1" t="str">
        <f t="shared" si="74"/>
        <v/>
      </c>
      <c r="BA206" s="1" t="str">
        <f t="shared" si="74"/>
        <v/>
      </c>
      <c r="BB206" s="1" t="str">
        <f t="shared" si="74"/>
        <v/>
      </c>
      <c r="BC206" s="1" t="str">
        <f t="shared" si="74"/>
        <v/>
      </c>
    </row>
    <row r="207" spans="1:55" x14ac:dyDescent="0.25">
      <c r="A207" s="30" t="s">
        <v>60</v>
      </c>
      <c r="B207" s="32" t="s">
        <v>65</v>
      </c>
      <c r="C207" s="31" t="s">
        <v>66</v>
      </c>
      <c r="D207" s="2"/>
      <c r="E207" s="2"/>
      <c r="F207" s="51">
        <v>0</v>
      </c>
      <c r="G207" s="51">
        <v>0</v>
      </c>
      <c r="H207" s="51">
        <v>0</v>
      </c>
      <c r="I207" s="51">
        <v>0</v>
      </c>
      <c r="J207" s="80">
        <f>J27/J162</f>
        <v>74.404761904761912</v>
      </c>
      <c r="K207" s="51">
        <v>0</v>
      </c>
      <c r="L207" s="52">
        <v>0</v>
      </c>
      <c r="M207" s="81">
        <f>M27/M162</f>
        <v>34.722222222222229</v>
      </c>
      <c r="N207" s="51">
        <v>0</v>
      </c>
      <c r="O207" s="51">
        <v>0</v>
      </c>
      <c r="P207" s="51">
        <v>0</v>
      </c>
      <c r="Q207" s="51">
        <v>0</v>
      </c>
      <c r="R207" s="51">
        <v>0</v>
      </c>
      <c r="S207" s="51">
        <v>0</v>
      </c>
      <c r="T207" s="51">
        <v>0</v>
      </c>
      <c r="U207" s="51">
        <v>0</v>
      </c>
      <c r="V207" s="51">
        <v>0</v>
      </c>
      <c r="W207" s="51">
        <v>0</v>
      </c>
      <c r="X207" s="55">
        <v>0</v>
      </c>
      <c r="Y207" s="59">
        <f t="shared" si="61"/>
        <v>74.404761904761912</v>
      </c>
      <c r="Z207" s="51">
        <f t="shared" si="62"/>
        <v>34.722222222222229</v>
      </c>
      <c r="AA207" s="51">
        <f t="shared" si="63"/>
        <v>109.12698412698414</v>
      </c>
      <c r="AC207" s="30" t="s">
        <v>60</v>
      </c>
      <c r="AD207" s="32" t="s">
        <v>65</v>
      </c>
      <c r="AE207" s="31" t="s">
        <v>66</v>
      </c>
      <c r="AF207" s="2"/>
      <c r="AG207" s="2"/>
      <c r="AH207" s="1" t="str">
        <f t="shared" si="76"/>
        <v/>
      </c>
      <c r="AI207" s="1" t="str">
        <f t="shared" si="76"/>
        <v/>
      </c>
      <c r="AJ207" s="1" t="str">
        <f t="shared" si="76"/>
        <v/>
      </c>
      <c r="AK207" s="1" t="str">
        <f t="shared" si="76"/>
        <v/>
      </c>
      <c r="AL207" s="1">
        <f t="shared" si="76"/>
        <v>1400</v>
      </c>
      <c r="AM207" s="1" t="str">
        <f t="shared" si="76"/>
        <v/>
      </c>
      <c r="AN207" s="52" t="str">
        <f t="shared" si="76"/>
        <v/>
      </c>
      <c r="AO207" s="1">
        <f t="shared" si="76"/>
        <v>7499.9999999999991</v>
      </c>
      <c r="AP207" s="1" t="str">
        <f t="shared" si="76"/>
        <v/>
      </c>
      <c r="AQ207" s="1" t="str">
        <f t="shared" si="76"/>
        <v/>
      </c>
      <c r="AR207" s="1" t="str">
        <f t="shared" si="76"/>
        <v/>
      </c>
      <c r="AS207" s="1" t="str">
        <f t="shared" si="76"/>
        <v/>
      </c>
      <c r="AT207" s="1" t="str">
        <f t="shared" si="76"/>
        <v/>
      </c>
      <c r="AU207" s="1" t="str">
        <f t="shared" si="76"/>
        <v/>
      </c>
      <c r="AV207" s="1" t="str">
        <f t="shared" si="76"/>
        <v/>
      </c>
      <c r="AW207" s="1" t="str">
        <f t="shared" si="74"/>
        <v/>
      </c>
      <c r="AX207" s="1" t="str">
        <f t="shared" si="74"/>
        <v/>
      </c>
      <c r="AY207" s="1" t="str">
        <f t="shared" si="74"/>
        <v/>
      </c>
      <c r="AZ207" s="1" t="str">
        <f t="shared" si="74"/>
        <v/>
      </c>
      <c r="BA207" s="1">
        <f t="shared" si="74"/>
        <v>0</v>
      </c>
      <c r="BB207" s="1">
        <f t="shared" si="74"/>
        <v>0</v>
      </c>
      <c r="BC207" s="1">
        <f t="shared" si="74"/>
        <v>0</v>
      </c>
    </row>
    <row r="208" spans="1:55" x14ac:dyDescent="0.25">
      <c r="A208" s="30" t="s">
        <v>60</v>
      </c>
      <c r="B208" s="32" t="s">
        <v>65</v>
      </c>
      <c r="C208" s="31" t="s">
        <v>67</v>
      </c>
      <c r="D208" s="2"/>
      <c r="E208" s="2"/>
      <c r="F208" s="51">
        <v>0</v>
      </c>
      <c r="G208" s="51">
        <v>0</v>
      </c>
      <c r="H208" s="51">
        <v>0</v>
      </c>
      <c r="I208" s="51">
        <v>0</v>
      </c>
      <c r="J208" s="51">
        <v>0</v>
      </c>
      <c r="K208" s="51">
        <v>0</v>
      </c>
      <c r="L208" s="52">
        <v>0</v>
      </c>
      <c r="M208" s="51">
        <v>0</v>
      </c>
      <c r="N208" s="51">
        <v>0</v>
      </c>
      <c r="O208" s="51">
        <v>0</v>
      </c>
      <c r="P208" s="51">
        <v>0</v>
      </c>
      <c r="Q208" s="80">
        <f>Q28/Q163</f>
        <v>25.531914893617021</v>
      </c>
      <c r="R208" s="80">
        <f>R28/R163</f>
        <v>33.907146583202923</v>
      </c>
      <c r="S208" s="51">
        <v>0</v>
      </c>
      <c r="T208" s="80">
        <f>T28/T163</f>
        <v>30.64684402712572</v>
      </c>
      <c r="U208" s="80">
        <f>U28/U163</f>
        <v>10.670081092616304</v>
      </c>
      <c r="V208" s="80">
        <f>V28/V163</f>
        <v>9.7809076682316132</v>
      </c>
      <c r="W208" s="80">
        <f>W28/W163</f>
        <v>14.671361502347418</v>
      </c>
      <c r="X208" s="80">
        <f>X28/X163</f>
        <v>15.649452269170579</v>
      </c>
      <c r="Y208" s="59">
        <f t="shared" si="61"/>
        <v>0</v>
      </c>
      <c r="Z208" s="51">
        <f t="shared" si="62"/>
        <v>140.85770803631158</v>
      </c>
      <c r="AA208" s="51">
        <f t="shared" si="63"/>
        <v>140.85770803631158</v>
      </c>
      <c r="AC208" s="30" t="s">
        <v>60</v>
      </c>
      <c r="AD208" s="32" t="s">
        <v>65</v>
      </c>
      <c r="AE208" s="31" t="s">
        <v>67</v>
      </c>
      <c r="AF208" s="2"/>
      <c r="AG208" s="2"/>
      <c r="AH208" s="1" t="str">
        <f t="shared" si="76"/>
        <v/>
      </c>
      <c r="AI208" s="1" t="str">
        <f t="shared" si="76"/>
        <v/>
      </c>
      <c r="AJ208" s="1" t="str">
        <f t="shared" si="76"/>
        <v/>
      </c>
      <c r="AK208" s="1" t="str">
        <f t="shared" si="76"/>
        <v/>
      </c>
      <c r="AL208" s="1" t="str">
        <f t="shared" si="76"/>
        <v/>
      </c>
      <c r="AM208" s="1" t="str">
        <f t="shared" si="76"/>
        <v/>
      </c>
      <c r="AN208" s="52" t="str">
        <f t="shared" si="76"/>
        <v/>
      </c>
      <c r="AO208" s="1" t="str">
        <f t="shared" si="76"/>
        <v/>
      </c>
      <c r="AP208" s="1" t="str">
        <f t="shared" si="76"/>
        <v/>
      </c>
      <c r="AQ208" s="1" t="str">
        <f t="shared" si="76"/>
        <v/>
      </c>
      <c r="AR208" s="1" t="str">
        <f t="shared" si="76"/>
        <v/>
      </c>
      <c r="AS208" s="1">
        <f t="shared" si="76"/>
        <v>26857.142857142855</v>
      </c>
      <c r="AT208" s="1">
        <f t="shared" si="76"/>
        <v>12171.428571428571</v>
      </c>
      <c r="AU208" s="1" t="str">
        <f t="shared" si="76"/>
        <v/>
      </c>
      <c r="AV208" s="1">
        <f t="shared" si="76"/>
        <v>12171.428571428572</v>
      </c>
      <c r="AW208" s="1">
        <f t="shared" si="74"/>
        <v>12171.428571428571</v>
      </c>
      <c r="AX208" s="1">
        <f t="shared" si="74"/>
        <v>12171.428571428571</v>
      </c>
      <c r="AY208" s="1">
        <f t="shared" si="74"/>
        <v>12171.428571428572</v>
      </c>
      <c r="AZ208" s="1">
        <f t="shared" si="74"/>
        <v>12171.428571428571</v>
      </c>
      <c r="BA208" s="1" t="str">
        <f t="shared" si="74"/>
        <v/>
      </c>
      <c r="BB208" s="1">
        <f t="shared" si="74"/>
        <v>0</v>
      </c>
      <c r="BC208" s="1">
        <f t="shared" si="74"/>
        <v>0</v>
      </c>
    </row>
    <row r="209" spans="1:55" x14ac:dyDescent="0.25">
      <c r="A209" s="30" t="s">
        <v>60</v>
      </c>
      <c r="B209" s="32" t="s">
        <v>65</v>
      </c>
      <c r="C209" s="31" t="s">
        <v>68</v>
      </c>
      <c r="D209" s="2"/>
      <c r="E209" s="2"/>
      <c r="F209" s="51">
        <v>0</v>
      </c>
      <c r="G209" s="51">
        <v>0</v>
      </c>
      <c r="H209" s="51">
        <v>0</v>
      </c>
      <c r="I209" s="51">
        <v>0</v>
      </c>
      <c r="J209" s="51">
        <v>0</v>
      </c>
      <c r="K209" s="51">
        <v>0</v>
      </c>
      <c r="L209" s="80">
        <f>L29/L164</f>
        <v>296.2962962962963</v>
      </c>
      <c r="M209" s="51">
        <v>0</v>
      </c>
      <c r="N209" s="51">
        <v>0</v>
      </c>
      <c r="O209" s="51">
        <v>0</v>
      </c>
      <c r="P209" s="51">
        <v>0</v>
      </c>
      <c r="Q209" s="51">
        <v>0</v>
      </c>
      <c r="R209" s="51">
        <v>0</v>
      </c>
      <c r="S209" s="51">
        <v>0</v>
      </c>
      <c r="T209" s="51">
        <v>0</v>
      </c>
      <c r="U209" s="51">
        <v>0</v>
      </c>
      <c r="V209" s="51">
        <v>0</v>
      </c>
      <c r="W209" s="51">
        <v>0</v>
      </c>
      <c r="X209" s="55">
        <v>0</v>
      </c>
      <c r="Y209" s="59">
        <f t="shared" si="61"/>
        <v>0</v>
      </c>
      <c r="Z209" s="51">
        <f t="shared" si="62"/>
        <v>0</v>
      </c>
      <c r="AA209" s="51">
        <f t="shared" si="63"/>
        <v>296.2962962962963</v>
      </c>
      <c r="AC209" s="30" t="s">
        <v>60</v>
      </c>
      <c r="AD209" s="32" t="s">
        <v>65</v>
      </c>
      <c r="AE209" s="31" t="s">
        <v>68</v>
      </c>
      <c r="AF209" s="2"/>
      <c r="AG209" s="2"/>
      <c r="AH209" s="1" t="str">
        <f t="shared" si="76"/>
        <v/>
      </c>
      <c r="AI209" s="1" t="str">
        <f t="shared" si="76"/>
        <v/>
      </c>
      <c r="AJ209" s="1" t="str">
        <f t="shared" si="76"/>
        <v/>
      </c>
      <c r="AK209" s="1" t="str">
        <f t="shared" si="76"/>
        <v/>
      </c>
      <c r="AL209" s="1" t="str">
        <f t="shared" si="76"/>
        <v/>
      </c>
      <c r="AM209" s="1" t="str">
        <f t="shared" si="76"/>
        <v/>
      </c>
      <c r="AN209" s="52">
        <f t="shared" si="76"/>
        <v>18750</v>
      </c>
      <c r="AO209" s="1" t="str">
        <f t="shared" si="76"/>
        <v/>
      </c>
      <c r="AP209" s="1" t="str">
        <f t="shared" si="76"/>
        <v/>
      </c>
      <c r="AQ209" s="1" t="str">
        <f t="shared" si="76"/>
        <v/>
      </c>
      <c r="AR209" s="1" t="str">
        <f t="shared" si="76"/>
        <v/>
      </c>
      <c r="AS209" s="1" t="str">
        <f t="shared" si="76"/>
        <v/>
      </c>
      <c r="AT209" s="1" t="str">
        <f t="shared" si="76"/>
        <v/>
      </c>
      <c r="AU209" s="1" t="str">
        <f t="shared" si="76"/>
        <v/>
      </c>
      <c r="AV209" s="1" t="str">
        <f t="shared" si="76"/>
        <v/>
      </c>
      <c r="AW209" s="1" t="str">
        <f t="shared" si="74"/>
        <v/>
      </c>
      <c r="AX209" s="1" t="str">
        <f t="shared" si="74"/>
        <v/>
      </c>
      <c r="AY209" s="1" t="str">
        <f t="shared" si="74"/>
        <v/>
      </c>
      <c r="AZ209" s="1" t="str">
        <f t="shared" si="74"/>
        <v/>
      </c>
      <c r="BA209" s="1" t="str">
        <f t="shared" si="74"/>
        <v/>
      </c>
      <c r="BB209" s="1" t="str">
        <f t="shared" si="74"/>
        <v/>
      </c>
      <c r="BC209" s="1">
        <f t="shared" si="74"/>
        <v>0</v>
      </c>
    </row>
    <row r="210" spans="1:55" x14ac:dyDescent="0.25">
      <c r="A210" s="30" t="s">
        <v>60</v>
      </c>
      <c r="B210" s="32" t="s">
        <v>9</v>
      </c>
      <c r="C210" s="31" t="s">
        <v>69</v>
      </c>
      <c r="D210" s="2"/>
      <c r="E210" s="2"/>
      <c r="F210" s="51">
        <v>0</v>
      </c>
      <c r="G210" s="51">
        <v>0</v>
      </c>
      <c r="H210" s="51">
        <v>0</v>
      </c>
      <c r="I210" s="51">
        <v>0</v>
      </c>
      <c r="J210" s="51">
        <v>0</v>
      </c>
      <c r="K210" s="51">
        <v>0</v>
      </c>
      <c r="L210" s="52">
        <v>0</v>
      </c>
      <c r="M210" s="51">
        <v>0</v>
      </c>
      <c r="N210" s="51">
        <v>0</v>
      </c>
      <c r="O210" s="51">
        <v>0</v>
      </c>
      <c r="P210" s="51">
        <v>0</v>
      </c>
      <c r="Q210" s="51">
        <v>0</v>
      </c>
      <c r="R210" s="51">
        <v>0</v>
      </c>
      <c r="S210" s="51">
        <v>0</v>
      </c>
      <c r="T210" s="51">
        <v>0</v>
      </c>
      <c r="U210" s="51">
        <v>0</v>
      </c>
      <c r="V210" s="51">
        <v>0</v>
      </c>
      <c r="W210" s="51">
        <v>0</v>
      </c>
      <c r="X210" s="80">
        <f>X30/X165</f>
        <v>3.4931813100827185</v>
      </c>
      <c r="Y210" s="80">
        <f t="shared" si="61"/>
        <v>0</v>
      </c>
      <c r="Z210" s="80">
        <f t="shared" si="62"/>
        <v>3.4931813100827185</v>
      </c>
      <c r="AA210" s="51">
        <f t="shared" si="63"/>
        <v>3.4931813100827185</v>
      </c>
      <c r="AC210" s="30" t="s">
        <v>60</v>
      </c>
      <c r="AD210" s="32" t="s">
        <v>9</v>
      </c>
      <c r="AE210" s="31" t="s">
        <v>69</v>
      </c>
      <c r="AF210" s="2"/>
      <c r="AG210" s="2"/>
      <c r="AH210" s="1" t="str">
        <f t="shared" si="76"/>
        <v/>
      </c>
      <c r="AI210" s="1" t="str">
        <f t="shared" si="76"/>
        <v/>
      </c>
      <c r="AJ210" s="1" t="str">
        <f t="shared" si="76"/>
        <v/>
      </c>
      <c r="AK210" s="1" t="str">
        <f t="shared" si="76"/>
        <v/>
      </c>
      <c r="AL210" s="1" t="str">
        <f t="shared" si="76"/>
        <v/>
      </c>
      <c r="AM210" s="1" t="str">
        <f t="shared" si="76"/>
        <v/>
      </c>
      <c r="AN210" s="52" t="str">
        <f t="shared" si="76"/>
        <v/>
      </c>
      <c r="AO210" s="1" t="str">
        <f t="shared" si="76"/>
        <v/>
      </c>
      <c r="AP210" s="1" t="str">
        <f t="shared" si="76"/>
        <v/>
      </c>
      <c r="AQ210" s="1" t="str">
        <f t="shared" si="76"/>
        <v/>
      </c>
      <c r="AR210" s="1" t="str">
        <f t="shared" si="76"/>
        <v/>
      </c>
      <c r="AS210" s="1" t="str">
        <f t="shared" si="76"/>
        <v/>
      </c>
      <c r="AT210" s="1" t="str">
        <f t="shared" si="76"/>
        <v/>
      </c>
      <c r="AU210" s="1" t="str">
        <f t="shared" si="76"/>
        <v/>
      </c>
      <c r="AV210" s="1" t="str">
        <f t="shared" si="76"/>
        <v/>
      </c>
      <c r="AW210" s="1" t="str">
        <f t="shared" si="74"/>
        <v/>
      </c>
      <c r="AX210" s="1" t="str">
        <f t="shared" si="74"/>
        <v/>
      </c>
      <c r="AY210" s="1" t="str">
        <f t="shared" si="74"/>
        <v/>
      </c>
      <c r="AZ210" s="1">
        <f t="shared" si="74"/>
        <v>7100</v>
      </c>
      <c r="BA210" s="1" t="str">
        <f t="shared" si="74"/>
        <v/>
      </c>
      <c r="BB210" s="1">
        <f t="shared" si="74"/>
        <v>0</v>
      </c>
      <c r="BC210" s="1">
        <f t="shared" si="74"/>
        <v>0</v>
      </c>
    </row>
    <row r="211" spans="1:55" x14ac:dyDescent="0.25">
      <c r="A211" s="15" t="s">
        <v>51</v>
      </c>
      <c r="B211" s="16" t="s">
        <v>56</v>
      </c>
      <c r="C211" s="27" t="s">
        <v>57</v>
      </c>
      <c r="D211" s="16" t="s">
        <v>70</v>
      </c>
      <c r="E211" s="16"/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52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54">
        <v>0</v>
      </c>
      <c r="Y211" s="58">
        <f t="shared" si="61"/>
        <v>0</v>
      </c>
      <c r="Z211" s="1">
        <f t="shared" si="62"/>
        <v>0</v>
      </c>
      <c r="AA211" s="1">
        <f t="shared" si="63"/>
        <v>0</v>
      </c>
      <c r="AC211" s="15" t="s">
        <v>51</v>
      </c>
      <c r="AD211" s="16" t="s">
        <v>56</v>
      </c>
      <c r="AE211" s="27" t="s">
        <v>57</v>
      </c>
      <c r="AF211" s="16" t="s">
        <v>70</v>
      </c>
      <c r="AG211" s="16"/>
      <c r="AH211" s="90" t="str">
        <f t="shared" si="76"/>
        <v/>
      </c>
      <c r="AI211" s="90" t="str">
        <f t="shared" si="76"/>
        <v/>
      </c>
      <c r="AJ211" s="90" t="str">
        <f t="shared" si="76"/>
        <v/>
      </c>
      <c r="AK211" s="90" t="str">
        <f t="shared" si="76"/>
        <v/>
      </c>
      <c r="AL211" s="90" t="str">
        <f t="shared" si="76"/>
        <v/>
      </c>
      <c r="AM211" s="90" t="str">
        <f t="shared" si="76"/>
        <v/>
      </c>
      <c r="AN211" s="90" t="str">
        <f t="shared" si="76"/>
        <v/>
      </c>
      <c r="AO211" s="90" t="str">
        <f t="shared" si="76"/>
        <v/>
      </c>
      <c r="AP211" s="90" t="str">
        <f t="shared" si="76"/>
        <v/>
      </c>
      <c r="AQ211" s="90" t="str">
        <f t="shared" si="76"/>
        <v/>
      </c>
      <c r="AR211" s="90" t="str">
        <f t="shared" si="76"/>
        <v/>
      </c>
      <c r="AS211" s="90" t="str">
        <f t="shared" si="76"/>
        <v/>
      </c>
      <c r="AT211" s="90" t="str">
        <f t="shared" si="76"/>
        <v/>
      </c>
      <c r="AU211" s="90" t="str">
        <f t="shared" si="76"/>
        <v/>
      </c>
      <c r="AV211" s="90" t="str">
        <f t="shared" si="76"/>
        <v/>
      </c>
      <c r="AW211" s="90" t="str">
        <f t="shared" si="74"/>
        <v/>
      </c>
      <c r="AX211" s="90" t="str">
        <f t="shared" si="74"/>
        <v/>
      </c>
      <c r="AY211" s="90" t="str">
        <f t="shared" si="74"/>
        <v/>
      </c>
      <c r="AZ211" s="90" t="str">
        <f t="shared" si="74"/>
        <v/>
      </c>
      <c r="BA211" s="90" t="str">
        <f t="shared" si="74"/>
        <v/>
      </c>
      <c r="BB211" s="90" t="str">
        <f t="shared" si="74"/>
        <v/>
      </c>
      <c r="BC211" s="90" t="str">
        <f t="shared" si="74"/>
        <v/>
      </c>
    </row>
    <row r="212" spans="1:55" x14ac:dyDescent="0.25">
      <c r="A212" s="15" t="s">
        <v>51</v>
      </c>
      <c r="B212" s="16" t="s">
        <v>56</v>
      </c>
      <c r="C212" s="27" t="s">
        <v>57</v>
      </c>
      <c r="D212" s="16" t="s">
        <v>71</v>
      </c>
      <c r="E212" s="16"/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52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54">
        <v>0</v>
      </c>
      <c r="Y212" s="58">
        <f t="shared" si="61"/>
        <v>0</v>
      </c>
      <c r="Z212" s="1">
        <f t="shared" si="62"/>
        <v>0</v>
      </c>
      <c r="AA212" s="1">
        <f t="shared" si="63"/>
        <v>0</v>
      </c>
      <c r="AC212" s="15" t="s">
        <v>51</v>
      </c>
      <c r="AD212" s="16" t="s">
        <v>56</v>
      </c>
      <c r="AE212" s="27" t="s">
        <v>57</v>
      </c>
      <c r="AF212" s="16" t="s">
        <v>71</v>
      </c>
      <c r="AG212" s="16"/>
      <c r="AH212" s="90" t="str">
        <f t="shared" si="76"/>
        <v/>
      </c>
      <c r="AI212" s="90" t="str">
        <f t="shared" si="76"/>
        <v/>
      </c>
      <c r="AJ212" s="90" t="str">
        <f t="shared" si="76"/>
        <v/>
      </c>
      <c r="AK212" s="90" t="str">
        <f t="shared" si="76"/>
        <v/>
      </c>
      <c r="AL212" s="90" t="str">
        <f t="shared" si="76"/>
        <v/>
      </c>
      <c r="AM212" s="90" t="str">
        <f t="shared" si="76"/>
        <v/>
      </c>
      <c r="AN212" s="90" t="str">
        <f t="shared" si="76"/>
        <v/>
      </c>
      <c r="AO212" s="90" t="str">
        <f t="shared" si="76"/>
        <v/>
      </c>
      <c r="AP212" s="90" t="str">
        <f t="shared" si="76"/>
        <v/>
      </c>
      <c r="AQ212" s="90" t="str">
        <f t="shared" si="76"/>
        <v/>
      </c>
      <c r="AR212" s="90" t="str">
        <f t="shared" si="76"/>
        <v/>
      </c>
      <c r="AS212" s="90" t="str">
        <f t="shared" si="76"/>
        <v/>
      </c>
      <c r="AT212" s="90" t="str">
        <f t="shared" si="76"/>
        <v/>
      </c>
      <c r="AU212" s="90" t="str">
        <f t="shared" si="76"/>
        <v/>
      </c>
      <c r="AV212" s="90" t="str">
        <f t="shared" si="76"/>
        <v/>
      </c>
      <c r="AW212" s="90" t="str">
        <f t="shared" si="74"/>
        <v/>
      </c>
      <c r="AX212" s="90" t="str">
        <f t="shared" si="74"/>
        <v/>
      </c>
      <c r="AY212" s="90" t="str">
        <f t="shared" si="74"/>
        <v/>
      </c>
      <c r="AZ212" s="90" t="str">
        <f t="shared" si="74"/>
        <v/>
      </c>
      <c r="BA212" s="90" t="str">
        <f t="shared" si="74"/>
        <v/>
      </c>
      <c r="BB212" s="90" t="str">
        <f t="shared" si="74"/>
        <v/>
      </c>
      <c r="BC212" s="90" t="str">
        <f t="shared" si="74"/>
        <v/>
      </c>
    </row>
    <row r="213" spans="1:55" x14ac:dyDescent="0.25">
      <c r="A213" s="15" t="s">
        <v>51</v>
      </c>
      <c r="B213" s="16" t="s">
        <v>56</v>
      </c>
      <c r="C213" s="27" t="s">
        <v>27</v>
      </c>
      <c r="D213" s="16" t="s">
        <v>72</v>
      </c>
      <c r="E213" s="16"/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52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54">
        <v>0</v>
      </c>
      <c r="Y213" s="58">
        <f t="shared" si="61"/>
        <v>0</v>
      </c>
      <c r="Z213" s="1">
        <f t="shared" si="62"/>
        <v>0</v>
      </c>
      <c r="AA213" s="1">
        <f t="shared" si="63"/>
        <v>0</v>
      </c>
      <c r="AC213" s="15" t="s">
        <v>51</v>
      </c>
      <c r="AD213" s="16" t="s">
        <v>56</v>
      </c>
      <c r="AE213" s="27" t="s">
        <v>27</v>
      </c>
      <c r="AF213" s="16" t="s">
        <v>72</v>
      </c>
      <c r="AG213" s="16"/>
      <c r="AH213" s="90" t="str">
        <f t="shared" si="76"/>
        <v/>
      </c>
      <c r="AI213" s="90" t="str">
        <f t="shared" si="76"/>
        <v/>
      </c>
      <c r="AJ213" s="90" t="str">
        <f t="shared" si="76"/>
        <v/>
      </c>
      <c r="AK213" s="90" t="str">
        <f t="shared" si="76"/>
        <v/>
      </c>
      <c r="AL213" s="90" t="str">
        <f t="shared" si="76"/>
        <v/>
      </c>
      <c r="AM213" s="90" t="str">
        <f t="shared" si="76"/>
        <v/>
      </c>
      <c r="AN213" s="90" t="str">
        <f t="shared" si="76"/>
        <v/>
      </c>
      <c r="AO213" s="90" t="str">
        <f t="shared" si="76"/>
        <v/>
      </c>
      <c r="AP213" s="90" t="str">
        <f t="shared" si="76"/>
        <v/>
      </c>
      <c r="AQ213" s="90" t="str">
        <f t="shared" si="76"/>
        <v/>
      </c>
      <c r="AR213" s="90" t="str">
        <f t="shared" si="76"/>
        <v/>
      </c>
      <c r="AS213" s="90" t="str">
        <f t="shared" si="76"/>
        <v/>
      </c>
      <c r="AT213" s="90" t="str">
        <f t="shared" si="76"/>
        <v/>
      </c>
      <c r="AU213" s="90" t="str">
        <f t="shared" si="76"/>
        <v/>
      </c>
      <c r="AV213" s="90" t="str">
        <f t="shared" si="76"/>
        <v/>
      </c>
      <c r="AW213" s="90" t="str">
        <f t="shared" si="74"/>
        <v/>
      </c>
      <c r="AX213" s="90" t="str">
        <f t="shared" si="74"/>
        <v/>
      </c>
      <c r="AY213" s="90" t="str">
        <f t="shared" si="74"/>
        <v/>
      </c>
      <c r="AZ213" s="90" t="str">
        <f t="shared" si="74"/>
        <v/>
      </c>
      <c r="BA213" s="90" t="str">
        <f t="shared" si="74"/>
        <v/>
      </c>
      <c r="BB213" s="90" t="str">
        <f t="shared" si="74"/>
        <v/>
      </c>
      <c r="BC213" s="90" t="str">
        <f t="shared" si="74"/>
        <v/>
      </c>
    </row>
    <row r="214" spans="1:55" x14ac:dyDescent="0.25">
      <c r="A214" s="15" t="s">
        <v>51</v>
      </c>
      <c r="B214" s="16" t="s">
        <v>56</v>
      </c>
      <c r="C214" s="27" t="s">
        <v>57</v>
      </c>
      <c r="D214" s="16" t="s">
        <v>73</v>
      </c>
      <c r="E214" s="16"/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52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54">
        <v>0</v>
      </c>
      <c r="Y214" s="58">
        <f t="shared" si="61"/>
        <v>0</v>
      </c>
      <c r="Z214" s="1">
        <f t="shared" si="62"/>
        <v>0</v>
      </c>
      <c r="AA214" s="1">
        <f t="shared" si="63"/>
        <v>0</v>
      </c>
      <c r="AC214" s="15" t="s">
        <v>51</v>
      </c>
      <c r="AD214" s="16" t="s">
        <v>56</v>
      </c>
      <c r="AE214" s="27" t="s">
        <v>57</v>
      </c>
      <c r="AF214" s="16" t="s">
        <v>73</v>
      </c>
      <c r="AG214" s="16"/>
      <c r="AH214" s="90" t="str">
        <f t="shared" si="76"/>
        <v/>
      </c>
      <c r="AI214" s="90" t="str">
        <f t="shared" si="76"/>
        <v/>
      </c>
      <c r="AJ214" s="90" t="str">
        <f t="shared" si="76"/>
        <v/>
      </c>
      <c r="AK214" s="90" t="str">
        <f t="shared" si="76"/>
        <v/>
      </c>
      <c r="AL214" s="90" t="str">
        <f t="shared" si="76"/>
        <v/>
      </c>
      <c r="AM214" s="90" t="str">
        <f t="shared" si="76"/>
        <v/>
      </c>
      <c r="AN214" s="90" t="str">
        <f t="shared" si="76"/>
        <v/>
      </c>
      <c r="AO214" s="90" t="str">
        <f t="shared" si="76"/>
        <v/>
      </c>
      <c r="AP214" s="90" t="str">
        <f t="shared" si="76"/>
        <v/>
      </c>
      <c r="AQ214" s="90" t="str">
        <f t="shared" si="76"/>
        <v/>
      </c>
      <c r="AR214" s="90" t="str">
        <f t="shared" si="76"/>
        <v/>
      </c>
      <c r="AS214" s="90" t="str">
        <f t="shared" si="76"/>
        <v/>
      </c>
      <c r="AT214" s="90" t="str">
        <f t="shared" si="76"/>
        <v/>
      </c>
      <c r="AU214" s="90" t="str">
        <f t="shared" si="76"/>
        <v/>
      </c>
      <c r="AV214" s="90" t="str">
        <f t="shared" si="76"/>
        <v/>
      </c>
      <c r="AW214" s="90" t="str">
        <f t="shared" si="74"/>
        <v/>
      </c>
      <c r="AX214" s="90" t="str">
        <f t="shared" si="74"/>
        <v/>
      </c>
      <c r="AY214" s="90" t="str">
        <f t="shared" si="74"/>
        <v/>
      </c>
      <c r="AZ214" s="90" t="str">
        <f t="shared" si="74"/>
        <v/>
      </c>
      <c r="BA214" s="90" t="str">
        <f t="shared" si="74"/>
        <v/>
      </c>
      <c r="BB214" s="90" t="str">
        <f t="shared" si="74"/>
        <v/>
      </c>
      <c r="BC214" s="90" t="str">
        <f t="shared" si="74"/>
        <v/>
      </c>
    </row>
    <row r="215" spans="1:55" x14ac:dyDescent="0.25">
      <c r="A215" s="15" t="s">
        <v>51</v>
      </c>
      <c r="B215" s="16" t="s">
        <v>56</v>
      </c>
      <c r="C215" s="27" t="s">
        <v>57</v>
      </c>
      <c r="D215" s="16" t="s">
        <v>74</v>
      </c>
      <c r="E215" s="16"/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52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54">
        <v>0</v>
      </c>
      <c r="Y215" s="58">
        <f t="shared" si="61"/>
        <v>0</v>
      </c>
      <c r="Z215" s="1">
        <f t="shared" si="62"/>
        <v>0</v>
      </c>
      <c r="AA215" s="1">
        <f t="shared" si="63"/>
        <v>0</v>
      </c>
      <c r="AC215" s="15" t="s">
        <v>51</v>
      </c>
      <c r="AD215" s="16" t="s">
        <v>56</v>
      </c>
      <c r="AE215" s="27" t="s">
        <v>57</v>
      </c>
      <c r="AF215" s="16" t="s">
        <v>74</v>
      </c>
      <c r="AG215" s="16"/>
      <c r="AH215" s="90" t="str">
        <f t="shared" si="76"/>
        <v/>
      </c>
      <c r="AI215" s="90" t="str">
        <f t="shared" si="76"/>
        <v/>
      </c>
      <c r="AJ215" s="90" t="str">
        <f t="shared" si="76"/>
        <v/>
      </c>
      <c r="AK215" s="90" t="str">
        <f t="shared" si="76"/>
        <v/>
      </c>
      <c r="AL215" s="90" t="str">
        <f t="shared" si="76"/>
        <v/>
      </c>
      <c r="AM215" s="90" t="str">
        <f t="shared" si="76"/>
        <v/>
      </c>
      <c r="AN215" s="90" t="str">
        <f t="shared" si="76"/>
        <v/>
      </c>
      <c r="AO215" s="90" t="str">
        <f t="shared" si="76"/>
        <v/>
      </c>
      <c r="AP215" s="90" t="str">
        <f t="shared" si="76"/>
        <v/>
      </c>
      <c r="AQ215" s="90" t="str">
        <f t="shared" si="76"/>
        <v/>
      </c>
      <c r="AR215" s="90" t="str">
        <f t="shared" si="76"/>
        <v/>
      </c>
      <c r="AS215" s="90" t="str">
        <f t="shared" si="76"/>
        <v/>
      </c>
      <c r="AT215" s="90" t="str">
        <f t="shared" si="76"/>
        <v/>
      </c>
      <c r="AU215" s="90" t="str">
        <f t="shared" si="76"/>
        <v/>
      </c>
      <c r="AV215" s="90" t="str">
        <f t="shared" si="76"/>
        <v/>
      </c>
      <c r="AW215" s="90" t="str">
        <f t="shared" si="74"/>
        <v/>
      </c>
      <c r="AX215" s="90" t="str">
        <f t="shared" si="74"/>
        <v/>
      </c>
      <c r="AY215" s="90" t="str">
        <f t="shared" si="74"/>
        <v/>
      </c>
      <c r="AZ215" s="90" t="str">
        <f t="shared" si="74"/>
        <v/>
      </c>
      <c r="BA215" s="90" t="str">
        <f t="shared" si="74"/>
        <v/>
      </c>
      <c r="BB215" s="90" t="str">
        <f t="shared" si="74"/>
        <v/>
      </c>
      <c r="BC215" s="90" t="str">
        <f t="shared" si="74"/>
        <v/>
      </c>
    </row>
    <row r="216" spans="1:55" x14ac:dyDescent="0.25">
      <c r="A216" s="30" t="s">
        <v>60</v>
      </c>
      <c r="B216" s="31" t="s">
        <v>13</v>
      </c>
      <c r="C216" s="32" t="s">
        <v>61</v>
      </c>
      <c r="D216" s="31" t="s">
        <v>75</v>
      </c>
      <c r="E216" s="31"/>
      <c r="F216" s="51">
        <f>F201*0.5</f>
        <v>68</v>
      </c>
      <c r="G216" s="51">
        <v>0</v>
      </c>
      <c r="H216" s="51">
        <f>H201</f>
        <v>950</v>
      </c>
      <c r="I216" s="51">
        <f>I201*0.8</f>
        <v>81.103448275862078</v>
      </c>
      <c r="J216" s="51">
        <v>0</v>
      </c>
      <c r="K216" s="51">
        <v>0</v>
      </c>
      <c r="L216" s="52">
        <v>0</v>
      </c>
      <c r="M216" s="51">
        <f>M201*0.1</f>
        <v>0.5</v>
      </c>
      <c r="N216" s="51">
        <v>0</v>
      </c>
      <c r="O216" s="51">
        <v>0</v>
      </c>
      <c r="P216" s="51">
        <v>0</v>
      </c>
      <c r="Q216" s="51"/>
      <c r="R216" s="51"/>
      <c r="S216" s="51"/>
      <c r="T216" s="51"/>
      <c r="U216" s="51"/>
      <c r="V216" s="51"/>
      <c r="W216" s="51">
        <f>W201</f>
        <v>3.1298904538341161</v>
      </c>
      <c r="X216" s="55"/>
      <c r="Y216" s="59">
        <f t="shared" si="61"/>
        <v>1099.1034482758621</v>
      </c>
      <c r="Z216" s="51">
        <f t="shared" si="62"/>
        <v>3.6298904538341161</v>
      </c>
      <c r="AA216" s="51">
        <f t="shared" si="63"/>
        <v>1102.7333387296962</v>
      </c>
      <c r="AC216" s="30" t="s">
        <v>60</v>
      </c>
      <c r="AD216" s="31" t="s">
        <v>13</v>
      </c>
      <c r="AE216" s="32" t="s">
        <v>61</v>
      </c>
      <c r="AF216" s="31" t="s">
        <v>75</v>
      </c>
      <c r="AG216" s="31"/>
      <c r="AH216" s="1">
        <f t="shared" si="76"/>
        <v>294.11764705882354</v>
      </c>
      <c r="AI216" s="1" t="str">
        <f t="shared" si="76"/>
        <v/>
      </c>
      <c r="AJ216" s="1">
        <f t="shared" si="76"/>
        <v>29.907120743034053</v>
      </c>
      <c r="AK216" s="1">
        <f t="shared" si="76"/>
        <v>21.323529411764703</v>
      </c>
      <c r="AL216" s="1" t="str">
        <f t="shared" si="76"/>
        <v/>
      </c>
      <c r="AM216" s="1" t="str">
        <f t="shared" si="76"/>
        <v/>
      </c>
      <c r="AN216" s="52" t="str">
        <f t="shared" si="76"/>
        <v/>
      </c>
      <c r="AO216" s="1">
        <f t="shared" si="76"/>
        <v>2222.2222222222222</v>
      </c>
      <c r="AP216" s="1" t="str">
        <f t="shared" si="76"/>
        <v/>
      </c>
      <c r="AQ216" s="1" t="str">
        <f t="shared" si="76"/>
        <v/>
      </c>
      <c r="AR216" s="1" t="str">
        <f t="shared" si="76"/>
        <v/>
      </c>
      <c r="AS216" s="1" t="str">
        <f t="shared" si="76"/>
        <v/>
      </c>
      <c r="AT216" s="1" t="str">
        <f t="shared" si="76"/>
        <v/>
      </c>
      <c r="AU216" s="1" t="str">
        <f t="shared" si="76"/>
        <v/>
      </c>
      <c r="AV216" s="1" t="str">
        <f t="shared" si="76"/>
        <v/>
      </c>
      <c r="AW216" s="1" t="str">
        <f t="shared" si="74"/>
        <v/>
      </c>
      <c r="AX216" s="1" t="str">
        <f t="shared" si="74"/>
        <v/>
      </c>
      <c r="AY216" s="1">
        <f t="shared" si="74"/>
        <v>2366.6666666666665</v>
      </c>
      <c r="AZ216" s="1" t="str">
        <f t="shared" si="74"/>
        <v/>
      </c>
      <c r="BA216" s="1">
        <f t="shared" si="74"/>
        <v>0</v>
      </c>
      <c r="BB216" s="1">
        <f t="shared" si="74"/>
        <v>0</v>
      </c>
      <c r="BC216" s="1">
        <f t="shared" si="74"/>
        <v>0</v>
      </c>
    </row>
    <row r="217" spans="1:55" x14ac:dyDescent="0.25">
      <c r="A217" s="30" t="s">
        <v>60</v>
      </c>
      <c r="B217" s="31" t="s">
        <v>13</v>
      </c>
      <c r="C217" s="32" t="s">
        <v>61</v>
      </c>
      <c r="D217" s="31" t="s">
        <v>76</v>
      </c>
      <c r="E217" s="31"/>
      <c r="F217" s="51">
        <f>F201*0.5</f>
        <v>68</v>
      </c>
      <c r="G217" s="51">
        <v>0</v>
      </c>
      <c r="H217" s="51">
        <v>0</v>
      </c>
      <c r="I217" s="51">
        <f>I201*0.1</f>
        <v>10.13793103448276</v>
      </c>
      <c r="J217" s="51">
        <f>J201</f>
        <v>29.24</v>
      </c>
      <c r="K217" s="51">
        <f>K201*0.2</f>
        <v>5.5172413793103452</v>
      </c>
      <c r="L217" s="52">
        <v>0</v>
      </c>
      <c r="M217" s="51">
        <f>M201*0.3</f>
        <v>1.5</v>
      </c>
      <c r="N217" s="51">
        <f>N201</f>
        <v>0.43678160919540232</v>
      </c>
      <c r="O217" s="51">
        <f>O201*0.9</f>
        <v>0.107568</v>
      </c>
      <c r="P217" s="51">
        <f>P201*0.05</f>
        <v>5.9048571428571422E-3</v>
      </c>
      <c r="Q217" s="51"/>
      <c r="R217" s="86">
        <f>R201</f>
        <v>1.9561815336463224</v>
      </c>
      <c r="S217" s="51"/>
      <c r="T217" s="51"/>
      <c r="U217" s="51"/>
      <c r="V217" s="51"/>
      <c r="W217" s="51"/>
      <c r="X217" s="55"/>
      <c r="Y217" s="59">
        <f t="shared" si="61"/>
        <v>112.89517241379311</v>
      </c>
      <c r="Z217" s="51">
        <f t="shared" si="62"/>
        <v>4.006435999984582</v>
      </c>
      <c r="AA217" s="51">
        <f t="shared" si="63"/>
        <v>116.90160841377769</v>
      </c>
      <c r="AC217" s="30" t="s">
        <v>60</v>
      </c>
      <c r="AD217" s="31" t="s">
        <v>13</v>
      </c>
      <c r="AE217" s="32" t="s">
        <v>61</v>
      </c>
      <c r="AF217" s="31" t="s">
        <v>76</v>
      </c>
      <c r="AG217" s="31"/>
      <c r="AH217" s="1">
        <f t="shared" si="76"/>
        <v>294.11764705882354</v>
      </c>
      <c r="AI217" s="1" t="str">
        <f t="shared" si="76"/>
        <v/>
      </c>
      <c r="AJ217" s="1" t="str">
        <f t="shared" si="76"/>
        <v/>
      </c>
      <c r="AK217" s="1">
        <f t="shared" si="76"/>
        <v>1194.1176470588232</v>
      </c>
      <c r="AL217" s="1">
        <f t="shared" si="76"/>
        <v>372.17349320028973</v>
      </c>
      <c r="AM217" s="1">
        <f t="shared" si="76"/>
        <v>170.58823529411765</v>
      </c>
      <c r="AN217" s="52" t="str">
        <f t="shared" si="76"/>
        <v/>
      </c>
      <c r="AO217" s="1">
        <f t="shared" si="76"/>
        <v>2222.2222222222217</v>
      </c>
      <c r="AP217" s="1">
        <f t="shared" si="76"/>
        <v>5437.5</v>
      </c>
      <c r="AQ217" s="1">
        <f t="shared" si="76"/>
        <v>55555.555555555562</v>
      </c>
      <c r="AR217" s="1">
        <f t="shared" si="76"/>
        <v>155555.55555555556</v>
      </c>
      <c r="AS217" s="1" t="str">
        <f t="shared" si="76"/>
        <v/>
      </c>
      <c r="AT217" s="1">
        <f t="shared" si="76"/>
        <v>2366.6666666666665</v>
      </c>
      <c r="AU217" s="1" t="str">
        <f t="shared" si="76"/>
        <v/>
      </c>
      <c r="AV217" s="1" t="str">
        <f t="shared" si="76"/>
        <v/>
      </c>
      <c r="AW217" s="1" t="str">
        <f t="shared" si="74"/>
        <v/>
      </c>
      <c r="AX217" s="1" t="str">
        <f t="shared" si="74"/>
        <v/>
      </c>
      <c r="AY217" s="1" t="str">
        <f t="shared" si="74"/>
        <v/>
      </c>
      <c r="AZ217" s="1" t="str">
        <f t="shared" si="74"/>
        <v/>
      </c>
      <c r="BA217" s="1">
        <f t="shared" si="74"/>
        <v>0</v>
      </c>
      <c r="BB217" s="1">
        <f t="shared" si="74"/>
        <v>0</v>
      </c>
      <c r="BC217" s="1">
        <f t="shared" si="74"/>
        <v>0</v>
      </c>
    </row>
    <row r="218" spans="1:55" x14ac:dyDescent="0.25">
      <c r="A218" s="30" t="s">
        <v>60</v>
      </c>
      <c r="B218" s="31" t="s">
        <v>13</v>
      </c>
      <c r="C218" s="32" t="s">
        <v>61</v>
      </c>
      <c r="D218" s="31" t="s">
        <v>77</v>
      </c>
      <c r="E218" s="31"/>
      <c r="F218" s="51">
        <v>0</v>
      </c>
      <c r="G218" s="51">
        <v>0</v>
      </c>
      <c r="H218" s="51">
        <v>0</v>
      </c>
      <c r="I218" s="51">
        <v>0</v>
      </c>
      <c r="J218" s="51">
        <v>0</v>
      </c>
      <c r="K218" s="51">
        <f>K201*0.4</f>
        <v>11.03448275862069</v>
      </c>
      <c r="L218" s="52">
        <v>0</v>
      </c>
      <c r="M218" s="51">
        <f>M201*0.5</f>
        <v>2.5</v>
      </c>
      <c r="N218" s="51">
        <v>0</v>
      </c>
      <c r="O218" s="51">
        <v>0</v>
      </c>
      <c r="P218" s="51">
        <v>0</v>
      </c>
      <c r="Q218" s="51"/>
      <c r="R218" s="51"/>
      <c r="S218" s="51"/>
      <c r="T218" s="51">
        <f>T201</f>
        <v>0.46948356807511737</v>
      </c>
      <c r="U218" s="51">
        <f>U201</f>
        <v>1.596244131455399</v>
      </c>
      <c r="V218" s="51"/>
      <c r="W218" s="51"/>
      <c r="X218" s="55"/>
      <c r="Y218" s="59">
        <f t="shared" si="61"/>
        <v>11.03448275862069</v>
      </c>
      <c r="Z218" s="51">
        <f t="shared" si="62"/>
        <v>4.565727699530516</v>
      </c>
      <c r="AA218" s="51">
        <f t="shared" si="63"/>
        <v>15.600210458151206</v>
      </c>
      <c r="AC218" s="30" t="s">
        <v>60</v>
      </c>
      <c r="AD218" s="31" t="s">
        <v>13</v>
      </c>
      <c r="AE218" s="32" t="s">
        <v>61</v>
      </c>
      <c r="AF218" s="31" t="s">
        <v>77</v>
      </c>
      <c r="AG218" s="31"/>
      <c r="AH218" s="1" t="str">
        <f t="shared" ref="AH218:AV225" si="78">IF(F218&gt;0,F263/F218*1000,"")</f>
        <v/>
      </c>
      <c r="AI218" s="1" t="str">
        <f t="shared" si="78"/>
        <v/>
      </c>
      <c r="AJ218" s="1" t="str">
        <f t="shared" si="78"/>
        <v/>
      </c>
      <c r="AK218" s="1" t="str">
        <f t="shared" si="78"/>
        <v/>
      </c>
      <c r="AL218" s="1" t="str">
        <f t="shared" si="78"/>
        <v/>
      </c>
      <c r="AM218" s="1">
        <f t="shared" si="78"/>
        <v>170.58823529411765</v>
      </c>
      <c r="AN218" s="52" t="str">
        <f t="shared" si="78"/>
        <v/>
      </c>
      <c r="AO218" s="1">
        <f t="shared" si="78"/>
        <v>2222.2222222222222</v>
      </c>
      <c r="AP218" s="1" t="str">
        <f t="shared" si="78"/>
        <v/>
      </c>
      <c r="AQ218" s="1" t="str">
        <f t="shared" si="78"/>
        <v/>
      </c>
      <c r="AR218" s="1" t="str">
        <f t="shared" si="78"/>
        <v/>
      </c>
      <c r="AS218" s="1" t="str">
        <f t="shared" si="78"/>
        <v/>
      </c>
      <c r="AT218" s="1" t="str">
        <f t="shared" si="78"/>
        <v/>
      </c>
      <c r="AU218" s="1" t="str">
        <f t="shared" si="78"/>
        <v/>
      </c>
      <c r="AV218" s="1">
        <f t="shared" si="78"/>
        <v>2366.6666666666665</v>
      </c>
      <c r="AW218" s="1">
        <f t="shared" si="74"/>
        <v>2366.6666666666665</v>
      </c>
      <c r="AX218" s="1" t="str">
        <f t="shared" si="74"/>
        <v/>
      </c>
      <c r="AY218" s="1" t="str">
        <f t="shared" si="74"/>
        <v/>
      </c>
      <c r="AZ218" s="1" t="str">
        <f t="shared" si="74"/>
        <v/>
      </c>
      <c r="BA218" s="1">
        <f t="shared" si="74"/>
        <v>0</v>
      </c>
      <c r="BB218" s="1">
        <f t="shared" si="74"/>
        <v>0</v>
      </c>
      <c r="BC218" s="1">
        <f t="shared" si="74"/>
        <v>0</v>
      </c>
    </row>
    <row r="219" spans="1:55" x14ac:dyDescent="0.25">
      <c r="A219" s="30" t="s">
        <v>60</v>
      </c>
      <c r="B219" s="31" t="s">
        <v>13</v>
      </c>
      <c r="C219" s="32" t="s">
        <v>61</v>
      </c>
      <c r="D219" s="31" t="s">
        <v>78</v>
      </c>
      <c r="E219" s="31"/>
      <c r="F219" s="51">
        <v>0</v>
      </c>
      <c r="G219" s="51">
        <v>0</v>
      </c>
      <c r="H219" s="51">
        <v>0</v>
      </c>
      <c r="I219" s="51">
        <f>I201*0.1</f>
        <v>10.13793103448276</v>
      </c>
      <c r="J219" s="51">
        <v>0</v>
      </c>
      <c r="K219" s="51">
        <f>K201*0.4</f>
        <v>11.03448275862069</v>
      </c>
      <c r="L219" s="52">
        <v>0</v>
      </c>
      <c r="M219" s="51">
        <f>M201*0.1</f>
        <v>0.5</v>
      </c>
      <c r="N219" s="51">
        <v>0</v>
      </c>
      <c r="O219" s="51">
        <f>O201*0.1</f>
        <v>1.1952000000000001E-2</v>
      </c>
      <c r="P219" s="51">
        <f>(P201)*0.95</f>
        <v>0.1121922857142857</v>
      </c>
      <c r="Q219" s="51">
        <f>Q201</f>
        <v>0.21276595744680851</v>
      </c>
      <c r="R219" s="51"/>
      <c r="S219" s="51"/>
      <c r="T219" s="51"/>
      <c r="U219" s="51"/>
      <c r="V219" s="51"/>
      <c r="W219" s="51"/>
      <c r="X219" s="55">
        <f>X201</f>
        <v>0.93896713615023475</v>
      </c>
      <c r="Y219" s="59">
        <f t="shared" si="61"/>
        <v>21.172413793103452</v>
      </c>
      <c r="Z219" s="51">
        <f t="shared" si="62"/>
        <v>1.7758773793113289</v>
      </c>
      <c r="AA219" s="51">
        <f t="shared" si="63"/>
        <v>22.94829117241478</v>
      </c>
      <c r="AC219" s="30" t="s">
        <v>60</v>
      </c>
      <c r="AD219" s="31" t="s">
        <v>13</v>
      </c>
      <c r="AE219" s="32" t="s">
        <v>61</v>
      </c>
      <c r="AF219" s="31" t="s">
        <v>78</v>
      </c>
      <c r="AG219" s="31"/>
      <c r="AH219" s="1" t="str">
        <f t="shared" si="78"/>
        <v/>
      </c>
      <c r="AI219" s="1" t="str">
        <f t="shared" si="78"/>
        <v/>
      </c>
      <c r="AJ219" s="1" t="str">
        <f t="shared" si="78"/>
        <v/>
      </c>
      <c r="AK219" s="1">
        <f t="shared" si="78"/>
        <v>341.17647058823525</v>
      </c>
      <c r="AL219" s="1" t="str">
        <f t="shared" si="78"/>
        <v/>
      </c>
      <c r="AM219" s="1">
        <f t="shared" si="78"/>
        <v>170.58823529411765</v>
      </c>
      <c r="AN219" s="52" t="str">
        <f t="shared" si="78"/>
        <v/>
      </c>
      <c r="AO219" s="1">
        <f t="shared" si="78"/>
        <v>2222.2222222222222</v>
      </c>
      <c r="AP219" s="1" t="str">
        <f t="shared" si="78"/>
        <v/>
      </c>
      <c r="AQ219" s="1">
        <f t="shared" si="78"/>
        <v>55555.555555555562</v>
      </c>
      <c r="AR219" s="1">
        <f t="shared" si="78"/>
        <v>155555.55555555556</v>
      </c>
      <c r="AS219" s="1">
        <f t="shared" si="78"/>
        <v>5222.2222222222226</v>
      </c>
      <c r="AT219" s="1" t="str">
        <f t="shared" si="78"/>
        <v/>
      </c>
      <c r="AU219" s="1" t="str">
        <f t="shared" si="78"/>
        <v/>
      </c>
      <c r="AV219" s="1" t="str">
        <f t="shared" si="78"/>
        <v/>
      </c>
      <c r="AW219" s="1" t="str">
        <f t="shared" si="74"/>
        <v/>
      </c>
      <c r="AX219" s="1" t="str">
        <f t="shared" si="74"/>
        <v/>
      </c>
      <c r="AY219" s="1" t="str">
        <f t="shared" si="74"/>
        <v/>
      </c>
      <c r="AZ219" s="1">
        <f t="shared" si="74"/>
        <v>2366.6666666666665</v>
      </c>
      <c r="BA219" s="1">
        <f t="shared" si="74"/>
        <v>0</v>
      </c>
      <c r="BB219" s="1">
        <f t="shared" si="74"/>
        <v>0</v>
      </c>
      <c r="BC219" s="1">
        <f t="shared" si="74"/>
        <v>0</v>
      </c>
    </row>
    <row r="220" spans="1:55" ht="15.75" thickBot="1" x14ac:dyDescent="0.3">
      <c r="A220" s="33" t="s">
        <v>60</v>
      </c>
      <c r="B220" s="34" t="s">
        <v>13</v>
      </c>
      <c r="C220" s="35" t="s">
        <v>61</v>
      </c>
      <c r="D220" s="34" t="s">
        <v>79</v>
      </c>
      <c r="E220" s="31"/>
      <c r="F220" s="51">
        <v>0</v>
      </c>
      <c r="G220" s="51">
        <v>0</v>
      </c>
      <c r="H220" s="51">
        <v>0</v>
      </c>
      <c r="I220" s="51">
        <v>0</v>
      </c>
      <c r="J220" s="51">
        <v>0</v>
      </c>
      <c r="K220" s="51">
        <v>0</v>
      </c>
      <c r="L220" s="52">
        <v>0</v>
      </c>
      <c r="M220" s="51">
        <v>0</v>
      </c>
      <c r="N220" s="51">
        <v>0</v>
      </c>
      <c r="O220" s="51">
        <v>0</v>
      </c>
      <c r="P220" s="51">
        <v>0</v>
      </c>
      <c r="Q220" s="51">
        <v>0</v>
      </c>
      <c r="R220" s="51">
        <v>0</v>
      </c>
      <c r="S220" s="51">
        <v>0</v>
      </c>
      <c r="T220" s="51">
        <v>0</v>
      </c>
      <c r="U220" s="51">
        <v>0</v>
      </c>
      <c r="V220" s="51">
        <v>0</v>
      </c>
      <c r="W220" s="51">
        <v>0</v>
      </c>
      <c r="X220" s="55">
        <v>0</v>
      </c>
      <c r="Y220" s="59">
        <f t="shared" si="61"/>
        <v>0</v>
      </c>
      <c r="Z220" s="51">
        <f t="shared" si="62"/>
        <v>0</v>
      </c>
      <c r="AA220" s="51">
        <f t="shared" si="63"/>
        <v>0</v>
      </c>
      <c r="AC220" s="33" t="s">
        <v>60</v>
      </c>
      <c r="AD220" s="34" t="s">
        <v>13</v>
      </c>
      <c r="AE220" s="35" t="s">
        <v>61</v>
      </c>
      <c r="AF220" s="34" t="s">
        <v>79</v>
      </c>
      <c r="AG220" s="31"/>
      <c r="AH220" s="1" t="str">
        <f t="shared" si="78"/>
        <v/>
      </c>
      <c r="AI220" s="1" t="str">
        <f t="shared" si="78"/>
        <v/>
      </c>
      <c r="AJ220" s="1" t="str">
        <f t="shared" si="78"/>
        <v/>
      </c>
      <c r="AK220" s="1" t="str">
        <f t="shared" si="78"/>
        <v/>
      </c>
      <c r="AL220" s="1" t="str">
        <f t="shared" si="78"/>
        <v/>
      </c>
      <c r="AM220" s="1" t="str">
        <f t="shared" si="78"/>
        <v/>
      </c>
      <c r="AN220" s="52" t="str">
        <f t="shared" si="78"/>
        <v/>
      </c>
      <c r="AO220" s="1" t="str">
        <f t="shared" si="78"/>
        <v/>
      </c>
      <c r="AP220" s="1" t="str">
        <f t="shared" si="78"/>
        <v/>
      </c>
      <c r="AQ220" s="1" t="str">
        <f t="shared" si="78"/>
        <v/>
      </c>
      <c r="AR220" s="1" t="str">
        <f t="shared" si="78"/>
        <v/>
      </c>
      <c r="AS220" s="1" t="str">
        <f t="shared" si="78"/>
        <v/>
      </c>
      <c r="AT220" s="1" t="str">
        <f t="shared" si="78"/>
        <v/>
      </c>
      <c r="AU220" s="1" t="str">
        <f t="shared" si="78"/>
        <v/>
      </c>
      <c r="AV220" s="1" t="str">
        <f t="shared" si="78"/>
        <v/>
      </c>
      <c r="AW220" s="1" t="str">
        <f t="shared" si="74"/>
        <v/>
      </c>
      <c r="AX220" s="1" t="str">
        <f t="shared" si="74"/>
        <v/>
      </c>
      <c r="AY220" s="1" t="str">
        <f t="shared" si="74"/>
        <v/>
      </c>
      <c r="AZ220" s="1" t="str">
        <f t="shared" si="74"/>
        <v/>
      </c>
      <c r="BA220" s="1" t="str">
        <f t="shared" si="74"/>
        <v/>
      </c>
      <c r="BB220" s="1" t="str">
        <f t="shared" si="74"/>
        <v/>
      </c>
      <c r="BC220" s="1" t="str">
        <f t="shared" si="74"/>
        <v/>
      </c>
    </row>
    <row r="221" spans="1:55" x14ac:dyDescent="0.25">
      <c r="A221" s="30" t="s">
        <v>60</v>
      </c>
      <c r="B221" s="31" t="s">
        <v>13</v>
      </c>
      <c r="C221" s="32" t="s">
        <v>62</v>
      </c>
      <c r="D221" s="31" t="s">
        <v>75</v>
      </c>
      <c r="E221" s="31"/>
      <c r="F221" s="51"/>
      <c r="G221" s="51">
        <f>G202*0.9</f>
        <v>202.23000000000002</v>
      </c>
      <c r="H221" s="51">
        <f>H202*0.9</f>
        <v>855</v>
      </c>
      <c r="I221" s="51">
        <v>0</v>
      </c>
      <c r="J221" s="51">
        <v>0</v>
      </c>
      <c r="K221" s="51">
        <v>0</v>
      </c>
      <c r="L221" s="52">
        <v>0</v>
      </c>
      <c r="M221" s="51">
        <v>0</v>
      </c>
      <c r="N221" s="51">
        <v>0</v>
      </c>
      <c r="O221" s="51">
        <v>0</v>
      </c>
      <c r="P221" s="51">
        <v>0</v>
      </c>
      <c r="Q221" s="51">
        <v>0</v>
      </c>
      <c r="R221" s="51">
        <v>0</v>
      </c>
      <c r="S221" s="51">
        <v>0</v>
      </c>
      <c r="T221" s="51">
        <v>0</v>
      </c>
      <c r="U221" s="51">
        <v>0</v>
      </c>
      <c r="V221" s="51">
        <v>0</v>
      </c>
      <c r="W221" s="51">
        <v>0</v>
      </c>
      <c r="X221" s="55">
        <v>0</v>
      </c>
      <c r="Y221" s="59">
        <f t="shared" si="61"/>
        <v>1057.23</v>
      </c>
      <c r="Z221" s="51">
        <f t="shared" si="62"/>
        <v>0</v>
      </c>
      <c r="AA221" s="51">
        <f t="shared" si="63"/>
        <v>1057.23</v>
      </c>
      <c r="AC221" s="30" t="s">
        <v>60</v>
      </c>
      <c r="AD221" s="31" t="s">
        <v>13</v>
      </c>
      <c r="AE221" s="32" t="s">
        <v>62</v>
      </c>
      <c r="AF221" s="31" t="s">
        <v>75</v>
      </c>
      <c r="AG221" s="31"/>
      <c r="AH221" s="1" t="str">
        <f t="shared" si="78"/>
        <v/>
      </c>
      <c r="AI221" s="1">
        <f t="shared" si="78"/>
        <v>134.85994794406005</v>
      </c>
      <c r="AJ221" s="1">
        <f t="shared" si="78"/>
        <v>28.668730650154799</v>
      </c>
      <c r="AK221" s="1" t="str">
        <f t="shared" si="78"/>
        <v/>
      </c>
      <c r="AL221" s="1" t="str">
        <f t="shared" si="78"/>
        <v/>
      </c>
      <c r="AM221" s="1" t="str">
        <f t="shared" si="78"/>
        <v/>
      </c>
      <c r="AN221" s="52" t="str">
        <f t="shared" si="78"/>
        <v/>
      </c>
      <c r="AO221" s="1" t="str">
        <f t="shared" si="78"/>
        <v/>
      </c>
      <c r="AP221" s="1" t="str">
        <f t="shared" si="78"/>
        <v/>
      </c>
      <c r="AQ221" s="1" t="str">
        <f t="shared" si="78"/>
        <v/>
      </c>
      <c r="AR221" s="1" t="str">
        <f t="shared" si="78"/>
        <v/>
      </c>
      <c r="AS221" s="1" t="str">
        <f t="shared" si="78"/>
        <v/>
      </c>
      <c r="AT221" s="1" t="str">
        <f t="shared" si="78"/>
        <v/>
      </c>
      <c r="AU221" s="1" t="str">
        <f t="shared" si="78"/>
        <v/>
      </c>
      <c r="AV221" s="1" t="str">
        <f t="shared" si="78"/>
        <v/>
      </c>
      <c r="AW221" s="1" t="str">
        <f t="shared" si="74"/>
        <v/>
      </c>
      <c r="AX221" s="1" t="str">
        <f t="shared" si="74"/>
        <v/>
      </c>
      <c r="AY221" s="1" t="str">
        <f t="shared" si="74"/>
        <v/>
      </c>
      <c r="AZ221" s="1" t="str">
        <f t="shared" si="74"/>
        <v/>
      </c>
      <c r="BA221" s="1">
        <f t="shared" si="74"/>
        <v>0</v>
      </c>
      <c r="BB221" s="1" t="str">
        <f t="shared" si="74"/>
        <v/>
      </c>
      <c r="BC221" s="1">
        <f t="shared" si="74"/>
        <v>0</v>
      </c>
    </row>
    <row r="222" spans="1:55" x14ac:dyDescent="0.25">
      <c r="A222" s="30" t="s">
        <v>60</v>
      </c>
      <c r="B222" s="31" t="s">
        <v>13</v>
      </c>
      <c r="C222" s="32" t="s">
        <v>62</v>
      </c>
      <c r="D222" s="31" t="s">
        <v>76</v>
      </c>
      <c r="E222" s="31"/>
      <c r="F222" s="51">
        <f>F202</f>
        <v>34</v>
      </c>
      <c r="G222" s="51">
        <f>G202*0.1</f>
        <v>22.470000000000002</v>
      </c>
      <c r="H222" s="51">
        <f>H202*0.1</f>
        <v>95</v>
      </c>
      <c r="I222" s="51">
        <v>0</v>
      </c>
      <c r="J222" s="51">
        <v>0</v>
      </c>
      <c r="K222" s="51">
        <v>0</v>
      </c>
      <c r="L222" s="52">
        <v>0</v>
      </c>
      <c r="M222" s="51">
        <v>0</v>
      </c>
      <c r="N222" s="51">
        <v>0</v>
      </c>
      <c r="O222" s="51">
        <v>0</v>
      </c>
      <c r="P222" s="51">
        <v>0</v>
      </c>
      <c r="Q222" s="51">
        <v>0</v>
      </c>
      <c r="R222" s="51">
        <v>0</v>
      </c>
      <c r="S222" s="51">
        <v>0</v>
      </c>
      <c r="T222" s="51">
        <v>0</v>
      </c>
      <c r="U222" s="51">
        <v>0</v>
      </c>
      <c r="V222" s="51">
        <v>0</v>
      </c>
      <c r="W222" s="51">
        <v>0</v>
      </c>
      <c r="X222" s="55">
        <v>0</v>
      </c>
      <c r="Y222" s="59">
        <f t="shared" si="61"/>
        <v>151.47</v>
      </c>
      <c r="Z222" s="51">
        <f t="shared" si="62"/>
        <v>0</v>
      </c>
      <c r="AA222" s="51">
        <f t="shared" si="63"/>
        <v>151.47</v>
      </c>
      <c r="AC222" s="30" t="s">
        <v>60</v>
      </c>
      <c r="AD222" s="31" t="s">
        <v>13</v>
      </c>
      <c r="AE222" s="32" t="s">
        <v>62</v>
      </c>
      <c r="AF222" s="31" t="s">
        <v>76</v>
      </c>
      <c r="AG222" s="31"/>
      <c r="AH222" s="1">
        <f t="shared" si="78"/>
        <v>294.11764705882354</v>
      </c>
      <c r="AI222" s="1">
        <f t="shared" si="78"/>
        <v>134.85994794406008</v>
      </c>
      <c r="AJ222" s="1">
        <f t="shared" si="78"/>
        <v>28.668730650154803</v>
      </c>
      <c r="AK222" s="1" t="str">
        <f t="shared" si="78"/>
        <v/>
      </c>
      <c r="AL222" s="1" t="str">
        <f t="shared" si="78"/>
        <v/>
      </c>
      <c r="AM222" s="1" t="str">
        <f t="shared" si="78"/>
        <v/>
      </c>
      <c r="AN222" s="52" t="str">
        <f t="shared" si="78"/>
        <v/>
      </c>
      <c r="AO222" s="1" t="str">
        <f t="shared" si="78"/>
        <v/>
      </c>
      <c r="AP222" s="1" t="str">
        <f t="shared" si="78"/>
        <v/>
      </c>
      <c r="AQ222" s="1" t="str">
        <f t="shared" si="78"/>
        <v/>
      </c>
      <c r="AR222" s="1" t="str">
        <f t="shared" si="78"/>
        <v/>
      </c>
      <c r="AS222" s="1" t="str">
        <f t="shared" si="78"/>
        <v/>
      </c>
      <c r="AT222" s="1" t="str">
        <f t="shared" si="78"/>
        <v/>
      </c>
      <c r="AU222" s="1" t="str">
        <f t="shared" si="78"/>
        <v/>
      </c>
      <c r="AV222" s="1" t="str">
        <f t="shared" si="78"/>
        <v/>
      </c>
      <c r="AW222" s="1" t="str">
        <f t="shared" si="74"/>
        <v/>
      </c>
      <c r="AX222" s="1" t="str">
        <f t="shared" si="74"/>
        <v/>
      </c>
      <c r="AY222" s="1" t="str">
        <f t="shared" si="74"/>
        <v/>
      </c>
      <c r="AZ222" s="1" t="str">
        <f t="shared" si="74"/>
        <v/>
      </c>
      <c r="BA222" s="1">
        <f t="shared" si="74"/>
        <v>0</v>
      </c>
      <c r="BB222" s="1" t="str">
        <f t="shared" si="74"/>
        <v/>
      </c>
      <c r="BC222" s="1">
        <f t="shared" si="74"/>
        <v>0</v>
      </c>
    </row>
    <row r="223" spans="1:55" x14ac:dyDescent="0.25">
      <c r="A223" s="30" t="s">
        <v>60</v>
      </c>
      <c r="B223" s="31" t="s">
        <v>13</v>
      </c>
      <c r="C223" s="32" t="s">
        <v>62</v>
      </c>
      <c r="D223" s="31" t="s">
        <v>77</v>
      </c>
      <c r="E223" s="31"/>
      <c r="F223" s="51">
        <v>0</v>
      </c>
      <c r="G223" s="51">
        <v>0</v>
      </c>
      <c r="H223" s="51">
        <v>0</v>
      </c>
      <c r="I223" s="51">
        <v>0</v>
      </c>
      <c r="J223" s="51">
        <v>0</v>
      </c>
      <c r="K223" s="51">
        <v>0</v>
      </c>
      <c r="L223" s="52">
        <v>0</v>
      </c>
      <c r="M223" s="51">
        <v>0</v>
      </c>
      <c r="N223" s="51">
        <v>0</v>
      </c>
      <c r="O223" s="51">
        <v>0</v>
      </c>
      <c r="P223" s="51">
        <v>0</v>
      </c>
      <c r="Q223" s="51">
        <v>0</v>
      </c>
      <c r="R223" s="51">
        <v>0</v>
      </c>
      <c r="S223" s="51">
        <v>0</v>
      </c>
      <c r="T223" s="51">
        <v>0</v>
      </c>
      <c r="U223" s="51">
        <v>0</v>
      </c>
      <c r="V223" s="51">
        <v>0</v>
      </c>
      <c r="W223" s="51">
        <v>0</v>
      </c>
      <c r="X223" s="55">
        <v>0</v>
      </c>
      <c r="Y223" s="59">
        <f t="shared" si="61"/>
        <v>0</v>
      </c>
      <c r="Z223" s="51">
        <f t="shared" si="62"/>
        <v>0</v>
      </c>
      <c r="AA223" s="51">
        <f t="shared" si="63"/>
        <v>0</v>
      </c>
      <c r="AC223" s="30" t="s">
        <v>60</v>
      </c>
      <c r="AD223" s="31" t="s">
        <v>13</v>
      </c>
      <c r="AE223" s="32" t="s">
        <v>62</v>
      </c>
      <c r="AF223" s="31" t="s">
        <v>77</v>
      </c>
      <c r="AG223" s="31"/>
      <c r="AH223" s="1" t="str">
        <f t="shared" si="78"/>
        <v/>
      </c>
      <c r="AI223" s="1" t="str">
        <f t="shared" si="78"/>
        <v/>
      </c>
      <c r="AJ223" s="1" t="str">
        <f t="shared" si="78"/>
        <v/>
      </c>
      <c r="AK223" s="1" t="str">
        <f t="shared" si="78"/>
        <v/>
      </c>
      <c r="AL223" s="1" t="str">
        <f t="shared" si="78"/>
        <v/>
      </c>
      <c r="AM223" s="1" t="str">
        <f t="shared" si="78"/>
        <v/>
      </c>
      <c r="AN223" s="52" t="str">
        <f t="shared" si="78"/>
        <v/>
      </c>
      <c r="AO223" s="1" t="str">
        <f t="shared" si="78"/>
        <v/>
      </c>
      <c r="AP223" s="1" t="str">
        <f t="shared" si="78"/>
        <v/>
      </c>
      <c r="AQ223" s="1" t="str">
        <f t="shared" si="78"/>
        <v/>
      </c>
      <c r="AR223" s="1" t="str">
        <f t="shared" si="78"/>
        <v/>
      </c>
      <c r="AS223" s="1" t="str">
        <f t="shared" si="78"/>
        <v/>
      </c>
      <c r="AT223" s="1" t="str">
        <f t="shared" si="78"/>
        <v/>
      </c>
      <c r="AU223" s="1" t="str">
        <f t="shared" si="78"/>
        <v/>
      </c>
      <c r="AV223" s="1" t="str">
        <f t="shared" si="78"/>
        <v/>
      </c>
      <c r="AW223" s="1" t="str">
        <f t="shared" si="74"/>
        <v/>
      </c>
      <c r="AX223" s="1" t="str">
        <f t="shared" si="74"/>
        <v/>
      </c>
      <c r="AY223" s="1" t="str">
        <f t="shared" si="74"/>
        <v/>
      </c>
      <c r="AZ223" s="1" t="str">
        <f t="shared" si="74"/>
        <v/>
      </c>
      <c r="BA223" s="1" t="str">
        <f t="shared" si="74"/>
        <v/>
      </c>
      <c r="BB223" s="1" t="str">
        <f t="shared" si="74"/>
        <v/>
      </c>
      <c r="BC223" s="1" t="str">
        <f t="shared" si="74"/>
        <v/>
      </c>
    </row>
    <row r="224" spans="1:55" x14ac:dyDescent="0.25">
      <c r="A224" s="30" t="s">
        <v>60</v>
      </c>
      <c r="B224" s="31" t="s">
        <v>13</v>
      </c>
      <c r="C224" s="32" t="s">
        <v>62</v>
      </c>
      <c r="D224" s="31" t="s">
        <v>78</v>
      </c>
      <c r="E224" s="31"/>
      <c r="F224" s="51">
        <v>0</v>
      </c>
      <c r="G224" s="51">
        <v>0</v>
      </c>
      <c r="H224" s="51">
        <v>0</v>
      </c>
      <c r="I224" s="51">
        <v>0</v>
      </c>
      <c r="J224" s="51">
        <v>0</v>
      </c>
      <c r="K224" s="51">
        <v>0</v>
      </c>
      <c r="L224" s="52">
        <v>0</v>
      </c>
      <c r="M224" s="51">
        <v>0</v>
      </c>
      <c r="N224" s="51">
        <v>0</v>
      </c>
      <c r="O224" s="51">
        <v>0</v>
      </c>
      <c r="P224" s="85">
        <f>P202</f>
        <v>0.11809714285714284</v>
      </c>
      <c r="Q224" s="51">
        <v>0</v>
      </c>
      <c r="R224" s="51">
        <v>0</v>
      </c>
      <c r="S224" s="51">
        <v>0</v>
      </c>
      <c r="T224" s="51">
        <v>0</v>
      </c>
      <c r="U224" s="51">
        <v>0</v>
      </c>
      <c r="V224" s="51">
        <v>0</v>
      </c>
      <c r="W224" s="51">
        <v>0</v>
      </c>
      <c r="X224" s="55">
        <v>0</v>
      </c>
      <c r="Y224" s="59">
        <f t="shared" si="61"/>
        <v>0</v>
      </c>
      <c r="Z224" s="51">
        <f t="shared" si="62"/>
        <v>0.11809714285714284</v>
      </c>
      <c r="AA224" s="51">
        <f t="shared" si="63"/>
        <v>0.11809714285714284</v>
      </c>
      <c r="AC224" s="30" t="s">
        <v>60</v>
      </c>
      <c r="AD224" s="31" t="s">
        <v>13</v>
      </c>
      <c r="AE224" s="32" t="s">
        <v>62</v>
      </c>
      <c r="AF224" s="31" t="s">
        <v>78</v>
      </c>
      <c r="AG224" s="31"/>
      <c r="AH224" s="1" t="str">
        <f t="shared" si="78"/>
        <v/>
      </c>
      <c r="AI224" s="1" t="str">
        <f t="shared" si="78"/>
        <v/>
      </c>
      <c r="AJ224" s="1" t="str">
        <f t="shared" si="78"/>
        <v/>
      </c>
      <c r="AK224" s="1" t="str">
        <f t="shared" si="78"/>
        <v/>
      </c>
      <c r="AL224" s="1" t="str">
        <f t="shared" si="78"/>
        <v/>
      </c>
      <c r="AM224" s="1" t="str">
        <f t="shared" si="78"/>
        <v/>
      </c>
      <c r="AN224" s="52" t="str">
        <f t="shared" si="78"/>
        <v/>
      </c>
      <c r="AO224" s="1" t="str">
        <f t="shared" si="78"/>
        <v/>
      </c>
      <c r="AP224" s="1" t="str">
        <f t="shared" si="78"/>
        <v/>
      </c>
      <c r="AQ224" s="1" t="str">
        <f t="shared" si="78"/>
        <v/>
      </c>
      <c r="AR224" s="1">
        <f t="shared" si="78"/>
        <v>155555.55555555553</v>
      </c>
      <c r="AS224" s="1" t="str">
        <f t="shared" si="78"/>
        <v/>
      </c>
      <c r="AT224" s="1" t="str">
        <f t="shared" si="78"/>
        <v/>
      </c>
      <c r="AU224" s="1" t="str">
        <f t="shared" si="78"/>
        <v/>
      </c>
      <c r="AV224" s="1" t="str">
        <f t="shared" si="78"/>
        <v/>
      </c>
      <c r="AW224" s="1" t="str">
        <f t="shared" si="74"/>
        <v/>
      </c>
      <c r="AX224" s="1" t="str">
        <f t="shared" si="74"/>
        <v/>
      </c>
      <c r="AY224" s="1" t="str">
        <f t="shared" si="74"/>
        <v/>
      </c>
      <c r="AZ224" s="1" t="str">
        <f t="shared" si="74"/>
        <v/>
      </c>
      <c r="BA224" s="1" t="str">
        <f t="shared" si="74"/>
        <v/>
      </c>
      <c r="BB224" s="1">
        <f t="shared" si="74"/>
        <v>0</v>
      </c>
      <c r="BC224" s="1">
        <f t="shared" si="74"/>
        <v>0</v>
      </c>
    </row>
    <row r="225" spans="1:55" ht="15.75" thickBot="1" x14ac:dyDescent="0.3">
      <c r="A225" s="33" t="s">
        <v>60</v>
      </c>
      <c r="B225" s="34" t="s">
        <v>13</v>
      </c>
      <c r="C225" s="32" t="s">
        <v>62</v>
      </c>
      <c r="D225" s="34" t="s">
        <v>79</v>
      </c>
      <c r="E225" s="31"/>
      <c r="F225" s="51">
        <v>0</v>
      </c>
      <c r="G225" s="51">
        <v>0</v>
      </c>
      <c r="H225" s="51">
        <v>0</v>
      </c>
      <c r="I225" s="51">
        <v>0</v>
      </c>
      <c r="J225" s="51">
        <v>0</v>
      </c>
      <c r="K225" s="51">
        <v>0</v>
      </c>
      <c r="L225" s="52">
        <v>0</v>
      </c>
      <c r="M225" s="51">
        <v>0</v>
      </c>
      <c r="N225" s="51">
        <v>0</v>
      </c>
      <c r="O225" s="51">
        <v>0</v>
      </c>
      <c r="P225" s="51">
        <v>0</v>
      </c>
      <c r="Q225" s="51">
        <v>0</v>
      </c>
      <c r="R225" s="51">
        <v>0</v>
      </c>
      <c r="S225" s="51">
        <v>0</v>
      </c>
      <c r="T225" s="51">
        <v>0</v>
      </c>
      <c r="U225" s="51">
        <v>0</v>
      </c>
      <c r="V225" s="51">
        <v>0</v>
      </c>
      <c r="W225" s="51">
        <v>0</v>
      </c>
      <c r="X225" s="55">
        <v>0</v>
      </c>
      <c r="Y225" s="59">
        <f t="shared" si="61"/>
        <v>0</v>
      </c>
      <c r="Z225" s="51">
        <f t="shared" si="62"/>
        <v>0</v>
      </c>
      <c r="AA225" s="51">
        <f t="shared" si="63"/>
        <v>0</v>
      </c>
      <c r="AC225" s="33" t="s">
        <v>60</v>
      </c>
      <c r="AD225" s="34" t="s">
        <v>13</v>
      </c>
      <c r="AE225" s="32" t="s">
        <v>62</v>
      </c>
      <c r="AF225" s="34" t="s">
        <v>79</v>
      </c>
      <c r="AG225" s="31"/>
      <c r="AH225" s="1" t="str">
        <f t="shared" si="78"/>
        <v/>
      </c>
      <c r="AI225" s="1" t="str">
        <f t="shared" si="78"/>
        <v/>
      </c>
      <c r="AJ225" s="1" t="str">
        <f t="shared" si="78"/>
        <v/>
      </c>
      <c r="AK225" s="1" t="str">
        <f t="shared" si="78"/>
        <v/>
      </c>
      <c r="AL225" s="1" t="str">
        <f t="shared" si="78"/>
        <v/>
      </c>
      <c r="AM225" s="1" t="str">
        <f t="shared" si="78"/>
        <v/>
      </c>
      <c r="AN225" s="52" t="str">
        <f t="shared" si="78"/>
        <v/>
      </c>
      <c r="AO225" s="1" t="str">
        <f t="shared" si="78"/>
        <v/>
      </c>
      <c r="AP225" s="1" t="str">
        <f t="shared" si="78"/>
        <v/>
      </c>
      <c r="AQ225" s="1" t="str">
        <f t="shared" si="78"/>
        <v/>
      </c>
      <c r="AR225" s="1" t="str">
        <f t="shared" si="78"/>
        <v/>
      </c>
      <c r="AS225" s="1" t="str">
        <f t="shared" si="78"/>
        <v/>
      </c>
      <c r="AT225" s="1" t="str">
        <f t="shared" si="78"/>
        <v/>
      </c>
      <c r="AU225" s="1" t="str">
        <f t="shared" si="78"/>
        <v/>
      </c>
      <c r="AV225" s="1" t="str">
        <f t="shared" si="78"/>
        <v/>
      </c>
      <c r="AW225" s="1" t="str">
        <f t="shared" si="74"/>
        <v/>
      </c>
      <c r="AX225" s="1" t="str">
        <f t="shared" si="74"/>
        <v/>
      </c>
      <c r="AY225" s="1" t="str">
        <f t="shared" si="74"/>
        <v/>
      </c>
      <c r="AZ225" s="1" t="str">
        <f t="shared" si="74"/>
        <v/>
      </c>
      <c r="BA225" s="1" t="str">
        <f t="shared" si="74"/>
        <v/>
      </c>
      <c r="BB225" s="1" t="str">
        <f t="shared" si="74"/>
        <v/>
      </c>
      <c r="BC225" s="1" t="str">
        <f t="shared" si="74"/>
        <v/>
      </c>
    </row>
    <row r="227" spans="1:55" x14ac:dyDescent="0.25">
      <c r="D227" s="41" t="s">
        <v>33</v>
      </c>
      <c r="E227" s="41"/>
      <c r="M227" s="24" t="s">
        <v>81</v>
      </c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</row>
    <row r="228" spans="1:55" x14ac:dyDescent="0.25">
      <c r="F228" s="23" t="s">
        <v>44</v>
      </c>
      <c r="G228" s="23"/>
      <c r="H228" s="23"/>
      <c r="I228" s="23"/>
      <c r="J228" s="23"/>
      <c r="K228" s="23"/>
      <c r="L228" s="7" t="s">
        <v>30</v>
      </c>
      <c r="M228" s="24" t="s">
        <v>46</v>
      </c>
      <c r="N228" s="24"/>
      <c r="O228" s="24"/>
      <c r="P228" s="24"/>
      <c r="Q228" s="24"/>
      <c r="R228" s="24" t="s">
        <v>47</v>
      </c>
      <c r="S228" s="24"/>
      <c r="T228" s="24"/>
      <c r="U228" s="24"/>
      <c r="V228" s="24"/>
      <c r="W228" s="24"/>
      <c r="X228" s="24"/>
      <c r="Y228" s="44" t="s">
        <v>85</v>
      </c>
      <c r="Z228" s="44" t="s">
        <v>48</v>
      </c>
      <c r="AA228" s="44" t="s">
        <v>3</v>
      </c>
    </row>
    <row r="229" spans="1:55" ht="63" x14ac:dyDescent="0.25">
      <c r="F229" s="38" t="s">
        <v>36</v>
      </c>
      <c r="G229" s="38" t="s">
        <v>37</v>
      </c>
      <c r="H229" s="38" t="s">
        <v>38</v>
      </c>
      <c r="I229" s="38" t="s">
        <v>80</v>
      </c>
      <c r="J229" s="38" t="s">
        <v>39</v>
      </c>
      <c r="K229" s="38" t="s">
        <v>45</v>
      </c>
      <c r="L229" s="39" t="s">
        <v>16</v>
      </c>
      <c r="M229" s="40" t="s">
        <v>34</v>
      </c>
      <c r="N229" s="40" t="s">
        <v>5</v>
      </c>
      <c r="O229" s="40" t="s">
        <v>7</v>
      </c>
      <c r="P229" s="40" t="s">
        <v>8</v>
      </c>
      <c r="Q229" s="40" t="s">
        <v>40</v>
      </c>
      <c r="R229" s="40" t="s">
        <v>41</v>
      </c>
      <c r="S229" s="40" t="s">
        <v>42</v>
      </c>
      <c r="T229" s="40" t="s">
        <v>31</v>
      </c>
      <c r="U229" s="40" t="s">
        <v>43</v>
      </c>
      <c r="V229" s="40" t="s">
        <v>82</v>
      </c>
      <c r="W229" s="40" t="s">
        <v>87</v>
      </c>
      <c r="X229" s="40" t="s">
        <v>83</v>
      </c>
      <c r="Y229" s="45" t="s">
        <v>3</v>
      </c>
      <c r="Z229" s="45" t="s">
        <v>86</v>
      </c>
      <c r="AA229" s="45" t="s">
        <v>3</v>
      </c>
    </row>
    <row r="230" spans="1:55" x14ac:dyDescent="0.25">
      <c r="A230" s="15" t="s">
        <v>51</v>
      </c>
      <c r="B230" s="2"/>
      <c r="C230" s="2"/>
      <c r="F230" s="1">
        <f t="shared" ref="F230:M230" si="79">F232+F233+F234</f>
        <v>0</v>
      </c>
      <c r="G230" s="1">
        <f t="shared" si="79"/>
        <v>0</v>
      </c>
      <c r="H230" s="1">
        <f t="shared" si="79"/>
        <v>0</v>
      </c>
      <c r="I230" s="1">
        <f t="shared" si="79"/>
        <v>0</v>
      </c>
      <c r="J230" s="1">
        <f t="shared" si="79"/>
        <v>0</v>
      </c>
      <c r="K230" s="1">
        <f t="shared" si="79"/>
        <v>0</v>
      </c>
      <c r="L230" s="52">
        <f t="shared" si="79"/>
        <v>0</v>
      </c>
      <c r="M230" s="1">
        <f t="shared" si="79"/>
        <v>0</v>
      </c>
      <c r="N230" s="1">
        <f t="shared" ref="N230:X230" si="80">N232+N233+N234</f>
        <v>0</v>
      </c>
      <c r="O230" s="1">
        <f t="shared" si="80"/>
        <v>0</v>
      </c>
      <c r="P230" s="1">
        <f t="shared" si="80"/>
        <v>0</v>
      </c>
      <c r="Q230" s="1">
        <f t="shared" si="80"/>
        <v>0</v>
      </c>
      <c r="R230" s="1">
        <f t="shared" si="80"/>
        <v>0</v>
      </c>
      <c r="S230" s="1">
        <f t="shared" si="80"/>
        <v>0</v>
      </c>
      <c r="T230" s="1">
        <f t="shared" si="80"/>
        <v>0</v>
      </c>
      <c r="U230" s="1">
        <f t="shared" si="80"/>
        <v>0</v>
      </c>
      <c r="V230" s="1">
        <f t="shared" si="80"/>
        <v>0</v>
      </c>
      <c r="W230" s="1">
        <f t="shared" si="80"/>
        <v>0</v>
      </c>
      <c r="X230" s="1">
        <f t="shared" si="80"/>
        <v>0</v>
      </c>
      <c r="Y230" s="58">
        <f t="shared" ref="Y230:Y238" si="81">SUM(F230:K230)</f>
        <v>0</v>
      </c>
      <c r="Z230" s="1">
        <f t="shared" ref="Z230:Z238" si="82">SUM(M230:X230)</f>
        <v>0</v>
      </c>
      <c r="AA230" s="1">
        <f t="shared" ref="AA230:AA238" si="83">L230+Y230+Z230</f>
        <v>0</v>
      </c>
    </row>
    <row r="231" spans="1:55" x14ac:dyDescent="0.25">
      <c r="A231" s="30" t="s">
        <v>60</v>
      </c>
      <c r="B231" s="2"/>
      <c r="C231" s="2"/>
      <c r="F231" s="1">
        <f>F235+F236+F237+F238</f>
        <v>50</v>
      </c>
      <c r="G231" s="1">
        <f t="shared" ref="G231:X231" si="84">G235+G236+G237+G238</f>
        <v>30.303030303030301</v>
      </c>
      <c r="H231" s="1">
        <f t="shared" si="84"/>
        <v>55.647058823529406</v>
      </c>
      <c r="I231" s="1">
        <f t="shared" si="84"/>
        <v>17.294117647058822</v>
      </c>
      <c r="J231" s="1">
        <f t="shared" si="84"/>
        <v>152.0003016591252</v>
      </c>
      <c r="K231" s="1">
        <f t="shared" si="84"/>
        <v>41.648739495798317</v>
      </c>
      <c r="L231" s="52">
        <f t="shared" si="84"/>
        <v>5555.5555555555557</v>
      </c>
      <c r="M231" s="1">
        <f t="shared" si="84"/>
        <v>271.52777777777777</v>
      </c>
      <c r="N231" s="1">
        <f t="shared" si="84"/>
        <v>30.067307692307693</v>
      </c>
      <c r="O231" s="1">
        <f t="shared" si="84"/>
        <v>6.6400000000000006</v>
      </c>
      <c r="P231" s="1">
        <f t="shared" si="84"/>
        <v>36.74133333333333</v>
      </c>
      <c r="Q231" s="1">
        <f t="shared" si="84"/>
        <v>686.82539682539675</v>
      </c>
      <c r="R231" s="1">
        <f t="shared" si="84"/>
        <v>417.32804232804233</v>
      </c>
      <c r="S231" s="1">
        <f t="shared" si="84"/>
        <v>5.4444444444444446</v>
      </c>
      <c r="T231" s="1">
        <f t="shared" si="84"/>
        <v>392.69841269841277</v>
      </c>
      <c r="U231" s="1">
        <f t="shared" si="84"/>
        <v>133.64790764790763</v>
      </c>
      <c r="V231" s="1">
        <f t="shared" si="84"/>
        <v>121.54761904761905</v>
      </c>
      <c r="W231" s="1">
        <f t="shared" si="84"/>
        <v>185.978835978836</v>
      </c>
      <c r="X231" s="54">
        <f t="shared" si="84"/>
        <v>219.72222222222223</v>
      </c>
      <c r="Y231" s="58">
        <f t="shared" si="81"/>
        <v>346.89324792854205</v>
      </c>
      <c r="Z231" s="1">
        <f t="shared" si="82"/>
        <v>2508.1692999962997</v>
      </c>
      <c r="AA231" s="1">
        <f t="shared" si="83"/>
        <v>8410.6181034803976</v>
      </c>
    </row>
    <row r="232" spans="1:55" x14ac:dyDescent="0.25">
      <c r="A232" s="15" t="s">
        <v>51</v>
      </c>
      <c r="B232" s="16" t="s">
        <v>52</v>
      </c>
      <c r="C232" s="2"/>
      <c r="F232" s="1">
        <f>F239+F240+F241</f>
        <v>0</v>
      </c>
      <c r="G232" s="1">
        <f t="shared" ref="G232:X232" si="85">G239+G240+G241</f>
        <v>0</v>
      </c>
      <c r="H232" s="1">
        <f t="shared" si="85"/>
        <v>0</v>
      </c>
      <c r="I232" s="1">
        <f t="shared" si="85"/>
        <v>0</v>
      </c>
      <c r="J232" s="1">
        <f t="shared" si="85"/>
        <v>0</v>
      </c>
      <c r="K232" s="1">
        <f t="shared" si="85"/>
        <v>0</v>
      </c>
      <c r="L232" s="52">
        <f t="shared" si="85"/>
        <v>0</v>
      </c>
      <c r="M232" s="1">
        <f t="shared" si="85"/>
        <v>0</v>
      </c>
      <c r="N232" s="1">
        <f t="shared" si="85"/>
        <v>0</v>
      </c>
      <c r="O232" s="1">
        <f t="shared" si="85"/>
        <v>0</v>
      </c>
      <c r="P232" s="1">
        <f t="shared" si="85"/>
        <v>0</v>
      </c>
      <c r="Q232" s="1">
        <f t="shared" si="85"/>
        <v>0</v>
      </c>
      <c r="R232" s="1">
        <f t="shared" si="85"/>
        <v>0</v>
      </c>
      <c r="S232" s="1">
        <f t="shared" si="85"/>
        <v>0</v>
      </c>
      <c r="T232" s="1">
        <f t="shared" si="85"/>
        <v>0</v>
      </c>
      <c r="U232" s="1">
        <f t="shared" si="85"/>
        <v>0</v>
      </c>
      <c r="V232" s="1">
        <f t="shared" si="85"/>
        <v>0</v>
      </c>
      <c r="W232" s="1">
        <f t="shared" si="85"/>
        <v>0</v>
      </c>
      <c r="X232" s="54">
        <f t="shared" si="85"/>
        <v>0</v>
      </c>
      <c r="Y232" s="58">
        <f t="shared" si="81"/>
        <v>0</v>
      </c>
      <c r="Z232" s="1">
        <f t="shared" si="82"/>
        <v>0</v>
      </c>
      <c r="AA232" s="1">
        <f t="shared" si="83"/>
        <v>0</v>
      </c>
    </row>
    <row r="233" spans="1:55" x14ac:dyDescent="0.25">
      <c r="A233" s="15" t="s">
        <v>51</v>
      </c>
      <c r="B233" s="16" t="s">
        <v>56</v>
      </c>
      <c r="C233" s="2"/>
      <c r="F233" s="1">
        <f>F242+F243+F244</f>
        <v>0</v>
      </c>
      <c r="G233" s="1">
        <f t="shared" ref="G233:X233" si="86">G242+G243+G244</f>
        <v>0</v>
      </c>
      <c r="H233" s="1">
        <f t="shared" si="86"/>
        <v>0</v>
      </c>
      <c r="I233" s="1">
        <f t="shared" si="86"/>
        <v>0</v>
      </c>
      <c r="J233" s="1">
        <f t="shared" si="86"/>
        <v>0</v>
      </c>
      <c r="K233" s="1">
        <f t="shared" si="86"/>
        <v>0</v>
      </c>
      <c r="L233" s="52">
        <f t="shared" si="86"/>
        <v>0</v>
      </c>
      <c r="M233" s="1">
        <f t="shared" si="86"/>
        <v>0</v>
      </c>
      <c r="N233" s="1">
        <f t="shared" si="86"/>
        <v>0</v>
      </c>
      <c r="O233" s="1">
        <f t="shared" si="86"/>
        <v>0</v>
      </c>
      <c r="P233" s="1">
        <f t="shared" si="86"/>
        <v>0</v>
      </c>
      <c r="Q233" s="1">
        <f t="shared" si="86"/>
        <v>0</v>
      </c>
      <c r="R233" s="1">
        <f t="shared" si="86"/>
        <v>0</v>
      </c>
      <c r="S233" s="1">
        <f t="shared" si="86"/>
        <v>0</v>
      </c>
      <c r="T233" s="1">
        <f t="shared" si="86"/>
        <v>0</v>
      </c>
      <c r="U233" s="1">
        <f t="shared" si="86"/>
        <v>0</v>
      </c>
      <c r="V233" s="1">
        <f t="shared" si="86"/>
        <v>0</v>
      </c>
      <c r="W233" s="1">
        <f t="shared" si="86"/>
        <v>0</v>
      </c>
      <c r="X233" s="54">
        <f t="shared" si="86"/>
        <v>0</v>
      </c>
      <c r="Y233" s="58">
        <f t="shared" si="81"/>
        <v>0</v>
      </c>
      <c r="Z233" s="1">
        <f t="shared" si="82"/>
        <v>0</v>
      </c>
      <c r="AA233" s="1">
        <f t="shared" si="83"/>
        <v>0</v>
      </c>
    </row>
    <row r="234" spans="1:55" x14ac:dyDescent="0.25">
      <c r="A234" s="15" t="s">
        <v>51</v>
      </c>
      <c r="B234" s="16" t="s">
        <v>9</v>
      </c>
      <c r="C234" s="2"/>
      <c r="F234" s="1">
        <f>F245</f>
        <v>0</v>
      </c>
      <c r="G234" s="1">
        <f t="shared" ref="G234:X234" si="87">G245</f>
        <v>0</v>
      </c>
      <c r="H234" s="1">
        <f t="shared" si="87"/>
        <v>0</v>
      </c>
      <c r="I234" s="1">
        <f t="shared" si="87"/>
        <v>0</v>
      </c>
      <c r="J234" s="1">
        <f t="shared" si="87"/>
        <v>0</v>
      </c>
      <c r="K234" s="1">
        <f t="shared" si="87"/>
        <v>0</v>
      </c>
      <c r="L234" s="52">
        <f t="shared" si="87"/>
        <v>0</v>
      </c>
      <c r="M234" s="1">
        <f t="shared" si="87"/>
        <v>0</v>
      </c>
      <c r="N234" s="1">
        <f t="shared" si="87"/>
        <v>0</v>
      </c>
      <c r="O234" s="1">
        <f t="shared" si="87"/>
        <v>0</v>
      </c>
      <c r="P234" s="1">
        <f t="shared" si="87"/>
        <v>0</v>
      </c>
      <c r="Q234" s="1">
        <f t="shared" si="87"/>
        <v>0</v>
      </c>
      <c r="R234" s="1">
        <f t="shared" si="87"/>
        <v>0</v>
      </c>
      <c r="S234" s="1">
        <f t="shared" si="87"/>
        <v>0</v>
      </c>
      <c r="T234" s="1">
        <f t="shared" si="87"/>
        <v>0</v>
      </c>
      <c r="U234" s="1">
        <f t="shared" si="87"/>
        <v>0</v>
      </c>
      <c r="V234" s="1">
        <f t="shared" si="87"/>
        <v>0</v>
      </c>
      <c r="W234" s="1">
        <f t="shared" si="87"/>
        <v>0</v>
      </c>
      <c r="X234" s="54">
        <f t="shared" si="87"/>
        <v>0</v>
      </c>
      <c r="Y234" s="58">
        <f t="shared" si="81"/>
        <v>0</v>
      </c>
      <c r="Z234" s="1">
        <f t="shared" si="82"/>
        <v>0</v>
      </c>
      <c r="AA234" s="1">
        <f t="shared" si="83"/>
        <v>0</v>
      </c>
    </row>
    <row r="235" spans="1:55" x14ac:dyDescent="0.25">
      <c r="A235" s="30" t="s">
        <v>60</v>
      </c>
      <c r="B235" s="32" t="s">
        <v>13</v>
      </c>
      <c r="C235" s="2"/>
      <c r="F235" s="51">
        <f>F246+F247+F248</f>
        <v>50</v>
      </c>
      <c r="G235" s="51">
        <f t="shared" ref="G235:X235" si="88">G246+G247+G248</f>
        <v>30.303030303030301</v>
      </c>
      <c r="H235" s="51">
        <f t="shared" si="88"/>
        <v>55.647058823529406</v>
      </c>
      <c r="I235" s="51">
        <f t="shared" si="88"/>
        <v>17.294117647058822</v>
      </c>
      <c r="J235" s="51">
        <f t="shared" si="88"/>
        <v>10.882352941176471</v>
      </c>
      <c r="K235" s="51">
        <f t="shared" si="88"/>
        <v>4.7058823529411766</v>
      </c>
      <c r="L235" s="52">
        <f t="shared" si="88"/>
        <v>0</v>
      </c>
      <c r="M235" s="51">
        <f t="shared" si="88"/>
        <v>11.111111111111111</v>
      </c>
      <c r="N235" s="51">
        <f t="shared" si="88"/>
        <v>2.375</v>
      </c>
      <c r="O235" s="51">
        <f t="shared" si="88"/>
        <v>6.6400000000000006</v>
      </c>
      <c r="P235" s="51">
        <f t="shared" si="88"/>
        <v>36.74133333333333</v>
      </c>
      <c r="Q235" s="51">
        <f t="shared" si="88"/>
        <v>1.1111111111111112</v>
      </c>
      <c r="R235" s="51">
        <f t="shared" si="88"/>
        <v>4.6296296296296298</v>
      </c>
      <c r="S235" s="51">
        <f t="shared" si="88"/>
        <v>0</v>
      </c>
      <c r="T235" s="51">
        <f t="shared" si="88"/>
        <v>1.1111111111111112</v>
      </c>
      <c r="U235" s="51">
        <f t="shared" si="88"/>
        <v>3.7777777777777777</v>
      </c>
      <c r="V235" s="51">
        <f t="shared" si="88"/>
        <v>0.27777777777777779</v>
      </c>
      <c r="W235" s="51">
        <f t="shared" si="88"/>
        <v>7.4074074074074083</v>
      </c>
      <c r="X235" s="55">
        <f t="shared" si="88"/>
        <v>2.2222222222222223</v>
      </c>
      <c r="Y235" s="59">
        <f t="shared" si="81"/>
        <v>168.83244206773617</v>
      </c>
      <c r="Z235" s="51">
        <f t="shared" si="82"/>
        <v>77.404481481481483</v>
      </c>
      <c r="AA235" s="51">
        <f t="shared" si="83"/>
        <v>246.23692354921764</v>
      </c>
    </row>
    <row r="236" spans="1:55" x14ac:dyDescent="0.25">
      <c r="A236" s="30" t="s">
        <v>60</v>
      </c>
      <c r="B236" s="31" t="s">
        <v>23</v>
      </c>
      <c r="C236" s="2"/>
      <c r="F236" s="51">
        <f>F249+F250+F251</f>
        <v>0</v>
      </c>
      <c r="G236" s="51">
        <f t="shared" ref="G236:X236" si="89">G249+G250+G251</f>
        <v>0</v>
      </c>
      <c r="H236" s="51">
        <f t="shared" si="89"/>
        <v>0</v>
      </c>
      <c r="I236" s="51">
        <f t="shared" si="89"/>
        <v>0</v>
      </c>
      <c r="J236" s="51">
        <f t="shared" si="89"/>
        <v>36.95128205128205</v>
      </c>
      <c r="K236" s="51">
        <f t="shared" si="89"/>
        <v>36.942857142857143</v>
      </c>
      <c r="L236" s="52">
        <f t="shared" si="89"/>
        <v>0</v>
      </c>
      <c r="M236" s="51">
        <f t="shared" si="89"/>
        <v>0</v>
      </c>
      <c r="N236" s="51">
        <f t="shared" si="89"/>
        <v>27.692307692307693</v>
      </c>
      <c r="O236" s="51">
        <f t="shared" si="89"/>
        <v>0</v>
      </c>
      <c r="P236" s="51">
        <f t="shared" si="89"/>
        <v>0</v>
      </c>
      <c r="Q236" s="51">
        <f t="shared" si="89"/>
        <v>0</v>
      </c>
      <c r="R236" s="51">
        <f t="shared" si="89"/>
        <v>0</v>
      </c>
      <c r="S236" s="51">
        <f t="shared" si="89"/>
        <v>5.4444444444444446</v>
      </c>
      <c r="T236" s="51">
        <f t="shared" si="89"/>
        <v>18.571428571428573</v>
      </c>
      <c r="U236" s="51">
        <f t="shared" si="89"/>
        <v>0</v>
      </c>
      <c r="V236" s="51">
        <f t="shared" si="89"/>
        <v>2.2222222222222223</v>
      </c>
      <c r="W236" s="51">
        <f t="shared" si="89"/>
        <v>0</v>
      </c>
      <c r="X236" s="55">
        <f t="shared" si="89"/>
        <v>2.2222222222222223</v>
      </c>
      <c r="Y236" s="59">
        <f t="shared" si="81"/>
        <v>73.8941391941392</v>
      </c>
      <c r="Z236" s="51">
        <f t="shared" si="82"/>
        <v>56.152625152625149</v>
      </c>
      <c r="AA236" s="51">
        <f t="shared" si="83"/>
        <v>130.04676434676435</v>
      </c>
    </row>
    <row r="237" spans="1:55" x14ac:dyDescent="0.25">
      <c r="A237" s="30" t="s">
        <v>60</v>
      </c>
      <c r="B237" s="31" t="s">
        <v>65</v>
      </c>
      <c r="C237" s="46"/>
      <c r="F237" s="51">
        <f>F252+F253+F254</f>
        <v>0</v>
      </c>
      <c r="G237" s="51">
        <f t="shared" ref="G237:X237" si="90">G252+G253+G254</f>
        <v>0</v>
      </c>
      <c r="H237" s="51">
        <f t="shared" si="90"/>
        <v>0</v>
      </c>
      <c r="I237" s="51">
        <f t="shared" si="90"/>
        <v>0</v>
      </c>
      <c r="J237" s="51">
        <f t="shared" si="90"/>
        <v>104.16666666666667</v>
      </c>
      <c r="K237" s="51">
        <f t="shared" si="90"/>
        <v>0</v>
      </c>
      <c r="L237" s="52">
        <f t="shared" si="90"/>
        <v>5555.5555555555557</v>
      </c>
      <c r="M237" s="51">
        <f t="shared" si="90"/>
        <v>260.41666666666669</v>
      </c>
      <c r="N237" s="51">
        <f t="shared" si="90"/>
        <v>0</v>
      </c>
      <c r="O237" s="51">
        <f t="shared" si="90"/>
        <v>0</v>
      </c>
      <c r="P237" s="51">
        <f t="shared" si="90"/>
        <v>0</v>
      </c>
      <c r="Q237" s="51">
        <f t="shared" si="90"/>
        <v>685.71428571428567</v>
      </c>
      <c r="R237" s="51">
        <f t="shared" si="90"/>
        <v>412.69841269841271</v>
      </c>
      <c r="S237" s="51">
        <f t="shared" si="90"/>
        <v>0</v>
      </c>
      <c r="T237" s="51">
        <f t="shared" si="90"/>
        <v>373.01587301587307</v>
      </c>
      <c r="U237" s="51">
        <f t="shared" si="90"/>
        <v>129.87012987012986</v>
      </c>
      <c r="V237" s="51">
        <f t="shared" si="90"/>
        <v>119.04761904761905</v>
      </c>
      <c r="W237" s="51">
        <f t="shared" si="90"/>
        <v>178.57142857142858</v>
      </c>
      <c r="X237" s="55">
        <f t="shared" si="90"/>
        <v>190.47619047619048</v>
      </c>
      <c r="Y237" s="59">
        <f t="shared" si="81"/>
        <v>104.16666666666667</v>
      </c>
      <c r="Z237" s="51">
        <f t="shared" si="82"/>
        <v>2349.810606060606</v>
      </c>
      <c r="AA237" s="51">
        <f t="shared" si="83"/>
        <v>8009.5328282828286</v>
      </c>
    </row>
    <row r="238" spans="1:55" ht="15.75" thickBot="1" x14ac:dyDescent="0.3">
      <c r="A238" s="48" t="s">
        <v>60</v>
      </c>
      <c r="B238" s="49" t="s">
        <v>9</v>
      </c>
      <c r="C238" s="50"/>
      <c r="D238" s="50"/>
      <c r="E238" s="50"/>
      <c r="F238" s="53">
        <f>F255</f>
        <v>0</v>
      </c>
      <c r="G238" s="53">
        <f t="shared" ref="G238:X238" si="91">G255</f>
        <v>0</v>
      </c>
      <c r="H238" s="53">
        <f t="shared" si="91"/>
        <v>0</v>
      </c>
      <c r="I238" s="53">
        <f t="shared" si="91"/>
        <v>0</v>
      </c>
      <c r="J238" s="53">
        <f t="shared" si="91"/>
        <v>0</v>
      </c>
      <c r="K238" s="53">
        <f t="shared" si="91"/>
        <v>0</v>
      </c>
      <c r="L238" s="62">
        <f t="shared" si="91"/>
        <v>0</v>
      </c>
      <c r="M238" s="53">
        <f t="shared" si="91"/>
        <v>0</v>
      </c>
      <c r="N238" s="53">
        <f t="shared" si="91"/>
        <v>0</v>
      </c>
      <c r="O238" s="53">
        <f t="shared" si="91"/>
        <v>0</v>
      </c>
      <c r="P238" s="53">
        <f t="shared" si="91"/>
        <v>0</v>
      </c>
      <c r="Q238" s="53">
        <f t="shared" si="91"/>
        <v>0</v>
      </c>
      <c r="R238" s="53">
        <f t="shared" si="91"/>
        <v>0</v>
      </c>
      <c r="S238" s="53">
        <f t="shared" si="91"/>
        <v>0</v>
      </c>
      <c r="T238" s="53">
        <f t="shared" si="91"/>
        <v>0</v>
      </c>
      <c r="U238" s="53">
        <f t="shared" si="91"/>
        <v>0</v>
      </c>
      <c r="V238" s="53">
        <f t="shared" si="91"/>
        <v>0</v>
      </c>
      <c r="W238" s="53">
        <f t="shared" si="91"/>
        <v>0</v>
      </c>
      <c r="X238" s="56">
        <f t="shared" si="91"/>
        <v>24.801587301587301</v>
      </c>
      <c r="Y238" s="60">
        <f t="shared" si="81"/>
        <v>0</v>
      </c>
      <c r="Z238" s="53">
        <f t="shared" si="82"/>
        <v>24.801587301587301</v>
      </c>
      <c r="AA238" s="53">
        <f t="shared" si="83"/>
        <v>24.801587301587301</v>
      </c>
    </row>
    <row r="239" spans="1:55" ht="15.75" thickTop="1" x14ac:dyDescent="0.25">
      <c r="A239" s="15" t="s">
        <v>51</v>
      </c>
      <c r="B239" s="16" t="s">
        <v>52</v>
      </c>
      <c r="C239" s="16" t="s">
        <v>53</v>
      </c>
      <c r="D239" s="2"/>
      <c r="E239" s="2"/>
      <c r="F239" s="47">
        <f t="shared" ref="F239:AA250" si="92">IF(F284&gt;0,F14/F284,0)</f>
        <v>0</v>
      </c>
      <c r="G239" s="47">
        <f t="shared" si="92"/>
        <v>0</v>
      </c>
      <c r="H239" s="47">
        <f t="shared" si="92"/>
        <v>0</v>
      </c>
      <c r="I239" s="47">
        <f t="shared" si="92"/>
        <v>0</v>
      </c>
      <c r="J239" s="47">
        <f t="shared" si="92"/>
        <v>0</v>
      </c>
      <c r="K239" s="47">
        <f t="shared" si="92"/>
        <v>0</v>
      </c>
      <c r="L239" s="63">
        <f t="shared" si="92"/>
        <v>0</v>
      </c>
      <c r="M239" s="47">
        <f t="shared" si="92"/>
        <v>0</v>
      </c>
      <c r="N239" s="47">
        <f t="shared" si="92"/>
        <v>0</v>
      </c>
      <c r="O239" s="47">
        <f t="shared" si="92"/>
        <v>0</v>
      </c>
      <c r="P239" s="47">
        <f t="shared" si="92"/>
        <v>0</v>
      </c>
      <c r="Q239" s="47">
        <f t="shared" si="92"/>
        <v>0</v>
      </c>
      <c r="R239" s="47">
        <f t="shared" si="92"/>
        <v>0</v>
      </c>
      <c r="S239" s="47">
        <f t="shared" si="92"/>
        <v>0</v>
      </c>
      <c r="T239" s="47">
        <f t="shared" si="92"/>
        <v>0</v>
      </c>
      <c r="U239" s="47">
        <f t="shared" si="92"/>
        <v>0</v>
      </c>
      <c r="V239" s="47">
        <f t="shared" si="92"/>
        <v>0</v>
      </c>
      <c r="W239" s="47">
        <f t="shared" si="92"/>
        <v>0</v>
      </c>
      <c r="X239" s="57">
        <f t="shared" si="92"/>
        <v>0</v>
      </c>
      <c r="Y239" s="61">
        <f t="shared" si="92"/>
        <v>0</v>
      </c>
      <c r="Z239" s="47">
        <f t="shared" si="92"/>
        <v>0</v>
      </c>
      <c r="AA239" s="47">
        <f t="shared" si="92"/>
        <v>0</v>
      </c>
    </row>
    <row r="240" spans="1:55" x14ac:dyDescent="0.25">
      <c r="A240" s="15" t="s">
        <v>51</v>
      </c>
      <c r="B240" s="16" t="s">
        <v>52</v>
      </c>
      <c r="C240" s="16" t="s">
        <v>54</v>
      </c>
      <c r="D240" s="2"/>
      <c r="E240" s="2"/>
      <c r="F240" s="1">
        <f t="shared" si="92"/>
        <v>0</v>
      </c>
      <c r="G240" s="1">
        <f t="shared" si="92"/>
        <v>0</v>
      </c>
      <c r="H240" s="1">
        <f t="shared" si="92"/>
        <v>0</v>
      </c>
      <c r="I240" s="1">
        <f t="shared" si="92"/>
        <v>0</v>
      </c>
      <c r="J240" s="1">
        <f t="shared" si="92"/>
        <v>0</v>
      </c>
      <c r="K240" s="1">
        <f t="shared" si="92"/>
        <v>0</v>
      </c>
      <c r="L240" s="52">
        <f t="shared" si="92"/>
        <v>0</v>
      </c>
      <c r="M240" s="1">
        <f t="shared" si="92"/>
        <v>0</v>
      </c>
      <c r="N240" s="1">
        <f t="shared" si="92"/>
        <v>0</v>
      </c>
      <c r="O240" s="1">
        <f t="shared" si="92"/>
        <v>0</v>
      </c>
      <c r="P240" s="1">
        <f t="shared" si="92"/>
        <v>0</v>
      </c>
      <c r="Q240" s="1">
        <f t="shared" si="92"/>
        <v>0</v>
      </c>
      <c r="R240" s="1">
        <f t="shared" si="92"/>
        <v>0</v>
      </c>
      <c r="S240" s="1">
        <f t="shared" si="92"/>
        <v>0</v>
      </c>
      <c r="T240" s="1">
        <f t="shared" si="92"/>
        <v>0</v>
      </c>
      <c r="U240" s="1">
        <f t="shared" si="92"/>
        <v>0</v>
      </c>
      <c r="V240" s="1">
        <f t="shared" si="92"/>
        <v>0</v>
      </c>
      <c r="W240" s="1">
        <f t="shared" si="92"/>
        <v>0</v>
      </c>
      <c r="X240" s="54">
        <f t="shared" si="92"/>
        <v>0</v>
      </c>
      <c r="Y240" s="58">
        <f t="shared" si="92"/>
        <v>0</v>
      </c>
      <c r="Z240" s="1">
        <f t="shared" si="92"/>
        <v>0</v>
      </c>
      <c r="AA240" s="1">
        <f t="shared" si="92"/>
        <v>0</v>
      </c>
    </row>
    <row r="241" spans="1:29" x14ac:dyDescent="0.25">
      <c r="A241" s="15" t="s">
        <v>51</v>
      </c>
      <c r="B241" s="16" t="s">
        <v>52</v>
      </c>
      <c r="C241" s="16" t="s">
        <v>55</v>
      </c>
      <c r="D241" s="2"/>
      <c r="E241" s="2"/>
      <c r="F241" s="1">
        <f t="shared" si="92"/>
        <v>0</v>
      </c>
      <c r="G241" s="1">
        <f t="shared" si="92"/>
        <v>0</v>
      </c>
      <c r="H241" s="1">
        <f t="shared" si="92"/>
        <v>0</v>
      </c>
      <c r="I241" s="1">
        <f t="shared" si="92"/>
        <v>0</v>
      </c>
      <c r="J241" s="1">
        <f t="shared" si="92"/>
        <v>0</v>
      </c>
      <c r="K241" s="1">
        <f t="shared" si="92"/>
        <v>0</v>
      </c>
      <c r="L241" s="52">
        <f t="shared" si="92"/>
        <v>0</v>
      </c>
      <c r="M241" s="1">
        <f t="shared" si="92"/>
        <v>0</v>
      </c>
      <c r="N241" s="1">
        <f t="shared" si="92"/>
        <v>0</v>
      </c>
      <c r="O241" s="1">
        <f t="shared" si="92"/>
        <v>0</v>
      </c>
      <c r="P241" s="1">
        <f t="shared" si="92"/>
        <v>0</v>
      </c>
      <c r="Q241" s="1">
        <f t="shared" si="92"/>
        <v>0</v>
      </c>
      <c r="R241" s="1">
        <f t="shared" si="92"/>
        <v>0</v>
      </c>
      <c r="S241" s="1">
        <f t="shared" si="92"/>
        <v>0</v>
      </c>
      <c r="T241" s="1">
        <f t="shared" si="92"/>
        <v>0</v>
      </c>
      <c r="U241" s="1">
        <f t="shared" si="92"/>
        <v>0</v>
      </c>
      <c r="V241" s="1">
        <f t="shared" si="92"/>
        <v>0</v>
      </c>
      <c r="W241" s="1">
        <f t="shared" si="92"/>
        <v>0</v>
      </c>
      <c r="X241" s="54">
        <f t="shared" si="92"/>
        <v>0</v>
      </c>
      <c r="Y241" s="58">
        <f t="shared" si="92"/>
        <v>0</v>
      </c>
      <c r="Z241" s="1">
        <f t="shared" si="92"/>
        <v>0</v>
      </c>
      <c r="AA241" s="1">
        <f t="shared" si="92"/>
        <v>0</v>
      </c>
    </row>
    <row r="242" spans="1:29" x14ac:dyDescent="0.25">
      <c r="A242" s="25" t="s">
        <v>51</v>
      </c>
      <c r="B242" s="26" t="s">
        <v>56</v>
      </c>
      <c r="C242" s="26" t="s">
        <v>57</v>
      </c>
      <c r="D242" s="2"/>
      <c r="E242" s="2"/>
      <c r="F242" s="1">
        <f t="shared" si="92"/>
        <v>0</v>
      </c>
      <c r="G242" s="1">
        <f t="shared" si="92"/>
        <v>0</v>
      </c>
      <c r="H242" s="1">
        <f t="shared" si="92"/>
        <v>0</v>
      </c>
      <c r="I242" s="1">
        <f t="shared" si="92"/>
        <v>0</v>
      </c>
      <c r="J242" s="1">
        <f t="shared" si="92"/>
        <v>0</v>
      </c>
      <c r="K242" s="1">
        <f t="shared" si="92"/>
        <v>0</v>
      </c>
      <c r="L242" s="52">
        <f t="shared" si="92"/>
        <v>0</v>
      </c>
      <c r="M242" s="1">
        <f t="shared" si="92"/>
        <v>0</v>
      </c>
      <c r="N242" s="1">
        <f t="shared" si="92"/>
        <v>0</v>
      </c>
      <c r="O242" s="1">
        <f t="shared" si="92"/>
        <v>0</v>
      </c>
      <c r="P242" s="1">
        <f t="shared" si="92"/>
        <v>0</v>
      </c>
      <c r="Q242" s="1">
        <f t="shared" si="92"/>
        <v>0</v>
      </c>
      <c r="R242" s="1">
        <f t="shared" si="92"/>
        <v>0</v>
      </c>
      <c r="S242" s="1">
        <f t="shared" si="92"/>
        <v>0</v>
      </c>
      <c r="T242" s="1">
        <f t="shared" si="92"/>
        <v>0</v>
      </c>
      <c r="U242" s="1">
        <f t="shared" si="92"/>
        <v>0</v>
      </c>
      <c r="V242" s="1">
        <f t="shared" si="92"/>
        <v>0</v>
      </c>
      <c r="W242" s="1">
        <f t="shared" si="92"/>
        <v>0</v>
      </c>
      <c r="X242" s="54">
        <f t="shared" si="92"/>
        <v>0</v>
      </c>
      <c r="Y242" s="58">
        <f t="shared" si="92"/>
        <v>0</v>
      </c>
      <c r="Z242" s="1">
        <f t="shared" si="92"/>
        <v>0</v>
      </c>
      <c r="AA242" s="1">
        <f t="shared" si="92"/>
        <v>0</v>
      </c>
    </row>
    <row r="243" spans="1:29" x14ac:dyDescent="0.25">
      <c r="A243" s="15" t="s">
        <v>51</v>
      </c>
      <c r="B243" s="16" t="s">
        <v>56</v>
      </c>
      <c r="C243" s="27" t="s">
        <v>58</v>
      </c>
      <c r="D243" s="2"/>
      <c r="E243" s="2"/>
      <c r="F243" s="1">
        <f t="shared" si="92"/>
        <v>0</v>
      </c>
      <c r="G243" s="1">
        <f t="shared" si="92"/>
        <v>0</v>
      </c>
      <c r="H243" s="1">
        <f t="shared" si="92"/>
        <v>0</v>
      </c>
      <c r="I243" s="1">
        <f t="shared" si="92"/>
        <v>0</v>
      </c>
      <c r="J243" s="1">
        <f t="shared" si="92"/>
        <v>0</v>
      </c>
      <c r="K243" s="1">
        <f t="shared" si="92"/>
        <v>0</v>
      </c>
      <c r="L243" s="52">
        <f t="shared" si="92"/>
        <v>0</v>
      </c>
      <c r="M243" s="1">
        <f t="shared" si="92"/>
        <v>0</v>
      </c>
      <c r="N243" s="1">
        <f t="shared" si="92"/>
        <v>0</v>
      </c>
      <c r="O243" s="1">
        <f t="shared" si="92"/>
        <v>0</v>
      </c>
      <c r="P243" s="1">
        <f t="shared" si="92"/>
        <v>0</v>
      </c>
      <c r="Q243" s="1">
        <f t="shared" si="92"/>
        <v>0</v>
      </c>
      <c r="R243" s="1">
        <f t="shared" si="92"/>
        <v>0</v>
      </c>
      <c r="S243" s="1">
        <f t="shared" si="92"/>
        <v>0</v>
      </c>
      <c r="T243" s="1">
        <f t="shared" si="92"/>
        <v>0</v>
      </c>
      <c r="U243" s="1">
        <f t="shared" si="92"/>
        <v>0</v>
      </c>
      <c r="V243" s="1">
        <f t="shared" si="92"/>
        <v>0</v>
      </c>
      <c r="W243" s="1">
        <f t="shared" si="92"/>
        <v>0</v>
      </c>
      <c r="X243" s="54">
        <f t="shared" si="92"/>
        <v>0</v>
      </c>
      <c r="Y243" s="58">
        <f t="shared" si="92"/>
        <v>0</v>
      </c>
      <c r="Z243" s="1">
        <f t="shared" si="92"/>
        <v>0</v>
      </c>
      <c r="AA243" s="1">
        <f t="shared" si="92"/>
        <v>0</v>
      </c>
    </row>
    <row r="244" spans="1:29" x14ac:dyDescent="0.25">
      <c r="A244" s="15" t="s">
        <v>51</v>
      </c>
      <c r="B244" s="16" t="s">
        <v>9</v>
      </c>
      <c r="C244" s="27" t="s">
        <v>59</v>
      </c>
      <c r="D244" s="2"/>
      <c r="E244" s="2"/>
      <c r="F244" s="1">
        <f t="shared" si="92"/>
        <v>0</v>
      </c>
      <c r="G244" s="1">
        <f t="shared" si="92"/>
        <v>0</v>
      </c>
      <c r="H244" s="1">
        <f t="shared" si="92"/>
        <v>0</v>
      </c>
      <c r="I244" s="1">
        <f t="shared" si="92"/>
        <v>0</v>
      </c>
      <c r="J244" s="1">
        <f t="shared" si="92"/>
        <v>0</v>
      </c>
      <c r="K244" s="1">
        <f t="shared" si="92"/>
        <v>0</v>
      </c>
      <c r="L244" s="52">
        <f t="shared" si="92"/>
        <v>0</v>
      </c>
      <c r="M244" s="1">
        <f t="shared" si="92"/>
        <v>0</v>
      </c>
      <c r="N244" s="1">
        <f t="shared" si="92"/>
        <v>0</v>
      </c>
      <c r="O244" s="1">
        <f t="shared" si="92"/>
        <v>0</v>
      </c>
      <c r="P244" s="1">
        <f t="shared" si="92"/>
        <v>0</v>
      </c>
      <c r="Q244" s="1">
        <f t="shared" si="92"/>
        <v>0</v>
      </c>
      <c r="R244" s="1">
        <f t="shared" si="92"/>
        <v>0</v>
      </c>
      <c r="S244" s="1">
        <f t="shared" si="92"/>
        <v>0</v>
      </c>
      <c r="T244" s="1">
        <f t="shared" si="92"/>
        <v>0</v>
      </c>
      <c r="U244" s="1">
        <f t="shared" si="92"/>
        <v>0</v>
      </c>
      <c r="V244" s="1">
        <f t="shared" si="92"/>
        <v>0</v>
      </c>
      <c r="W244" s="1">
        <f t="shared" si="92"/>
        <v>0</v>
      </c>
      <c r="X244" s="54">
        <f t="shared" si="92"/>
        <v>0</v>
      </c>
      <c r="Y244" s="58">
        <f t="shared" si="92"/>
        <v>0</v>
      </c>
      <c r="Z244" s="1">
        <f t="shared" si="92"/>
        <v>0</v>
      </c>
      <c r="AA244" s="1">
        <f t="shared" si="92"/>
        <v>0</v>
      </c>
    </row>
    <row r="245" spans="1:29" x14ac:dyDescent="0.25">
      <c r="A245" s="15" t="s">
        <v>51</v>
      </c>
      <c r="B245" s="16" t="s">
        <v>9</v>
      </c>
      <c r="C245" s="27" t="s">
        <v>9</v>
      </c>
      <c r="D245" s="2"/>
      <c r="E245" s="2"/>
      <c r="F245" s="1">
        <f t="shared" si="92"/>
        <v>0</v>
      </c>
      <c r="G245" s="1">
        <f t="shared" si="92"/>
        <v>0</v>
      </c>
      <c r="H245" s="1">
        <f t="shared" si="92"/>
        <v>0</v>
      </c>
      <c r="I245" s="1">
        <f t="shared" si="92"/>
        <v>0</v>
      </c>
      <c r="J245" s="1">
        <f t="shared" si="92"/>
        <v>0</v>
      </c>
      <c r="K245" s="1">
        <f t="shared" si="92"/>
        <v>0</v>
      </c>
      <c r="L245" s="52">
        <f t="shared" si="92"/>
        <v>0</v>
      </c>
      <c r="M245" s="1">
        <f t="shared" si="92"/>
        <v>0</v>
      </c>
      <c r="N245" s="1">
        <f t="shared" si="92"/>
        <v>0</v>
      </c>
      <c r="O245" s="1">
        <f t="shared" si="92"/>
        <v>0</v>
      </c>
      <c r="P245" s="1">
        <f t="shared" si="92"/>
        <v>0</v>
      </c>
      <c r="Q245" s="1">
        <f t="shared" si="92"/>
        <v>0</v>
      </c>
      <c r="R245" s="1">
        <f t="shared" si="92"/>
        <v>0</v>
      </c>
      <c r="S245" s="1">
        <f t="shared" si="92"/>
        <v>0</v>
      </c>
      <c r="T245" s="1">
        <f t="shared" si="92"/>
        <v>0</v>
      </c>
      <c r="U245" s="1">
        <f t="shared" si="92"/>
        <v>0</v>
      </c>
      <c r="V245" s="1">
        <f t="shared" si="92"/>
        <v>0</v>
      </c>
      <c r="W245" s="1">
        <f t="shared" si="92"/>
        <v>0</v>
      </c>
      <c r="X245" s="54">
        <f t="shared" si="92"/>
        <v>0</v>
      </c>
      <c r="Y245" s="58">
        <f t="shared" si="92"/>
        <v>0</v>
      </c>
      <c r="Z245" s="1">
        <f t="shared" si="92"/>
        <v>0</v>
      </c>
      <c r="AA245" s="1">
        <f t="shared" si="92"/>
        <v>0</v>
      </c>
    </row>
    <row r="246" spans="1:29" x14ac:dyDescent="0.25">
      <c r="A246" s="28" t="s">
        <v>60</v>
      </c>
      <c r="B246" s="29" t="s">
        <v>13</v>
      </c>
      <c r="C246" s="29" t="s">
        <v>61</v>
      </c>
      <c r="D246" s="2"/>
      <c r="E246" s="2"/>
      <c r="F246" s="86">
        <f t="shared" si="92"/>
        <v>40</v>
      </c>
      <c r="G246" s="86">
        <f t="shared" si="92"/>
        <v>0</v>
      </c>
      <c r="H246" s="86">
        <f t="shared" si="92"/>
        <v>28.411764705882351</v>
      </c>
      <c r="I246" s="86">
        <f t="shared" si="92"/>
        <v>17.294117647058822</v>
      </c>
      <c r="J246" s="86">
        <f t="shared" si="92"/>
        <v>10.882352941176471</v>
      </c>
      <c r="K246" s="51">
        <f t="shared" si="92"/>
        <v>4.7058823529411766</v>
      </c>
      <c r="L246" s="52">
        <f t="shared" si="92"/>
        <v>0</v>
      </c>
      <c r="M246" s="85">
        <f t="shared" si="92"/>
        <v>11.111111111111111</v>
      </c>
      <c r="N246" s="85">
        <f t="shared" si="92"/>
        <v>2.375</v>
      </c>
      <c r="O246" s="85">
        <f t="shared" si="92"/>
        <v>6.6400000000000006</v>
      </c>
      <c r="P246" s="85">
        <f t="shared" si="92"/>
        <v>18.370666666666665</v>
      </c>
      <c r="Q246" s="85">
        <f t="shared" si="92"/>
        <v>1.1111111111111112</v>
      </c>
      <c r="R246" s="85">
        <f t="shared" si="92"/>
        <v>4.6296296296296298</v>
      </c>
      <c r="S246" s="85">
        <f t="shared" si="92"/>
        <v>0</v>
      </c>
      <c r="T246" s="85">
        <f t="shared" si="92"/>
        <v>1.1111111111111112</v>
      </c>
      <c r="U246" s="85">
        <f t="shared" si="92"/>
        <v>3.7777777777777777</v>
      </c>
      <c r="V246" s="85">
        <f t="shared" si="92"/>
        <v>0.27777777777777779</v>
      </c>
      <c r="W246" s="85">
        <f t="shared" si="92"/>
        <v>7.4074074074074083</v>
      </c>
      <c r="X246" s="87">
        <f t="shared" si="92"/>
        <v>2.2222222222222223</v>
      </c>
      <c r="Y246" s="59">
        <f t="shared" si="92"/>
        <v>0</v>
      </c>
      <c r="Z246" s="51">
        <f t="shared" si="92"/>
        <v>0</v>
      </c>
      <c r="AA246" s="51">
        <f t="shared" si="92"/>
        <v>0</v>
      </c>
    </row>
    <row r="247" spans="1:29" x14ac:dyDescent="0.25">
      <c r="A247" s="36" t="s">
        <v>60</v>
      </c>
      <c r="B247" s="37" t="s">
        <v>13</v>
      </c>
      <c r="C247" s="29" t="s">
        <v>62</v>
      </c>
      <c r="D247" s="2"/>
      <c r="E247" s="2"/>
      <c r="F247" s="86">
        <f t="shared" si="92"/>
        <v>10</v>
      </c>
      <c r="G247" s="86">
        <f t="shared" si="92"/>
        <v>30.303030303030301</v>
      </c>
      <c r="H247" s="86">
        <f t="shared" si="92"/>
        <v>27.235294117647058</v>
      </c>
      <c r="I247" s="51">
        <f t="shared" si="92"/>
        <v>0</v>
      </c>
      <c r="J247" s="51">
        <f t="shared" si="92"/>
        <v>0</v>
      </c>
      <c r="K247" s="51">
        <f t="shared" si="92"/>
        <v>0</v>
      </c>
      <c r="L247" s="52">
        <f t="shared" si="92"/>
        <v>0</v>
      </c>
      <c r="M247" s="51">
        <f t="shared" si="92"/>
        <v>0</v>
      </c>
      <c r="N247" s="51">
        <f t="shared" si="92"/>
        <v>0</v>
      </c>
      <c r="O247" s="51">
        <f t="shared" si="92"/>
        <v>0</v>
      </c>
      <c r="P247" s="85">
        <f>IF(P292&gt;0,P22/P292,0)</f>
        <v>18.370666666666665</v>
      </c>
      <c r="Q247" s="51">
        <f t="shared" si="92"/>
        <v>0</v>
      </c>
      <c r="R247" s="51">
        <f t="shared" si="92"/>
        <v>0</v>
      </c>
      <c r="S247" s="51">
        <f t="shared" si="92"/>
        <v>0</v>
      </c>
      <c r="T247" s="51">
        <f t="shared" si="92"/>
        <v>0</v>
      </c>
      <c r="U247" s="51">
        <f t="shared" si="92"/>
        <v>0</v>
      </c>
      <c r="V247" s="51">
        <f t="shared" si="92"/>
        <v>0</v>
      </c>
      <c r="W247" s="51">
        <f t="shared" si="92"/>
        <v>0</v>
      </c>
      <c r="X247" s="55">
        <f t="shared" si="92"/>
        <v>0</v>
      </c>
      <c r="Y247" s="59">
        <f t="shared" si="92"/>
        <v>0</v>
      </c>
      <c r="Z247" s="51">
        <f t="shared" si="92"/>
        <v>0</v>
      </c>
      <c r="AA247" s="51">
        <f t="shared" si="92"/>
        <v>0</v>
      </c>
    </row>
    <row r="248" spans="1:29" x14ac:dyDescent="0.25">
      <c r="A248" s="30" t="s">
        <v>60</v>
      </c>
      <c r="B248" s="31" t="s">
        <v>13</v>
      </c>
      <c r="C248" s="32" t="s">
        <v>63</v>
      </c>
      <c r="D248" s="2"/>
      <c r="E248" s="2"/>
      <c r="F248" s="51">
        <f t="shared" si="92"/>
        <v>0</v>
      </c>
      <c r="G248" s="51">
        <f t="shared" si="92"/>
        <v>0</v>
      </c>
      <c r="H248" s="51">
        <f t="shared" si="92"/>
        <v>0</v>
      </c>
      <c r="I248" s="51">
        <f t="shared" si="92"/>
        <v>0</v>
      </c>
      <c r="J248" s="51">
        <f t="shared" si="92"/>
        <v>0</v>
      </c>
      <c r="K248" s="51">
        <f t="shared" si="92"/>
        <v>0</v>
      </c>
      <c r="L248" s="52">
        <f t="shared" si="92"/>
        <v>0</v>
      </c>
      <c r="M248" s="51">
        <f t="shared" si="92"/>
        <v>0</v>
      </c>
      <c r="N248" s="51">
        <f t="shared" si="92"/>
        <v>0</v>
      </c>
      <c r="O248" s="51">
        <f t="shared" si="92"/>
        <v>0</v>
      </c>
      <c r="P248" s="51">
        <f t="shared" si="92"/>
        <v>0</v>
      </c>
      <c r="Q248" s="51">
        <f t="shared" si="92"/>
        <v>0</v>
      </c>
      <c r="R248" s="51">
        <f t="shared" si="92"/>
        <v>0</v>
      </c>
      <c r="S248" s="51">
        <f t="shared" si="92"/>
        <v>0</v>
      </c>
      <c r="T248" s="51">
        <f t="shared" si="92"/>
        <v>0</v>
      </c>
      <c r="U248" s="51">
        <f t="shared" si="92"/>
        <v>0</v>
      </c>
      <c r="V248" s="51">
        <f t="shared" si="92"/>
        <v>0</v>
      </c>
      <c r="W248" s="51">
        <f t="shared" si="92"/>
        <v>0</v>
      </c>
      <c r="X248" s="55">
        <f t="shared" si="92"/>
        <v>0</v>
      </c>
      <c r="Y248" s="59">
        <f t="shared" si="92"/>
        <v>0</v>
      </c>
      <c r="Z248" s="51">
        <f t="shared" si="92"/>
        <v>0</v>
      </c>
      <c r="AA248" s="51">
        <f t="shared" si="92"/>
        <v>0</v>
      </c>
    </row>
    <row r="249" spans="1:29" x14ac:dyDescent="0.25">
      <c r="A249" s="30" t="s">
        <v>60</v>
      </c>
      <c r="B249" s="32" t="s">
        <v>23</v>
      </c>
      <c r="C249" s="31" t="s">
        <v>50</v>
      </c>
      <c r="D249" s="2"/>
      <c r="E249" s="2"/>
      <c r="F249" s="51">
        <f t="shared" si="92"/>
        <v>0</v>
      </c>
      <c r="G249" s="51">
        <f t="shared" si="92"/>
        <v>0</v>
      </c>
      <c r="H249" s="51">
        <f t="shared" si="92"/>
        <v>0</v>
      </c>
      <c r="I249" s="51">
        <f t="shared" si="92"/>
        <v>0</v>
      </c>
      <c r="J249" s="86">
        <f t="shared" si="92"/>
        <v>0.2846153846153846</v>
      </c>
      <c r="K249" s="51">
        <f t="shared" si="92"/>
        <v>27.142857142857142</v>
      </c>
      <c r="L249" s="52">
        <f t="shared" si="92"/>
        <v>0</v>
      </c>
      <c r="M249" s="51">
        <f t="shared" si="92"/>
        <v>0</v>
      </c>
      <c r="N249" s="86">
        <f t="shared" si="92"/>
        <v>27.692307692307693</v>
      </c>
      <c r="O249" s="51">
        <f t="shared" si="92"/>
        <v>0</v>
      </c>
      <c r="P249" s="51">
        <f t="shared" si="92"/>
        <v>0</v>
      </c>
      <c r="Q249" s="51">
        <f t="shared" si="92"/>
        <v>0</v>
      </c>
      <c r="R249" s="51">
        <f t="shared" si="92"/>
        <v>0</v>
      </c>
      <c r="S249" s="51">
        <f t="shared" si="92"/>
        <v>0</v>
      </c>
      <c r="T249" s="51">
        <f t="shared" si="92"/>
        <v>0</v>
      </c>
      <c r="U249" s="51">
        <f t="shared" si="92"/>
        <v>0</v>
      </c>
      <c r="V249" s="51">
        <f t="shared" si="92"/>
        <v>0</v>
      </c>
      <c r="W249" s="51">
        <f t="shared" si="92"/>
        <v>0</v>
      </c>
      <c r="X249" s="55">
        <f t="shared" si="92"/>
        <v>0</v>
      </c>
      <c r="Y249" s="59">
        <f t="shared" si="92"/>
        <v>0</v>
      </c>
      <c r="Z249" s="51">
        <f t="shared" si="92"/>
        <v>0</v>
      </c>
      <c r="AA249" s="51">
        <f t="shared" si="92"/>
        <v>0</v>
      </c>
    </row>
    <row r="250" spans="1:29" x14ac:dyDescent="0.25">
      <c r="A250" s="30" t="s">
        <v>60</v>
      </c>
      <c r="B250" s="32" t="s">
        <v>23</v>
      </c>
      <c r="C250" s="31" t="s">
        <v>49</v>
      </c>
      <c r="D250" s="2"/>
      <c r="E250" s="2"/>
      <c r="F250" s="51">
        <f t="shared" si="92"/>
        <v>0</v>
      </c>
      <c r="G250" s="51">
        <f t="shared" si="92"/>
        <v>0</v>
      </c>
      <c r="H250" s="51">
        <f t="shared" si="92"/>
        <v>0</v>
      </c>
      <c r="I250" s="51">
        <f t="shared" si="92"/>
        <v>0</v>
      </c>
      <c r="J250" s="86">
        <f t="shared" si="92"/>
        <v>36.666666666666664</v>
      </c>
      <c r="K250" s="51">
        <f t="shared" si="92"/>
        <v>9.8000000000000007</v>
      </c>
      <c r="L250" s="52">
        <f t="shared" si="92"/>
        <v>0</v>
      </c>
      <c r="M250" s="51">
        <f t="shared" si="92"/>
        <v>0</v>
      </c>
      <c r="N250" s="51">
        <f t="shared" si="92"/>
        <v>0</v>
      </c>
      <c r="O250" s="51">
        <f t="shared" si="92"/>
        <v>0</v>
      </c>
      <c r="P250" s="51">
        <f t="shared" si="92"/>
        <v>0</v>
      </c>
      <c r="Q250" s="51">
        <f t="shared" si="92"/>
        <v>0</v>
      </c>
      <c r="R250" s="51">
        <f t="shared" si="92"/>
        <v>0</v>
      </c>
      <c r="S250" s="51">
        <f t="shared" ref="G250:AA265" si="93">IF(S295&gt;0,S25/S295,0)</f>
        <v>5.4444444444444446</v>
      </c>
      <c r="T250" s="51">
        <f t="shared" si="93"/>
        <v>18.571428571428573</v>
      </c>
      <c r="U250" s="51">
        <f t="shared" si="93"/>
        <v>0</v>
      </c>
      <c r="V250" s="51">
        <f t="shared" si="93"/>
        <v>2.2222222222222223</v>
      </c>
      <c r="W250" s="51">
        <f t="shared" si="93"/>
        <v>0</v>
      </c>
      <c r="X250" s="95">
        <f t="shared" si="93"/>
        <v>2.2222222222222223</v>
      </c>
      <c r="Y250" s="59">
        <f t="shared" si="93"/>
        <v>0</v>
      </c>
      <c r="Z250" s="51">
        <f t="shared" si="93"/>
        <v>0</v>
      </c>
      <c r="AA250" s="51">
        <f t="shared" si="93"/>
        <v>0</v>
      </c>
      <c r="AC250" s="14">
        <f>28.5*0.26</f>
        <v>7.41</v>
      </c>
    </row>
    <row r="251" spans="1:29" x14ac:dyDescent="0.25">
      <c r="A251" s="30" t="s">
        <v>60</v>
      </c>
      <c r="B251" s="32" t="s">
        <v>23</v>
      </c>
      <c r="C251" s="31" t="s">
        <v>64</v>
      </c>
      <c r="D251" s="2"/>
      <c r="E251" s="2"/>
      <c r="F251" s="51">
        <f t="shared" ref="F251:F260" si="94">IF(F296&gt;0,F26/F296,0)</f>
        <v>0</v>
      </c>
      <c r="G251" s="51">
        <f t="shared" si="93"/>
        <v>0</v>
      </c>
      <c r="H251" s="51">
        <f t="shared" si="93"/>
        <v>0</v>
      </c>
      <c r="I251" s="51">
        <f t="shared" si="93"/>
        <v>0</v>
      </c>
      <c r="J251" s="86">
        <f t="shared" si="93"/>
        <v>0</v>
      </c>
      <c r="K251" s="51">
        <f t="shared" si="93"/>
        <v>0</v>
      </c>
      <c r="L251" s="52">
        <f t="shared" si="93"/>
        <v>0</v>
      </c>
      <c r="M251" s="51">
        <f t="shared" si="93"/>
        <v>0</v>
      </c>
      <c r="N251" s="51">
        <f t="shared" si="93"/>
        <v>0</v>
      </c>
      <c r="O251" s="51">
        <f t="shared" si="93"/>
        <v>0</v>
      </c>
      <c r="P251" s="51">
        <f t="shared" si="93"/>
        <v>0</v>
      </c>
      <c r="Q251" s="51">
        <f t="shared" si="93"/>
        <v>0</v>
      </c>
      <c r="R251" s="51">
        <f t="shared" si="93"/>
        <v>0</v>
      </c>
      <c r="S251" s="51">
        <f t="shared" si="93"/>
        <v>0</v>
      </c>
      <c r="T251" s="51">
        <f t="shared" si="93"/>
        <v>0</v>
      </c>
      <c r="U251" s="51">
        <f t="shared" si="93"/>
        <v>0</v>
      </c>
      <c r="V251" s="51">
        <f t="shared" si="93"/>
        <v>0</v>
      </c>
      <c r="W251" s="51">
        <f t="shared" si="93"/>
        <v>0</v>
      </c>
      <c r="X251" s="55">
        <f t="shared" si="93"/>
        <v>0</v>
      </c>
      <c r="Y251" s="59">
        <f t="shared" si="93"/>
        <v>0</v>
      </c>
      <c r="Z251" s="51">
        <f t="shared" si="93"/>
        <v>0</v>
      </c>
      <c r="AA251" s="51">
        <f t="shared" si="93"/>
        <v>0</v>
      </c>
    </row>
    <row r="252" spans="1:29" x14ac:dyDescent="0.25">
      <c r="A252" s="30" t="s">
        <v>60</v>
      </c>
      <c r="B252" s="32" t="s">
        <v>65</v>
      </c>
      <c r="C252" s="31" t="s">
        <v>66</v>
      </c>
      <c r="D252" s="2"/>
      <c r="E252" s="2"/>
      <c r="F252" s="51">
        <f t="shared" si="94"/>
        <v>0</v>
      </c>
      <c r="G252" s="51">
        <f t="shared" si="93"/>
        <v>0</v>
      </c>
      <c r="H252" s="51">
        <f t="shared" si="93"/>
        <v>0</v>
      </c>
      <c r="I252" s="51">
        <f t="shared" si="93"/>
        <v>0</v>
      </c>
      <c r="J252" s="86">
        <f t="shared" si="93"/>
        <v>104.16666666666667</v>
      </c>
      <c r="K252" s="51">
        <f t="shared" si="93"/>
        <v>0</v>
      </c>
      <c r="L252" s="52">
        <f t="shared" si="93"/>
        <v>0</v>
      </c>
      <c r="M252" s="73">
        <f t="shared" si="93"/>
        <v>260.41666666666669</v>
      </c>
      <c r="N252" s="51">
        <f t="shared" si="93"/>
        <v>0</v>
      </c>
      <c r="O252" s="51">
        <f t="shared" si="93"/>
        <v>0</v>
      </c>
      <c r="P252" s="51">
        <f t="shared" si="93"/>
        <v>0</v>
      </c>
      <c r="Q252" s="51">
        <f t="shared" si="93"/>
        <v>0</v>
      </c>
      <c r="R252" s="51">
        <f t="shared" si="93"/>
        <v>0</v>
      </c>
      <c r="S252" s="51">
        <f t="shared" si="93"/>
        <v>0</v>
      </c>
      <c r="T252" s="51">
        <f t="shared" si="93"/>
        <v>0</v>
      </c>
      <c r="U252" s="51">
        <f t="shared" si="93"/>
        <v>0</v>
      </c>
      <c r="V252" s="51">
        <f t="shared" si="93"/>
        <v>0</v>
      </c>
      <c r="W252" s="51">
        <f t="shared" si="93"/>
        <v>0</v>
      </c>
      <c r="X252" s="55">
        <f t="shared" si="93"/>
        <v>0</v>
      </c>
      <c r="Y252" s="59">
        <f t="shared" si="93"/>
        <v>0</v>
      </c>
      <c r="Z252" s="51">
        <f t="shared" si="93"/>
        <v>0</v>
      </c>
      <c r="AA252" s="51">
        <f t="shared" si="93"/>
        <v>0</v>
      </c>
    </row>
    <row r="253" spans="1:29" x14ac:dyDescent="0.25">
      <c r="A253" s="30" t="s">
        <v>60</v>
      </c>
      <c r="B253" s="32" t="s">
        <v>65</v>
      </c>
      <c r="C253" s="31" t="s">
        <v>67</v>
      </c>
      <c r="D253" s="2"/>
      <c r="E253" s="2"/>
      <c r="F253" s="51">
        <f t="shared" si="94"/>
        <v>0</v>
      </c>
      <c r="G253" s="51">
        <f t="shared" si="93"/>
        <v>0</v>
      </c>
      <c r="H253" s="51">
        <f t="shared" si="93"/>
        <v>0</v>
      </c>
      <c r="I253" s="51">
        <f t="shared" si="93"/>
        <v>0</v>
      </c>
      <c r="J253" s="51">
        <f t="shared" si="93"/>
        <v>0</v>
      </c>
      <c r="K253" s="51">
        <f t="shared" si="93"/>
        <v>0</v>
      </c>
      <c r="L253" s="52">
        <f t="shared" si="93"/>
        <v>0</v>
      </c>
      <c r="M253" s="51">
        <f t="shared" si="93"/>
        <v>0</v>
      </c>
      <c r="N253" s="51">
        <f t="shared" si="93"/>
        <v>0</v>
      </c>
      <c r="O253" s="51">
        <f t="shared" si="93"/>
        <v>0</v>
      </c>
      <c r="P253" s="51">
        <f t="shared" si="93"/>
        <v>0</v>
      </c>
      <c r="Q253" s="73">
        <f t="shared" si="93"/>
        <v>685.71428571428567</v>
      </c>
      <c r="R253" s="73">
        <f t="shared" si="93"/>
        <v>412.69841269841271</v>
      </c>
      <c r="S253" s="73">
        <f t="shared" si="93"/>
        <v>0</v>
      </c>
      <c r="T253" s="73">
        <f t="shared" si="93"/>
        <v>373.01587301587307</v>
      </c>
      <c r="U253" s="73">
        <f t="shared" si="93"/>
        <v>129.87012987012986</v>
      </c>
      <c r="V253" s="73">
        <f t="shared" si="93"/>
        <v>119.04761904761905</v>
      </c>
      <c r="W253" s="73">
        <f t="shared" si="93"/>
        <v>178.57142857142858</v>
      </c>
      <c r="X253" s="89">
        <f t="shared" si="93"/>
        <v>190.47619047619048</v>
      </c>
      <c r="Y253" s="59">
        <f t="shared" si="93"/>
        <v>0</v>
      </c>
      <c r="Z253" s="51">
        <f t="shared" si="93"/>
        <v>0</v>
      </c>
      <c r="AA253" s="51">
        <f t="shared" si="93"/>
        <v>0</v>
      </c>
    </row>
    <row r="254" spans="1:29" x14ac:dyDescent="0.25">
      <c r="A254" s="30" t="s">
        <v>60</v>
      </c>
      <c r="B254" s="32" t="s">
        <v>65</v>
      </c>
      <c r="C254" s="31" t="s">
        <v>68</v>
      </c>
      <c r="D254" s="2"/>
      <c r="E254" s="2"/>
      <c r="F254" s="51">
        <f t="shared" si="94"/>
        <v>0</v>
      </c>
      <c r="G254" s="51">
        <f t="shared" si="93"/>
        <v>0</v>
      </c>
      <c r="H254" s="51">
        <f t="shared" si="93"/>
        <v>0</v>
      </c>
      <c r="I254" s="51">
        <f t="shared" si="93"/>
        <v>0</v>
      </c>
      <c r="J254" s="51">
        <f t="shared" si="93"/>
        <v>0</v>
      </c>
      <c r="K254" s="51">
        <f t="shared" si="93"/>
        <v>0</v>
      </c>
      <c r="L254" s="88">
        <f t="shared" si="93"/>
        <v>5555.5555555555557</v>
      </c>
      <c r="M254" s="51">
        <f t="shared" si="93"/>
        <v>0</v>
      </c>
      <c r="N254" s="51">
        <f t="shared" si="93"/>
        <v>0</v>
      </c>
      <c r="O254" s="51">
        <f t="shared" si="93"/>
        <v>0</v>
      </c>
      <c r="P254" s="51">
        <f t="shared" si="93"/>
        <v>0</v>
      </c>
      <c r="Q254" s="51">
        <f t="shared" si="93"/>
        <v>0</v>
      </c>
      <c r="R254" s="51">
        <f t="shared" si="93"/>
        <v>0</v>
      </c>
      <c r="S254" s="51">
        <f t="shared" si="93"/>
        <v>0</v>
      </c>
      <c r="T254" s="51">
        <f t="shared" si="93"/>
        <v>0</v>
      </c>
      <c r="U254" s="51">
        <f t="shared" si="93"/>
        <v>0</v>
      </c>
      <c r="V254" s="51">
        <f t="shared" si="93"/>
        <v>0</v>
      </c>
      <c r="W254" s="51">
        <f t="shared" si="93"/>
        <v>0</v>
      </c>
      <c r="X254" s="55">
        <f t="shared" si="93"/>
        <v>0</v>
      </c>
      <c r="Y254" s="59">
        <f t="shared" si="93"/>
        <v>0</v>
      </c>
      <c r="Z254" s="51">
        <f t="shared" si="93"/>
        <v>0</v>
      </c>
      <c r="AA254" s="51">
        <f t="shared" si="93"/>
        <v>0</v>
      </c>
    </row>
    <row r="255" spans="1:29" x14ac:dyDescent="0.25">
      <c r="A255" s="30" t="s">
        <v>60</v>
      </c>
      <c r="B255" s="32" t="s">
        <v>9</v>
      </c>
      <c r="C255" s="31" t="s">
        <v>69</v>
      </c>
      <c r="D255" s="2"/>
      <c r="E255" s="2"/>
      <c r="F255" s="51">
        <f t="shared" si="94"/>
        <v>0</v>
      </c>
      <c r="G255" s="51">
        <f t="shared" si="93"/>
        <v>0</v>
      </c>
      <c r="H255" s="51">
        <f t="shared" si="93"/>
        <v>0</v>
      </c>
      <c r="I255" s="51">
        <f t="shared" si="93"/>
        <v>0</v>
      </c>
      <c r="J255" s="51">
        <f t="shared" si="93"/>
        <v>0</v>
      </c>
      <c r="K255" s="51">
        <f t="shared" si="93"/>
        <v>0</v>
      </c>
      <c r="L255" s="52">
        <f t="shared" si="93"/>
        <v>0</v>
      </c>
      <c r="M255" s="51">
        <f t="shared" si="93"/>
        <v>0</v>
      </c>
      <c r="N255" s="51">
        <f t="shared" si="93"/>
        <v>0</v>
      </c>
      <c r="O255" s="51">
        <f t="shared" si="93"/>
        <v>0</v>
      </c>
      <c r="P255" s="51">
        <f t="shared" si="93"/>
        <v>0</v>
      </c>
      <c r="Q255" s="51">
        <f t="shared" si="93"/>
        <v>0</v>
      </c>
      <c r="R255" s="51">
        <f t="shared" si="93"/>
        <v>0</v>
      </c>
      <c r="S255" s="51">
        <f t="shared" si="93"/>
        <v>0</v>
      </c>
      <c r="T255" s="51">
        <f t="shared" si="93"/>
        <v>0</v>
      </c>
      <c r="U255" s="51">
        <f t="shared" si="93"/>
        <v>0</v>
      </c>
      <c r="V255" s="51">
        <f t="shared" si="93"/>
        <v>0</v>
      </c>
      <c r="W255" s="51">
        <f t="shared" si="93"/>
        <v>0</v>
      </c>
      <c r="X255" s="89">
        <f t="shared" si="93"/>
        <v>24.801587301587301</v>
      </c>
      <c r="Y255" s="59">
        <f t="shared" si="93"/>
        <v>0</v>
      </c>
      <c r="Z255" s="51">
        <f t="shared" si="93"/>
        <v>0</v>
      </c>
      <c r="AA255" s="51">
        <f t="shared" si="93"/>
        <v>0</v>
      </c>
    </row>
    <row r="256" spans="1:29" x14ac:dyDescent="0.25">
      <c r="A256" s="15" t="s">
        <v>51</v>
      </c>
      <c r="B256" s="16" t="s">
        <v>56</v>
      </c>
      <c r="C256" s="27" t="s">
        <v>57</v>
      </c>
      <c r="D256" s="16" t="s">
        <v>70</v>
      </c>
      <c r="E256" s="16"/>
      <c r="F256" s="1">
        <f t="shared" si="94"/>
        <v>0</v>
      </c>
      <c r="G256" s="1">
        <f t="shared" si="93"/>
        <v>0</v>
      </c>
      <c r="H256" s="1">
        <f t="shared" si="93"/>
        <v>0</v>
      </c>
      <c r="I256" s="1">
        <f t="shared" si="93"/>
        <v>0</v>
      </c>
      <c r="J256" s="1">
        <f t="shared" si="93"/>
        <v>0</v>
      </c>
      <c r="K256" s="1">
        <f t="shared" si="93"/>
        <v>0</v>
      </c>
      <c r="L256" s="52">
        <f t="shared" si="93"/>
        <v>0</v>
      </c>
      <c r="M256" s="1">
        <f t="shared" si="93"/>
        <v>0</v>
      </c>
      <c r="N256" s="1">
        <f t="shared" si="93"/>
        <v>0</v>
      </c>
      <c r="O256" s="1">
        <f t="shared" si="93"/>
        <v>0</v>
      </c>
      <c r="P256" s="1">
        <f t="shared" si="93"/>
        <v>0</v>
      </c>
      <c r="Q256" s="1">
        <f t="shared" si="93"/>
        <v>0</v>
      </c>
      <c r="R256" s="1">
        <f t="shared" si="93"/>
        <v>0</v>
      </c>
      <c r="S256" s="1">
        <f t="shared" si="93"/>
        <v>0</v>
      </c>
      <c r="T256" s="1">
        <f t="shared" si="93"/>
        <v>0</v>
      </c>
      <c r="U256" s="1">
        <f t="shared" si="93"/>
        <v>0</v>
      </c>
      <c r="V256" s="1">
        <f t="shared" si="93"/>
        <v>0</v>
      </c>
      <c r="W256" s="1">
        <f t="shared" si="93"/>
        <v>0</v>
      </c>
      <c r="X256" s="54">
        <f t="shared" si="93"/>
        <v>0</v>
      </c>
      <c r="Y256" s="58">
        <f t="shared" si="93"/>
        <v>0</v>
      </c>
      <c r="Z256" s="1">
        <f t="shared" si="93"/>
        <v>0</v>
      </c>
      <c r="AA256" s="1">
        <f t="shared" si="93"/>
        <v>0</v>
      </c>
    </row>
    <row r="257" spans="1:27" x14ac:dyDescent="0.25">
      <c r="A257" s="15" t="s">
        <v>51</v>
      </c>
      <c r="B257" s="16" t="s">
        <v>56</v>
      </c>
      <c r="C257" s="27" t="s">
        <v>57</v>
      </c>
      <c r="D257" s="16" t="s">
        <v>71</v>
      </c>
      <c r="E257" s="16"/>
      <c r="F257" s="1">
        <f t="shared" si="94"/>
        <v>0</v>
      </c>
      <c r="G257" s="1">
        <f t="shared" si="93"/>
        <v>0</v>
      </c>
      <c r="H257" s="1">
        <f t="shared" si="93"/>
        <v>0</v>
      </c>
      <c r="I257" s="1">
        <f t="shared" si="93"/>
        <v>0</v>
      </c>
      <c r="J257" s="1">
        <f t="shared" si="93"/>
        <v>0</v>
      </c>
      <c r="K257" s="1">
        <f t="shared" si="93"/>
        <v>0</v>
      </c>
      <c r="L257" s="52">
        <f t="shared" si="93"/>
        <v>0</v>
      </c>
      <c r="M257" s="1">
        <f t="shared" si="93"/>
        <v>0</v>
      </c>
      <c r="N257" s="1">
        <f t="shared" si="93"/>
        <v>0</v>
      </c>
      <c r="O257" s="1">
        <f t="shared" si="93"/>
        <v>0</v>
      </c>
      <c r="P257" s="1">
        <f t="shared" si="93"/>
        <v>0</v>
      </c>
      <c r="Q257" s="1">
        <f t="shared" si="93"/>
        <v>0</v>
      </c>
      <c r="R257" s="1">
        <f t="shared" si="93"/>
        <v>0</v>
      </c>
      <c r="S257" s="1">
        <f t="shared" si="93"/>
        <v>0</v>
      </c>
      <c r="T257" s="1">
        <f t="shared" si="93"/>
        <v>0</v>
      </c>
      <c r="U257" s="1">
        <f t="shared" si="93"/>
        <v>0</v>
      </c>
      <c r="V257" s="1">
        <f t="shared" si="93"/>
        <v>0</v>
      </c>
      <c r="W257" s="1">
        <f t="shared" si="93"/>
        <v>0</v>
      </c>
      <c r="X257" s="54">
        <f t="shared" si="93"/>
        <v>0</v>
      </c>
      <c r="Y257" s="58">
        <f t="shared" si="93"/>
        <v>0</v>
      </c>
      <c r="Z257" s="1">
        <f t="shared" si="93"/>
        <v>0</v>
      </c>
      <c r="AA257" s="1">
        <f t="shared" si="93"/>
        <v>0</v>
      </c>
    </row>
    <row r="258" spans="1:27" x14ac:dyDescent="0.25">
      <c r="A258" s="15" t="s">
        <v>51</v>
      </c>
      <c r="B258" s="16" t="s">
        <v>56</v>
      </c>
      <c r="C258" s="27" t="s">
        <v>27</v>
      </c>
      <c r="D258" s="16" t="s">
        <v>72</v>
      </c>
      <c r="E258" s="16"/>
      <c r="F258" s="1">
        <f t="shared" si="94"/>
        <v>0</v>
      </c>
      <c r="G258" s="1">
        <f t="shared" si="93"/>
        <v>0</v>
      </c>
      <c r="H258" s="1">
        <f t="shared" si="93"/>
        <v>0</v>
      </c>
      <c r="I258" s="1">
        <f t="shared" si="93"/>
        <v>0</v>
      </c>
      <c r="J258" s="1">
        <f t="shared" si="93"/>
        <v>0</v>
      </c>
      <c r="K258" s="1">
        <f t="shared" si="93"/>
        <v>0</v>
      </c>
      <c r="L258" s="52">
        <f t="shared" si="93"/>
        <v>0</v>
      </c>
      <c r="M258" s="1">
        <f t="shared" si="93"/>
        <v>0</v>
      </c>
      <c r="N258" s="1">
        <f t="shared" si="93"/>
        <v>0</v>
      </c>
      <c r="O258" s="1">
        <f t="shared" si="93"/>
        <v>0</v>
      </c>
      <c r="P258" s="1">
        <f t="shared" si="93"/>
        <v>0</v>
      </c>
      <c r="Q258" s="1">
        <f t="shared" si="93"/>
        <v>0</v>
      </c>
      <c r="R258" s="1">
        <f t="shared" si="93"/>
        <v>0</v>
      </c>
      <c r="S258" s="1">
        <f t="shared" si="93"/>
        <v>0</v>
      </c>
      <c r="T258" s="1">
        <f t="shared" si="93"/>
        <v>0</v>
      </c>
      <c r="U258" s="1">
        <f t="shared" si="93"/>
        <v>0</v>
      </c>
      <c r="V258" s="1">
        <f t="shared" si="93"/>
        <v>0</v>
      </c>
      <c r="W258" s="1">
        <f t="shared" si="93"/>
        <v>0</v>
      </c>
      <c r="X258" s="54">
        <f t="shared" si="93"/>
        <v>0</v>
      </c>
      <c r="Y258" s="58">
        <f t="shared" si="93"/>
        <v>0</v>
      </c>
      <c r="Z258" s="1">
        <f t="shared" si="93"/>
        <v>0</v>
      </c>
      <c r="AA258" s="1">
        <f t="shared" si="93"/>
        <v>0</v>
      </c>
    </row>
    <row r="259" spans="1:27" x14ac:dyDescent="0.25">
      <c r="A259" s="15" t="s">
        <v>51</v>
      </c>
      <c r="B259" s="16" t="s">
        <v>56</v>
      </c>
      <c r="C259" s="27" t="s">
        <v>57</v>
      </c>
      <c r="D259" s="16" t="s">
        <v>73</v>
      </c>
      <c r="E259" s="16"/>
      <c r="F259" s="1">
        <f t="shared" si="94"/>
        <v>0</v>
      </c>
      <c r="G259" s="1">
        <f t="shared" si="93"/>
        <v>0</v>
      </c>
      <c r="H259" s="1">
        <f t="shared" si="93"/>
        <v>0</v>
      </c>
      <c r="I259" s="1">
        <f t="shared" si="93"/>
        <v>0</v>
      </c>
      <c r="J259" s="1">
        <f t="shared" si="93"/>
        <v>0</v>
      </c>
      <c r="K259" s="1">
        <f t="shared" si="93"/>
        <v>0</v>
      </c>
      <c r="L259" s="52">
        <f t="shared" si="93"/>
        <v>0</v>
      </c>
      <c r="M259" s="1">
        <f t="shared" si="93"/>
        <v>0</v>
      </c>
      <c r="N259" s="1">
        <f t="shared" si="93"/>
        <v>0</v>
      </c>
      <c r="O259" s="1">
        <f t="shared" si="93"/>
        <v>0</v>
      </c>
      <c r="P259" s="1">
        <f t="shared" si="93"/>
        <v>0</v>
      </c>
      <c r="Q259" s="1">
        <f t="shared" si="93"/>
        <v>0</v>
      </c>
      <c r="R259" s="1">
        <f t="shared" si="93"/>
        <v>0</v>
      </c>
      <c r="S259" s="1">
        <f t="shared" si="93"/>
        <v>0</v>
      </c>
      <c r="T259" s="1">
        <f t="shared" si="93"/>
        <v>0</v>
      </c>
      <c r="U259" s="1">
        <f t="shared" si="93"/>
        <v>0</v>
      </c>
      <c r="V259" s="1">
        <f t="shared" si="93"/>
        <v>0</v>
      </c>
      <c r="W259" s="1">
        <f t="shared" si="93"/>
        <v>0</v>
      </c>
      <c r="X259" s="54">
        <f t="shared" si="93"/>
        <v>0</v>
      </c>
      <c r="Y259" s="58">
        <f t="shared" si="93"/>
        <v>0</v>
      </c>
      <c r="Z259" s="1">
        <f t="shared" si="93"/>
        <v>0</v>
      </c>
      <c r="AA259" s="1">
        <f t="shared" si="93"/>
        <v>0</v>
      </c>
    </row>
    <row r="260" spans="1:27" x14ac:dyDescent="0.25">
      <c r="A260" s="15" t="s">
        <v>51</v>
      </c>
      <c r="B260" s="16" t="s">
        <v>56</v>
      </c>
      <c r="C260" s="27" t="s">
        <v>57</v>
      </c>
      <c r="D260" s="16" t="s">
        <v>74</v>
      </c>
      <c r="E260" s="16"/>
      <c r="F260" s="1">
        <f t="shared" si="94"/>
        <v>0</v>
      </c>
      <c r="G260" s="1">
        <f t="shared" si="93"/>
        <v>0</v>
      </c>
      <c r="H260" s="1">
        <f t="shared" si="93"/>
        <v>0</v>
      </c>
      <c r="I260" s="1">
        <f t="shared" si="93"/>
        <v>0</v>
      </c>
      <c r="J260" s="1">
        <f t="shared" si="93"/>
        <v>0</v>
      </c>
      <c r="K260" s="1">
        <f t="shared" si="93"/>
        <v>0</v>
      </c>
      <c r="L260" s="52">
        <f t="shared" si="93"/>
        <v>0</v>
      </c>
      <c r="M260" s="1">
        <f t="shared" si="93"/>
        <v>0</v>
      </c>
      <c r="N260" s="1">
        <f t="shared" si="93"/>
        <v>0</v>
      </c>
      <c r="O260" s="1">
        <f t="shared" si="93"/>
        <v>0</v>
      </c>
      <c r="P260" s="1">
        <f t="shared" si="93"/>
        <v>0</v>
      </c>
      <c r="Q260" s="1">
        <f t="shared" si="93"/>
        <v>0</v>
      </c>
      <c r="R260" s="1">
        <f t="shared" si="93"/>
        <v>0</v>
      </c>
      <c r="S260" s="1">
        <f t="shared" si="93"/>
        <v>0</v>
      </c>
      <c r="T260" s="1">
        <f t="shared" si="93"/>
        <v>0</v>
      </c>
      <c r="U260" s="1">
        <f t="shared" si="93"/>
        <v>0</v>
      </c>
      <c r="V260" s="1">
        <f t="shared" si="93"/>
        <v>0</v>
      </c>
      <c r="W260" s="1">
        <f t="shared" si="93"/>
        <v>0</v>
      </c>
      <c r="X260" s="54">
        <f t="shared" si="93"/>
        <v>0</v>
      </c>
      <c r="Y260" s="58">
        <f t="shared" si="93"/>
        <v>0</v>
      </c>
      <c r="Z260" s="1">
        <f t="shared" si="93"/>
        <v>0</v>
      </c>
      <c r="AA260" s="1">
        <f t="shared" si="93"/>
        <v>0</v>
      </c>
    </row>
    <row r="261" spans="1:27" x14ac:dyDescent="0.25">
      <c r="A261" s="30" t="s">
        <v>60</v>
      </c>
      <c r="B261" s="31" t="s">
        <v>13</v>
      </c>
      <c r="C261" s="32" t="s">
        <v>61</v>
      </c>
      <c r="D261" s="31" t="s">
        <v>75</v>
      </c>
      <c r="E261" s="31"/>
      <c r="F261" s="51">
        <f>F246*0.5</f>
        <v>20</v>
      </c>
      <c r="G261" s="51">
        <v>0</v>
      </c>
      <c r="H261" s="51">
        <f>H246</f>
        <v>28.411764705882351</v>
      </c>
      <c r="I261" s="51">
        <f>I246*0.1</f>
        <v>1.7294117647058824</v>
      </c>
      <c r="J261" s="51">
        <v>0</v>
      </c>
      <c r="K261" s="51">
        <v>0</v>
      </c>
      <c r="L261" s="52">
        <v>0</v>
      </c>
      <c r="M261" s="51">
        <f>M246*0.1</f>
        <v>1.1111111111111112</v>
      </c>
      <c r="N261" s="51">
        <v>0</v>
      </c>
      <c r="O261" s="51">
        <v>0</v>
      </c>
      <c r="P261" s="51">
        <v>0</v>
      </c>
      <c r="Q261" s="51"/>
      <c r="R261" s="51"/>
      <c r="S261" s="51"/>
      <c r="T261" s="51"/>
      <c r="U261" s="51"/>
      <c r="V261" s="51"/>
      <c r="W261" s="51">
        <f>W246</f>
        <v>7.4074074074074083</v>
      </c>
      <c r="X261" s="55"/>
      <c r="Y261" s="59">
        <f t="shared" si="93"/>
        <v>0</v>
      </c>
      <c r="Z261" s="51">
        <f t="shared" si="93"/>
        <v>0</v>
      </c>
      <c r="AA261" s="51">
        <f t="shared" si="93"/>
        <v>0</v>
      </c>
    </row>
    <row r="262" spans="1:27" x14ac:dyDescent="0.25">
      <c r="A262" s="30" t="s">
        <v>60</v>
      </c>
      <c r="B262" s="31" t="s">
        <v>13</v>
      </c>
      <c r="C262" s="32" t="s">
        <v>61</v>
      </c>
      <c r="D262" s="31" t="s">
        <v>76</v>
      </c>
      <c r="E262" s="31"/>
      <c r="F262" s="51">
        <f>F246*0.5</f>
        <v>20</v>
      </c>
      <c r="G262" s="51">
        <v>0</v>
      </c>
      <c r="H262" s="51">
        <v>0</v>
      </c>
      <c r="I262" s="51">
        <f>I246*0.7</f>
        <v>12.105882352941174</v>
      </c>
      <c r="J262" s="51">
        <f>J246</f>
        <v>10.882352941176471</v>
      </c>
      <c r="K262" s="51">
        <f>K246*0.2</f>
        <v>0.94117647058823539</v>
      </c>
      <c r="L262" s="52">
        <v>0</v>
      </c>
      <c r="M262" s="51">
        <f>M246*0.3</f>
        <v>3.333333333333333</v>
      </c>
      <c r="N262" s="51">
        <f>N246</f>
        <v>2.375</v>
      </c>
      <c r="O262" s="51">
        <f>O246*0.9</f>
        <v>5.9760000000000009</v>
      </c>
      <c r="P262" s="51">
        <f>P246*0.05</f>
        <v>0.91853333333333331</v>
      </c>
      <c r="Q262" s="51"/>
      <c r="R262" s="85">
        <f>R246</f>
        <v>4.6296296296296298</v>
      </c>
      <c r="S262" s="51"/>
      <c r="T262" s="51"/>
      <c r="U262" s="51"/>
      <c r="V262" s="51"/>
      <c r="W262" s="51"/>
      <c r="X262" s="55"/>
      <c r="Y262" s="59">
        <f t="shared" si="93"/>
        <v>0</v>
      </c>
      <c r="Z262" s="51">
        <f t="shared" si="93"/>
        <v>0</v>
      </c>
      <c r="AA262" s="51">
        <f t="shared" si="93"/>
        <v>0</v>
      </c>
    </row>
    <row r="263" spans="1:27" x14ac:dyDescent="0.25">
      <c r="A263" s="30" t="s">
        <v>60</v>
      </c>
      <c r="B263" s="31" t="s">
        <v>13</v>
      </c>
      <c r="C263" s="32" t="s">
        <v>61</v>
      </c>
      <c r="D263" s="31" t="s">
        <v>77</v>
      </c>
      <c r="E263" s="31"/>
      <c r="F263" s="51">
        <v>0</v>
      </c>
      <c r="G263" s="51">
        <v>0</v>
      </c>
      <c r="H263" s="51">
        <v>0</v>
      </c>
      <c r="I263" s="51">
        <v>0</v>
      </c>
      <c r="J263" s="51">
        <v>0</v>
      </c>
      <c r="K263" s="51">
        <f>K246*0.4</f>
        <v>1.8823529411764708</v>
      </c>
      <c r="L263" s="52">
        <v>0</v>
      </c>
      <c r="M263" s="51">
        <f>M246*0.5</f>
        <v>5.5555555555555554</v>
      </c>
      <c r="N263" s="51">
        <v>0</v>
      </c>
      <c r="O263" s="51">
        <v>0</v>
      </c>
      <c r="P263" s="51">
        <v>0</v>
      </c>
      <c r="Q263" s="51"/>
      <c r="R263" s="51"/>
      <c r="S263" s="51"/>
      <c r="T263" s="51">
        <f>T246</f>
        <v>1.1111111111111112</v>
      </c>
      <c r="U263" s="51">
        <f>U246</f>
        <v>3.7777777777777777</v>
      </c>
      <c r="V263" s="51"/>
      <c r="W263" s="51"/>
      <c r="X263" s="55"/>
      <c r="Y263" s="59">
        <f t="shared" si="93"/>
        <v>0</v>
      </c>
      <c r="Z263" s="51">
        <f t="shared" si="93"/>
        <v>0</v>
      </c>
      <c r="AA263" s="51">
        <f t="shared" si="93"/>
        <v>0</v>
      </c>
    </row>
    <row r="264" spans="1:27" x14ac:dyDescent="0.25">
      <c r="A264" s="30" t="s">
        <v>60</v>
      </c>
      <c r="B264" s="31" t="s">
        <v>13</v>
      </c>
      <c r="C264" s="32" t="s">
        <v>61</v>
      </c>
      <c r="D264" s="31" t="s">
        <v>78</v>
      </c>
      <c r="E264" s="31"/>
      <c r="F264" s="51">
        <v>0</v>
      </c>
      <c r="G264" s="51">
        <v>0</v>
      </c>
      <c r="H264" s="51">
        <v>0</v>
      </c>
      <c r="I264" s="51">
        <f>I246*0.2</f>
        <v>3.4588235294117649</v>
      </c>
      <c r="J264" s="51">
        <v>0</v>
      </c>
      <c r="K264" s="51">
        <f>K246*0.4</f>
        <v>1.8823529411764708</v>
      </c>
      <c r="L264" s="52">
        <v>0</v>
      </c>
      <c r="M264" s="51">
        <f>M246*0.1</f>
        <v>1.1111111111111112</v>
      </c>
      <c r="N264" s="51">
        <v>0</v>
      </c>
      <c r="O264" s="51">
        <f>O246*0.1</f>
        <v>0.66400000000000015</v>
      </c>
      <c r="P264" s="51">
        <f>(P246)*0.95</f>
        <v>17.452133333333332</v>
      </c>
      <c r="Q264" s="51">
        <f>Q246</f>
        <v>1.1111111111111112</v>
      </c>
      <c r="R264" s="51"/>
      <c r="S264" s="51"/>
      <c r="T264" s="51"/>
      <c r="U264" s="51"/>
      <c r="V264" s="51"/>
      <c r="W264" s="51"/>
      <c r="X264" s="55">
        <f>X246</f>
        <v>2.2222222222222223</v>
      </c>
      <c r="Y264" s="59">
        <f t="shared" si="93"/>
        <v>0</v>
      </c>
      <c r="Z264" s="51">
        <f t="shared" si="93"/>
        <v>0</v>
      </c>
      <c r="AA264" s="51">
        <f t="shared" si="93"/>
        <v>0</v>
      </c>
    </row>
    <row r="265" spans="1:27" ht="15.75" thickBot="1" x14ac:dyDescent="0.3">
      <c r="A265" s="33" t="s">
        <v>60</v>
      </c>
      <c r="B265" s="34" t="s">
        <v>13</v>
      </c>
      <c r="C265" s="35" t="s">
        <v>61</v>
      </c>
      <c r="D265" s="34" t="s">
        <v>79</v>
      </c>
      <c r="E265" s="31"/>
      <c r="F265" s="51">
        <v>0</v>
      </c>
      <c r="G265" s="51">
        <v>0</v>
      </c>
      <c r="H265" s="51">
        <v>0</v>
      </c>
      <c r="I265" s="51">
        <v>0</v>
      </c>
      <c r="J265" s="51">
        <v>0</v>
      </c>
      <c r="K265" s="51">
        <v>0</v>
      </c>
      <c r="L265" s="52">
        <v>0</v>
      </c>
      <c r="M265" s="51">
        <v>0</v>
      </c>
      <c r="N265" s="51">
        <v>0</v>
      </c>
      <c r="O265" s="51">
        <v>0</v>
      </c>
      <c r="P265" s="51">
        <v>0</v>
      </c>
      <c r="Q265" s="51">
        <v>0</v>
      </c>
      <c r="R265" s="51">
        <v>0</v>
      </c>
      <c r="S265" s="51">
        <v>0</v>
      </c>
      <c r="T265" s="51">
        <v>0</v>
      </c>
      <c r="U265" s="51">
        <v>0</v>
      </c>
      <c r="V265" s="51">
        <v>0</v>
      </c>
      <c r="W265" s="51">
        <v>0</v>
      </c>
      <c r="X265" s="55">
        <v>0</v>
      </c>
      <c r="Y265" s="59">
        <f t="shared" si="93"/>
        <v>0</v>
      </c>
      <c r="Z265" s="51">
        <f t="shared" si="93"/>
        <v>0</v>
      </c>
      <c r="AA265" s="51">
        <f t="shared" si="93"/>
        <v>0</v>
      </c>
    </row>
    <row r="266" spans="1:27" x14ac:dyDescent="0.25">
      <c r="A266" s="30" t="s">
        <v>60</v>
      </c>
      <c r="B266" s="31" t="s">
        <v>13</v>
      </c>
      <c r="C266" s="32" t="s">
        <v>62</v>
      </c>
      <c r="D266" s="31" t="s">
        <v>75</v>
      </c>
      <c r="E266" s="31"/>
      <c r="F266" s="51"/>
      <c r="G266" s="51">
        <f>G247*0.9</f>
        <v>27.27272727272727</v>
      </c>
      <c r="H266" s="51">
        <f>H247*0.9</f>
        <v>24.511764705882353</v>
      </c>
      <c r="I266" s="51">
        <v>0</v>
      </c>
      <c r="J266" s="51">
        <v>0</v>
      </c>
      <c r="K266" s="51">
        <v>0</v>
      </c>
      <c r="L266" s="52">
        <v>0</v>
      </c>
      <c r="M266" s="51">
        <v>0</v>
      </c>
      <c r="N266" s="51">
        <v>0</v>
      </c>
      <c r="O266" s="51">
        <v>0</v>
      </c>
      <c r="P266" s="51">
        <v>0</v>
      </c>
      <c r="Q266" s="51">
        <v>0</v>
      </c>
      <c r="R266" s="51">
        <v>0</v>
      </c>
      <c r="S266" s="51">
        <v>0</v>
      </c>
      <c r="T266" s="51">
        <v>0</v>
      </c>
      <c r="U266" s="51">
        <v>0</v>
      </c>
      <c r="V266" s="51">
        <v>0</v>
      </c>
      <c r="W266" s="51">
        <v>0</v>
      </c>
      <c r="X266" s="55">
        <v>0</v>
      </c>
      <c r="Y266" s="59">
        <f t="shared" ref="Y266:AA270" si="95">IF(Y311&gt;0,Y41/Y311,0)</f>
        <v>0</v>
      </c>
      <c r="Z266" s="51">
        <f t="shared" si="95"/>
        <v>0</v>
      </c>
      <c r="AA266" s="51">
        <f t="shared" si="95"/>
        <v>0</v>
      </c>
    </row>
    <row r="267" spans="1:27" x14ac:dyDescent="0.25">
      <c r="A267" s="30" t="s">
        <v>60</v>
      </c>
      <c r="B267" s="31" t="s">
        <v>13</v>
      </c>
      <c r="C267" s="32" t="s">
        <v>62</v>
      </c>
      <c r="D267" s="31" t="s">
        <v>76</v>
      </c>
      <c r="E267" s="31"/>
      <c r="F267" s="51">
        <f>F247</f>
        <v>10</v>
      </c>
      <c r="G267" s="51">
        <f>G247*0.1</f>
        <v>3.0303030303030303</v>
      </c>
      <c r="H267" s="51">
        <f>H247*0.1</f>
        <v>2.723529411764706</v>
      </c>
      <c r="I267" s="51">
        <v>0</v>
      </c>
      <c r="J267" s="51">
        <v>0</v>
      </c>
      <c r="K267" s="51">
        <v>0</v>
      </c>
      <c r="L267" s="52">
        <v>0</v>
      </c>
      <c r="M267" s="51">
        <v>0</v>
      </c>
      <c r="N267" s="51">
        <v>0</v>
      </c>
      <c r="O267" s="51">
        <v>0</v>
      </c>
      <c r="P267" s="51">
        <v>0</v>
      </c>
      <c r="Q267" s="51">
        <v>0</v>
      </c>
      <c r="R267" s="51">
        <v>0</v>
      </c>
      <c r="S267" s="51">
        <v>0</v>
      </c>
      <c r="T267" s="51">
        <v>0</v>
      </c>
      <c r="U267" s="51">
        <v>0</v>
      </c>
      <c r="V267" s="51">
        <v>0</v>
      </c>
      <c r="W267" s="51">
        <v>0</v>
      </c>
      <c r="X267" s="55">
        <v>0</v>
      </c>
      <c r="Y267" s="59">
        <f t="shared" si="95"/>
        <v>0</v>
      </c>
      <c r="Z267" s="51">
        <f t="shared" si="95"/>
        <v>0</v>
      </c>
      <c r="AA267" s="51">
        <f t="shared" si="95"/>
        <v>0</v>
      </c>
    </row>
    <row r="268" spans="1:27" x14ac:dyDescent="0.25">
      <c r="A268" s="30" t="s">
        <v>60</v>
      </c>
      <c r="B268" s="31" t="s">
        <v>13</v>
      </c>
      <c r="C268" s="32" t="s">
        <v>62</v>
      </c>
      <c r="D268" s="31" t="s">
        <v>77</v>
      </c>
      <c r="E268" s="31"/>
      <c r="F268" s="51">
        <v>0</v>
      </c>
      <c r="G268" s="51">
        <v>0</v>
      </c>
      <c r="H268" s="51">
        <v>0</v>
      </c>
      <c r="I268" s="51">
        <v>0</v>
      </c>
      <c r="J268" s="51">
        <v>0</v>
      </c>
      <c r="K268" s="51">
        <v>0</v>
      </c>
      <c r="L268" s="52">
        <v>0</v>
      </c>
      <c r="M268" s="51">
        <v>0</v>
      </c>
      <c r="N268" s="51">
        <v>0</v>
      </c>
      <c r="O268" s="51">
        <v>0</v>
      </c>
      <c r="P268" s="51">
        <v>0</v>
      </c>
      <c r="Q268" s="51">
        <v>0</v>
      </c>
      <c r="R268" s="51">
        <v>0</v>
      </c>
      <c r="S268" s="51">
        <v>0</v>
      </c>
      <c r="T268" s="51">
        <v>0</v>
      </c>
      <c r="U268" s="51">
        <v>0</v>
      </c>
      <c r="V268" s="51">
        <v>0</v>
      </c>
      <c r="W268" s="51">
        <v>0</v>
      </c>
      <c r="X268" s="55">
        <v>0</v>
      </c>
      <c r="Y268" s="59">
        <f t="shared" si="95"/>
        <v>0</v>
      </c>
      <c r="Z268" s="51">
        <f t="shared" si="95"/>
        <v>0</v>
      </c>
      <c r="AA268" s="51">
        <f t="shared" si="95"/>
        <v>0</v>
      </c>
    </row>
    <row r="269" spans="1:27" x14ac:dyDescent="0.25">
      <c r="A269" s="30" t="s">
        <v>60</v>
      </c>
      <c r="B269" s="31" t="s">
        <v>13</v>
      </c>
      <c r="C269" s="32" t="s">
        <v>62</v>
      </c>
      <c r="D269" s="31" t="s">
        <v>78</v>
      </c>
      <c r="E269" s="31"/>
      <c r="F269" s="51">
        <v>0</v>
      </c>
      <c r="G269" s="51">
        <v>0</v>
      </c>
      <c r="H269" s="51">
        <v>0</v>
      </c>
      <c r="I269" s="51">
        <v>0</v>
      </c>
      <c r="J269" s="51">
        <v>0</v>
      </c>
      <c r="K269" s="51">
        <v>0</v>
      </c>
      <c r="L269" s="52">
        <v>0</v>
      </c>
      <c r="M269" s="51">
        <v>0</v>
      </c>
      <c r="N269" s="51">
        <v>0</v>
      </c>
      <c r="O269" s="51">
        <v>0</v>
      </c>
      <c r="P269" s="85">
        <f>P247</f>
        <v>18.370666666666665</v>
      </c>
      <c r="Q269" s="51">
        <v>0</v>
      </c>
      <c r="R269" s="51">
        <v>0</v>
      </c>
      <c r="S269" s="51">
        <v>0</v>
      </c>
      <c r="T269" s="51">
        <v>0</v>
      </c>
      <c r="U269" s="51">
        <v>0</v>
      </c>
      <c r="V269" s="51">
        <v>0</v>
      </c>
      <c r="W269" s="51">
        <v>0</v>
      </c>
      <c r="X269" s="55">
        <v>0</v>
      </c>
      <c r="Y269" s="59">
        <f t="shared" si="95"/>
        <v>0</v>
      </c>
      <c r="Z269" s="51">
        <f t="shared" si="95"/>
        <v>0</v>
      </c>
      <c r="AA269" s="51">
        <f t="shared" si="95"/>
        <v>0</v>
      </c>
    </row>
    <row r="270" spans="1:27" ht="15.75" thickBot="1" x14ac:dyDescent="0.3">
      <c r="A270" s="33" t="s">
        <v>60</v>
      </c>
      <c r="B270" s="34" t="s">
        <v>13</v>
      </c>
      <c r="C270" s="32" t="s">
        <v>62</v>
      </c>
      <c r="D270" s="34" t="s">
        <v>79</v>
      </c>
      <c r="E270" s="31"/>
      <c r="F270" s="51">
        <v>0</v>
      </c>
      <c r="G270" s="51">
        <v>0</v>
      </c>
      <c r="H270" s="51">
        <v>0</v>
      </c>
      <c r="I270" s="51">
        <v>0</v>
      </c>
      <c r="J270" s="51">
        <v>0</v>
      </c>
      <c r="K270" s="51">
        <v>0</v>
      </c>
      <c r="L270" s="52">
        <v>0</v>
      </c>
      <c r="M270" s="51">
        <v>0</v>
      </c>
      <c r="N270" s="51">
        <v>0</v>
      </c>
      <c r="O270" s="51">
        <v>0</v>
      </c>
      <c r="P270" s="51">
        <v>0</v>
      </c>
      <c r="Q270" s="51">
        <v>0</v>
      </c>
      <c r="R270" s="51">
        <v>0</v>
      </c>
      <c r="S270" s="51">
        <v>0</v>
      </c>
      <c r="T270" s="51">
        <v>0</v>
      </c>
      <c r="U270" s="51">
        <v>0</v>
      </c>
      <c r="V270" s="51">
        <v>0</v>
      </c>
      <c r="W270" s="51">
        <v>0</v>
      </c>
      <c r="X270" s="55">
        <v>0</v>
      </c>
      <c r="Y270" s="59">
        <f t="shared" si="95"/>
        <v>0</v>
      </c>
      <c r="Z270" s="51">
        <f t="shared" si="95"/>
        <v>0</v>
      </c>
      <c r="AA270" s="51">
        <f t="shared" si="95"/>
        <v>0</v>
      </c>
    </row>
    <row r="272" spans="1:27" x14ac:dyDescent="0.25">
      <c r="D272" s="41" t="s">
        <v>84</v>
      </c>
      <c r="E272" s="41"/>
      <c r="M272" s="24" t="s">
        <v>81</v>
      </c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</row>
    <row r="273" spans="1:27" x14ac:dyDescent="0.25">
      <c r="F273" s="23" t="s">
        <v>44</v>
      </c>
      <c r="G273" s="23"/>
      <c r="H273" s="23"/>
      <c r="I273" s="23"/>
      <c r="J273" s="23"/>
      <c r="K273" s="23"/>
      <c r="L273" s="7" t="s">
        <v>30</v>
      </c>
      <c r="M273" s="24" t="s">
        <v>46</v>
      </c>
      <c r="N273" s="24"/>
      <c r="O273" s="24"/>
      <c r="P273" s="24"/>
      <c r="Q273" s="24"/>
      <c r="R273" s="24" t="s">
        <v>47</v>
      </c>
      <c r="S273" s="24"/>
      <c r="T273" s="24"/>
      <c r="U273" s="24"/>
      <c r="V273" s="24"/>
      <c r="W273" s="24"/>
      <c r="X273" s="24"/>
      <c r="Y273" s="44" t="s">
        <v>85</v>
      </c>
      <c r="Z273" s="44" t="s">
        <v>48</v>
      </c>
      <c r="AA273" s="44" t="s">
        <v>3</v>
      </c>
    </row>
    <row r="274" spans="1:27" ht="63" x14ac:dyDescent="0.25">
      <c r="F274" s="38" t="s">
        <v>36</v>
      </c>
      <c r="G274" s="38" t="s">
        <v>37</v>
      </c>
      <c r="H274" s="38" t="s">
        <v>38</v>
      </c>
      <c r="I274" s="38" t="s">
        <v>80</v>
      </c>
      <c r="J274" s="38" t="s">
        <v>39</v>
      </c>
      <c r="K274" s="38" t="s">
        <v>45</v>
      </c>
      <c r="L274" s="39" t="s">
        <v>16</v>
      </c>
      <c r="M274" s="40" t="s">
        <v>34</v>
      </c>
      <c r="N274" s="40" t="s">
        <v>5</v>
      </c>
      <c r="O274" s="40" t="s">
        <v>7</v>
      </c>
      <c r="P274" s="40" t="s">
        <v>8</v>
      </c>
      <c r="Q274" s="40" t="s">
        <v>40</v>
      </c>
      <c r="R274" s="40" t="s">
        <v>41</v>
      </c>
      <c r="S274" s="40" t="s">
        <v>42</v>
      </c>
      <c r="T274" s="40" t="s">
        <v>31</v>
      </c>
      <c r="U274" s="40" t="s">
        <v>43</v>
      </c>
      <c r="V274" s="40" t="s">
        <v>82</v>
      </c>
      <c r="W274" s="40" t="s">
        <v>87</v>
      </c>
      <c r="X274" s="40" t="s">
        <v>83</v>
      </c>
      <c r="Y274" s="45" t="s">
        <v>3</v>
      </c>
      <c r="Z274" s="45" t="s">
        <v>86</v>
      </c>
      <c r="AA274" s="45" t="s">
        <v>3</v>
      </c>
    </row>
    <row r="275" spans="1:27" x14ac:dyDescent="0.25">
      <c r="A275" s="15" t="s">
        <v>51</v>
      </c>
      <c r="B275" s="2"/>
      <c r="C275" s="2"/>
      <c r="F275" s="1"/>
      <c r="G275" s="1"/>
      <c r="H275" s="1"/>
      <c r="I275" s="1"/>
      <c r="J275" s="1"/>
      <c r="K275" s="1"/>
      <c r="L275" s="5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54"/>
      <c r="Y275" s="58"/>
      <c r="Z275" s="1"/>
      <c r="AA275" s="1"/>
    </row>
    <row r="276" spans="1:27" x14ac:dyDescent="0.25">
      <c r="A276" s="30" t="s">
        <v>60</v>
      </c>
      <c r="B276" s="2"/>
      <c r="C276" s="2"/>
      <c r="F276" s="1"/>
      <c r="G276" s="1"/>
      <c r="H276" s="1"/>
      <c r="I276" s="1"/>
      <c r="J276" s="1"/>
      <c r="K276" s="1"/>
      <c r="L276" s="5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54"/>
      <c r="Y276" s="58"/>
      <c r="Z276" s="1"/>
      <c r="AA276" s="1"/>
    </row>
    <row r="277" spans="1:27" x14ac:dyDescent="0.25">
      <c r="A277" s="15" t="s">
        <v>51</v>
      </c>
      <c r="B277" s="16" t="s">
        <v>52</v>
      </c>
      <c r="C277" s="2"/>
      <c r="F277" s="1"/>
      <c r="G277" s="1"/>
      <c r="H277" s="1"/>
      <c r="I277" s="1"/>
      <c r="J277" s="1"/>
      <c r="K277" s="1"/>
      <c r="L277" s="5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54"/>
      <c r="Y277" s="58"/>
      <c r="Z277" s="1"/>
      <c r="AA277" s="1"/>
    </row>
    <row r="278" spans="1:27" x14ac:dyDescent="0.25">
      <c r="A278" s="15" t="s">
        <v>51</v>
      </c>
      <c r="B278" s="16" t="s">
        <v>56</v>
      </c>
      <c r="C278" s="2"/>
      <c r="F278" s="1"/>
      <c r="G278" s="1"/>
      <c r="H278" s="1"/>
      <c r="I278" s="1"/>
      <c r="J278" s="1"/>
      <c r="K278" s="1"/>
      <c r="L278" s="5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54"/>
      <c r="Y278" s="58"/>
      <c r="Z278" s="1"/>
      <c r="AA278" s="1"/>
    </row>
    <row r="279" spans="1:27" x14ac:dyDescent="0.25">
      <c r="A279" s="15" t="s">
        <v>51</v>
      </c>
      <c r="B279" s="16" t="s">
        <v>9</v>
      </c>
      <c r="C279" s="2"/>
      <c r="F279" s="1"/>
      <c r="G279" s="1"/>
      <c r="H279" s="1"/>
      <c r="I279" s="1"/>
      <c r="J279" s="1"/>
      <c r="K279" s="1"/>
      <c r="L279" s="5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54"/>
      <c r="Y279" s="58"/>
      <c r="Z279" s="1"/>
      <c r="AA279" s="1"/>
    </row>
    <row r="280" spans="1:27" x14ac:dyDescent="0.25">
      <c r="A280" s="30" t="s">
        <v>60</v>
      </c>
      <c r="B280" s="32" t="s">
        <v>13</v>
      </c>
      <c r="C280" s="2"/>
      <c r="F280" s="51"/>
      <c r="G280" s="51"/>
      <c r="H280" s="51"/>
      <c r="I280" s="51"/>
      <c r="J280" s="51"/>
      <c r="K280" s="51"/>
      <c r="L280" s="52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5"/>
      <c r="Y280" s="59"/>
      <c r="Z280" s="51"/>
      <c r="AA280" s="51"/>
    </row>
    <row r="281" spans="1:27" x14ac:dyDescent="0.25">
      <c r="A281" s="30" t="s">
        <v>60</v>
      </c>
      <c r="B281" s="31" t="s">
        <v>23</v>
      </c>
      <c r="C281" s="2"/>
      <c r="F281" s="51"/>
      <c r="G281" s="51"/>
      <c r="H281" s="51"/>
      <c r="I281" s="51"/>
      <c r="J281" s="51"/>
      <c r="K281" s="51"/>
      <c r="L281" s="52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5"/>
      <c r="Y281" s="59"/>
      <c r="Z281" s="51"/>
      <c r="AA281" s="51"/>
    </row>
    <row r="282" spans="1:27" x14ac:dyDescent="0.25">
      <c r="A282" s="30" t="s">
        <v>60</v>
      </c>
      <c r="B282" s="31" t="s">
        <v>65</v>
      </c>
      <c r="C282" s="46"/>
      <c r="F282" s="51"/>
      <c r="G282" s="51"/>
      <c r="H282" s="51"/>
      <c r="I282" s="51"/>
      <c r="J282" s="51"/>
      <c r="K282" s="51"/>
      <c r="L282" s="52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5"/>
      <c r="Y282" s="59"/>
      <c r="Z282" s="51"/>
      <c r="AA282" s="51"/>
    </row>
    <row r="283" spans="1:27" ht="15.75" thickBot="1" x14ac:dyDescent="0.3">
      <c r="A283" s="48" t="s">
        <v>60</v>
      </c>
      <c r="B283" s="49" t="s">
        <v>9</v>
      </c>
      <c r="C283" s="50"/>
      <c r="D283" s="50"/>
      <c r="E283" s="50"/>
      <c r="F283" s="53"/>
      <c r="G283" s="53"/>
      <c r="H283" s="53"/>
      <c r="I283" s="53"/>
      <c r="J283" s="53"/>
      <c r="K283" s="53"/>
      <c r="L283" s="62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6"/>
      <c r="Y283" s="60"/>
      <c r="Z283" s="53"/>
      <c r="AA283" s="53"/>
    </row>
    <row r="284" spans="1:27" ht="15.75" thickTop="1" x14ac:dyDescent="0.25">
      <c r="A284" s="15" t="s">
        <v>51</v>
      </c>
      <c r="B284" s="16" t="s">
        <v>52</v>
      </c>
      <c r="C284" s="16" t="s">
        <v>53</v>
      </c>
      <c r="D284" s="2"/>
      <c r="E284" s="2"/>
      <c r="F284" s="47"/>
      <c r="G284" s="47"/>
      <c r="H284" s="47"/>
      <c r="I284" s="47"/>
      <c r="J284" s="47"/>
      <c r="K284" s="47"/>
      <c r="L284" s="6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57"/>
      <c r="Y284" s="61"/>
      <c r="Z284" s="47"/>
      <c r="AA284" s="47"/>
    </row>
    <row r="285" spans="1:27" x14ac:dyDescent="0.25">
      <c r="A285" s="15" t="s">
        <v>51</v>
      </c>
      <c r="B285" s="16" t="s">
        <v>52</v>
      </c>
      <c r="C285" s="16" t="s">
        <v>54</v>
      </c>
      <c r="D285" s="2"/>
      <c r="E285" s="2"/>
      <c r="F285" s="1"/>
      <c r="G285" s="1"/>
      <c r="H285" s="1"/>
      <c r="I285" s="1"/>
      <c r="J285" s="1"/>
      <c r="K285" s="1"/>
      <c r="L285" s="5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54"/>
      <c r="Y285" s="58"/>
      <c r="Z285" s="1"/>
      <c r="AA285" s="1"/>
    </row>
    <row r="286" spans="1:27" x14ac:dyDescent="0.25">
      <c r="A286" s="15" t="s">
        <v>51</v>
      </c>
      <c r="B286" s="16" t="s">
        <v>52</v>
      </c>
      <c r="C286" s="16" t="s">
        <v>55</v>
      </c>
      <c r="D286" s="2"/>
      <c r="E286" s="2"/>
      <c r="F286" s="1"/>
      <c r="G286" s="1"/>
      <c r="H286" s="1"/>
      <c r="I286" s="1"/>
      <c r="J286" s="1"/>
      <c r="K286" s="1"/>
      <c r="L286" s="5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54"/>
      <c r="Y286" s="58"/>
      <c r="Z286" s="1"/>
      <c r="AA286" s="1"/>
    </row>
    <row r="287" spans="1:27" x14ac:dyDescent="0.25">
      <c r="A287" s="25" t="s">
        <v>51</v>
      </c>
      <c r="B287" s="26" t="s">
        <v>56</v>
      </c>
      <c r="C287" s="26" t="s">
        <v>57</v>
      </c>
      <c r="D287" s="2"/>
      <c r="E287" s="2"/>
      <c r="F287" s="1"/>
      <c r="G287" s="1"/>
      <c r="H287" s="1"/>
      <c r="I287" s="1"/>
      <c r="J287" s="1"/>
      <c r="K287" s="1"/>
      <c r="L287" s="5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54"/>
      <c r="Y287" s="58"/>
      <c r="Z287" s="1"/>
      <c r="AA287" s="1"/>
    </row>
    <row r="288" spans="1:27" x14ac:dyDescent="0.25">
      <c r="A288" s="15" t="s">
        <v>51</v>
      </c>
      <c r="B288" s="16" t="s">
        <v>56</v>
      </c>
      <c r="C288" s="27" t="s">
        <v>58</v>
      </c>
      <c r="D288" s="2"/>
      <c r="E288" s="2"/>
      <c r="F288" s="1"/>
      <c r="G288" s="1"/>
      <c r="H288" s="1"/>
      <c r="I288" s="1"/>
      <c r="J288" s="1"/>
      <c r="K288" s="1"/>
      <c r="L288" s="5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54"/>
      <c r="Y288" s="58"/>
      <c r="Z288" s="1"/>
      <c r="AA288" s="1"/>
    </row>
    <row r="289" spans="1:31" x14ac:dyDescent="0.25">
      <c r="A289" s="15" t="s">
        <v>51</v>
      </c>
      <c r="B289" s="16" t="s">
        <v>9</v>
      </c>
      <c r="C289" s="27" t="s">
        <v>59</v>
      </c>
      <c r="D289" s="2"/>
      <c r="E289" s="2"/>
      <c r="F289" s="1"/>
      <c r="G289" s="1"/>
      <c r="H289" s="1"/>
      <c r="I289" s="1"/>
      <c r="J289" s="1"/>
      <c r="K289" s="1"/>
      <c r="L289" s="5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54"/>
      <c r="Y289" s="58"/>
      <c r="Z289" s="1"/>
      <c r="AA289" s="1"/>
    </row>
    <row r="290" spans="1:31" x14ac:dyDescent="0.25">
      <c r="A290" s="15" t="s">
        <v>51</v>
      </c>
      <c r="B290" s="16" t="s">
        <v>9</v>
      </c>
      <c r="C290" s="27" t="s">
        <v>9</v>
      </c>
      <c r="D290" s="2"/>
      <c r="E290" s="2"/>
      <c r="F290" s="1"/>
      <c r="G290" s="1"/>
      <c r="H290" s="1"/>
      <c r="I290" s="1"/>
      <c r="J290" s="1"/>
      <c r="K290" s="1"/>
      <c r="L290" s="5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54"/>
      <c r="Y290" s="58"/>
      <c r="Z290" s="1"/>
      <c r="AA290" s="1"/>
    </row>
    <row r="291" spans="1:31" x14ac:dyDescent="0.25">
      <c r="A291" s="28" t="s">
        <v>60</v>
      </c>
      <c r="B291" s="29" t="s">
        <v>13</v>
      </c>
      <c r="C291" s="29" t="s">
        <v>61</v>
      </c>
      <c r="D291" s="2"/>
      <c r="E291" s="2"/>
      <c r="F291" s="51">
        <v>180</v>
      </c>
      <c r="G291" s="51"/>
      <c r="H291" s="51">
        <v>170</v>
      </c>
      <c r="I291" s="51">
        <v>170</v>
      </c>
      <c r="J291" s="51">
        <v>170</v>
      </c>
      <c r="K291" s="51">
        <v>170</v>
      </c>
      <c r="L291" s="52"/>
      <c r="M291" s="51">
        <v>180</v>
      </c>
      <c r="N291" s="51">
        <v>160</v>
      </c>
      <c r="O291" s="51">
        <v>180</v>
      </c>
      <c r="P291" s="51">
        <v>180</v>
      </c>
      <c r="Q291" s="51">
        <v>180</v>
      </c>
      <c r="R291" s="51">
        <v>180</v>
      </c>
      <c r="S291" s="51"/>
      <c r="T291" s="51">
        <v>180</v>
      </c>
      <c r="U291" s="51">
        <v>180</v>
      </c>
      <c r="V291" s="51">
        <v>180</v>
      </c>
      <c r="W291" s="51">
        <v>180</v>
      </c>
      <c r="X291" s="55">
        <v>180</v>
      </c>
      <c r="Y291" s="59"/>
      <c r="Z291" s="51"/>
      <c r="AA291" s="51"/>
    </row>
    <row r="292" spans="1:31" x14ac:dyDescent="0.25">
      <c r="A292" s="36" t="s">
        <v>60</v>
      </c>
      <c r="B292" s="37" t="s">
        <v>13</v>
      </c>
      <c r="C292" s="29" t="s">
        <v>62</v>
      </c>
      <c r="D292" s="2"/>
      <c r="E292" s="2"/>
      <c r="F292" s="51">
        <v>180</v>
      </c>
      <c r="G292" s="51">
        <v>180</v>
      </c>
      <c r="H292" s="51">
        <v>170</v>
      </c>
      <c r="I292" s="51"/>
      <c r="J292" s="51"/>
      <c r="K292" s="51"/>
      <c r="L292" s="52"/>
      <c r="M292" s="51"/>
      <c r="N292" s="51"/>
      <c r="O292" s="51"/>
      <c r="P292" s="51">
        <v>180</v>
      </c>
      <c r="Q292" s="51"/>
      <c r="R292" s="51"/>
      <c r="S292" s="51"/>
      <c r="T292" s="51"/>
      <c r="U292" s="51"/>
      <c r="V292" s="51"/>
      <c r="W292" s="51"/>
      <c r="X292" s="55"/>
      <c r="Y292" s="59"/>
      <c r="Z292" s="51"/>
      <c r="AA292" s="51"/>
    </row>
    <row r="293" spans="1:31" x14ac:dyDescent="0.25">
      <c r="A293" s="30" t="s">
        <v>60</v>
      </c>
      <c r="B293" s="31" t="s">
        <v>13</v>
      </c>
      <c r="C293" s="32" t="s">
        <v>63</v>
      </c>
      <c r="D293" s="2"/>
      <c r="E293" s="2"/>
      <c r="F293" s="51"/>
      <c r="G293" s="51"/>
      <c r="H293" s="51"/>
      <c r="I293" s="51"/>
      <c r="J293" s="51"/>
      <c r="K293" s="51"/>
      <c r="L293" s="52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5"/>
      <c r="Y293" s="59"/>
      <c r="Z293" s="51"/>
      <c r="AA293" s="51"/>
    </row>
    <row r="294" spans="1:31" x14ac:dyDescent="0.25">
      <c r="A294" s="30" t="s">
        <v>60</v>
      </c>
      <c r="B294" s="32" t="s">
        <v>23</v>
      </c>
      <c r="C294" s="31" t="s">
        <v>50</v>
      </c>
      <c r="D294" s="2"/>
      <c r="E294" s="2"/>
      <c r="F294" s="51">
        <v>65</v>
      </c>
      <c r="G294" s="51"/>
      <c r="H294" s="51"/>
      <c r="I294" s="51"/>
      <c r="J294" s="51">
        <v>65</v>
      </c>
      <c r="K294" s="51">
        <v>70</v>
      </c>
      <c r="L294" s="52"/>
      <c r="M294" s="51">
        <v>65</v>
      </c>
      <c r="N294" s="51">
        <v>65</v>
      </c>
      <c r="O294" s="51"/>
      <c r="P294" s="51"/>
      <c r="Q294" s="51"/>
      <c r="R294" s="51"/>
      <c r="S294" s="51"/>
      <c r="T294" s="51"/>
      <c r="U294" s="51"/>
      <c r="V294" s="51"/>
      <c r="W294" s="51"/>
      <c r="X294" s="55"/>
      <c r="Y294" s="59"/>
      <c r="Z294" s="51"/>
      <c r="AA294" s="51"/>
      <c r="AB294" t="s">
        <v>13</v>
      </c>
      <c r="AC294" t="s">
        <v>111</v>
      </c>
      <c r="AD294" t="s">
        <v>106</v>
      </c>
    </row>
    <row r="295" spans="1:31" x14ac:dyDescent="0.25">
      <c r="A295" s="30" t="s">
        <v>60</v>
      </c>
      <c r="B295" s="32" t="s">
        <v>23</v>
      </c>
      <c r="C295" s="31" t="s">
        <v>49</v>
      </c>
      <c r="D295" s="2"/>
      <c r="E295" s="2"/>
      <c r="F295" s="51"/>
      <c r="G295" s="51"/>
      <c r="H295" s="51"/>
      <c r="I295" s="51"/>
      <c r="J295" s="51">
        <v>45</v>
      </c>
      <c r="K295" s="51">
        <v>45</v>
      </c>
      <c r="L295" s="52"/>
      <c r="M295" s="51"/>
      <c r="N295" s="51"/>
      <c r="O295" s="51"/>
      <c r="P295" s="51"/>
      <c r="Q295" s="51"/>
      <c r="R295" s="51"/>
      <c r="S295" s="51">
        <v>45</v>
      </c>
      <c r="T295" s="51">
        <v>35</v>
      </c>
      <c r="U295" s="51"/>
      <c r="V295" s="51">
        <v>45</v>
      </c>
      <c r="W295" s="51"/>
      <c r="X295" s="55">
        <v>45</v>
      </c>
      <c r="Y295" s="59"/>
      <c r="Z295" s="51"/>
      <c r="AA295" s="51"/>
      <c r="AB295">
        <v>2.9</v>
      </c>
      <c r="AC295">
        <v>3.2</v>
      </c>
      <c r="AD295">
        <v>1.8</v>
      </c>
      <c r="AE295" t="s">
        <v>107</v>
      </c>
    </row>
    <row r="296" spans="1:31" x14ac:dyDescent="0.25">
      <c r="A296" s="30" t="s">
        <v>60</v>
      </c>
      <c r="B296" s="32" t="s">
        <v>23</v>
      </c>
      <c r="C296" s="31" t="s">
        <v>64</v>
      </c>
      <c r="D296" s="2"/>
      <c r="E296" s="2"/>
      <c r="F296" s="51"/>
      <c r="G296" s="51"/>
      <c r="H296" s="51"/>
      <c r="I296" s="51"/>
      <c r="J296" s="51"/>
      <c r="K296" s="51"/>
      <c r="L296" s="52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5"/>
      <c r="Y296" s="59"/>
      <c r="Z296" s="51"/>
      <c r="AA296" s="51"/>
      <c r="AB296">
        <v>3.6</v>
      </c>
      <c r="AC296">
        <v>1.2</v>
      </c>
      <c r="AD296">
        <v>1.2</v>
      </c>
      <c r="AE296" t="s">
        <v>108</v>
      </c>
    </row>
    <row r="297" spans="1:31" x14ac:dyDescent="0.25">
      <c r="A297" s="30" t="s">
        <v>60</v>
      </c>
      <c r="B297" s="32" t="s">
        <v>65</v>
      </c>
      <c r="C297" s="31" t="s">
        <v>66</v>
      </c>
      <c r="D297" s="2"/>
      <c r="E297" s="2"/>
      <c r="F297" s="51"/>
      <c r="G297" s="51"/>
      <c r="H297" s="51"/>
      <c r="I297" s="51"/>
      <c r="J297" s="51">
        <v>40</v>
      </c>
      <c r="K297" s="51"/>
      <c r="L297" s="52"/>
      <c r="M297" s="51">
        <v>40</v>
      </c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5"/>
      <c r="Y297" s="59"/>
      <c r="Z297" s="51"/>
      <c r="AA297" s="51"/>
      <c r="AB297">
        <v>65.099999999999994</v>
      </c>
      <c r="AC297">
        <v>42.7</v>
      </c>
      <c r="AD297">
        <v>42.2</v>
      </c>
      <c r="AE297" t="s">
        <v>109</v>
      </c>
    </row>
    <row r="298" spans="1:31" x14ac:dyDescent="0.25">
      <c r="A298" s="30" t="s">
        <v>60</v>
      </c>
      <c r="B298" s="32" t="s">
        <v>65</v>
      </c>
      <c r="C298" s="31" t="s">
        <v>67</v>
      </c>
      <c r="D298" s="2"/>
      <c r="E298" s="2"/>
      <c r="F298" s="51"/>
      <c r="G298" s="51"/>
      <c r="H298" s="51"/>
      <c r="I298" s="51"/>
      <c r="J298" s="51"/>
      <c r="K298" s="51"/>
      <c r="L298" s="52"/>
      <c r="M298" s="51"/>
      <c r="N298" s="51"/>
      <c r="O298" s="51"/>
      <c r="P298" s="51"/>
      <c r="Q298" s="51">
        <v>35</v>
      </c>
      <c r="R298" s="51">
        <v>35</v>
      </c>
      <c r="S298" s="51"/>
      <c r="T298" s="51">
        <v>35</v>
      </c>
      <c r="U298" s="51">
        <v>35</v>
      </c>
      <c r="V298" s="51">
        <v>35</v>
      </c>
      <c r="W298" s="51">
        <v>35</v>
      </c>
      <c r="X298" s="55">
        <v>35</v>
      </c>
      <c r="Y298" s="59"/>
      <c r="Z298" s="51"/>
      <c r="AA298" s="51"/>
      <c r="AB298">
        <v>18.2</v>
      </c>
      <c r="AC298">
        <v>22</v>
      </c>
      <c r="AD298">
        <v>22.2</v>
      </c>
      <c r="AE298" t="s">
        <v>110</v>
      </c>
    </row>
    <row r="299" spans="1:31" x14ac:dyDescent="0.25">
      <c r="A299" s="30" t="s">
        <v>60</v>
      </c>
      <c r="B299" s="32" t="s">
        <v>65</v>
      </c>
      <c r="C299" s="31" t="s">
        <v>68</v>
      </c>
      <c r="D299" s="2"/>
      <c r="E299" s="2"/>
      <c r="F299" s="51"/>
      <c r="G299" s="51"/>
      <c r="H299" s="51"/>
      <c r="I299" s="51"/>
      <c r="J299" s="51"/>
      <c r="K299" s="51"/>
      <c r="L299" s="52">
        <v>40</v>
      </c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5"/>
      <c r="Y299" s="59"/>
      <c r="Z299" s="51"/>
      <c r="AA299" s="51"/>
      <c r="AB299">
        <v>47</v>
      </c>
      <c r="AC299">
        <v>58</v>
      </c>
      <c r="AD299">
        <v>49</v>
      </c>
      <c r="AE299" t="s">
        <v>102</v>
      </c>
    </row>
    <row r="300" spans="1:31" x14ac:dyDescent="0.25">
      <c r="A300" s="30" t="s">
        <v>60</v>
      </c>
      <c r="B300" s="32" t="s">
        <v>9</v>
      </c>
      <c r="C300" s="31" t="s">
        <v>69</v>
      </c>
      <c r="D300" s="2"/>
      <c r="E300" s="2"/>
      <c r="F300" s="51"/>
      <c r="G300" s="51"/>
      <c r="H300" s="51"/>
      <c r="I300" s="51"/>
      <c r="J300" s="51"/>
      <c r="K300" s="51"/>
      <c r="L300" s="52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5">
        <v>60</v>
      </c>
      <c r="Y300" s="59"/>
      <c r="Z300" s="51"/>
      <c r="AA300" s="51"/>
      <c r="AB300">
        <f>AB295*AB296</f>
        <v>10.44</v>
      </c>
      <c r="AC300">
        <f>AC295*AC296</f>
        <v>3.84</v>
      </c>
      <c r="AD300">
        <f>AD295*AD296</f>
        <v>2.16</v>
      </c>
      <c r="AE300" t="s">
        <v>91</v>
      </c>
    </row>
    <row r="301" spans="1:31" x14ac:dyDescent="0.25">
      <c r="A301" s="15" t="s">
        <v>51</v>
      </c>
      <c r="B301" s="16" t="s">
        <v>56</v>
      </c>
      <c r="C301" s="27" t="s">
        <v>57</v>
      </c>
      <c r="D301" s="16" t="s">
        <v>70</v>
      </c>
      <c r="E301" s="16"/>
      <c r="F301" s="1"/>
      <c r="G301" s="1"/>
      <c r="H301" s="1"/>
      <c r="I301" s="1"/>
      <c r="J301" s="1"/>
      <c r="K301" s="1"/>
      <c r="L301" s="5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54"/>
      <c r="Y301" s="58"/>
      <c r="Z301" s="1"/>
      <c r="AA301" s="1"/>
      <c r="AB301">
        <f>(AB298/100)^2*AB297/100</f>
        <v>2.1563723999999999E-2</v>
      </c>
      <c r="AC301">
        <f>(AC298/100)^2*AC297/100</f>
        <v>2.0666800000000003E-2</v>
      </c>
      <c r="AD301">
        <f>(AD298/100)^2*AD297/100</f>
        <v>2.0797848000000001E-2</v>
      </c>
      <c r="AE301" t="s">
        <v>112</v>
      </c>
    </row>
    <row r="302" spans="1:31" x14ac:dyDescent="0.25">
      <c r="A302" s="15" t="s">
        <v>51</v>
      </c>
      <c r="B302" s="16" t="s">
        <v>56</v>
      </c>
      <c r="C302" s="27" t="s">
        <v>57</v>
      </c>
      <c r="D302" s="16" t="s">
        <v>71</v>
      </c>
      <c r="E302" s="16"/>
      <c r="F302" s="1"/>
      <c r="G302" s="1"/>
      <c r="H302" s="1"/>
      <c r="I302" s="1"/>
      <c r="J302" s="1"/>
      <c r="K302" s="1"/>
      <c r="L302" s="5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54"/>
      <c r="Y302" s="58"/>
      <c r="Z302" s="1"/>
      <c r="AA302" s="1"/>
      <c r="AB302">
        <f>AB300/AB299</f>
        <v>0.22212765957446806</v>
      </c>
      <c r="AC302">
        <f>AC300/AC299</f>
        <v>6.620689655172414E-2</v>
      </c>
      <c r="AD302">
        <f>AD300/AD299</f>
        <v>4.4081632653061226E-2</v>
      </c>
      <c r="AE302" t="s">
        <v>104</v>
      </c>
    </row>
    <row r="303" spans="1:31" x14ac:dyDescent="0.25">
      <c r="A303" s="15" t="s">
        <v>51</v>
      </c>
      <c r="B303" s="16" t="s">
        <v>56</v>
      </c>
      <c r="C303" s="27" t="s">
        <v>27</v>
      </c>
      <c r="D303" s="16" t="s">
        <v>72</v>
      </c>
      <c r="E303" s="16"/>
      <c r="F303" s="1"/>
      <c r="G303" s="1"/>
      <c r="H303" s="1"/>
      <c r="I303" s="1"/>
      <c r="J303" s="1"/>
      <c r="K303" s="1"/>
      <c r="L303" s="5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54"/>
      <c r="Y303" s="58"/>
      <c r="Z303" s="1"/>
      <c r="AA303" s="1"/>
      <c r="AB303">
        <f>AB300/AB301</f>
        <v>484.14643036610931</v>
      </c>
      <c r="AC303">
        <f>AC300/AC301</f>
        <v>185.8052528693363</v>
      </c>
      <c r="AD303">
        <f>AD300/AD301</f>
        <v>103.85689904070844</v>
      </c>
      <c r="AE303" t="s">
        <v>113</v>
      </c>
    </row>
    <row r="304" spans="1:31" x14ac:dyDescent="0.25">
      <c r="A304" s="15" t="s">
        <v>51</v>
      </c>
      <c r="B304" s="16" t="s">
        <v>56</v>
      </c>
      <c r="C304" s="27" t="s">
        <v>57</v>
      </c>
      <c r="D304" s="16" t="s">
        <v>73</v>
      </c>
      <c r="E304" s="16"/>
      <c r="F304" s="1"/>
      <c r="G304" s="1"/>
      <c r="H304" s="1"/>
      <c r="I304" s="1"/>
      <c r="J304" s="1"/>
      <c r="K304" s="1"/>
      <c r="L304" s="5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54"/>
      <c r="Y304" s="58"/>
      <c r="Z304" s="1"/>
      <c r="AA304" s="1"/>
    </row>
    <row r="305" spans="1:27" x14ac:dyDescent="0.25">
      <c r="A305" s="15" t="s">
        <v>51</v>
      </c>
      <c r="B305" s="16" t="s">
        <v>56</v>
      </c>
      <c r="C305" s="27" t="s">
        <v>57</v>
      </c>
      <c r="D305" s="16" t="s">
        <v>74</v>
      </c>
      <c r="E305" s="16"/>
      <c r="F305" s="1"/>
      <c r="G305" s="1"/>
      <c r="H305" s="1"/>
      <c r="I305" s="1"/>
      <c r="J305" s="1"/>
      <c r="K305" s="1"/>
      <c r="L305" s="5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54"/>
      <c r="Y305" s="58"/>
      <c r="Z305" s="1"/>
      <c r="AA305" s="1"/>
    </row>
    <row r="306" spans="1:27" x14ac:dyDescent="0.25">
      <c r="A306" s="30" t="s">
        <v>60</v>
      </c>
      <c r="B306" s="31" t="s">
        <v>13</v>
      </c>
      <c r="C306" s="32" t="s">
        <v>61</v>
      </c>
      <c r="D306" s="31" t="s">
        <v>75</v>
      </c>
      <c r="E306" s="31"/>
      <c r="F306" s="51"/>
      <c r="G306" s="51"/>
      <c r="H306" s="51"/>
      <c r="I306" s="51"/>
      <c r="J306" s="51"/>
      <c r="K306" s="51"/>
      <c r="L306" s="52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5"/>
      <c r="Y306" s="59"/>
      <c r="Z306" s="51"/>
      <c r="AA306" s="51"/>
    </row>
    <row r="307" spans="1:27" x14ac:dyDescent="0.25">
      <c r="A307" s="30" t="s">
        <v>60</v>
      </c>
      <c r="B307" s="31" t="s">
        <v>13</v>
      </c>
      <c r="C307" s="32" t="s">
        <v>61</v>
      </c>
      <c r="D307" s="31" t="s">
        <v>76</v>
      </c>
      <c r="E307" s="31"/>
      <c r="F307" s="51"/>
      <c r="G307" s="51"/>
      <c r="H307" s="51"/>
      <c r="I307" s="51"/>
      <c r="J307" s="51"/>
      <c r="K307" s="51"/>
      <c r="L307" s="52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5"/>
      <c r="Y307" s="59"/>
      <c r="Z307" s="51"/>
      <c r="AA307" s="51"/>
    </row>
    <row r="308" spans="1:27" x14ac:dyDescent="0.25">
      <c r="A308" s="30" t="s">
        <v>60</v>
      </c>
      <c r="B308" s="31" t="s">
        <v>13</v>
      </c>
      <c r="C308" s="32" t="s">
        <v>61</v>
      </c>
      <c r="D308" s="31" t="s">
        <v>77</v>
      </c>
      <c r="E308" s="31"/>
      <c r="F308" s="51"/>
      <c r="G308" s="51"/>
      <c r="H308" s="51"/>
      <c r="I308" s="51"/>
      <c r="J308" s="51"/>
      <c r="K308" s="51"/>
      <c r="L308" s="52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5"/>
      <c r="Y308" s="59"/>
      <c r="Z308" s="51"/>
      <c r="AA308" s="51"/>
    </row>
    <row r="309" spans="1:27" x14ac:dyDescent="0.25">
      <c r="A309" s="30" t="s">
        <v>60</v>
      </c>
      <c r="B309" s="31" t="s">
        <v>13</v>
      </c>
      <c r="C309" s="32" t="s">
        <v>61</v>
      </c>
      <c r="D309" s="31" t="s">
        <v>78</v>
      </c>
      <c r="E309" s="31"/>
      <c r="F309" s="51"/>
      <c r="G309" s="51"/>
      <c r="H309" s="51"/>
      <c r="I309" s="51"/>
      <c r="J309" s="51"/>
      <c r="K309" s="51"/>
      <c r="L309" s="52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5"/>
      <c r="Y309" s="59"/>
      <c r="Z309" s="51"/>
      <c r="AA309" s="51"/>
    </row>
    <row r="310" spans="1:27" ht="15.75" thickBot="1" x14ac:dyDescent="0.3">
      <c r="A310" s="33" t="s">
        <v>60</v>
      </c>
      <c r="B310" s="34" t="s">
        <v>13</v>
      </c>
      <c r="C310" s="35" t="s">
        <v>61</v>
      </c>
      <c r="D310" s="34" t="s">
        <v>79</v>
      </c>
      <c r="E310" s="31"/>
      <c r="F310" s="51"/>
      <c r="G310" s="51"/>
      <c r="H310" s="51"/>
      <c r="I310" s="51"/>
      <c r="J310" s="51"/>
      <c r="K310" s="51"/>
      <c r="L310" s="52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5"/>
      <c r="Y310" s="59"/>
      <c r="Z310" s="51"/>
      <c r="AA310" s="51"/>
    </row>
    <row r="311" spans="1:27" x14ac:dyDescent="0.25">
      <c r="A311" s="30" t="s">
        <v>60</v>
      </c>
      <c r="B311" s="31" t="s">
        <v>13</v>
      </c>
      <c r="C311" s="32" t="s">
        <v>62</v>
      </c>
      <c r="D311" s="31" t="s">
        <v>75</v>
      </c>
      <c r="E311" s="31"/>
      <c r="F311" s="51"/>
      <c r="G311" s="51"/>
      <c r="H311" s="51"/>
      <c r="I311" s="51"/>
      <c r="J311" s="51"/>
      <c r="K311" s="51"/>
      <c r="L311" s="52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5"/>
      <c r="Y311" s="59"/>
      <c r="Z311" s="51"/>
      <c r="AA311" s="51"/>
    </row>
    <row r="312" spans="1:27" x14ac:dyDescent="0.25">
      <c r="A312" s="30" t="s">
        <v>60</v>
      </c>
      <c r="B312" s="31" t="s">
        <v>13</v>
      </c>
      <c r="C312" s="32" t="s">
        <v>62</v>
      </c>
      <c r="D312" s="31" t="s">
        <v>76</v>
      </c>
      <c r="E312" s="31"/>
      <c r="F312" s="51"/>
      <c r="G312" s="51"/>
      <c r="H312" s="51"/>
      <c r="I312" s="51"/>
      <c r="J312" s="51"/>
      <c r="K312" s="51"/>
      <c r="L312" s="52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5"/>
      <c r="Y312" s="59"/>
      <c r="Z312" s="51"/>
      <c r="AA312" s="51"/>
    </row>
    <row r="313" spans="1:27" x14ac:dyDescent="0.25">
      <c r="A313" s="30" t="s">
        <v>60</v>
      </c>
      <c r="B313" s="31" t="s">
        <v>13</v>
      </c>
      <c r="C313" s="32" t="s">
        <v>62</v>
      </c>
      <c r="D313" s="31" t="s">
        <v>77</v>
      </c>
      <c r="E313" s="31"/>
      <c r="F313" s="51"/>
      <c r="G313" s="51"/>
      <c r="H313" s="51"/>
      <c r="I313" s="51"/>
      <c r="J313" s="51"/>
      <c r="K313" s="51"/>
      <c r="L313" s="52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5"/>
      <c r="Y313" s="59"/>
      <c r="Z313" s="51"/>
      <c r="AA313" s="51"/>
    </row>
    <row r="314" spans="1:27" x14ac:dyDescent="0.25">
      <c r="A314" s="30" t="s">
        <v>60</v>
      </c>
      <c r="B314" s="31" t="s">
        <v>13</v>
      </c>
      <c r="C314" s="32" t="s">
        <v>62</v>
      </c>
      <c r="D314" s="31" t="s">
        <v>78</v>
      </c>
      <c r="E314" s="31"/>
      <c r="F314" s="51"/>
      <c r="G314" s="51"/>
      <c r="H314" s="51"/>
      <c r="I314" s="51"/>
      <c r="J314" s="51"/>
      <c r="K314" s="51"/>
      <c r="L314" s="52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5"/>
      <c r="Y314" s="59"/>
      <c r="Z314" s="51"/>
      <c r="AA314" s="51"/>
    </row>
    <row r="315" spans="1:27" ht="15.75" thickBot="1" x14ac:dyDescent="0.3">
      <c r="A315" s="33" t="s">
        <v>60</v>
      </c>
      <c r="B315" s="34" t="s">
        <v>13</v>
      </c>
      <c r="C315" s="32" t="s">
        <v>62</v>
      </c>
      <c r="D315" s="34" t="s">
        <v>79</v>
      </c>
      <c r="E315" s="31"/>
      <c r="F315" s="51"/>
      <c r="G315" s="51"/>
      <c r="H315" s="51"/>
      <c r="I315" s="51"/>
      <c r="J315" s="51"/>
      <c r="K315" s="51"/>
      <c r="L315" s="52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5"/>
      <c r="Y315" s="59"/>
      <c r="Z315" s="51"/>
      <c r="AA315" s="51"/>
    </row>
  </sheetData>
  <pageMargins left="0.7" right="0.7" top="0.75" bottom="0.75" header="0.3" footer="0.3"/>
  <pageSetup paperSize="8"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15"/>
  <sheetViews>
    <sheetView topLeftCell="A16" workbookViewId="0"/>
  </sheetViews>
  <sheetFormatPr baseColWidth="10" defaultColWidth="8.85546875" defaultRowHeight="15" x14ac:dyDescent="0.25"/>
  <cols>
    <col min="5" max="5" width="9.140625" customWidth="1"/>
    <col min="25" max="25" width="9.140625" bestFit="1" customWidth="1"/>
    <col min="26" max="26" width="8.85546875" bestFit="1" customWidth="1"/>
    <col min="27" max="27" width="9.42578125" customWidth="1"/>
  </cols>
  <sheetData>
    <row r="1" spans="1:33" ht="18.75" x14ac:dyDescent="0.3">
      <c r="A1" s="42" t="s">
        <v>14</v>
      </c>
      <c r="B1" s="42"/>
      <c r="C1" s="82">
        <v>2015</v>
      </c>
    </row>
    <row r="2" spans="1:33" x14ac:dyDescent="0.25">
      <c r="D2" s="41" t="s">
        <v>1</v>
      </c>
      <c r="E2" s="41"/>
      <c r="M2" s="24" t="s">
        <v>81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33" x14ac:dyDescent="0.25">
      <c r="F3" s="23" t="s">
        <v>44</v>
      </c>
      <c r="G3" s="23"/>
      <c r="H3" s="23"/>
      <c r="I3" s="23"/>
      <c r="J3" s="23"/>
      <c r="K3" s="23"/>
      <c r="L3" s="7" t="s">
        <v>30</v>
      </c>
      <c r="M3" s="24" t="s">
        <v>46</v>
      </c>
      <c r="N3" s="24"/>
      <c r="O3" s="24"/>
      <c r="P3" s="24"/>
      <c r="Q3" s="24"/>
      <c r="R3" s="24" t="s">
        <v>47</v>
      </c>
      <c r="S3" s="24"/>
      <c r="T3" s="24"/>
      <c r="U3" s="24"/>
      <c r="V3" s="24"/>
      <c r="W3" s="24"/>
      <c r="X3" s="24"/>
      <c r="Y3" s="44" t="s">
        <v>85</v>
      </c>
      <c r="Z3" s="44" t="s">
        <v>48</v>
      </c>
      <c r="AA3" s="44" t="s">
        <v>3</v>
      </c>
    </row>
    <row r="4" spans="1:33" ht="63" x14ac:dyDescent="0.25">
      <c r="F4" s="38" t="s">
        <v>36</v>
      </c>
      <c r="G4" s="38" t="s">
        <v>37</v>
      </c>
      <c r="H4" s="38" t="s">
        <v>38</v>
      </c>
      <c r="I4" s="38" t="s">
        <v>80</v>
      </c>
      <c r="J4" s="38" t="s">
        <v>39</v>
      </c>
      <c r="K4" s="38" t="s">
        <v>45</v>
      </c>
      <c r="L4" s="39" t="s">
        <v>16</v>
      </c>
      <c r="M4" s="40" t="s">
        <v>34</v>
      </c>
      <c r="N4" s="40" t="s">
        <v>5</v>
      </c>
      <c r="O4" s="40" t="s">
        <v>7</v>
      </c>
      <c r="P4" s="40" t="s">
        <v>8</v>
      </c>
      <c r="Q4" s="40" t="s">
        <v>40</v>
      </c>
      <c r="R4" s="40" t="s">
        <v>41</v>
      </c>
      <c r="S4" s="40" t="s">
        <v>42</v>
      </c>
      <c r="T4" s="40" t="s">
        <v>31</v>
      </c>
      <c r="U4" s="40" t="s">
        <v>43</v>
      </c>
      <c r="V4" s="40" t="s">
        <v>82</v>
      </c>
      <c r="W4" s="40" t="s">
        <v>87</v>
      </c>
      <c r="X4" s="40" t="s">
        <v>83</v>
      </c>
      <c r="Y4" s="45" t="s">
        <v>3</v>
      </c>
      <c r="Z4" s="45" t="s">
        <v>3</v>
      </c>
      <c r="AA4" s="45" t="s">
        <v>3</v>
      </c>
    </row>
    <row r="5" spans="1:33" x14ac:dyDescent="0.25">
      <c r="A5" s="15" t="s">
        <v>51</v>
      </c>
      <c r="B5" s="2"/>
      <c r="C5" s="2"/>
      <c r="D5">
        <f>6000*0.045</f>
        <v>270</v>
      </c>
      <c r="F5" s="1">
        <f t="shared" ref="F5:X5" si="0">F7+F8+F9</f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52">
        <f t="shared" si="0"/>
        <v>0</v>
      </c>
      <c r="M5" s="1">
        <f t="shared" si="0"/>
        <v>0</v>
      </c>
      <c r="N5" s="1">
        <f t="shared" si="0"/>
        <v>0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1">
        <f t="shared" si="0"/>
        <v>0</v>
      </c>
      <c r="V5" s="1">
        <f t="shared" si="0"/>
        <v>0</v>
      </c>
      <c r="W5" s="1">
        <f t="shared" si="0"/>
        <v>0</v>
      </c>
      <c r="X5" s="1">
        <f t="shared" si="0"/>
        <v>0</v>
      </c>
      <c r="Y5" s="58">
        <f t="shared" ref="Y5:Y45" si="1">SUM(F5:K5)</f>
        <v>0</v>
      </c>
      <c r="Z5" s="1">
        <f t="shared" ref="Z5:Z45" si="2">SUM(M5:X5)</f>
        <v>0</v>
      </c>
      <c r="AA5" s="1">
        <f t="shared" ref="AA5:AA12" si="3">L5+Y5+Z5</f>
        <v>0</v>
      </c>
    </row>
    <row r="6" spans="1:33" x14ac:dyDescent="0.25">
      <c r="A6" s="30" t="s">
        <v>60</v>
      </c>
      <c r="B6" s="2"/>
      <c r="C6" s="2"/>
      <c r="F6" s="1">
        <f>F10+F11+F12+F13</f>
        <v>8600</v>
      </c>
      <c r="G6" s="1">
        <f t="shared" ref="G6:X6" si="4">G10+G11+G12+G13</f>
        <v>5600.0000000000009</v>
      </c>
      <c r="H6" s="1">
        <f t="shared" si="4"/>
        <v>10200</v>
      </c>
      <c r="I6" s="1">
        <f t="shared" si="4"/>
        <v>2940</v>
      </c>
      <c r="J6" s="1">
        <f t="shared" si="4"/>
        <v>7461.9333333333343</v>
      </c>
      <c r="K6" s="1">
        <f t="shared" si="4"/>
        <v>3141</v>
      </c>
      <c r="L6" s="52">
        <f t="shared" si="4"/>
        <v>235294.1176470588</v>
      </c>
      <c r="M6" s="1">
        <f t="shared" si="4"/>
        <v>15200.617283950618</v>
      </c>
      <c r="N6" s="1">
        <f t="shared" si="4"/>
        <v>3040</v>
      </c>
      <c r="O6" s="1">
        <f t="shared" si="4"/>
        <v>2000</v>
      </c>
      <c r="P6" s="1">
        <f t="shared" si="4"/>
        <v>20000</v>
      </c>
      <c r="Q6" s="1">
        <f t="shared" si="4"/>
        <v>24966.666666666668</v>
      </c>
      <c r="R6" s="1">
        <f t="shared" si="4"/>
        <v>16533.816425120775</v>
      </c>
      <c r="S6" s="1">
        <f t="shared" si="4"/>
        <v>245</v>
      </c>
      <c r="T6" s="1">
        <f t="shared" si="4"/>
        <v>14636.111111111111</v>
      </c>
      <c r="U6" s="1">
        <f t="shared" si="4"/>
        <v>5378.7878787878781</v>
      </c>
      <c r="V6" s="1">
        <f t="shared" si="4"/>
        <v>5076.666666666667</v>
      </c>
      <c r="W6" s="1">
        <f t="shared" si="4"/>
        <v>8250</v>
      </c>
      <c r="X6" s="54">
        <f t="shared" si="4"/>
        <v>18254.761904761905</v>
      </c>
      <c r="Y6" s="58">
        <f t="shared" si="1"/>
        <v>37942.933333333334</v>
      </c>
      <c r="Z6" s="1">
        <f t="shared" si="2"/>
        <v>133582.42793706563</v>
      </c>
      <c r="AA6" s="1">
        <f t="shared" si="3"/>
        <v>406819.47891745775</v>
      </c>
    </row>
    <row r="7" spans="1:33" x14ac:dyDescent="0.25">
      <c r="A7" s="15" t="s">
        <v>51</v>
      </c>
      <c r="B7" s="16" t="s">
        <v>52</v>
      </c>
      <c r="C7" s="2"/>
      <c r="F7" s="1">
        <f>F14+F15+F16</f>
        <v>0</v>
      </c>
      <c r="G7" s="1">
        <f t="shared" ref="G7:X7" si="5">G14+G15+G16</f>
        <v>0</v>
      </c>
      <c r="H7" s="1">
        <f t="shared" si="5"/>
        <v>0</v>
      </c>
      <c r="I7" s="1">
        <f t="shared" si="5"/>
        <v>0</v>
      </c>
      <c r="J7" s="1">
        <f t="shared" si="5"/>
        <v>0</v>
      </c>
      <c r="K7" s="1">
        <f t="shared" si="5"/>
        <v>0</v>
      </c>
      <c r="L7" s="52">
        <f t="shared" si="5"/>
        <v>0</v>
      </c>
      <c r="M7" s="1">
        <f t="shared" si="5"/>
        <v>0</v>
      </c>
      <c r="N7" s="1">
        <f t="shared" si="5"/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  <c r="R7" s="1">
        <f t="shared" si="5"/>
        <v>0</v>
      </c>
      <c r="S7" s="1">
        <f t="shared" si="5"/>
        <v>0</v>
      </c>
      <c r="T7" s="1">
        <f t="shared" si="5"/>
        <v>0</v>
      </c>
      <c r="U7" s="1">
        <f t="shared" si="5"/>
        <v>0</v>
      </c>
      <c r="V7" s="1">
        <f t="shared" si="5"/>
        <v>0</v>
      </c>
      <c r="W7" s="1">
        <f t="shared" si="5"/>
        <v>0</v>
      </c>
      <c r="X7" s="54">
        <f t="shared" si="5"/>
        <v>0</v>
      </c>
      <c r="Y7" s="58">
        <f t="shared" si="1"/>
        <v>0</v>
      </c>
      <c r="Z7" s="1">
        <f t="shared" si="2"/>
        <v>0</v>
      </c>
      <c r="AA7" s="1">
        <f t="shared" si="3"/>
        <v>0</v>
      </c>
    </row>
    <row r="8" spans="1:33" x14ac:dyDescent="0.25">
      <c r="A8" s="15" t="s">
        <v>51</v>
      </c>
      <c r="B8" s="16" t="s">
        <v>56</v>
      </c>
      <c r="C8" s="2"/>
      <c r="F8" s="1">
        <f>F17+F18+F19</f>
        <v>0</v>
      </c>
      <c r="G8" s="1">
        <f t="shared" ref="G8:X8" si="6">G17+G18+G19</f>
        <v>0</v>
      </c>
      <c r="H8" s="1">
        <f t="shared" si="6"/>
        <v>0</v>
      </c>
      <c r="I8" s="1">
        <f t="shared" si="6"/>
        <v>0</v>
      </c>
      <c r="J8" s="1">
        <f t="shared" si="6"/>
        <v>0</v>
      </c>
      <c r="K8" s="1">
        <f t="shared" si="6"/>
        <v>0</v>
      </c>
      <c r="L8" s="52">
        <f t="shared" si="6"/>
        <v>0</v>
      </c>
      <c r="M8" s="1">
        <f t="shared" si="6"/>
        <v>0</v>
      </c>
      <c r="N8" s="1">
        <f t="shared" si="6"/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  <c r="R8" s="1">
        <f t="shared" si="6"/>
        <v>0</v>
      </c>
      <c r="S8" s="1">
        <f t="shared" si="6"/>
        <v>0</v>
      </c>
      <c r="T8" s="1">
        <f t="shared" si="6"/>
        <v>0</v>
      </c>
      <c r="U8" s="1">
        <f t="shared" si="6"/>
        <v>0</v>
      </c>
      <c r="V8" s="1">
        <f t="shared" si="6"/>
        <v>0</v>
      </c>
      <c r="W8" s="1">
        <f t="shared" si="6"/>
        <v>0</v>
      </c>
      <c r="X8" s="54">
        <f t="shared" si="6"/>
        <v>0</v>
      </c>
      <c r="Y8" s="58">
        <f t="shared" si="1"/>
        <v>0</v>
      </c>
      <c r="Z8" s="1">
        <f t="shared" si="2"/>
        <v>0</v>
      </c>
      <c r="AA8" s="1">
        <f t="shared" si="3"/>
        <v>0</v>
      </c>
      <c r="AE8" s="98"/>
      <c r="AF8" s="98"/>
      <c r="AG8" s="98"/>
    </row>
    <row r="9" spans="1:33" x14ac:dyDescent="0.25">
      <c r="A9" s="15" t="s">
        <v>51</v>
      </c>
      <c r="B9" s="16" t="s">
        <v>9</v>
      </c>
      <c r="C9" s="2"/>
      <c r="F9" s="1">
        <f>F20</f>
        <v>0</v>
      </c>
      <c r="G9" s="1">
        <f t="shared" ref="G9:X9" si="7">G20</f>
        <v>0</v>
      </c>
      <c r="H9" s="1">
        <f t="shared" si="7"/>
        <v>0</v>
      </c>
      <c r="I9" s="1">
        <f t="shared" si="7"/>
        <v>0</v>
      </c>
      <c r="J9" s="1">
        <f t="shared" si="7"/>
        <v>0</v>
      </c>
      <c r="K9" s="1">
        <f t="shared" si="7"/>
        <v>0</v>
      </c>
      <c r="L9" s="52">
        <f t="shared" si="7"/>
        <v>0</v>
      </c>
      <c r="M9" s="1">
        <f t="shared" si="7"/>
        <v>0</v>
      </c>
      <c r="N9" s="1">
        <f t="shared" si="7"/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  <c r="R9" s="1">
        <f t="shared" si="7"/>
        <v>0</v>
      </c>
      <c r="S9" s="1">
        <f t="shared" si="7"/>
        <v>0</v>
      </c>
      <c r="T9" s="1">
        <f t="shared" si="7"/>
        <v>0</v>
      </c>
      <c r="U9" s="1">
        <f t="shared" si="7"/>
        <v>0</v>
      </c>
      <c r="V9" s="1">
        <f t="shared" si="7"/>
        <v>0</v>
      </c>
      <c r="W9" s="1">
        <f t="shared" si="7"/>
        <v>0</v>
      </c>
      <c r="X9" s="54">
        <f t="shared" si="7"/>
        <v>0</v>
      </c>
      <c r="Y9" s="58">
        <f t="shared" si="1"/>
        <v>0</v>
      </c>
      <c r="Z9" s="1">
        <f t="shared" si="2"/>
        <v>0</v>
      </c>
      <c r="AA9" s="1">
        <f t="shared" si="3"/>
        <v>0</v>
      </c>
      <c r="AE9" s="98"/>
      <c r="AF9" s="98"/>
      <c r="AG9" s="98"/>
    </row>
    <row r="10" spans="1:33" x14ac:dyDescent="0.25">
      <c r="A10" s="30" t="s">
        <v>60</v>
      </c>
      <c r="B10" s="32" t="s">
        <v>13</v>
      </c>
      <c r="C10" s="2"/>
      <c r="F10" s="51">
        <f>F21+F22+F23</f>
        <v>8600</v>
      </c>
      <c r="G10" s="51">
        <f t="shared" ref="G10:X10" si="8">G21+G22+G23</f>
        <v>5600.0000000000009</v>
      </c>
      <c r="H10" s="91">
        <v>10200</v>
      </c>
      <c r="I10" s="51">
        <f t="shared" si="8"/>
        <v>2940</v>
      </c>
      <c r="J10" s="51">
        <f t="shared" si="8"/>
        <v>1860</v>
      </c>
      <c r="K10" s="51">
        <f t="shared" si="8"/>
        <v>800</v>
      </c>
      <c r="L10" s="52">
        <f t="shared" si="8"/>
        <v>0</v>
      </c>
      <c r="M10" s="51">
        <f t="shared" si="8"/>
        <v>3950.6172839506171</v>
      </c>
      <c r="N10" s="51">
        <f t="shared" si="8"/>
        <v>1440</v>
      </c>
      <c r="O10" s="51">
        <f t="shared" si="8"/>
        <v>2000</v>
      </c>
      <c r="P10" s="51">
        <f t="shared" si="8"/>
        <v>20000</v>
      </c>
      <c r="Q10" s="51">
        <f t="shared" si="8"/>
        <v>300</v>
      </c>
      <c r="R10" s="51">
        <f t="shared" si="8"/>
        <v>978.26086956521738</v>
      </c>
      <c r="S10" s="51">
        <f t="shared" si="8"/>
        <v>0</v>
      </c>
      <c r="T10" s="51">
        <f t="shared" si="8"/>
        <v>375</v>
      </c>
      <c r="U10" s="51">
        <f t="shared" si="8"/>
        <v>833.33333333333337</v>
      </c>
      <c r="V10" s="51">
        <f t="shared" si="8"/>
        <v>50</v>
      </c>
      <c r="W10" s="51">
        <f t="shared" si="8"/>
        <v>1166.6666666666667</v>
      </c>
      <c r="X10" s="55">
        <f t="shared" si="8"/>
        <v>10000</v>
      </c>
      <c r="Y10" s="59">
        <f t="shared" si="1"/>
        <v>30000</v>
      </c>
      <c r="Z10" s="73">
        <f t="shared" si="2"/>
        <v>41093.878153515834</v>
      </c>
      <c r="AA10" s="73">
        <f t="shared" si="3"/>
        <v>71093.878153515834</v>
      </c>
      <c r="AB10" s="103">
        <v>69000</v>
      </c>
      <c r="AC10" t="s">
        <v>138</v>
      </c>
      <c r="AE10" s="98"/>
      <c r="AF10" s="98"/>
      <c r="AG10" s="98"/>
    </row>
    <row r="11" spans="1:33" x14ac:dyDescent="0.25">
      <c r="A11" s="30" t="s">
        <v>60</v>
      </c>
      <c r="B11" s="31" t="s">
        <v>23</v>
      </c>
      <c r="C11" s="2"/>
      <c r="F11" s="51">
        <f>F24+F25+F26</f>
        <v>0</v>
      </c>
      <c r="G11" s="51">
        <f t="shared" ref="G11:X11" si="9">G24+G25+G26</f>
        <v>0</v>
      </c>
      <c r="H11" s="51">
        <f t="shared" si="9"/>
        <v>0</v>
      </c>
      <c r="I11" s="51">
        <f t="shared" si="9"/>
        <v>0</v>
      </c>
      <c r="J11" s="51">
        <f t="shared" si="9"/>
        <v>1018.6</v>
      </c>
      <c r="K11" s="51">
        <f t="shared" si="9"/>
        <v>2341</v>
      </c>
      <c r="L11" s="52">
        <f t="shared" si="9"/>
        <v>0</v>
      </c>
      <c r="M11" s="51">
        <f t="shared" si="9"/>
        <v>0</v>
      </c>
      <c r="N11" s="51">
        <f t="shared" si="9"/>
        <v>1600</v>
      </c>
      <c r="O11" s="51">
        <f t="shared" si="9"/>
        <v>0</v>
      </c>
      <c r="P11" s="51">
        <f t="shared" si="9"/>
        <v>0</v>
      </c>
      <c r="Q11" s="51">
        <f t="shared" si="9"/>
        <v>0</v>
      </c>
      <c r="R11" s="51">
        <f t="shared" si="9"/>
        <v>0</v>
      </c>
      <c r="S11" s="51">
        <f t="shared" si="9"/>
        <v>245</v>
      </c>
      <c r="T11" s="51">
        <f t="shared" si="9"/>
        <v>650</v>
      </c>
      <c r="U11" s="51">
        <f t="shared" si="9"/>
        <v>0</v>
      </c>
      <c r="V11" s="51">
        <f t="shared" si="9"/>
        <v>100</v>
      </c>
      <c r="W11" s="51">
        <f t="shared" si="9"/>
        <v>0</v>
      </c>
      <c r="X11" s="55">
        <f t="shared" si="9"/>
        <v>100</v>
      </c>
      <c r="Y11" s="59">
        <f t="shared" si="1"/>
        <v>3359.6</v>
      </c>
      <c r="Z11" s="73">
        <f t="shared" si="2"/>
        <v>2695</v>
      </c>
      <c r="AA11" s="73">
        <f t="shared" si="3"/>
        <v>6054.6</v>
      </c>
      <c r="AC11" t="s">
        <v>14</v>
      </c>
      <c r="AD11" s="100">
        <f>AA10+AG22</f>
        <v>78093.878153515834</v>
      </c>
    </row>
    <row r="12" spans="1:33" x14ac:dyDescent="0.25">
      <c r="A12" s="30" t="s">
        <v>60</v>
      </c>
      <c r="B12" s="31" t="s">
        <v>65</v>
      </c>
      <c r="C12" s="46"/>
      <c r="F12" s="51">
        <f>F27+F28+F29</f>
        <v>0</v>
      </c>
      <c r="G12" s="51">
        <f t="shared" ref="G12:X12" si="10">G27+G28+G29</f>
        <v>0</v>
      </c>
      <c r="H12" s="51">
        <f t="shared" si="10"/>
        <v>0</v>
      </c>
      <c r="I12" s="51">
        <f t="shared" si="10"/>
        <v>0</v>
      </c>
      <c r="J12" s="51">
        <f t="shared" si="10"/>
        <v>4583.3333333333339</v>
      </c>
      <c r="K12" s="51">
        <f t="shared" si="10"/>
        <v>0</v>
      </c>
      <c r="L12" s="52">
        <f t="shared" si="10"/>
        <v>235294.1176470588</v>
      </c>
      <c r="M12" s="51">
        <f t="shared" si="10"/>
        <v>11250</v>
      </c>
      <c r="N12" s="51">
        <f t="shared" si="10"/>
        <v>0</v>
      </c>
      <c r="O12" s="51">
        <f t="shared" si="10"/>
        <v>0</v>
      </c>
      <c r="P12" s="51">
        <f t="shared" si="10"/>
        <v>0</v>
      </c>
      <c r="Q12" s="51">
        <f t="shared" si="10"/>
        <v>24666.666666666668</v>
      </c>
      <c r="R12" s="51">
        <f t="shared" si="10"/>
        <v>15555.555555555557</v>
      </c>
      <c r="S12" s="51">
        <f t="shared" si="10"/>
        <v>0</v>
      </c>
      <c r="T12" s="51">
        <f t="shared" si="10"/>
        <v>13611.111111111111</v>
      </c>
      <c r="U12" s="51">
        <f t="shared" si="10"/>
        <v>4545.454545454545</v>
      </c>
      <c r="V12" s="51">
        <f t="shared" si="10"/>
        <v>4166.666666666667</v>
      </c>
      <c r="W12" s="51">
        <f t="shared" si="10"/>
        <v>7083.3333333333339</v>
      </c>
      <c r="X12" s="55">
        <f t="shared" si="10"/>
        <v>6666.666666666667</v>
      </c>
      <c r="Y12" s="59">
        <f t="shared" si="1"/>
        <v>4583.3333333333339</v>
      </c>
      <c r="Z12" s="73">
        <f t="shared" si="2"/>
        <v>87545.454545454559</v>
      </c>
      <c r="AA12" s="81">
        <f t="shared" si="3"/>
        <v>327422.9055258467</v>
      </c>
      <c r="AB12" s="91">
        <v>360000</v>
      </c>
      <c r="AC12">
        <f>32/330</f>
        <v>9.696969696969697E-2</v>
      </c>
      <c r="AD12" t="s">
        <v>100</v>
      </c>
    </row>
    <row r="13" spans="1:33" ht="15.75" thickBot="1" x14ac:dyDescent="0.3">
      <c r="A13" s="48" t="s">
        <v>60</v>
      </c>
      <c r="B13" s="49" t="s">
        <v>9</v>
      </c>
      <c r="C13" s="50"/>
      <c r="D13" s="50"/>
      <c r="E13" s="50"/>
      <c r="F13" s="53">
        <f>F30</f>
        <v>0</v>
      </c>
      <c r="G13" s="53">
        <f t="shared" ref="G13:X13" si="11">G30</f>
        <v>0</v>
      </c>
      <c r="H13" s="53">
        <f t="shared" si="11"/>
        <v>0</v>
      </c>
      <c r="I13" s="53">
        <f t="shared" si="11"/>
        <v>0</v>
      </c>
      <c r="J13" s="53">
        <f t="shared" si="11"/>
        <v>0</v>
      </c>
      <c r="K13" s="53">
        <f t="shared" si="11"/>
        <v>0</v>
      </c>
      <c r="L13" s="62">
        <f t="shared" si="11"/>
        <v>0</v>
      </c>
      <c r="M13" s="53">
        <f t="shared" si="11"/>
        <v>0</v>
      </c>
      <c r="N13" s="53">
        <f t="shared" si="11"/>
        <v>0</v>
      </c>
      <c r="O13" s="53">
        <f t="shared" si="11"/>
        <v>0</v>
      </c>
      <c r="P13" s="53">
        <f t="shared" si="11"/>
        <v>0</v>
      </c>
      <c r="Q13" s="53">
        <f t="shared" si="11"/>
        <v>0</v>
      </c>
      <c r="R13" s="53">
        <f t="shared" si="11"/>
        <v>0</v>
      </c>
      <c r="S13" s="53">
        <f t="shared" si="11"/>
        <v>0</v>
      </c>
      <c r="T13" s="53">
        <f t="shared" si="11"/>
        <v>0</v>
      </c>
      <c r="U13" s="53">
        <f t="shared" si="11"/>
        <v>0</v>
      </c>
      <c r="V13" s="53">
        <f t="shared" si="11"/>
        <v>760</v>
      </c>
      <c r="W13" s="53">
        <f t="shared" si="11"/>
        <v>0</v>
      </c>
      <c r="X13" s="75">
        <f t="shared" si="11"/>
        <v>1488.0952380952381</v>
      </c>
      <c r="Y13" s="60">
        <f t="shared" si="1"/>
        <v>0</v>
      </c>
      <c r="Z13" s="74">
        <f t="shared" si="2"/>
        <v>2248.0952380952381</v>
      </c>
      <c r="AA13" s="104">
        <v>2200</v>
      </c>
    </row>
    <row r="14" spans="1:33" ht="15.75" thickTop="1" x14ac:dyDescent="0.25">
      <c r="A14" s="15" t="s">
        <v>51</v>
      </c>
      <c r="B14" s="16" t="s">
        <v>52</v>
      </c>
      <c r="C14" s="16" t="s">
        <v>53</v>
      </c>
      <c r="D14" s="2"/>
      <c r="E14" s="2"/>
      <c r="F14" s="47">
        <v>0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63">
        <v>0</v>
      </c>
      <c r="M14" s="47">
        <v>0</v>
      </c>
      <c r="N14" s="47">
        <v>0</v>
      </c>
      <c r="O14" s="47">
        <v>0</v>
      </c>
      <c r="P14" s="47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57">
        <v>0</v>
      </c>
      <c r="Y14" s="61">
        <f t="shared" si="1"/>
        <v>0</v>
      </c>
      <c r="Z14" s="47">
        <f t="shared" si="2"/>
        <v>0</v>
      </c>
      <c r="AA14" s="47">
        <f t="shared" ref="AA14:AA45" si="12">L14+Y14+Z14</f>
        <v>0</v>
      </c>
    </row>
    <row r="15" spans="1:33" x14ac:dyDescent="0.25">
      <c r="A15" s="15" t="s">
        <v>51</v>
      </c>
      <c r="B15" s="16" t="s">
        <v>52</v>
      </c>
      <c r="C15" s="16" t="s">
        <v>54</v>
      </c>
      <c r="D15" s="2"/>
      <c r="E15" s="2"/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52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54">
        <v>0</v>
      </c>
      <c r="Y15" s="58">
        <f t="shared" si="1"/>
        <v>0</v>
      </c>
      <c r="Z15" s="1">
        <f t="shared" si="2"/>
        <v>0</v>
      </c>
      <c r="AA15" s="1">
        <f t="shared" si="12"/>
        <v>0</v>
      </c>
    </row>
    <row r="16" spans="1:33" x14ac:dyDescent="0.25">
      <c r="A16" s="15" t="s">
        <v>51</v>
      </c>
      <c r="B16" s="16" t="s">
        <v>52</v>
      </c>
      <c r="C16" s="16" t="s">
        <v>55</v>
      </c>
      <c r="D16" s="2"/>
      <c r="E16" s="2"/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52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54">
        <v>0</v>
      </c>
      <c r="Y16" s="58">
        <f t="shared" si="1"/>
        <v>0</v>
      </c>
      <c r="Z16" s="1">
        <f t="shared" si="2"/>
        <v>0</v>
      </c>
      <c r="AA16" s="1">
        <f t="shared" si="12"/>
        <v>0</v>
      </c>
    </row>
    <row r="17" spans="1:34" x14ac:dyDescent="0.25">
      <c r="A17" s="25" t="s">
        <v>51</v>
      </c>
      <c r="B17" s="26" t="s">
        <v>56</v>
      </c>
      <c r="C17" s="26" t="s">
        <v>57</v>
      </c>
      <c r="D17" s="2"/>
      <c r="E17" s="2"/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52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54">
        <v>0</v>
      </c>
      <c r="Y17" s="58">
        <f t="shared" si="1"/>
        <v>0</v>
      </c>
      <c r="Z17" s="1">
        <f t="shared" si="2"/>
        <v>0</v>
      </c>
      <c r="AA17" s="1">
        <f t="shared" si="12"/>
        <v>0</v>
      </c>
    </row>
    <row r="18" spans="1:34" x14ac:dyDescent="0.25">
      <c r="A18" s="15" t="s">
        <v>51</v>
      </c>
      <c r="B18" s="16" t="s">
        <v>56</v>
      </c>
      <c r="C18" s="27" t="s">
        <v>58</v>
      </c>
      <c r="D18" s="2"/>
      <c r="E18" s="2"/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52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54">
        <v>0</v>
      </c>
      <c r="Y18" s="58">
        <f t="shared" si="1"/>
        <v>0</v>
      </c>
      <c r="Z18" s="1">
        <f t="shared" si="2"/>
        <v>0</v>
      </c>
      <c r="AA18" s="1">
        <f t="shared" si="12"/>
        <v>0</v>
      </c>
    </row>
    <row r="19" spans="1:34" x14ac:dyDescent="0.25">
      <c r="A19" s="15" t="s">
        <v>51</v>
      </c>
      <c r="B19" s="16" t="s">
        <v>9</v>
      </c>
      <c r="C19" s="27" t="s">
        <v>59</v>
      </c>
      <c r="D19" s="2"/>
      <c r="E19" s="2"/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52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54">
        <v>0</v>
      </c>
      <c r="Y19" s="58">
        <f t="shared" si="1"/>
        <v>0</v>
      </c>
      <c r="Z19" s="1">
        <f t="shared" si="2"/>
        <v>0</v>
      </c>
      <c r="AA19" s="1">
        <f t="shared" si="12"/>
        <v>0</v>
      </c>
    </row>
    <row r="20" spans="1:34" x14ac:dyDescent="0.25">
      <c r="A20" s="15" t="s">
        <v>51</v>
      </c>
      <c r="B20" s="16" t="s">
        <v>9</v>
      </c>
      <c r="C20" s="27" t="s">
        <v>9</v>
      </c>
      <c r="D20" s="2"/>
      <c r="E20" s="2"/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52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54">
        <v>0</v>
      </c>
      <c r="Y20" s="58">
        <f t="shared" si="1"/>
        <v>0</v>
      </c>
      <c r="Z20" s="1">
        <f t="shared" si="2"/>
        <v>0</v>
      </c>
      <c r="AA20" s="1">
        <f t="shared" si="12"/>
        <v>0</v>
      </c>
    </row>
    <row r="21" spans="1:34" x14ac:dyDescent="0.25">
      <c r="A21" s="28" t="s">
        <v>60</v>
      </c>
      <c r="B21" s="29" t="s">
        <v>13</v>
      </c>
      <c r="C21" s="29" t="s">
        <v>61</v>
      </c>
      <c r="D21" s="2"/>
      <c r="E21" s="2"/>
      <c r="F21" s="91">
        <f>8600*0.8</f>
        <v>6880</v>
      </c>
      <c r="G21" s="51">
        <v>0</v>
      </c>
      <c r="H21" s="91">
        <f>H10*0.45</f>
        <v>4590</v>
      </c>
      <c r="I21" s="91">
        <v>2940</v>
      </c>
      <c r="J21" s="91">
        <v>1860</v>
      </c>
      <c r="K21" s="91">
        <v>800</v>
      </c>
      <c r="L21" s="52">
        <v>0</v>
      </c>
      <c r="M21" s="103">
        <f>2000*1600/900/0.9</f>
        <v>3950.6172839506171</v>
      </c>
      <c r="N21" s="91">
        <f>1.6*900</f>
        <v>1440</v>
      </c>
      <c r="O21" s="91">
        <v>2000</v>
      </c>
      <c r="P21" s="91">
        <v>10000</v>
      </c>
      <c r="Q21" s="69">
        <f>Q66/Q111</f>
        <v>300</v>
      </c>
      <c r="R21" s="69">
        <f>R66/R111</f>
        <v>978.26086956521738</v>
      </c>
      <c r="S21" s="51">
        <v>0</v>
      </c>
      <c r="T21" s="69">
        <f>T66/T111</f>
        <v>375</v>
      </c>
      <c r="U21" s="69">
        <f>U66/U111</f>
        <v>833.33333333333337</v>
      </c>
      <c r="V21" s="77">
        <v>50</v>
      </c>
      <c r="W21" s="69">
        <f>W66/W111</f>
        <v>1166.6666666666667</v>
      </c>
      <c r="X21" s="69">
        <f>X66/X111</f>
        <v>10000</v>
      </c>
      <c r="Y21" s="59">
        <f t="shared" si="1"/>
        <v>17070</v>
      </c>
      <c r="Z21" s="51">
        <f t="shared" si="2"/>
        <v>31093.878153515834</v>
      </c>
      <c r="AA21" s="51">
        <f t="shared" si="12"/>
        <v>48163.878153515834</v>
      </c>
      <c r="AD21" s="99" t="s">
        <v>135</v>
      </c>
      <c r="AE21" s="99" t="s">
        <v>136</v>
      </c>
      <c r="AF21" s="99" t="s">
        <v>137</v>
      </c>
    </row>
    <row r="22" spans="1:34" x14ac:dyDescent="0.25">
      <c r="A22" s="36" t="s">
        <v>60</v>
      </c>
      <c r="B22" s="37" t="s">
        <v>13</v>
      </c>
      <c r="C22" s="29" t="s">
        <v>62</v>
      </c>
      <c r="D22" s="2"/>
      <c r="E22" s="2"/>
      <c r="F22" s="91">
        <f>8600*0.2</f>
        <v>1720</v>
      </c>
      <c r="G22" s="103">
        <f>0.56*10000</f>
        <v>5600.0000000000009</v>
      </c>
      <c r="H22" s="91">
        <f>H10*0.55</f>
        <v>5610</v>
      </c>
      <c r="I22" s="51">
        <v>0</v>
      </c>
      <c r="J22" s="51">
        <v>0</v>
      </c>
      <c r="K22" s="51">
        <v>0</v>
      </c>
      <c r="L22" s="52">
        <v>0</v>
      </c>
      <c r="M22" s="51">
        <v>0</v>
      </c>
      <c r="N22" s="51">
        <v>0</v>
      </c>
      <c r="O22" s="91">
        <v>0</v>
      </c>
      <c r="P22" s="91">
        <v>10000</v>
      </c>
      <c r="Q22" s="51">
        <v>0</v>
      </c>
      <c r="R22" s="51">
        <v>0</v>
      </c>
      <c r="S22" s="51">
        <v>0</v>
      </c>
      <c r="T22" s="51">
        <v>0</v>
      </c>
      <c r="U22" s="51">
        <v>0</v>
      </c>
      <c r="V22" s="51">
        <v>0</v>
      </c>
      <c r="W22" s="51">
        <v>0</v>
      </c>
      <c r="X22" s="55">
        <v>0</v>
      </c>
      <c r="Y22" s="59">
        <f t="shared" si="1"/>
        <v>12930</v>
      </c>
      <c r="Z22" s="51">
        <f t="shared" si="2"/>
        <v>10000</v>
      </c>
      <c r="AA22" s="51">
        <f t="shared" si="12"/>
        <v>22930</v>
      </c>
      <c r="AD22" s="99" t="s">
        <v>1</v>
      </c>
      <c r="AE22" s="99">
        <v>4000</v>
      </c>
      <c r="AF22" s="99">
        <v>3000</v>
      </c>
      <c r="AG22" s="99">
        <f>SUM(AE22:AF22)</f>
        <v>7000</v>
      </c>
    </row>
    <row r="23" spans="1:34" x14ac:dyDescent="0.25">
      <c r="A23" s="30" t="s">
        <v>60</v>
      </c>
      <c r="B23" s="31" t="s">
        <v>13</v>
      </c>
      <c r="C23" s="32" t="s">
        <v>63</v>
      </c>
      <c r="D23" s="2"/>
      <c r="E23" s="2"/>
      <c r="F23" s="51">
        <v>0</v>
      </c>
      <c r="G23" s="51">
        <v>0</v>
      </c>
      <c r="H23" s="51"/>
      <c r="I23" s="51">
        <v>0</v>
      </c>
      <c r="J23" s="51">
        <v>0</v>
      </c>
      <c r="K23" s="51">
        <v>0</v>
      </c>
      <c r="L23" s="52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55">
        <v>0</v>
      </c>
      <c r="Y23" s="59">
        <f t="shared" si="1"/>
        <v>0</v>
      </c>
      <c r="Z23" s="51">
        <f t="shared" si="2"/>
        <v>0</v>
      </c>
      <c r="AA23" s="51">
        <f t="shared" si="12"/>
        <v>0</v>
      </c>
      <c r="AD23" s="99" t="s">
        <v>18</v>
      </c>
      <c r="AE23" s="99"/>
      <c r="AF23" s="99"/>
      <c r="AG23" s="99">
        <v>2300</v>
      </c>
    </row>
    <row r="24" spans="1:34" x14ac:dyDescent="0.25">
      <c r="A24" s="30" t="s">
        <v>60</v>
      </c>
      <c r="B24" s="32" t="s">
        <v>23</v>
      </c>
      <c r="C24" s="31" t="s">
        <v>50</v>
      </c>
      <c r="D24" s="2"/>
      <c r="E24" s="2"/>
      <c r="F24" s="77">
        <f>F204*F159</f>
        <v>0</v>
      </c>
      <c r="G24" s="51">
        <v>0</v>
      </c>
      <c r="H24" s="51">
        <v>0</v>
      </c>
      <c r="I24" s="51">
        <v>0</v>
      </c>
      <c r="J24" s="77">
        <f>J21*0.01</f>
        <v>18.600000000000001</v>
      </c>
      <c r="K24" s="64">
        <f>1900</f>
        <v>1900</v>
      </c>
      <c r="L24" s="52">
        <v>0</v>
      </c>
      <c r="M24" s="51">
        <v>0</v>
      </c>
      <c r="N24" s="91">
        <f>1600</f>
        <v>1600</v>
      </c>
      <c r="O24" s="51">
        <v>0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51">
        <v>0</v>
      </c>
      <c r="X24" s="55">
        <v>0</v>
      </c>
      <c r="Y24" s="59">
        <f t="shared" si="1"/>
        <v>1918.6</v>
      </c>
      <c r="Z24" s="51">
        <f t="shared" si="2"/>
        <v>1600</v>
      </c>
      <c r="AA24" s="103">
        <v>3700</v>
      </c>
      <c r="AD24" s="99" t="s">
        <v>35</v>
      </c>
      <c r="AF24" s="99">
        <v>0.04</v>
      </c>
      <c r="AG24" s="99">
        <v>0.15</v>
      </c>
    </row>
    <row r="25" spans="1:34" x14ac:dyDescent="0.25">
      <c r="A25" s="30" t="s">
        <v>60</v>
      </c>
      <c r="B25" s="32" t="s">
        <v>23</v>
      </c>
      <c r="C25" s="31" t="s">
        <v>49</v>
      </c>
      <c r="D25" s="2"/>
      <c r="E25" s="2"/>
      <c r="F25" s="51">
        <v>0</v>
      </c>
      <c r="G25" s="51">
        <v>0</v>
      </c>
      <c r="H25" s="51">
        <v>0</v>
      </c>
      <c r="I25" s="51">
        <v>0</v>
      </c>
      <c r="J25" s="83">
        <v>1000</v>
      </c>
      <c r="K25" s="64">
        <f>2450*0.18</f>
        <v>441</v>
      </c>
      <c r="L25" s="52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51">
        <v>0</v>
      </c>
      <c r="S25" s="64">
        <v>245</v>
      </c>
      <c r="T25" s="77">
        <v>650</v>
      </c>
      <c r="U25" s="51">
        <v>0</v>
      </c>
      <c r="V25" s="77">
        <v>100</v>
      </c>
      <c r="W25" s="51">
        <v>0</v>
      </c>
      <c r="X25" s="77">
        <v>100</v>
      </c>
      <c r="Y25" s="59">
        <f t="shared" si="1"/>
        <v>1441</v>
      </c>
      <c r="Z25" s="51">
        <f t="shared" si="2"/>
        <v>1095</v>
      </c>
      <c r="AA25" s="51">
        <f t="shared" si="12"/>
        <v>2536</v>
      </c>
      <c r="AB25" s="103">
        <v>2450</v>
      </c>
      <c r="AC25" t="s">
        <v>129</v>
      </c>
      <c r="AE25" s="99" t="s">
        <v>17</v>
      </c>
      <c r="AF25" s="99">
        <f>AF22/AF24</f>
        <v>75000</v>
      </c>
      <c r="AG25" s="99">
        <f>AG22/AG24</f>
        <v>46666.666666666672</v>
      </c>
    </row>
    <row r="26" spans="1:34" x14ac:dyDescent="0.25">
      <c r="A26" s="30" t="s">
        <v>60</v>
      </c>
      <c r="B26" s="32" t="s">
        <v>23</v>
      </c>
      <c r="C26" s="31" t="s">
        <v>64</v>
      </c>
      <c r="D26" s="2"/>
      <c r="E26" s="2"/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2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  <c r="V26" s="51">
        <v>0</v>
      </c>
      <c r="W26" s="51">
        <v>0</v>
      </c>
      <c r="X26" s="55">
        <v>0</v>
      </c>
      <c r="Y26" s="59">
        <f t="shared" si="1"/>
        <v>0</v>
      </c>
      <c r="Z26" s="51">
        <f t="shared" si="2"/>
        <v>0</v>
      </c>
      <c r="AA26" s="51">
        <f t="shared" si="12"/>
        <v>0</v>
      </c>
    </row>
    <row r="27" spans="1:34" x14ac:dyDescent="0.25">
      <c r="A27" s="30" t="s">
        <v>60</v>
      </c>
      <c r="B27" s="32" t="s">
        <v>65</v>
      </c>
      <c r="C27" s="31" t="s">
        <v>66</v>
      </c>
      <c r="D27" s="2"/>
      <c r="E27" s="2">
        <f>4/18</f>
        <v>0.22222222222222221</v>
      </c>
      <c r="F27" s="51">
        <v>0</v>
      </c>
      <c r="G27" s="51">
        <v>0</v>
      </c>
      <c r="H27" s="51">
        <v>0</v>
      </c>
      <c r="I27" s="51">
        <v>0</v>
      </c>
      <c r="J27" s="81">
        <f>J72/J117</f>
        <v>4583.3333333333339</v>
      </c>
      <c r="K27" s="51">
        <v>0</v>
      </c>
      <c r="L27" s="52">
        <v>0</v>
      </c>
      <c r="M27" s="81">
        <f>M72/M117</f>
        <v>11250</v>
      </c>
      <c r="N27" s="51">
        <v>0</v>
      </c>
      <c r="O27" s="51">
        <v>0</v>
      </c>
      <c r="P27" s="51">
        <v>0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51">
        <v>0</v>
      </c>
      <c r="X27" s="55">
        <v>0</v>
      </c>
      <c r="Y27" s="59">
        <f t="shared" si="1"/>
        <v>4583.3333333333339</v>
      </c>
      <c r="Z27" s="51">
        <f t="shared" si="2"/>
        <v>11250</v>
      </c>
      <c r="AA27" s="51">
        <f t="shared" si="12"/>
        <v>15833.333333333334</v>
      </c>
    </row>
    <row r="28" spans="1:34" x14ac:dyDescent="0.25">
      <c r="A28" s="30" t="s">
        <v>60</v>
      </c>
      <c r="B28" s="32" t="s">
        <v>65</v>
      </c>
      <c r="C28" s="31" t="s">
        <v>67</v>
      </c>
      <c r="D28" s="2"/>
      <c r="E28" s="2"/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2">
        <v>0</v>
      </c>
      <c r="M28" s="51">
        <v>0</v>
      </c>
      <c r="N28" s="51">
        <v>0</v>
      </c>
      <c r="O28" s="51">
        <v>0</v>
      </c>
      <c r="P28" s="51">
        <v>0</v>
      </c>
      <c r="Q28" s="81">
        <f>Q73/Q118</f>
        <v>24666.666666666668</v>
      </c>
      <c r="R28" s="81">
        <f>R73/R118</f>
        <v>15555.555555555557</v>
      </c>
      <c r="S28" s="51">
        <v>0</v>
      </c>
      <c r="T28" s="81">
        <f>T73/T118</f>
        <v>13611.111111111111</v>
      </c>
      <c r="U28" s="81">
        <f>U73/U118</f>
        <v>4545.454545454545</v>
      </c>
      <c r="V28" s="81">
        <f>V73/V118</f>
        <v>4166.666666666667</v>
      </c>
      <c r="W28" s="81">
        <f>W73/W118</f>
        <v>7083.3333333333339</v>
      </c>
      <c r="X28" s="81">
        <f>X73/X118</f>
        <v>6666.666666666667</v>
      </c>
      <c r="Y28" s="59">
        <f t="shared" si="1"/>
        <v>0</v>
      </c>
      <c r="Z28" s="51">
        <f t="shared" si="2"/>
        <v>76295.454545454544</v>
      </c>
      <c r="AA28" s="51">
        <f t="shared" si="12"/>
        <v>76295.454545454544</v>
      </c>
    </row>
    <row r="29" spans="1:34" x14ac:dyDescent="0.25">
      <c r="A29" s="30" t="s">
        <v>60</v>
      </c>
      <c r="B29" s="32" t="s">
        <v>65</v>
      </c>
      <c r="C29" s="31" t="s">
        <v>68</v>
      </c>
      <c r="D29" s="2"/>
      <c r="E29" s="2"/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81">
        <f>L74/L119</f>
        <v>235294.1176470588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  <c r="R29" s="51">
        <v>0</v>
      </c>
      <c r="S29" s="51">
        <v>0</v>
      </c>
      <c r="T29" s="51">
        <v>0</v>
      </c>
      <c r="U29" s="51">
        <v>0</v>
      </c>
      <c r="V29" s="51">
        <v>0</v>
      </c>
      <c r="W29" s="51">
        <v>0</v>
      </c>
      <c r="X29" s="55">
        <v>0</v>
      </c>
      <c r="Y29" s="59">
        <f t="shared" si="1"/>
        <v>0</v>
      </c>
      <c r="Z29" s="51">
        <f t="shared" si="2"/>
        <v>0</v>
      </c>
      <c r="AA29" s="51">
        <f t="shared" si="12"/>
        <v>235294.1176470588</v>
      </c>
    </row>
    <row r="30" spans="1:34" x14ac:dyDescent="0.25">
      <c r="A30" s="30" t="s">
        <v>60</v>
      </c>
      <c r="B30" s="32" t="s">
        <v>9</v>
      </c>
      <c r="C30" s="31" t="s">
        <v>69</v>
      </c>
      <c r="D30" s="2"/>
      <c r="E30" s="2"/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2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  <c r="R30" s="51">
        <v>0</v>
      </c>
      <c r="S30" s="51">
        <v>0</v>
      </c>
      <c r="T30" s="51">
        <v>0</v>
      </c>
      <c r="U30" s="51">
        <v>0</v>
      </c>
      <c r="V30" s="96">
        <v>760</v>
      </c>
      <c r="W30" s="51">
        <v>0</v>
      </c>
      <c r="X30" s="81">
        <f>X75/X120</f>
        <v>1488.0952380952381</v>
      </c>
      <c r="Y30" s="59">
        <f t="shared" si="1"/>
        <v>0</v>
      </c>
      <c r="Z30" s="51">
        <f t="shared" si="2"/>
        <v>2248.0952380952381</v>
      </c>
      <c r="AA30" s="51">
        <f t="shared" si="12"/>
        <v>2248.0952380952381</v>
      </c>
    </row>
    <row r="31" spans="1:34" x14ac:dyDescent="0.25">
      <c r="A31" s="15" t="s">
        <v>51</v>
      </c>
      <c r="B31" s="16" t="s">
        <v>56</v>
      </c>
      <c r="C31" s="27" t="s">
        <v>57</v>
      </c>
      <c r="D31" s="16" t="s">
        <v>70</v>
      </c>
      <c r="E31" s="43"/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52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54">
        <v>0</v>
      </c>
      <c r="Y31" s="58">
        <f t="shared" si="1"/>
        <v>0</v>
      </c>
      <c r="Z31" s="1">
        <f t="shared" si="2"/>
        <v>0</v>
      </c>
      <c r="AA31" s="1">
        <f t="shared" si="12"/>
        <v>0</v>
      </c>
      <c r="AH31">
        <f>52/128*2000</f>
        <v>812.5</v>
      </c>
    </row>
    <row r="32" spans="1:34" x14ac:dyDescent="0.25">
      <c r="A32" s="15" t="s">
        <v>51</v>
      </c>
      <c r="B32" s="16" t="s">
        <v>56</v>
      </c>
      <c r="C32" s="27" t="s">
        <v>57</v>
      </c>
      <c r="D32" s="16" t="s">
        <v>71</v>
      </c>
      <c r="E32" s="43"/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52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54">
        <v>0</v>
      </c>
      <c r="Y32" s="58">
        <f t="shared" si="1"/>
        <v>0</v>
      </c>
      <c r="Z32" s="1">
        <f t="shared" si="2"/>
        <v>0</v>
      </c>
      <c r="AA32" s="1">
        <f t="shared" si="12"/>
        <v>0</v>
      </c>
    </row>
    <row r="33" spans="1:33" x14ac:dyDescent="0.25">
      <c r="A33" s="15" t="s">
        <v>51</v>
      </c>
      <c r="B33" s="16" t="s">
        <v>56</v>
      </c>
      <c r="C33" s="27" t="s">
        <v>27</v>
      </c>
      <c r="D33" s="16" t="s">
        <v>72</v>
      </c>
      <c r="E33" s="43"/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52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54">
        <v>0</v>
      </c>
      <c r="Y33" s="58">
        <f t="shared" si="1"/>
        <v>0</v>
      </c>
      <c r="Z33" s="1">
        <f t="shared" si="2"/>
        <v>0</v>
      </c>
      <c r="AA33" s="1">
        <f t="shared" si="12"/>
        <v>0</v>
      </c>
    </row>
    <row r="34" spans="1:33" x14ac:dyDescent="0.25">
      <c r="A34" s="15" t="s">
        <v>51</v>
      </c>
      <c r="B34" s="16" t="s">
        <v>56</v>
      </c>
      <c r="C34" s="27" t="s">
        <v>57</v>
      </c>
      <c r="D34" s="16" t="s">
        <v>73</v>
      </c>
      <c r="E34" s="43"/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52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54">
        <v>0</v>
      </c>
      <c r="Y34" s="58">
        <f t="shared" si="1"/>
        <v>0</v>
      </c>
      <c r="Z34" s="1">
        <f t="shared" si="2"/>
        <v>0</v>
      </c>
      <c r="AA34" s="1">
        <f t="shared" si="12"/>
        <v>0</v>
      </c>
    </row>
    <row r="35" spans="1:33" x14ac:dyDescent="0.25">
      <c r="A35" s="15" t="s">
        <v>51</v>
      </c>
      <c r="B35" s="16" t="s">
        <v>56</v>
      </c>
      <c r="C35" s="27" t="s">
        <v>57</v>
      </c>
      <c r="D35" s="16" t="s">
        <v>74</v>
      </c>
      <c r="E35" s="43"/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52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54">
        <v>0</v>
      </c>
      <c r="Y35" s="58">
        <f t="shared" si="1"/>
        <v>0</v>
      </c>
      <c r="Z35" s="1">
        <f t="shared" si="2"/>
        <v>0</v>
      </c>
      <c r="AA35" s="1">
        <f t="shared" si="12"/>
        <v>0</v>
      </c>
      <c r="AC35" t="s">
        <v>105</v>
      </c>
    </row>
    <row r="36" spans="1:33" x14ac:dyDescent="0.25">
      <c r="A36" s="30" t="s">
        <v>60</v>
      </c>
      <c r="B36" s="31" t="s">
        <v>13</v>
      </c>
      <c r="C36" s="32" t="s">
        <v>61</v>
      </c>
      <c r="D36" s="31" t="s">
        <v>75</v>
      </c>
      <c r="E36" s="72">
        <v>0.23</v>
      </c>
      <c r="F36" s="51">
        <f>F21*0.5</f>
        <v>3440</v>
      </c>
      <c r="G36" s="73"/>
      <c r="H36" s="51">
        <f>H21</f>
        <v>4590</v>
      </c>
      <c r="I36" s="51">
        <f>I21*0.7</f>
        <v>2058</v>
      </c>
      <c r="J36" s="51">
        <f>J21*0.3</f>
        <v>558</v>
      </c>
      <c r="K36" s="51">
        <f>K21*0.8</f>
        <v>640</v>
      </c>
      <c r="L36" s="52">
        <v>0</v>
      </c>
      <c r="M36" s="73">
        <f>M21*0.1</f>
        <v>395.06172839506172</v>
      </c>
      <c r="N36" s="73">
        <v>0</v>
      </c>
      <c r="O36" s="73">
        <v>0</v>
      </c>
      <c r="P36" s="73">
        <v>0</v>
      </c>
      <c r="Q36" s="73"/>
      <c r="R36" s="73"/>
      <c r="S36" s="51"/>
      <c r="T36" s="51"/>
      <c r="U36" s="51"/>
      <c r="V36" s="51"/>
      <c r="W36" s="51">
        <f>W21</f>
        <v>1166.6666666666667</v>
      </c>
      <c r="X36" s="55">
        <f>X21*0.1</f>
        <v>1000</v>
      </c>
      <c r="Y36" s="108">
        <f t="shared" si="1"/>
        <v>11286</v>
      </c>
      <c r="Z36" s="73">
        <f t="shared" si="2"/>
        <v>2561.7283950617284</v>
      </c>
      <c r="AA36" s="73">
        <f t="shared" si="12"/>
        <v>13847.728395061727</v>
      </c>
      <c r="AB36">
        <f>AA36/AA$10</f>
        <v>0.19478088345609418</v>
      </c>
      <c r="AC36" s="71" t="e">
        <f>#REF!</f>
        <v>#REF!</v>
      </c>
    </row>
    <row r="37" spans="1:33" x14ac:dyDescent="0.25">
      <c r="A37" s="30" t="s">
        <v>60</v>
      </c>
      <c r="B37" s="31" t="s">
        <v>13</v>
      </c>
      <c r="C37" s="32" t="s">
        <v>61</v>
      </c>
      <c r="D37" s="31" t="s">
        <v>76</v>
      </c>
      <c r="E37" s="72">
        <v>0.38</v>
      </c>
      <c r="F37" s="51">
        <f>F21*0.5</f>
        <v>3440</v>
      </c>
      <c r="G37" s="51">
        <v>0</v>
      </c>
      <c r="H37" s="51">
        <v>0</v>
      </c>
      <c r="I37" s="51">
        <f>I21*0.25</f>
        <v>735</v>
      </c>
      <c r="J37" s="51">
        <f>J21*0.7</f>
        <v>1302</v>
      </c>
      <c r="K37" s="51">
        <f>K21*0.05</f>
        <v>40</v>
      </c>
      <c r="L37" s="52">
        <v>0</v>
      </c>
      <c r="M37" s="73">
        <f>M21*0.4</f>
        <v>1580.2469135802469</v>
      </c>
      <c r="N37" s="73">
        <f>N21</f>
        <v>1440</v>
      </c>
      <c r="O37" s="73">
        <f>O21*0.3</f>
        <v>600</v>
      </c>
      <c r="P37" s="73">
        <f>P21*0.2</f>
        <v>2000</v>
      </c>
      <c r="Q37" s="73"/>
      <c r="R37" s="73">
        <f>R21</f>
        <v>978.26086956521738</v>
      </c>
      <c r="S37" s="51"/>
      <c r="T37" s="51"/>
      <c r="U37" s="51"/>
      <c r="V37" s="51"/>
      <c r="W37" s="51"/>
      <c r="X37" s="55">
        <f>X21*0.1</f>
        <v>1000</v>
      </c>
      <c r="Y37" s="108">
        <f t="shared" si="1"/>
        <v>5517</v>
      </c>
      <c r="Z37" s="73">
        <f t="shared" si="2"/>
        <v>7598.5077831454637</v>
      </c>
      <c r="AA37" s="73">
        <f t="shared" si="12"/>
        <v>13115.507783145464</v>
      </c>
      <c r="AB37">
        <f t="shared" ref="AB37:AB44" si="13">AA37/AA$10</f>
        <v>0.18448153517275603</v>
      </c>
      <c r="AC37" s="71" t="e">
        <f>#REF!+#REF!</f>
        <v>#REF!</v>
      </c>
    </row>
    <row r="38" spans="1:33" x14ac:dyDescent="0.25">
      <c r="A38" s="30" t="s">
        <v>60</v>
      </c>
      <c r="B38" s="31" t="s">
        <v>13</v>
      </c>
      <c r="C38" s="32" t="s">
        <v>61</v>
      </c>
      <c r="D38" s="31" t="s">
        <v>77</v>
      </c>
      <c r="E38" s="72">
        <v>0.34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f>K21*0.1</f>
        <v>80</v>
      </c>
      <c r="L38" s="52">
        <v>0</v>
      </c>
      <c r="M38" s="73">
        <f>M21*0.5</f>
        <v>1975.3086419753085</v>
      </c>
      <c r="N38" s="73">
        <v>0</v>
      </c>
      <c r="O38" s="73">
        <f>O21*0.7</f>
        <v>1400</v>
      </c>
      <c r="P38" s="73">
        <f>P21*0.7</f>
        <v>7000</v>
      </c>
      <c r="Q38" s="73"/>
      <c r="R38" s="73"/>
      <c r="S38" s="51"/>
      <c r="T38" s="51">
        <f>T21</f>
        <v>375</v>
      </c>
      <c r="U38" s="51">
        <f>U21</f>
        <v>833.33333333333337</v>
      </c>
      <c r="V38" s="51"/>
      <c r="W38" s="51"/>
      <c r="X38" s="55">
        <f>X21*0.7</f>
        <v>7000</v>
      </c>
      <c r="Y38" s="108">
        <f t="shared" si="1"/>
        <v>80</v>
      </c>
      <c r="Z38" s="73">
        <f t="shared" si="2"/>
        <v>18583.641975308645</v>
      </c>
      <c r="AA38" s="73">
        <f t="shared" si="12"/>
        <v>18663.641975308645</v>
      </c>
      <c r="AB38">
        <f t="shared" si="13"/>
        <v>0.26252108423467208</v>
      </c>
      <c r="AC38" s="71" t="e">
        <f>#REF!</f>
        <v>#REF!</v>
      </c>
      <c r="AF38" t="s">
        <v>95</v>
      </c>
      <c r="AG38" s="70">
        <v>0.22857142857142856</v>
      </c>
    </row>
    <row r="39" spans="1:33" x14ac:dyDescent="0.25">
      <c r="A39" s="30" t="s">
        <v>60</v>
      </c>
      <c r="B39" s="31" t="s">
        <v>13</v>
      </c>
      <c r="C39" s="32" t="s">
        <v>61</v>
      </c>
      <c r="D39" s="31" t="s">
        <v>78</v>
      </c>
      <c r="E39" s="72">
        <v>0.05</v>
      </c>
      <c r="F39" s="51">
        <v>0</v>
      </c>
      <c r="G39" s="51">
        <v>0</v>
      </c>
      <c r="H39" s="51">
        <v>0</v>
      </c>
      <c r="I39" s="51">
        <f>I21*0.05</f>
        <v>147</v>
      </c>
      <c r="J39" s="51">
        <v>0</v>
      </c>
      <c r="K39" s="51">
        <f>K21*0.05</f>
        <v>40</v>
      </c>
      <c r="L39" s="52">
        <v>0</v>
      </c>
      <c r="M39" s="73">
        <f>M21*0</f>
        <v>0</v>
      </c>
      <c r="N39" s="73">
        <v>0</v>
      </c>
      <c r="O39" s="73">
        <f>O21*0</f>
        <v>0</v>
      </c>
      <c r="P39" s="73">
        <f>(P21)*0.1</f>
        <v>1000</v>
      </c>
      <c r="Q39" s="73">
        <f>Q21</f>
        <v>300</v>
      </c>
      <c r="R39" s="73"/>
      <c r="S39" s="51"/>
      <c r="T39" s="51"/>
      <c r="U39" s="51"/>
      <c r="V39" s="51"/>
      <c r="W39" s="51"/>
      <c r="X39" s="55">
        <f>X21*0.1</f>
        <v>1000</v>
      </c>
      <c r="Y39" s="108">
        <f t="shared" si="1"/>
        <v>187</v>
      </c>
      <c r="Z39" s="73">
        <f>SUM(M39:X39)</f>
        <v>2300</v>
      </c>
      <c r="AA39" s="73">
        <f t="shared" si="12"/>
        <v>2487</v>
      </c>
      <c r="AB39">
        <f t="shared" si="13"/>
        <v>3.4981914963616446E-2</v>
      </c>
      <c r="AC39" s="71" t="e">
        <f>#REF!</f>
        <v>#REF!</v>
      </c>
      <c r="AF39" t="s">
        <v>143</v>
      </c>
      <c r="AG39" s="70">
        <v>0.31428571428571428</v>
      </c>
    </row>
    <row r="40" spans="1:33" ht="15.75" thickBot="1" x14ac:dyDescent="0.3">
      <c r="A40" s="33" t="s">
        <v>60</v>
      </c>
      <c r="B40" s="34" t="s">
        <v>13</v>
      </c>
      <c r="C40" s="35" t="s">
        <v>61</v>
      </c>
      <c r="D40" s="34" t="s">
        <v>79</v>
      </c>
      <c r="E40" s="43"/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2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  <c r="V40" s="51">
        <v>0</v>
      </c>
      <c r="W40" s="51">
        <v>0</v>
      </c>
      <c r="X40" s="55">
        <v>0</v>
      </c>
      <c r="Y40" s="108">
        <f t="shared" si="1"/>
        <v>0</v>
      </c>
      <c r="Z40" s="73">
        <f t="shared" si="2"/>
        <v>0</v>
      </c>
      <c r="AA40" s="73">
        <f t="shared" si="12"/>
        <v>0</v>
      </c>
      <c r="AB40">
        <f t="shared" si="13"/>
        <v>0</v>
      </c>
      <c r="AF40" t="s">
        <v>142</v>
      </c>
      <c r="AG40" s="70">
        <v>6.8571428571428575E-2</v>
      </c>
    </row>
    <row r="41" spans="1:33" x14ac:dyDescent="0.25">
      <c r="A41" s="30" t="s">
        <v>60</v>
      </c>
      <c r="B41" s="31" t="s">
        <v>13</v>
      </c>
      <c r="C41" s="32" t="s">
        <v>62</v>
      </c>
      <c r="D41" s="31" t="s">
        <v>75</v>
      </c>
      <c r="E41" s="43"/>
      <c r="F41" s="51"/>
      <c r="G41" s="73">
        <f>G22*0.5</f>
        <v>2800.0000000000005</v>
      </c>
      <c r="H41" s="51">
        <f>H22*0.2</f>
        <v>1122</v>
      </c>
      <c r="I41" s="51">
        <v>0</v>
      </c>
      <c r="J41" s="51">
        <v>0</v>
      </c>
      <c r="K41" s="51">
        <v>0</v>
      </c>
      <c r="L41" s="52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  <c r="R41" s="51">
        <v>0</v>
      </c>
      <c r="S41" s="51">
        <v>0</v>
      </c>
      <c r="T41" s="51">
        <v>0</v>
      </c>
      <c r="U41" s="51">
        <v>0</v>
      </c>
      <c r="V41" s="51">
        <v>0</v>
      </c>
      <c r="W41" s="51">
        <v>0</v>
      </c>
      <c r="X41" s="55">
        <v>0</v>
      </c>
      <c r="Y41" s="108">
        <f t="shared" si="1"/>
        <v>3922.0000000000005</v>
      </c>
      <c r="Z41" s="73">
        <f t="shared" si="2"/>
        <v>0</v>
      </c>
      <c r="AA41" s="73">
        <f t="shared" si="12"/>
        <v>3922.0000000000005</v>
      </c>
      <c r="AB41">
        <f t="shared" si="13"/>
        <v>5.5166493963531855E-2</v>
      </c>
      <c r="AF41" t="s">
        <v>96</v>
      </c>
      <c r="AG41" s="70">
        <v>4.5714285714285714E-2</v>
      </c>
    </row>
    <row r="42" spans="1:33" x14ac:dyDescent="0.25">
      <c r="A42" s="30" t="s">
        <v>60</v>
      </c>
      <c r="B42" s="31" t="s">
        <v>13</v>
      </c>
      <c r="C42" s="32" t="s">
        <v>62</v>
      </c>
      <c r="D42" s="31" t="s">
        <v>76</v>
      </c>
      <c r="E42" s="43"/>
      <c r="F42" s="51">
        <f>F22</f>
        <v>1720</v>
      </c>
      <c r="G42" s="51">
        <f>G22*0.5</f>
        <v>2800.0000000000005</v>
      </c>
      <c r="H42" s="51">
        <f>H22*0.8</f>
        <v>4488</v>
      </c>
      <c r="I42" s="51">
        <v>0</v>
      </c>
      <c r="J42" s="51">
        <v>0</v>
      </c>
      <c r="K42" s="51">
        <v>0</v>
      </c>
      <c r="L42" s="52">
        <v>0</v>
      </c>
      <c r="M42" s="51">
        <v>0</v>
      </c>
      <c r="N42" s="51">
        <v>0</v>
      </c>
      <c r="O42" s="51">
        <v>0</v>
      </c>
      <c r="P42" s="51">
        <f>P22</f>
        <v>10000</v>
      </c>
      <c r="Q42" s="51">
        <v>0</v>
      </c>
      <c r="R42" s="51">
        <v>0</v>
      </c>
      <c r="S42" s="51">
        <v>0</v>
      </c>
      <c r="T42" s="51">
        <v>0</v>
      </c>
      <c r="U42" s="51">
        <v>0</v>
      </c>
      <c r="V42" s="51">
        <v>0</v>
      </c>
      <c r="W42" s="51">
        <v>0</v>
      </c>
      <c r="X42" s="55">
        <v>0</v>
      </c>
      <c r="Y42" s="108">
        <f t="shared" si="1"/>
        <v>9008</v>
      </c>
      <c r="Z42" s="73">
        <f t="shared" si="2"/>
        <v>10000</v>
      </c>
      <c r="AA42" s="73">
        <f t="shared" si="12"/>
        <v>19008</v>
      </c>
      <c r="AB42">
        <f t="shared" si="13"/>
        <v>0.26736479277379227</v>
      </c>
      <c r="AF42" t="s">
        <v>32</v>
      </c>
      <c r="AG42" s="70">
        <v>0.34285714285714286</v>
      </c>
    </row>
    <row r="43" spans="1:33" x14ac:dyDescent="0.25">
      <c r="A43" s="30" t="s">
        <v>60</v>
      </c>
      <c r="B43" s="31" t="s">
        <v>13</v>
      </c>
      <c r="C43" s="32" t="s">
        <v>62</v>
      </c>
      <c r="D43" s="31" t="s">
        <v>77</v>
      </c>
      <c r="E43" s="43"/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2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  <c r="R43" s="51">
        <v>0</v>
      </c>
      <c r="S43" s="51">
        <v>0</v>
      </c>
      <c r="T43" s="51">
        <v>0</v>
      </c>
      <c r="U43" s="51">
        <v>0</v>
      </c>
      <c r="V43" s="51">
        <v>0</v>
      </c>
      <c r="W43" s="51">
        <v>0</v>
      </c>
      <c r="X43" s="55">
        <v>0</v>
      </c>
      <c r="Y43" s="59">
        <f t="shared" si="1"/>
        <v>0</v>
      </c>
      <c r="Z43" s="51">
        <f t="shared" si="2"/>
        <v>0</v>
      </c>
      <c r="AA43" s="51">
        <f t="shared" si="12"/>
        <v>0</v>
      </c>
      <c r="AB43">
        <f t="shared" si="13"/>
        <v>0</v>
      </c>
      <c r="AF43" t="s">
        <v>2</v>
      </c>
      <c r="AG43" s="70">
        <v>1</v>
      </c>
    </row>
    <row r="44" spans="1:33" x14ac:dyDescent="0.25">
      <c r="A44" s="30" t="s">
        <v>60</v>
      </c>
      <c r="B44" s="31" t="s">
        <v>13</v>
      </c>
      <c r="C44" s="32" t="s">
        <v>62</v>
      </c>
      <c r="D44" s="31" t="s">
        <v>78</v>
      </c>
      <c r="E44" s="43"/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2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  <c r="R44" s="51">
        <v>0</v>
      </c>
      <c r="S44" s="51">
        <v>0</v>
      </c>
      <c r="T44" s="51">
        <v>0</v>
      </c>
      <c r="U44" s="51">
        <v>0</v>
      </c>
      <c r="V44" s="51">
        <v>0</v>
      </c>
      <c r="W44" s="51">
        <v>0</v>
      </c>
      <c r="X44" s="55">
        <v>0</v>
      </c>
      <c r="Y44" s="59">
        <f t="shared" si="1"/>
        <v>0</v>
      </c>
      <c r="Z44" s="51">
        <f t="shared" si="2"/>
        <v>0</v>
      </c>
      <c r="AA44" s="51">
        <f t="shared" si="12"/>
        <v>0</v>
      </c>
      <c r="AB44">
        <f t="shared" si="13"/>
        <v>0</v>
      </c>
    </row>
    <row r="45" spans="1:33" ht="15.75" thickBot="1" x14ac:dyDescent="0.3">
      <c r="A45" s="33" t="s">
        <v>60</v>
      </c>
      <c r="B45" s="34" t="s">
        <v>13</v>
      </c>
      <c r="C45" s="32" t="s">
        <v>62</v>
      </c>
      <c r="D45" s="34" t="s">
        <v>79</v>
      </c>
      <c r="E45" s="43"/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2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  <c r="R45" s="51">
        <v>0</v>
      </c>
      <c r="S45" s="51">
        <v>0</v>
      </c>
      <c r="T45" s="51">
        <v>0</v>
      </c>
      <c r="U45" s="51">
        <v>0</v>
      </c>
      <c r="V45" s="51">
        <v>0</v>
      </c>
      <c r="W45" s="51">
        <v>0</v>
      </c>
      <c r="X45" s="55">
        <v>0</v>
      </c>
      <c r="Y45" s="59">
        <f t="shared" si="1"/>
        <v>0</v>
      </c>
      <c r="Z45" s="51">
        <f t="shared" si="2"/>
        <v>0</v>
      </c>
      <c r="AA45" s="51">
        <f t="shared" si="12"/>
        <v>0</v>
      </c>
    </row>
    <row r="47" spans="1:33" x14ac:dyDescent="0.25">
      <c r="D47" s="41" t="s">
        <v>18</v>
      </c>
      <c r="E47" s="41"/>
      <c r="M47" s="24" t="s">
        <v>81</v>
      </c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  <row r="48" spans="1:33" x14ac:dyDescent="0.25">
      <c r="F48" s="23" t="s">
        <v>44</v>
      </c>
      <c r="G48" s="23"/>
      <c r="H48" s="23"/>
      <c r="I48" s="23"/>
      <c r="J48" s="23"/>
      <c r="K48" s="23"/>
      <c r="L48" s="7" t="s">
        <v>30</v>
      </c>
      <c r="M48" s="24" t="s">
        <v>46</v>
      </c>
      <c r="N48" s="24"/>
      <c r="O48" s="24"/>
      <c r="P48" s="24"/>
      <c r="Q48" s="24"/>
      <c r="R48" s="24" t="s">
        <v>47</v>
      </c>
      <c r="S48" s="24"/>
      <c r="T48" s="24"/>
      <c r="U48" s="24"/>
      <c r="V48" s="24"/>
      <c r="W48" s="24"/>
      <c r="X48" s="24"/>
      <c r="Y48" s="44" t="s">
        <v>85</v>
      </c>
      <c r="Z48" s="44" t="s">
        <v>48</v>
      </c>
      <c r="AA48" s="44" t="s">
        <v>3</v>
      </c>
    </row>
    <row r="49" spans="1:34" ht="63" x14ac:dyDescent="0.25">
      <c r="F49" s="38" t="s">
        <v>36</v>
      </c>
      <c r="G49" s="38" t="s">
        <v>37</v>
      </c>
      <c r="H49" s="38" t="s">
        <v>38</v>
      </c>
      <c r="I49" s="38" t="s">
        <v>80</v>
      </c>
      <c r="J49" s="38" t="s">
        <v>39</v>
      </c>
      <c r="K49" s="38" t="s">
        <v>45</v>
      </c>
      <c r="L49" s="39" t="s">
        <v>16</v>
      </c>
      <c r="M49" s="40" t="s">
        <v>34</v>
      </c>
      <c r="N49" s="40" t="s">
        <v>5</v>
      </c>
      <c r="O49" s="40" t="s">
        <v>7</v>
      </c>
      <c r="P49" s="40" t="s">
        <v>8</v>
      </c>
      <c r="Q49" s="40" t="s">
        <v>40</v>
      </c>
      <c r="R49" s="40" t="s">
        <v>41</v>
      </c>
      <c r="S49" s="40" t="s">
        <v>42</v>
      </c>
      <c r="T49" s="40" t="s">
        <v>31</v>
      </c>
      <c r="U49" s="40" t="s">
        <v>125</v>
      </c>
      <c r="V49" s="40" t="s">
        <v>82</v>
      </c>
      <c r="W49" s="40" t="s">
        <v>87</v>
      </c>
      <c r="X49" s="40" t="s">
        <v>83</v>
      </c>
      <c r="Y49" s="45" t="s">
        <v>3</v>
      </c>
      <c r="Z49" s="45" t="s">
        <v>3</v>
      </c>
      <c r="AA49" s="45" t="s">
        <v>3</v>
      </c>
    </row>
    <row r="50" spans="1:34" x14ac:dyDescent="0.25">
      <c r="A50" s="15" t="s">
        <v>51</v>
      </c>
      <c r="B50" s="2"/>
      <c r="C50" s="2"/>
      <c r="F50" s="1">
        <f t="shared" ref="F50:X50" si="14">F52+F53+F54</f>
        <v>0</v>
      </c>
      <c r="G50" s="1">
        <f t="shared" si="14"/>
        <v>0</v>
      </c>
      <c r="H50" s="1">
        <f t="shared" si="14"/>
        <v>0</v>
      </c>
      <c r="I50" s="1">
        <f t="shared" si="14"/>
        <v>0</v>
      </c>
      <c r="J50" s="1">
        <f t="shared" si="14"/>
        <v>0</v>
      </c>
      <c r="K50" s="1">
        <f t="shared" si="14"/>
        <v>0</v>
      </c>
      <c r="L50" s="52">
        <f t="shared" si="14"/>
        <v>0</v>
      </c>
      <c r="M50" s="1">
        <f t="shared" si="14"/>
        <v>0</v>
      </c>
      <c r="N50" s="1">
        <f t="shared" si="14"/>
        <v>0</v>
      </c>
      <c r="O50" s="1">
        <f t="shared" si="14"/>
        <v>0</v>
      </c>
      <c r="P50" s="1">
        <f t="shared" si="14"/>
        <v>0</v>
      </c>
      <c r="Q50" s="1">
        <f t="shared" si="14"/>
        <v>0</v>
      </c>
      <c r="R50" s="1">
        <f t="shared" si="14"/>
        <v>0</v>
      </c>
      <c r="S50" s="1">
        <f t="shared" si="14"/>
        <v>0</v>
      </c>
      <c r="T50" s="1">
        <f t="shared" si="14"/>
        <v>0</v>
      </c>
      <c r="U50" s="1">
        <f t="shared" si="14"/>
        <v>0</v>
      </c>
      <c r="V50" s="1">
        <f t="shared" si="14"/>
        <v>0</v>
      </c>
      <c r="W50" s="1">
        <f t="shared" si="14"/>
        <v>0</v>
      </c>
      <c r="X50" s="1">
        <f t="shared" si="14"/>
        <v>0</v>
      </c>
      <c r="Y50" s="58">
        <f t="shared" ref="Y50:Y90" si="15">SUM(F50:K50)</f>
        <v>0</v>
      </c>
      <c r="Z50" s="1">
        <f t="shared" ref="Z50:Z90" si="16">SUM(M50:X50)</f>
        <v>0</v>
      </c>
      <c r="AA50" s="1">
        <f t="shared" ref="AA50:AA56" si="17">L50+Y50+Z50</f>
        <v>0</v>
      </c>
      <c r="AB50" s="44" t="s">
        <v>85</v>
      </c>
      <c r="AC50" s="44" t="s">
        <v>48</v>
      </c>
      <c r="AD50" t="s">
        <v>30</v>
      </c>
    </row>
    <row r="51" spans="1:34" x14ac:dyDescent="0.25">
      <c r="A51" s="30" t="s">
        <v>60</v>
      </c>
      <c r="B51" s="2"/>
      <c r="C51" s="2"/>
      <c r="F51" s="1">
        <f>F55+F56+F57+F58</f>
        <v>1495.4322000000002</v>
      </c>
      <c r="G51" s="1">
        <f t="shared" ref="G51:X51" si="18">G55+G56+G57+G58</f>
        <v>1395.9938893981057</v>
      </c>
      <c r="H51" s="1">
        <f t="shared" si="18"/>
        <v>3300</v>
      </c>
      <c r="I51" s="1">
        <f t="shared" si="18"/>
        <v>776</v>
      </c>
      <c r="J51" s="1">
        <f t="shared" si="18"/>
        <v>1835.58</v>
      </c>
      <c r="K51" s="1">
        <f t="shared" si="18"/>
        <v>2032.42</v>
      </c>
      <c r="L51" s="52">
        <f t="shared" si="18"/>
        <v>20000</v>
      </c>
      <c r="M51" s="91">
        <v>2900</v>
      </c>
      <c r="N51" s="1">
        <f t="shared" si="18"/>
        <v>838</v>
      </c>
      <c r="O51" s="1">
        <f t="shared" si="18"/>
        <v>889</v>
      </c>
      <c r="P51" s="1">
        <f t="shared" si="18"/>
        <v>4600</v>
      </c>
      <c r="Q51" s="1">
        <f>Q55+Q56+Q57+Q58</f>
        <v>3850</v>
      </c>
      <c r="R51" s="1">
        <f t="shared" si="18"/>
        <v>3250</v>
      </c>
      <c r="S51" s="1">
        <f t="shared" si="18"/>
        <v>60</v>
      </c>
      <c r="T51" s="1">
        <f t="shared" si="18"/>
        <v>2890</v>
      </c>
      <c r="U51" s="1">
        <f t="shared" si="18"/>
        <v>1400</v>
      </c>
      <c r="V51" s="1">
        <f t="shared" si="18"/>
        <v>1410</v>
      </c>
      <c r="W51" s="1">
        <f t="shared" si="18"/>
        <v>1550</v>
      </c>
      <c r="X51" s="54">
        <f t="shared" si="18"/>
        <v>6515</v>
      </c>
      <c r="Y51" s="58">
        <f t="shared" si="15"/>
        <v>10835.426089398106</v>
      </c>
      <c r="Z51" s="1">
        <f t="shared" si="16"/>
        <v>30152</v>
      </c>
      <c r="AA51" s="1">
        <f t="shared" si="17"/>
        <v>60987.426089398105</v>
      </c>
      <c r="AB51" s="105">
        <f>11250+M50</f>
        <v>11250</v>
      </c>
      <c r="AC51" s="91">
        <v>1600</v>
      </c>
      <c r="AD51" s="99">
        <v>11000</v>
      </c>
      <c r="AG51">
        <f>5000/225</f>
        <v>22.222222222222221</v>
      </c>
      <c r="AH51">
        <f>0.6/1.8</f>
        <v>0.33333333333333331</v>
      </c>
    </row>
    <row r="52" spans="1:34" x14ac:dyDescent="0.25">
      <c r="A52" s="15" t="s">
        <v>51</v>
      </c>
      <c r="B52" s="16" t="s">
        <v>52</v>
      </c>
      <c r="C52" s="2"/>
      <c r="F52" s="1">
        <f>F59+F60+F61</f>
        <v>0</v>
      </c>
      <c r="G52" s="1">
        <f t="shared" ref="G52:X52" si="19">G59+G60+G61</f>
        <v>0</v>
      </c>
      <c r="H52" s="1">
        <f t="shared" si="19"/>
        <v>0</v>
      </c>
      <c r="I52" s="1">
        <f t="shared" si="19"/>
        <v>0</v>
      </c>
      <c r="J52" s="1">
        <f t="shared" si="19"/>
        <v>0</v>
      </c>
      <c r="K52" s="1">
        <f t="shared" si="19"/>
        <v>0</v>
      </c>
      <c r="L52" s="52">
        <f t="shared" si="19"/>
        <v>0</v>
      </c>
      <c r="M52" s="1">
        <f t="shared" si="19"/>
        <v>0</v>
      </c>
      <c r="N52" s="1">
        <f t="shared" si="19"/>
        <v>0</v>
      </c>
      <c r="O52" s="1">
        <f t="shared" si="19"/>
        <v>0</v>
      </c>
      <c r="P52" s="1">
        <f t="shared" si="19"/>
        <v>0</v>
      </c>
      <c r="Q52" s="1">
        <f t="shared" si="19"/>
        <v>0</v>
      </c>
      <c r="R52" s="1">
        <f t="shared" si="19"/>
        <v>0</v>
      </c>
      <c r="S52" s="1">
        <f t="shared" si="19"/>
        <v>0</v>
      </c>
      <c r="T52" s="1">
        <f t="shared" si="19"/>
        <v>0</v>
      </c>
      <c r="U52" s="1">
        <f t="shared" si="19"/>
        <v>0</v>
      </c>
      <c r="V52" s="1">
        <f t="shared" si="19"/>
        <v>0</v>
      </c>
      <c r="W52" s="1">
        <f t="shared" si="19"/>
        <v>0</v>
      </c>
      <c r="X52" s="54">
        <f t="shared" si="19"/>
        <v>0</v>
      </c>
      <c r="Y52" s="58">
        <f t="shared" si="15"/>
        <v>0</v>
      </c>
      <c r="Z52" s="1">
        <f t="shared" si="16"/>
        <v>0</v>
      </c>
      <c r="AA52" s="1">
        <f t="shared" si="17"/>
        <v>0</v>
      </c>
      <c r="AB52" s="10" t="s">
        <v>88</v>
      </c>
    </row>
    <row r="53" spans="1:34" x14ac:dyDescent="0.25">
      <c r="A53" s="15" t="s">
        <v>51</v>
      </c>
      <c r="B53" s="16" t="s">
        <v>56</v>
      </c>
      <c r="C53" s="2"/>
      <c r="F53" s="1">
        <f>F62+F63+F64</f>
        <v>0</v>
      </c>
      <c r="G53" s="1">
        <f t="shared" ref="G53:X53" si="20">G62+G63+G64</f>
        <v>0</v>
      </c>
      <c r="H53" s="1">
        <f t="shared" si="20"/>
        <v>0</v>
      </c>
      <c r="I53" s="1">
        <f t="shared" si="20"/>
        <v>0</v>
      </c>
      <c r="J53" s="1">
        <f t="shared" si="20"/>
        <v>0</v>
      </c>
      <c r="K53" s="1">
        <f t="shared" si="20"/>
        <v>0</v>
      </c>
      <c r="L53" s="52">
        <f t="shared" si="20"/>
        <v>0</v>
      </c>
      <c r="M53" s="1">
        <f t="shared" si="20"/>
        <v>0</v>
      </c>
      <c r="N53" s="1">
        <f t="shared" si="20"/>
        <v>0</v>
      </c>
      <c r="O53" s="1">
        <f t="shared" si="20"/>
        <v>0</v>
      </c>
      <c r="P53" s="1">
        <f t="shared" si="20"/>
        <v>0</v>
      </c>
      <c r="Q53" s="1">
        <f t="shared" si="20"/>
        <v>0</v>
      </c>
      <c r="R53" s="1">
        <f t="shared" si="20"/>
        <v>0</v>
      </c>
      <c r="S53" s="1">
        <f t="shared" si="20"/>
        <v>0</v>
      </c>
      <c r="T53" s="1">
        <f t="shared" si="20"/>
        <v>0</v>
      </c>
      <c r="U53" s="1">
        <f t="shared" si="20"/>
        <v>0</v>
      </c>
      <c r="V53" s="1">
        <f t="shared" si="20"/>
        <v>0</v>
      </c>
      <c r="W53" s="1">
        <f t="shared" si="20"/>
        <v>0</v>
      </c>
      <c r="X53" s="54">
        <f t="shared" si="20"/>
        <v>0</v>
      </c>
      <c r="Y53" s="58">
        <f t="shared" si="15"/>
        <v>0</v>
      </c>
      <c r="Z53" s="1">
        <f t="shared" si="16"/>
        <v>0</v>
      </c>
      <c r="AA53" s="1">
        <f t="shared" si="17"/>
        <v>0</v>
      </c>
      <c r="AB53" t="s">
        <v>97</v>
      </c>
      <c r="AG53">
        <f>105*AG51</f>
        <v>2333.333333333333</v>
      </c>
    </row>
    <row r="54" spans="1:34" x14ac:dyDescent="0.25">
      <c r="A54" s="15" t="s">
        <v>51</v>
      </c>
      <c r="B54" s="16" t="s">
        <v>9</v>
      </c>
      <c r="C54" s="2"/>
      <c r="F54" s="1">
        <f>F65</f>
        <v>0</v>
      </c>
      <c r="G54" s="1">
        <f t="shared" ref="G54:X54" si="21">G65</f>
        <v>0</v>
      </c>
      <c r="H54" s="1">
        <f t="shared" si="21"/>
        <v>0</v>
      </c>
      <c r="I54" s="1">
        <f t="shared" si="21"/>
        <v>0</v>
      </c>
      <c r="J54" s="1">
        <f t="shared" si="21"/>
        <v>0</v>
      </c>
      <c r="K54" s="1">
        <f t="shared" si="21"/>
        <v>0</v>
      </c>
      <c r="L54" s="52">
        <f t="shared" si="21"/>
        <v>0</v>
      </c>
      <c r="M54" s="1">
        <f t="shared" si="21"/>
        <v>0</v>
      </c>
      <c r="N54" s="1">
        <f t="shared" si="21"/>
        <v>0</v>
      </c>
      <c r="O54" s="1">
        <f t="shared" si="21"/>
        <v>0</v>
      </c>
      <c r="P54" s="1"/>
      <c r="Q54" s="1">
        <f t="shared" si="21"/>
        <v>0</v>
      </c>
      <c r="R54" s="1">
        <f t="shared" si="21"/>
        <v>0</v>
      </c>
      <c r="S54" s="1">
        <f t="shared" si="21"/>
        <v>0</v>
      </c>
      <c r="T54" s="1">
        <f t="shared" si="21"/>
        <v>0</v>
      </c>
      <c r="U54" s="1">
        <f t="shared" si="21"/>
        <v>0</v>
      </c>
      <c r="V54" s="1">
        <f t="shared" si="21"/>
        <v>0</v>
      </c>
      <c r="W54" s="1">
        <f t="shared" si="21"/>
        <v>0</v>
      </c>
      <c r="X54" s="54">
        <f t="shared" si="21"/>
        <v>0</v>
      </c>
      <c r="Y54" s="58">
        <f t="shared" si="15"/>
        <v>0</v>
      </c>
      <c r="Z54" s="1">
        <f t="shared" si="16"/>
        <v>0</v>
      </c>
      <c r="AA54" s="1">
        <f t="shared" si="17"/>
        <v>0</v>
      </c>
    </row>
    <row r="55" spans="1:34" x14ac:dyDescent="0.25">
      <c r="A55" s="30" t="s">
        <v>60</v>
      </c>
      <c r="B55" s="32" t="s">
        <v>13</v>
      </c>
      <c r="C55" s="2"/>
      <c r="F55" s="51">
        <f>F66+F67+F68</f>
        <v>1495.4322000000002</v>
      </c>
      <c r="G55" s="51">
        <f t="shared" ref="G55:X55" si="22">G66+G67+G68</f>
        <v>1395.9938893981057</v>
      </c>
      <c r="H55" s="51">
        <f t="shared" si="22"/>
        <v>3300</v>
      </c>
      <c r="I55" s="51">
        <f t="shared" si="22"/>
        <v>776</v>
      </c>
      <c r="J55" s="51">
        <f t="shared" si="22"/>
        <v>1000</v>
      </c>
      <c r="K55" s="51">
        <f t="shared" si="22"/>
        <v>230</v>
      </c>
      <c r="L55" s="52">
        <f t="shared" si="22"/>
        <v>0</v>
      </c>
      <c r="M55" s="51">
        <f t="shared" si="22"/>
        <v>1600</v>
      </c>
      <c r="N55" s="51">
        <f t="shared" si="22"/>
        <v>438</v>
      </c>
      <c r="O55" s="51">
        <f t="shared" si="22"/>
        <v>889</v>
      </c>
      <c r="P55" s="51">
        <f t="shared" si="22"/>
        <v>4600</v>
      </c>
      <c r="Q55" s="51">
        <f t="shared" si="22"/>
        <v>150</v>
      </c>
      <c r="R55" s="51">
        <f t="shared" si="22"/>
        <v>450</v>
      </c>
      <c r="S55" s="51">
        <f t="shared" si="22"/>
        <v>0</v>
      </c>
      <c r="T55" s="51">
        <f t="shared" si="22"/>
        <v>180</v>
      </c>
      <c r="U55" s="51">
        <f t="shared" si="22"/>
        <v>400</v>
      </c>
      <c r="V55" s="51">
        <f t="shared" si="22"/>
        <v>60</v>
      </c>
      <c r="W55" s="51">
        <f t="shared" si="22"/>
        <v>700</v>
      </c>
      <c r="X55" s="55">
        <f t="shared" si="22"/>
        <v>5000</v>
      </c>
      <c r="Y55" s="59">
        <f t="shared" si="15"/>
        <v>8197.4260893981063</v>
      </c>
      <c r="Z55" s="51">
        <f t="shared" si="16"/>
        <v>14467</v>
      </c>
      <c r="AA55" s="1">
        <f t="shared" si="17"/>
        <v>22664.426089398105</v>
      </c>
      <c r="AB55" s="91">
        <v>22000</v>
      </c>
      <c r="AC55" t="s">
        <v>127</v>
      </c>
      <c r="AD55" t="s">
        <v>128</v>
      </c>
    </row>
    <row r="56" spans="1:34" x14ac:dyDescent="0.25">
      <c r="A56" s="30" t="s">
        <v>60</v>
      </c>
      <c r="B56" s="31" t="s">
        <v>23</v>
      </c>
      <c r="C56" s="2"/>
      <c r="F56" s="51">
        <f>F69+F70+F71</f>
        <v>0</v>
      </c>
      <c r="G56" s="51">
        <f t="shared" ref="G56:X56" si="23">G69+G70+G71</f>
        <v>0</v>
      </c>
      <c r="H56" s="51">
        <f t="shared" si="23"/>
        <v>0</v>
      </c>
      <c r="I56" s="51">
        <f t="shared" si="23"/>
        <v>0</v>
      </c>
      <c r="J56" s="51">
        <f t="shared" si="23"/>
        <v>285.58</v>
      </c>
      <c r="K56" s="51">
        <f t="shared" si="23"/>
        <v>1802.42</v>
      </c>
      <c r="L56" s="52">
        <f t="shared" si="23"/>
        <v>0</v>
      </c>
      <c r="M56" s="51">
        <f t="shared" si="23"/>
        <v>0</v>
      </c>
      <c r="N56" s="51">
        <f t="shared" si="23"/>
        <v>400</v>
      </c>
      <c r="O56" s="51">
        <f t="shared" si="23"/>
        <v>0</v>
      </c>
      <c r="P56" s="51">
        <f t="shared" si="23"/>
        <v>0</v>
      </c>
      <c r="Q56" s="51">
        <f t="shared" si="23"/>
        <v>0</v>
      </c>
      <c r="R56" s="51">
        <f t="shared" si="23"/>
        <v>0</v>
      </c>
      <c r="S56" s="51">
        <f t="shared" si="23"/>
        <v>60</v>
      </c>
      <c r="T56" s="51">
        <f t="shared" si="23"/>
        <v>260</v>
      </c>
      <c r="U56" s="51">
        <f t="shared" si="23"/>
        <v>0</v>
      </c>
      <c r="V56" s="51">
        <f t="shared" si="23"/>
        <v>90</v>
      </c>
      <c r="W56" s="51">
        <f t="shared" si="23"/>
        <v>0</v>
      </c>
      <c r="X56" s="55">
        <f t="shared" si="23"/>
        <v>90</v>
      </c>
      <c r="Y56" s="59">
        <f t="shared" si="15"/>
        <v>2088</v>
      </c>
      <c r="Z56" s="51">
        <f t="shared" si="16"/>
        <v>900</v>
      </c>
      <c r="AA56" s="51">
        <f t="shared" si="17"/>
        <v>2988</v>
      </c>
      <c r="AB56">
        <f>897*3</f>
        <v>2691</v>
      </c>
    </row>
    <row r="57" spans="1:34" x14ac:dyDescent="0.25">
      <c r="A57" s="30" t="s">
        <v>60</v>
      </c>
      <c r="B57" s="31" t="s">
        <v>65</v>
      </c>
      <c r="C57" s="46"/>
      <c r="F57" s="51">
        <f>F72+F73+F74</f>
        <v>0</v>
      </c>
      <c r="G57" s="51">
        <f t="shared" ref="G57:X57" si="24">G72+G73+G74</f>
        <v>0</v>
      </c>
      <c r="H57" s="51">
        <f t="shared" si="24"/>
        <v>0</v>
      </c>
      <c r="I57" s="51">
        <f t="shared" si="24"/>
        <v>0</v>
      </c>
      <c r="J57" s="51">
        <f t="shared" si="24"/>
        <v>550</v>
      </c>
      <c r="K57" s="51">
        <f t="shared" si="24"/>
        <v>0</v>
      </c>
      <c r="L57" s="52">
        <f t="shared" si="24"/>
        <v>20000</v>
      </c>
      <c r="M57" s="51">
        <f t="shared" si="24"/>
        <v>1350</v>
      </c>
      <c r="N57" s="51">
        <f t="shared" si="24"/>
        <v>0</v>
      </c>
      <c r="O57" s="51">
        <f t="shared" si="24"/>
        <v>0</v>
      </c>
      <c r="P57" s="51">
        <f t="shared" si="24"/>
        <v>0</v>
      </c>
      <c r="Q57" s="51">
        <f t="shared" si="24"/>
        <v>3700</v>
      </c>
      <c r="R57" s="51">
        <f t="shared" si="24"/>
        <v>2800</v>
      </c>
      <c r="S57" s="51">
        <f t="shared" si="24"/>
        <v>0</v>
      </c>
      <c r="T57" s="51">
        <f t="shared" si="24"/>
        <v>2450</v>
      </c>
      <c r="U57" s="51">
        <f t="shared" si="24"/>
        <v>1000</v>
      </c>
      <c r="V57" s="51">
        <f t="shared" si="24"/>
        <v>500</v>
      </c>
      <c r="W57" s="51">
        <f t="shared" si="24"/>
        <v>850</v>
      </c>
      <c r="X57" s="55">
        <f t="shared" si="24"/>
        <v>800</v>
      </c>
      <c r="Y57" s="59">
        <f t="shared" si="15"/>
        <v>550</v>
      </c>
      <c r="Z57" s="51">
        <f t="shared" si="16"/>
        <v>13450</v>
      </c>
      <c r="AA57" s="103">
        <f>245/270*40000</f>
        <v>36296.296296296299</v>
      </c>
    </row>
    <row r="58" spans="1:34" ht="15.75" thickBot="1" x14ac:dyDescent="0.3">
      <c r="A58" s="48" t="s">
        <v>60</v>
      </c>
      <c r="B58" s="49" t="s">
        <v>9</v>
      </c>
      <c r="C58" s="50"/>
      <c r="D58" s="50"/>
      <c r="E58" s="50"/>
      <c r="F58" s="53">
        <f>F75</f>
        <v>0</v>
      </c>
      <c r="G58" s="53">
        <f t="shared" ref="G58:X58" si="25">G75</f>
        <v>0</v>
      </c>
      <c r="H58" s="53">
        <f t="shared" si="25"/>
        <v>0</v>
      </c>
      <c r="I58" s="53">
        <f t="shared" si="25"/>
        <v>0</v>
      </c>
      <c r="J58" s="53">
        <f t="shared" si="25"/>
        <v>0</v>
      </c>
      <c r="K58" s="53">
        <f t="shared" si="25"/>
        <v>0</v>
      </c>
      <c r="L58" s="62">
        <f t="shared" si="25"/>
        <v>0</v>
      </c>
      <c r="M58" s="53">
        <f t="shared" si="25"/>
        <v>0</v>
      </c>
      <c r="N58" s="53">
        <f t="shared" si="25"/>
        <v>0</v>
      </c>
      <c r="O58" s="53">
        <f t="shared" si="25"/>
        <v>0</v>
      </c>
      <c r="P58" s="53">
        <f t="shared" si="25"/>
        <v>0</v>
      </c>
      <c r="Q58" s="53">
        <f t="shared" si="25"/>
        <v>0</v>
      </c>
      <c r="R58" s="53">
        <f t="shared" si="25"/>
        <v>0</v>
      </c>
      <c r="S58" s="53">
        <f t="shared" si="25"/>
        <v>0</v>
      </c>
      <c r="T58" s="53">
        <f t="shared" si="25"/>
        <v>0</v>
      </c>
      <c r="U58" s="53">
        <f t="shared" si="25"/>
        <v>0</v>
      </c>
      <c r="V58" s="53">
        <f t="shared" si="25"/>
        <v>760</v>
      </c>
      <c r="W58" s="53">
        <f t="shared" si="25"/>
        <v>0</v>
      </c>
      <c r="X58" s="53">
        <f t="shared" si="25"/>
        <v>625</v>
      </c>
      <c r="Y58" s="60">
        <f t="shared" si="15"/>
        <v>0</v>
      </c>
      <c r="Z58" s="53">
        <f t="shared" si="16"/>
        <v>1385</v>
      </c>
      <c r="AA58" s="104">
        <v>1100</v>
      </c>
    </row>
    <row r="59" spans="1:34" ht="15.75" thickTop="1" x14ac:dyDescent="0.25">
      <c r="A59" s="15" t="s">
        <v>51</v>
      </c>
      <c r="B59" s="16" t="s">
        <v>52</v>
      </c>
      <c r="C59" s="16" t="s">
        <v>53</v>
      </c>
      <c r="D59" s="2"/>
      <c r="E59" s="2"/>
      <c r="F59" s="47"/>
      <c r="G59" s="47"/>
      <c r="H59" s="47"/>
      <c r="I59" s="47"/>
      <c r="J59" s="47"/>
      <c r="K59" s="47"/>
      <c r="L59" s="6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57"/>
      <c r="Y59" s="61">
        <f t="shared" si="15"/>
        <v>0</v>
      </c>
      <c r="Z59" s="47">
        <f t="shared" si="16"/>
        <v>0</v>
      </c>
      <c r="AA59" s="47">
        <f t="shared" ref="AA59:AA68" si="26">L59+Y59+Z59</f>
        <v>0</v>
      </c>
    </row>
    <row r="60" spans="1:34" x14ac:dyDescent="0.25">
      <c r="A60" s="15" t="s">
        <v>51</v>
      </c>
      <c r="B60" s="16" t="s">
        <v>52</v>
      </c>
      <c r="C60" s="16" t="s">
        <v>54</v>
      </c>
      <c r="D60" s="2"/>
      <c r="E60" s="2"/>
      <c r="F60" s="1"/>
      <c r="G60" s="1"/>
      <c r="H60" s="1"/>
      <c r="I60" s="1"/>
      <c r="J60" s="1"/>
      <c r="K60" s="1"/>
      <c r="L60" s="5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54"/>
      <c r="Y60" s="58">
        <f t="shared" si="15"/>
        <v>0</v>
      </c>
      <c r="Z60" s="1">
        <f t="shared" si="16"/>
        <v>0</v>
      </c>
      <c r="AA60" s="1">
        <f t="shared" si="26"/>
        <v>0</v>
      </c>
    </row>
    <row r="61" spans="1:34" x14ac:dyDescent="0.25">
      <c r="A61" s="15" t="s">
        <v>51</v>
      </c>
      <c r="B61" s="16" t="s">
        <v>52</v>
      </c>
      <c r="C61" s="16" t="s">
        <v>55</v>
      </c>
      <c r="D61" s="2"/>
      <c r="E61" s="2"/>
      <c r="F61" s="1"/>
      <c r="G61" s="1"/>
      <c r="H61" s="1"/>
      <c r="I61" s="1"/>
      <c r="J61" s="1"/>
      <c r="K61" s="1"/>
      <c r="L61" s="5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54"/>
      <c r="Y61" s="58">
        <f t="shared" si="15"/>
        <v>0</v>
      </c>
      <c r="Z61" s="1">
        <f t="shared" si="16"/>
        <v>0</v>
      </c>
      <c r="AA61" s="1">
        <f t="shared" si="26"/>
        <v>0</v>
      </c>
    </row>
    <row r="62" spans="1:34" x14ac:dyDescent="0.25">
      <c r="A62" s="25" t="s">
        <v>51</v>
      </c>
      <c r="B62" s="26" t="s">
        <v>56</v>
      </c>
      <c r="C62" s="26" t="s">
        <v>57</v>
      </c>
      <c r="D62" s="2"/>
      <c r="E62" s="2"/>
      <c r="F62" s="1"/>
      <c r="G62" s="1"/>
      <c r="H62" s="1"/>
      <c r="I62" s="1"/>
      <c r="J62" s="1"/>
      <c r="K62" s="1"/>
      <c r="L62" s="5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54"/>
      <c r="Y62" s="58">
        <f t="shared" si="15"/>
        <v>0</v>
      </c>
      <c r="Z62" s="1">
        <f t="shared" si="16"/>
        <v>0</v>
      </c>
      <c r="AA62" s="1">
        <f t="shared" si="26"/>
        <v>0</v>
      </c>
    </row>
    <row r="63" spans="1:34" x14ac:dyDescent="0.25">
      <c r="A63" s="15" t="s">
        <v>51</v>
      </c>
      <c r="B63" s="16" t="s">
        <v>56</v>
      </c>
      <c r="C63" s="27" t="s">
        <v>58</v>
      </c>
      <c r="D63" s="2"/>
      <c r="E63" s="2"/>
      <c r="F63" s="1"/>
      <c r="G63" s="1"/>
      <c r="H63" s="1"/>
      <c r="I63" s="1"/>
      <c r="J63" s="1"/>
      <c r="K63" s="1"/>
      <c r="L63" s="5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54"/>
      <c r="Y63" s="58">
        <f t="shared" si="15"/>
        <v>0</v>
      </c>
      <c r="Z63" s="1">
        <f t="shared" si="16"/>
        <v>0</v>
      </c>
      <c r="AA63" s="1">
        <f t="shared" si="26"/>
        <v>0</v>
      </c>
    </row>
    <row r="64" spans="1:34" x14ac:dyDescent="0.25">
      <c r="A64" s="15" t="s">
        <v>51</v>
      </c>
      <c r="B64" s="16" t="s">
        <v>9</v>
      </c>
      <c r="C64" s="27" t="s">
        <v>59</v>
      </c>
      <c r="D64" s="2"/>
      <c r="E64" s="2"/>
      <c r="F64" s="1"/>
      <c r="G64" s="1"/>
      <c r="H64" s="1"/>
      <c r="I64" s="1"/>
      <c r="J64" s="1"/>
      <c r="K64" s="1"/>
      <c r="L64" s="5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54"/>
      <c r="Y64" s="58">
        <f t="shared" si="15"/>
        <v>0</v>
      </c>
      <c r="Z64" s="1">
        <f t="shared" si="16"/>
        <v>0</v>
      </c>
      <c r="AA64" s="1">
        <f t="shared" si="26"/>
        <v>0</v>
      </c>
      <c r="AE64" s="98"/>
    </row>
    <row r="65" spans="1:35" x14ac:dyDescent="0.25">
      <c r="A65" s="15" t="s">
        <v>51</v>
      </c>
      <c r="B65" s="16" t="s">
        <v>9</v>
      </c>
      <c r="C65" s="27" t="s">
        <v>9</v>
      </c>
      <c r="D65" s="2"/>
      <c r="E65" s="2"/>
      <c r="F65" s="1"/>
      <c r="G65" s="1"/>
      <c r="H65" s="1"/>
      <c r="I65" s="1"/>
      <c r="J65" s="1"/>
      <c r="K65" s="1"/>
      <c r="L65" s="52"/>
      <c r="M65" s="1"/>
      <c r="N65" s="1"/>
      <c r="O65" s="1"/>
      <c r="P65" s="1" t="s">
        <v>448</v>
      </c>
      <c r="Q65" s="1"/>
      <c r="R65" s="1"/>
      <c r="S65" s="1"/>
      <c r="T65" s="1"/>
      <c r="U65" s="1"/>
      <c r="V65" s="1"/>
      <c r="W65" s="1"/>
      <c r="X65" s="54"/>
      <c r="Y65" s="58">
        <f t="shared" si="15"/>
        <v>0</v>
      </c>
      <c r="Z65" s="1">
        <f t="shared" si="16"/>
        <v>0</v>
      </c>
      <c r="AA65" s="1">
        <f t="shared" si="26"/>
        <v>0</v>
      </c>
      <c r="AE65" s="98"/>
      <c r="AF65" s="98"/>
    </row>
    <row r="66" spans="1:35" x14ac:dyDescent="0.25">
      <c r="A66" s="28" t="s">
        <v>60</v>
      </c>
      <c r="B66" s="29" t="s">
        <v>13</v>
      </c>
      <c r="C66" s="29" t="s">
        <v>61</v>
      </c>
      <c r="D66" s="2"/>
      <c r="E66" s="2"/>
      <c r="F66" s="103">
        <f>2164*0.65/200*170*0.82</f>
        <v>980.40020000000004</v>
      </c>
      <c r="G66" s="73"/>
      <c r="H66" s="103">
        <f>3300*0.4</f>
        <v>1320</v>
      </c>
      <c r="I66" s="91">
        <f>800*0.97</f>
        <v>776</v>
      </c>
      <c r="J66" s="91">
        <f>1000</f>
        <v>1000</v>
      </c>
      <c r="K66" s="91">
        <v>230</v>
      </c>
      <c r="L66" s="52"/>
      <c r="M66" s="91">
        <v>1600</v>
      </c>
      <c r="N66" s="91">
        <f>146*3</f>
        <v>438</v>
      </c>
      <c r="O66" s="91">
        <f>889</f>
        <v>889</v>
      </c>
      <c r="P66" s="91">
        <v>2300</v>
      </c>
      <c r="Q66" s="91">
        <v>150</v>
      </c>
      <c r="R66" s="91">
        <v>450</v>
      </c>
      <c r="S66" s="51"/>
      <c r="T66" s="91">
        <v>180</v>
      </c>
      <c r="U66" s="91">
        <v>400</v>
      </c>
      <c r="V66" s="77">
        <f>V21*V111</f>
        <v>60</v>
      </c>
      <c r="W66" s="91">
        <v>700</v>
      </c>
      <c r="X66" s="106">
        <v>5000</v>
      </c>
      <c r="Y66" s="59">
        <f t="shared" si="15"/>
        <v>4306.4002</v>
      </c>
      <c r="Z66" s="51">
        <f t="shared" si="16"/>
        <v>12167</v>
      </c>
      <c r="AA66" s="51">
        <f t="shared" si="26"/>
        <v>16473.4002</v>
      </c>
      <c r="AE66" s="98"/>
      <c r="AF66" s="98"/>
    </row>
    <row r="67" spans="1:35" x14ac:dyDescent="0.25">
      <c r="A67" s="36" t="s">
        <v>60</v>
      </c>
      <c r="B67" s="37" t="s">
        <v>13</v>
      </c>
      <c r="C67" s="29" t="s">
        <v>62</v>
      </c>
      <c r="D67" s="2"/>
      <c r="E67" s="2"/>
      <c r="F67" s="103">
        <f>2164*0.35/200*170*0.8</f>
        <v>515.03200000000004</v>
      </c>
      <c r="G67" s="103">
        <f>1280*230/210*5600/5455*0.97</f>
        <v>1395.9938893981057</v>
      </c>
      <c r="H67" s="103">
        <f>3300*0.6</f>
        <v>1980</v>
      </c>
      <c r="I67" s="51"/>
      <c r="J67" s="51"/>
      <c r="K67" s="51"/>
      <c r="L67" s="52"/>
      <c r="M67" s="51"/>
      <c r="N67" s="51"/>
      <c r="O67" s="91"/>
      <c r="P67" s="91">
        <v>2300</v>
      </c>
      <c r="Q67" s="51"/>
      <c r="R67" s="51"/>
      <c r="S67" s="51"/>
      <c r="T67" s="51"/>
      <c r="U67" s="51"/>
      <c r="V67" s="51"/>
      <c r="W67" s="51"/>
      <c r="X67" s="55"/>
      <c r="Y67" s="59">
        <f t="shared" si="15"/>
        <v>3891.0258893981058</v>
      </c>
      <c r="Z67" s="51">
        <f t="shared" si="16"/>
        <v>2300</v>
      </c>
      <c r="AA67" s="51">
        <f t="shared" si="26"/>
        <v>6191.0258893981063</v>
      </c>
      <c r="AE67" s="98"/>
      <c r="AF67" s="98"/>
    </row>
    <row r="68" spans="1:35" x14ac:dyDescent="0.25">
      <c r="A68" s="30" t="s">
        <v>60</v>
      </c>
      <c r="B68" s="31" t="s">
        <v>13</v>
      </c>
      <c r="C68" s="32" t="s">
        <v>63</v>
      </c>
      <c r="D68" s="2"/>
      <c r="E68" s="2"/>
      <c r="F68" s="51"/>
      <c r="G68" s="51"/>
      <c r="H68" s="51"/>
      <c r="I68" s="51"/>
      <c r="J68" s="51"/>
      <c r="K68" s="51"/>
      <c r="L68" s="52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5"/>
      <c r="Y68" s="59">
        <f t="shared" si="15"/>
        <v>0</v>
      </c>
      <c r="Z68" s="51">
        <f t="shared" si="16"/>
        <v>0</v>
      </c>
      <c r="AA68" s="51">
        <f t="shared" si="26"/>
        <v>0</v>
      </c>
      <c r="AE68" s="98"/>
      <c r="AF68" s="98"/>
    </row>
    <row r="69" spans="1:35" x14ac:dyDescent="0.25">
      <c r="A69" s="30" t="s">
        <v>60</v>
      </c>
      <c r="B69" s="32" t="s">
        <v>23</v>
      </c>
      <c r="C69" s="31" t="s">
        <v>50</v>
      </c>
      <c r="D69" s="2"/>
      <c r="E69" s="2"/>
      <c r="F69" s="77">
        <f>F24*F114</f>
        <v>0</v>
      </c>
      <c r="G69" s="51"/>
      <c r="H69" s="51"/>
      <c r="I69" s="51"/>
      <c r="J69" s="77">
        <f>J24*J114</f>
        <v>5.58</v>
      </c>
      <c r="K69" s="64">
        <f>AA69-N69-J69</f>
        <v>1694.42</v>
      </c>
      <c r="L69" s="52"/>
      <c r="M69" s="51"/>
      <c r="N69" s="91">
        <v>400</v>
      </c>
      <c r="O69" s="51"/>
      <c r="P69" s="51"/>
      <c r="Q69" s="51"/>
      <c r="R69" s="51"/>
      <c r="S69" s="51"/>
      <c r="T69" s="51"/>
      <c r="U69" s="51"/>
      <c r="V69" s="51"/>
      <c r="W69" s="51"/>
      <c r="X69" s="55"/>
      <c r="Y69" s="59">
        <f t="shared" si="15"/>
        <v>1700</v>
      </c>
      <c r="Z69" s="51">
        <f t="shared" si="16"/>
        <v>400</v>
      </c>
      <c r="AA69" s="91">
        <v>2100</v>
      </c>
      <c r="AE69" s="98"/>
      <c r="AF69" s="98"/>
    </row>
    <row r="70" spans="1:35" x14ac:dyDescent="0.25">
      <c r="A70" s="30" t="s">
        <v>60</v>
      </c>
      <c r="B70" s="32" t="s">
        <v>23</v>
      </c>
      <c r="C70" s="31" t="s">
        <v>49</v>
      </c>
      <c r="D70" s="2"/>
      <c r="E70" s="2"/>
      <c r="F70" s="51"/>
      <c r="G70" s="51"/>
      <c r="H70" s="51"/>
      <c r="I70" s="51"/>
      <c r="J70" s="64">
        <v>280</v>
      </c>
      <c r="K70" s="64">
        <f>600*0.18</f>
        <v>108</v>
      </c>
      <c r="L70" s="52"/>
      <c r="M70" s="51"/>
      <c r="N70" s="51"/>
      <c r="O70" s="51"/>
      <c r="P70" s="51"/>
      <c r="Q70" s="51"/>
      <c r="R70" s="51"/>
      <c r="S70" s="64">
        <v>60</v>
      </c>
      <c r="T70" s="77">
        <f>T25*T115</f>
        <v>260</v>
      </c>
      <c r="U70" s="51"/>
      <c r="V70" s="77">
        <f>V25*V115</f>
        <v>90</v>
      </c>
      <c r="W70" s="51"/>
      <c r="X70" s="77">
        <f>X25*X115</f>
        <v>90</v>
      </c>
      <c r="Y70" s="59">
        <f t="shared" si="15"/>
        <v>388</v>
      </c>
      <c r="Z70" s="51">
        <f t="shared" si="16"/>
        <v>500</v>
      </c>
      <c r="AA70" s="91">
        <f>1250</f>
        <v>1250</v>
      </c>
      <c r="AB70" s="9"/>
      <c r="AE70" s="98"/>
      <c r="AF70" s="98"/>
    </row>
    <row r="71" spans="1:35" x14ac:dyDescent="0.25">
      <c r="A71" s="30" t="s">
        <v>60</v>
      </c>
      <c r="B71" s="32" t="s">
        <v>23</v>
      </c>
      <c r="C71" s="31" t="s">
        <v>64</v>
      </c>
      <c r="D71" s="2"/>
      <c r="E71" s="2"/>
      <c r="F71" s="51"/>
      <c r="G71" s="51"/>
      <c r="H71" s="51"/>
      <c r="I71" s="51"/>
      <c r="J71" s="51"/>
      <c r="K71" s="51"/>
      <c r="L71" s="52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5"/>
      <c r="Y71" s="59">
        <f t="shared" si="15"/>
        <v>0</v>
      </c>
      <c r="Z71" s="51">
        <f t="shared" si="16"/>
        <v>0</v>
      </c>
      <c r="AA71" s="51">
        <f t="shared" ref="AA71:AA90" si="27">L71+Y71+Z71</f>
        <v>0</v>
      </c>
    </row>
    <row r="72" spans="1:35" x14ac:dyDescent="0.25">
      <c r="A72" s="30" t="s">
        <v>60</v>
      </c>
      <c r="B72" s="32" t="s">
        <v>65</v>
      </c>
      <c r="C72" s="31" t="s">
        <v>66</v>
      </c>
      <c r="D72" s="2"/>
      <c r="E72" s="2"/>
      <c r="F72" s="51"/>
      <c r="G72" s="51"/>
      <c r="H72" s="51"/>
      <c r="I72" s="51"/>
      <c r="J72" s="91">
        <v>550</v>
      </c>
      <c r="K72" s="51"/>
      <c r="L72" s="52"/>
      <c r="M72" s="91">
        <v>1350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5"/>
      <c r="Y72" s="59">
        <f t="shared" si="15"/>
        <v>550</v>
      </c>
      <c r="Z72" s="51">
        <f t="shared" si="16"/>
        <v>1350</v>
      </c>
      <c r="AA72" s="51">
        <f t="shared" si="27"/>
        <v>1900</v>
      </c>
    </row>
    <row r="73" spans="1:35" x14ac:dyDescent="0.25">
      <c r="A73" s="30" t="s">
        <v>60</v>
      </c>
      <c r="B73" s="32" t="s">
        <v>65</v>
      </c>
      <c r="C73" s="31" t="s">
        <v>67</v>
      </c>
      <c r="D73" s="2"/>
      <c r="E73" s="2"/>
      <c r="F73" s="51"/>
      <c r="G73" s="51"/>
      <c r="H73" s="51"/>
      <c r="I73" s="51"/>
      <c r="J73" s="51"/>
      <c r="K73" s="51"/>
      <c r="L73" s="52"/>
      <c r="M73" s="51"/>
      <c r="N73" s="51"/>
      <c r="O73" s="51"/>
      <c r="P73" s="51"/>
      <c r="Q73" s="91">
        <v>3700</v>
      </c>
      <c r="R73" s="91">
        <v>2800</v>
      </c>
      <c r="S73" s="51"/>
      <c r="T73" s="91">
        <v>2450</v>
      </c>
      <c r="U73" s="91">
        <v>1000</v>
      </c>
      <c r="V73" s="64">
        <f>500</f>
        <v>500</v>
      </c>
      <c r="W73" s="91">
        <v>850</v>
      </c>
      <c r="X73" s="106">
        <v>800</v>
      </c>
      <c r="Y73" s="59">
        <f t="shared" si="15"/>
        <v>0</v>
      </c>
      <c r="Z73" s="51">
        <f t="shared" si="16"/>
        <v>12100</v>
      </c>
      <c r="AA73" s="51">
        <f t="shared" si="27"/>
        <v>12100</v>
      </c>
    </row>
    <row r="74" spans="1:35" x14ac:dyDescent="0.25">
      <c r="A74" s="30" t="s">
        <v>60</v>
      </c>
      <c r="B74" s="32" t="s">
        <v>65</v>
      </c>
      <c r="C74" s="31" t="s">
        <v>68</v>
      </c>
      <c r="D74" s="2"/>
      <c r="E74" s="2"/>
      <c r="F74" s="51"/>
      <c r="G74" s="51"/>
      <c r="H74" s="51"/>
      <c r="I74" s="51"/>
      <c r="J74" s="51"/>
      <c r="K74" s="51"/>
      <c r="L74" s="91">
        <v>20000</v>
      </c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5"/>
      <c r="Y74" s="59">
        <f t="shared" si="15"/>
        <v>0</v>
      </c>
      <c r="Z74" s="51">
        <f t="shared" si="16"/>
        <v>0</v>
      </c>
      <c r="AA74" s="51">
        <f t="shared" si="27"/>
        <v>20000</v>
      </c>
    </row>
    <row r="75" spans="1:35" x14ac:dyDescent="0.25">
      <c r="A75" s="30" t="s">
        <v>60</v>
      </c>
      <c r="B75" s="32" t="s">
        <v>9</v>
      </c>
      <c r="C75" s="31" t="s">
        <v>69</v>
      </c>
      <c r="D75" s="2"/>
      <c r="E75" s="2"/>
      <c r="F75" s="51"/>
      <c r="G75" s="51"/>
      <c r="H75" s="51"/>
      <c r="I75" s="51"/>
      <c r="J75" s="51"/>
      <c r="K75" s="51"/>
      <c r="L75" s="52"/>
      <c r="M75" s="51"/>
      <c r="N75" s="51"/>
      <c r="O75" s="51"/>
      <c r="P75" s="51"/>
      <c r="Q75" s="51"/>
      <c r="R75" s="51"/>
      <c r="S75" s="51"/>
      <c r="T75" s="51"/>
      <c r="U75" s="51"/>
      <c r="V75" s="96">
        <v>760</v>
      </c>
      <c r="W75" s="51"/>
      <c r="X75" s="55">
        <v>625</v>
      </c>
      <c r="Y75" s="59">
        <f t="shared" si="15"/>
        <v>0</v>
      </c>
      <c r="Z75" s="51">
        <f t="shared" si="16"/>
        <v>1385</v>
      </c>
      <c r="AA75" s="51">
        <f t="shared" si="27"/>
        <v>1385</v>
      </c>
    </row>
    <row r="76" spans="1:35" x14ac:dyDescent="0.25">
      <c r="A76" s="15" t="s">
        <v>51</v>
      </c>
      <c r="B76" s="16" t="s">
        <v>56</v>
      </c>
      <c r="C76" s="27" t="s">
        <v>57</v>
      </c>
      <c r="D76" s="16" t="s">
        <v>70</v>
      </c>
      <c r="E76" s="16"/>
      <c r="F76" s="1"/>
      <c r="G76" s="1"/>
      <c r="H76" s="1"/>
      <c r="I76" s="1"/>
      <c r="J76" s="1"/>
      <c r="K76" s="1"/>
      <c r="L76" s="5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54"/>
      <c r="Y76" s="58">
        <f t="shared" si="15"/>
        <v>0</v>
      </c>
      <c r="Z76" s="1">
        <f t="shared" si="16"/>
        <v>0</v>
      </c>
      <c r="AA76" s="1">
        <f t="shared" si="27"/>
        <v>0</v>
      </c>
      <c r="AC76">
        <f>8/28*2</f>
        <v>0.5714285714285714</v>
      </c>
    </row>
    <row r="77" spans="1:35" x14ac:dyDescent="0.25">
      <c r="A77" s="15" t="s">
        <v>51</v>
      </c>
      <c r="B77" s="16" t="s">
        <v>56</v>
      </c>
      <c r="C77" s="27" t="s">
        <v>57</v>
      </c>
      <c r="D77" s="16" t="s">
        <v>71</v>
      </c>
      <c r="E77" s="16"/>
      <c r="F77" s="1"/>
      <c r="G77" s="1"/>
      <c r="H77" s="1"/>
      <c r="I77" s="1"/>
      <c r="J77" s="1"/>
      <c r="K77" s="1"/>
      <c r="L77" s="5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54"/>
      <c r="Y77" s="58">
        <f t="shared" si="15"/>
        <v>0</v>
      </c>
      <c r="Z77" s="1">
        <f t="shared" si="16"/>
        <v>0</v>
      </c>
      <c r="AA77" s="1">
        <f t="shared" si="27"/>
        <v>0</v>
      </c>
    </row>
    <row r="78" spans="1:35" x14ac:dyDescent="0.25">
      <c r="A78" s="15" t="s">
        <v>51</v>
      </c>
      <c r="B78" s="16" t="s">
        <v>56</v>
      </c>
      <c r="C78" s="27" t="s">
        <v>27</v>
      </c>
      <c r="D78" s="16" t="s">
        <v>72</v>
      </c>
      <c r="E78" s="16"/>
      <c r="F78" s="1"/>
      <c r="G78" s="1"/>
      <c r="H78" s="1"/>
      <c r="I78" s="1"/>
      <c r="J78" s="1"/>
      <c r="K78" s="1"/>
      <c r="L78" s="5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54"/>
      <c r="Y78" s="58">
        <f t="shared" si="15"/>
        <v>0</v>
      </c>
      <c r="Z78" s="1">
        <f t="shared" si="16"/>
        <v>0</v>
      </c>
      <c r="AA78" s="1">
        <f t="shared" si="27"/>
        <v>0</v>
      </c>
      <c r="AH78" t="s">
        <v>1</v>
      </c>
      <c r="AI78" t="s">
        <v>6</v>
      </c>
    </row>
    <row r="79" spans="1:35" x14ac:dyDescent="0.25">
      <c r="A79" s="15" t="s">
        <v>51</v>
      </c>
      <c r="B79" s="16" t="s">
        <v>56</v>
      </c>
      <c r="C79" s="27" t="s">
        <v>57</v>
      </c>
      <c r="D79" s="16" t="s">
        <v>73</v>
      </c>
      <c r="E79" s="16"/>
      <c r="F79" s="1"/>
      <c r="G79" s="1"/>
      <c r="H79" s="1"/>
      <c r="I79" s="1"/>
      <c r="J79" s="1"/>
      <c r="K79" s="1"/>
      <c r="L79" s="5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54"/>
      <c r="Y79" s="58">
        <f t="shared" si="15"/>
        <v>0</v>
      </c>
      <c r="Z79" s="1">
        <f t="shared" si="16"/>
        <v>0</v>
      </c>
      <c r="AA79" s="1">
        <f t="shared" si="27"/>
        <v>0</v>
      </c>
      <c r="AF79" t="s">
        <v>11</v>
      </c>
      <c r="AG79">
        <f>14/180</f>
        <v>7.7777777777777779E-2</v>
      </c>
      <c r="AH79">
        <f>AG79*20000</f>
        <v>1555.5555555555557</v>
      </c>
    </row>
    <row r="80" spans="1:35" x14ac:dyDescent="0.25">
      <c r="A80" s="15" t="s">
        <v>51</v>
      </c>
      <c r="B80" s="16" t="s">
        <v>56</v>
      </c>
      <c r="C80" s="27" t="s">
        <v>57</v>
      </c>
      <c r="D80" s="16" t="s">
        <v>74</v>
      </c>
      <c r="E80" s="16"/>
      <c r="F80" s="1"/>
      <c r="G80" s="1"/>
      <c r="H80" s="1"/>
      <c r="I80" s="1"/>
      <c r="J80" s="1"/>
      <c r="K80" s="1"/>
      <c r="L80" s="5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54"/>
      <c r="Y80" s="58">
        <f t="shared" si="15"/>
        <v>0</v>
      </c>
      <c r="Z80" s="1">
        <f t="shared" si="16"/>
        <v>0</v>
      </c>
      <c r="AA80" s="1">
        <f t="shared" si="27"/>
        <v>0</v>
      </c>
      <c r="AF80" t="s">
        <v>5</v>
      </c>
      <c r="AG80">
        <f>2/180</f>
        <v>1.1111111111111112E-2</v>
      </c>
      <c r="AH80">
        <f>AG80*20000</f>
        <v>222.22222222222223</v>
      </c>
      <c r="AI80">
        <f>AH80/5000</f>
        <v>4.4444444444444446E-2</v>
      </c>
    </row>
    <row r="81" spans="1:36" x14ac:dyDescent="0.25">
      <c r="A81" s="30" t="s">
        <v>60</v>
      </c>
      <c r="B81" s="31" t="s">
        <v>13</v>
      </c>
      <c r="C81" s="32" t="s">
        <v>61</v>
      </c>
      <c r="D81" s="31" t="s">
        <v>75</v>
      </c>
      <c r="E81" s="31"/>
      <c r="F81" s="51">
        <f>F66*0.5</f>
        <v>490.20010000000002</v>
      </c>
      <c r="G81" s="73"/>
      <c r="H81" s="51">
        <f>H66</f>
        <v>1320</v>
      </c>
      <c r="I81" s="51">
        <f>I66*0.7</f>
        <v>543.19999999999993</v>
      </c>
      <c r="J81" s="51">
        <f>J66*0.3</f>
        <v>300</v>
      </c>
      <c r="K81" s="51">
        <f>K66*0.8</f>
        <v>184</v>
      </c>
      <c r="L81" s="52">
        <v>0</v>
      </c>
      <c r="M81" s="73">
        <f>M66*0.1</f>
        <v>160</v>
      </c>
      <c r="N81" s="73">
        <v>0</v>
      </c>
      <c r="O81" s="73">
        <v>0</v>
      </c>
      <c r="P81" s="73">
        <v>0</v>
      </c>
      <c r="Q81" s="73"/>
      <c r="R81" s="73"/>
      <c r="S81" s="51"/>
      <c r="T81" s="51"/>
      <c r="U81" s="51"/>
      <c r="V81" s="51"/>
      <c r="W81" s="51">
        <f>W66</f>
        <v>700</v>
      </c>
      <c r="X81" s="55">
        <f>X66*0.1</f>
        <v>500</v>
      </c>
      <c r="Y81" s="59">
        <f t="shared" si="15"/>
        <v>2837.4000999999998</v>
      </c>
      <c r="Z81" s="51">
        <f t="shared" si="16"/>
        <v>1360</v>
      </c>
      <c r="AA81" s="51">
        <f t="shared" si="27"/>
        <v>4197.4000999999998</v>
      </c>
      <c r="AF81" t="s">
        <v>7</v>
      </c>
      <c r="AG81">
        <f>7/180</f>
        <v>3.888888888888889E-2</v>
      </c>
      <c r="AH81">
        <f>AG81*20000</f>
        <v>777.77777777777783</v>
      </c>
      <c r="AI81">
        <f>AH81/5000</f>
        <v>0.15555555555555556</v>
      </c>
      <c r="AJ81">
        <f>AH81/4777</f>
        <v>0.16281720280045589</v>
      </c>
    </row>
    <row r="82" spans="1:36" x14ac:dyDescent="0.25">
      <c r="A82" s="30" t="s">
        <v>60</v>
      </c>
      <c r="B82" s="31" t="s">
        <v>13</v>
      </c>
      <c r="C82" s="32" t="s">
        <v>61</v>
      </c>
      <c r="D82" s="31" t="s">
        <v>76</v>
      </c>
      <c r="E82" s="31"/>
      <c r="F82" s="51">
        <f>F66*0.5</f>
        <v>490.20010000000002</v>
      </c>
      <c r="G82" s="51">
        <v>0</v>
      </c>
      <c r="H82" s="51">
        <v>0</v>
      </c>
      <c r="I82" s="51">
        <f>I66*0.25</f>
        <v>194</v>
      </c>
      <c r="J82" s="51">
        <f>J66*0.7</f>
        <v>700</v>
      </c>
      <c r="K82" s="51">
        <f>K66*0.05</f>
        <v>11.5</v>
      </c>
      <c r="L82" s="52">
        <v>0</v>
      </c>
      <c r="M82" s="73">
        <f>M66*0.4</f>
        <v>640</v>
      </c>
      <c r="N82" s="73">
        <f>N66</f>
        <v>438</v>
      </c>
      <c r="O82" s="73">
        <f>O66*0.3</f>
        <v>266.7</v>
      </c>
      <c r="P82" s="73">
        <f>P66*0.2</f>
        <v>460</v>
      </c>
      <c r="Q82" s="73"/>
      <c r="R82" s="73">
        <f>R66</f>
        <v>450</v>
      </c>
      <c r="S82" s="51"/>
      <c r="T82" s="51"/>
      <c r="U82" s="51"/>
      <c r="V82" s="51"/>
      <c r="W82" s="51"/>
      <c r="X82" s="55">
        <f>X66*0.1</f>
        <v>500</v>
      </c>
      <c r="Y82" s="59">
        <f t="shared" si="15"/>
        <v>1395.7001</v>
      </c>
      <c r="Z82" s="51">
        <f t="shared" si="16"/>
        <v>2754.7</v>
      </c>
      <c r="AA82" s="51">
        <f t="shared" si="27"/>
        <v>4150.4000999999998</v>
      </c>
      <c r="AF82" t="s">
        <v>8</v>
      </c>
      <c r="AG82">
        <f>36/180</f>
        <v>0.2</v>
      </c>
      <c r="AH82">
        <f>AG82*20000</f>
        <v>4000</v>
      </c>
      <c r="AI82">
        <f>AH82/5000</f>
        <v>0.8</v>
      </c>
      <c r="AJ82">
        <f>AH82/4777</f>
        <v>0.83734561440234456</v>
      </c>
    </row>
    <row r="83" spans="1:36" x14ac:dyDescent="0.25">
      <c r="A83" s="30" t="s">
        <v>60</v>
      </c>
      <c r="B83" s="31" t="s">
        <v>13</v>
      </c>
      <c r="C83" s="32" t="s">
        <v>61</v>
      </c>
      <c r="D83" s="31" t="s">
        <v>77</v>
      </c>
      <c r="E83" s="31"/>
      <c r="F83" s="51">
        <v>0</v>
      </c>
      <c r="G83" s="51">
        <v>0</v>
      </c>
      <c r="H83" s="51">
        <v>0</v>
      </c>
      <c r="I83" s="51">
        <v>0</v>
      </c>
      <c r="J83" s="51">
        <v>0</v>
      </c>
      <c r="K83" s="51">
        <f>K66*0.1</f>
        <v>23</v>
      </c>
      <c r="L83" s="52">
        <v>0</v>
      </c>
      <c r="M83" s="73">
        <f>M66*0.5</f>
        <v>800</v>
      </c>
      <c r="N83" s="73">
        <v>0</v>
      </c>
      <c r="O83" s="73">
        <f>O66*0.7</f>
        <v>622.29999999999995</v>
      </c>
      <c r="P83" s="73">
        <f>P66*0.7</f>
        <v>1610</v>
      </c>
      <c r="Q83" s="73"/>
      <c r="R83" s="73"/>
      <c r="S83" s="51"/>
      <c r="T83" s="51">
        <f>T66</f>
        <v>180</v>
      </c>
      <c r="U83" s="51">
        <f>U66</f>
        <v>400</v>
      </c>
      <c r="V83" s="51"/>
      <c r="W83" s="51"/>
      <c r="X83" s="55">
        <f>X66*0.7</f>
        <v>3500</v>
      </c>
      <c r="Y83" s="59">
        <f t="shared" si="15"/>
        <v>23</v>
      </c>
      <c r="Z83" s="51">
        <f t="shared" si="16"/>
        <v>7112.3</v>
      </c>
      <c r="AA83" s="51">
        <f t="shared" si="27"/>
        <v>7135.3</v>
      </c>
    </row>
    <row r="84" spans="1:36" x14ac:dyDescent="0.25">
      <c r="A84" s="30" t="s">
        <v>60</v>
      </c>
      <c r="B84" s="31" t="s">
        <v>13</v>
      </c>
      <c r="C84" s="32" t="s">
        <v>61</v>
      </c>
      <c r="D84" s="31" t="s">
        <v>78</v>
      </c>
      <c r="E84" s="31"/>
      <c r="F84" s="51">
        <v>0</v>
      </c>
      <c r="G84" s="51">
        <v>0</v>
      </c>
      <c r="H84" s="51">
        <v>0</v>
      </c>
      <c r="I84" s="51">
        <f>I66*0.05</f>
        <v>38.800000000000004</v>
      </c>
      <c r="J84" s="51">
        <v>0</v>
      </c>
      <c r="K84" s="51">
        <f>K66*0.05</f>
        <v>11.5</v>
      </c>
      <c r="L84" s="52">
        <v>0</v>
      </c>
      <c r="M84" s="73">
        <f>M66*0</f>
        <v>0</v>
      </c>
      <c r="N84" s="73">
        <v>0</v>
      </c>
      <c r="O84" s="73">
        <f>O66*0</f>
        <v>0</v>
      </c>
      <c r="P84" s="73">
        <f>(P66)*0.1</f>
        <v>230</v>
      </c>
      <c r="Q84" s="73">
        <f>Q66</f>
        <v>150</v>
      </c>
      <c r="R84" s="73"/>
      <c r="S84" s="51"/>
      <c r="T84" s="51"/>
      <c r="U84" s="51"/>
      <c r="V84" s="51"/>
      <c r="W84" s="51"/>
      <c r="X84" s="55">
        <f>X66*0.1</f>
        <v>500</v>
      </c>
      <c r="Y84" s="59">
        <f t="shared" si="15"/>
        <v>50.300000000000004</v>
      </c>
      <c r="Z84" s="51">
        <f t="shared" si="16"/>
        <v>880</v>
      </c>
      <c r="AA84" s="51">
        <f t="shared" si="27"/>
        <v>930.3</v>
      </c>
    </row>
    <row r="85" spans="1:36" ht="15.75" thickBot="1" x14ac:dyDescent="0.3">
      <c r="A85" s="33" t="s">
        <v>60</v>
      </c>
      <c r="B85" s="34" t="s">
        <v>13</v>
      </c>
      <c r="C85" s="35" t="s">
        <v>61</v>
      </c>
      <c r="D85" s="34" t="s">
        <v>79</v>
      </c>
      <c r="E85" s="31"/>
      <c r="F85" s="51">
        <v>0</v>
      </c>
      <c r="G85" s="51">
        <v>0</v>
      </c>
      <c r="H85" s="51">
        <v>0</v>
      </c>
      <c r="I85" s="51">
        <v>0</v>
      </c>
      <c r="J85" s="51">
        <v>0</v>
      </c>
      <c r="K85" s="51">
        <v>0</v>
      </c>
      <c r="L85" s="52">
        <v>0</v>
      </c>
      <c r="M85" s="51">
        <v>0</v>
      </c>
      <c r="N85" s="51">
        <v>0</v>
      </c>
      <c r="O85" s="51">
        <v>0</v>
      </c>
      <c r="P85" s="51">
        <v>0</v>
      </c>
      <c r="Q85" s="51">
        <v>0</v>
      </c>
      <c r="R85" s="51">
        <v>0</v>
      </c>
      <c r="S85" s="51">
        <v>0</v>
      </c>
      <c r="T85" s="51">
        <v>0</v>
      </c>
      <c r="U85" s="51">
        <v>0</v>
      </c>
      <c r="V85" s="51">
        <v>0</v>
      </c>
      <c r="W85" s="51">
        <v>0</v>
      </c>
      <c r="X85" s="55">
        <v>0</v>
      </c>
      <c r="Y85" s="59">
        <f t="shared" si="15"/>
        <v>0</v>
      </c>
      <c r="Z85" s="51">
        <f t="shared" si="16"/>
        <v>0</v>
      </c>
      <c r="AA85" s="51">
        <f t="shared" si="27"/>
        <v>0</v>
      </c>
    </row>
    <row r="86" spans="1:36" x14ac:dyDescent="0.25">
      <c r="A86" s="30" t="s">
        <v>60</v>
      </c>
      <c r="B86" s="31" t="s">
        <v>13</v>
      </c>
      <c r="C86" s="32" t="s">
        <v>62</v>
      </c>
      <c r="D86" s="31" t="s">
        <v>75</v>
      </c>
      <c r="E86" s="31"/>
      <c r="F86" s="51"/>
      <c r="G86" s="73">
        <f>G67*0.5</f>
        <v>697.99694469905285</v>
      </c>
      <c r="H86" s="51">
        <f>H67*0.2</f>
        <v>396</v>
      </c>
      <c r="I86" s="51">
        <v>0</v>
      </c>
      <c r="J86" s="51">
        <v>0</v>
      </c>
      <c r="K86" s="51">
        <v>0</v>
      </c>
      <c r="L86" s="52">
        <v>0</v>
      </c>
      <c r="M86" s="51">
        <v>0</v>
      </c>
      <c r="N86" s="51">
        <v>0</v>
      </c>
      <c r="O86" s="51">
        <v>0</v>
      </c>
      <c r="P86" s="51">
        <v>0</v>
      </c>
      <c r="Q86" s="51">
        <v>0</v>
      </c>
      <c r="R86" s="51">
        <v>0</v>
      </c>
      <c r="S86" s="51">
        <v>0</v>
      </c>
      <c r="T86" s="51">
        <v>0</v>
      </c>
      <c r="U86" s="51">
        <v>0</v>
      </c>
      <c r="V86" s="51">
        <v>0</v>
      </c>
      <c r="W86" s="51">
        <v>0</v>
      </c>
      <c r="X86" s="55">
        <v>0</v>
      </c>
      <c r="Y86" s="59">
        <f t="shared" si="15"/>
        <v>1093.9969446990528</v>
      </c>
      <c r="Z86" s="51">
        <f t="shared" si="16"/>
        <v>0</v>
      </c>
      <c r="AA86" s="51">
        <f t="shared" si="27"/>
        <v>1093.9969446990528</v>
      </c>
    </row>
    <row r="87" spans="1:36" x14ac:dyDescent="0.25">
      <c r="A87" s="30" t="s">
        <v>60</v>
      </c>
      <c r="B87" s="31" t="s">
        <v>13</v>
      </c>
      <c r="C87" s="32" t="s">
        <v>62</v>
      </c>
      <c r="D87" s="31" t="s">
        <v>76</v>
      </c>
      <c r="E87" s="31"/>
      <c r="F87" s="51">
        <f>F67</f>
        <v>515.03200000000004</v>
      </c>
      <c r="G87" s="51">
        <f>G67*0.5</f>
        <v>697.99694469905285</v>
      </c>
      <c r="H87" s="51">
        <f>H67*0.8</f>
        <v>1584</v>
      </c>
      <c r="I87" s="51">
        <v>0</v>
      </c>
      <c r="J87" s="51">
        <v>0</v>
      </c>
      <c r="K87" s="51">
        <v>0</v>
      </c>
      <c r="L87" s="52">
        <v>0</v>
      </c>
      <c r="M87" s="51">
        <v>0</v>
      </c>
      <c r="N87" s="51">
        <v>0</v>
      </c>
      <c r="O87" s="51">
        <v>0</v>
      </c>
      <c r="P87" s="51">
        <f>P67</f>
        <v>2300</v>
      </c>
      <c r="Q87" s="51">
        <v>0</v>
      </c>
      <c r="R87" s="51">
        <v>0</v>
      </c>
      <c r="S87" s="51">
        <v>0</v>
      </c>
      <c r="T87" s="51">
        <v>0</v>
      </c>
      <c r="U87" s="51">
        <v>0</v>
      </c>
      <c r="V87" s="51">
        <v>0</v>
      </c>
      <c r="W87" s="51">
        <v>0</v>
      </c>
      <c r="X87" s="55">
        <v>0</v>
      </c>
      <c r="Y87" s="59">
        <f t="shared" si="15"/>
        <v>2797.0289446990528</v>
      </c>
      <c r="Z87" s="51">
        <f t="shared" si="16"/>
        <v>2300</v>
      </c>
      <c r="AA87" s="51">
        <f t="shared" si="27"/>
        <v>5097.0289446990528</v>
      </c>
    </row>
    <row r="88" spans="1:36" x14ac:dyDescent="0.25">
      <c r="A88" s="30" t="s">
        <v>60</v>
      </c>
      <c r="B88" s="31" t="s">
        <v>13</v>
      </c>
      <c r="C88" s="32" t="s">
        <v>62</v>
      </c>
      <c r="D88" s="31" t="s">
        <v>77</v>
      </c>
      <c r="E88" s="31"/>
      <c r="F88" s="51">
        <v>0</v>
      </c>
      <c r="G88" s="51">
        <v>0</v>
      </c>
      <c r="H88" s="51">
        <v>0</v>
      </c>
      <c r="I88" s="51">
        <v>0</v>
      </c>
      <c r="J88" s="51">
        <v>0</v>
      </c>
      <c r="K88" s="51">
        <v>0</v>
      </c>
      <c r="L88" s="52">
        <v>0</v>
      </c>
      <c r="M88" s="51">
        <v>0</v>
      </c>
      <c r="N88" s="51">
        <v>0</v>
      </c>
      <c r="O88" s="51">
        <v>0</v>
      </c>
      <c r="P88" s="51">
        <v>0</v>
      </c>
      <c r="Q88" s="51">
        <v>0</v>
      </c>
      <c r="R88" s="51">
        <v>0</v>
      </c>
      <c r="S88" s="51">
        <v>0</v>
      </c>
      <c r="T88" s="51">
        <v>0</v>
      </c>
      <c r="U88" s="51">
        <v>0</v>
      </c>
      <c r="V88" s="51">
        <v>0</v>
      </c>
      <c r="W88" s="51">
        <v>0</v>
      </c>
      <c r="X88" s="55">
        <v>0</v>
      </c>
      <c r="Y88" s="59">
        <f t="shared" si="15"/>
        <v>0</v>
      </c>
      <c r="Z88" s="51">
        <f t="shared" si="16"/>
        <v>0</v>
      </c>
      <c r="AA88" s="51">
        <f t="shared" si="27"/>
        <v>0</v>
      </c>
    </row>
    <row r="89" spans="1:36" x14ac:dyDescent="0.25">
      <c r="A89" s="30" t="s">
        <v>60</v>
      </c>
      <c r="B89" s="31" t="s">
        <v>13</v>
      </c>
      <c r="C89" s="32" t="s">
        <v>62</v>
      </c>
      <c r="D89" s="31" t="s">
        <v>78</v>
      </c>
      <c r="E89" s="31"/>
      <c r="F89" s="51">
        <v>0</v>
      </c>
      <c r="G89" s="51">
        <v>0</v>
      </c>
      <c r="H89" s="51">
        <v>0</v>
      </c>
      <c r="I89" s="51">
        <v>0</v>
      </c>
      <c r="J89" s="51">
        <v>0</v>
      </c>
      <c r="K89" s="51">
        <v>0</v>
      </c>
      <c r="L89" s="52">
        <v>0</v>
      </c>
      <c r="M89" s="51">
        <v>0</v>
      </c>
      <c r="N89" s="51">
        <v>0</v>
      </c>
      <c r="O89" s="51">
        <v>0</v>
      </c>
      <c r="P89" s="51">
        <v>0</v>
      </c>
      <c r="Q89" s="51">
        <v>0</v>
      </c>
      <c r="R89" s="51">
        <v>0</v>
      </c>
      <c r="S89" s="51">
        <v>0</v>
      </c>
      <c r="T89" s="51">
        <v>0</v>
      </c>
      <c r="U89" s="51">
        <v>0</v>
      </c>
      <c r="V89" s="51">
        <v>0</v>
      </c>
      <c r="W89" s="51">
        <v>0</v>
      </c>
      <c r="X89" s="55">
        <v>0</v>
      </c>
      <c r="Y89" s="59">
        <f t="shared" si="15"/>
        <v>0</v>
      </c>
      <c r="Z89" s="51">
        <f t="shared" si="16"/>
        <v>0</v>
      </c>
      <c r="AA89" s="51">
        <f t="shared" si="27"/>
        <v>0</v>
      </c>
    </row>
    <row r="90" spans="1:36" ht="15.75" thickBot="1" x14ac:dyDescent="0.3">
      <c r="A90" s="33" t="s">
        <v>60</v>
      </c>
      <c r="B90" s="34" t="s">
        <v>13</v>
      </c>
      <c r="C90" s="32" t="s">
        <v>62</v>
      </c>
      <c r="D90" s="34" t="s">
        <v>79</v>
      </c>
      <c r="E90" s="31"/>
      <c r="F90" s="51">
        <v>0</v>
      </c>
      <c r="G90" s="51">
        <v>0</v>
      </c>
      <c r="H90" s="51">
        <v>0</v>
      </c>
      <c r="I90" s="51">
        <v>0</v>
      </c>
      <c r="J90" s="51">
        <v>0</v>
      </c>
      <c r="K90" s="51">
        <v>0</v>
      </c>
      <c r="L90" s="52">
        <v>0</v>
      </c>
      <c r="M90" s="51">
        <v>0</v>
      </c>
      <c r="N90" s="51">
        <v>0</v>
      </c>
      <c r="O90" s="51">
        <v>0</v>
      </c>
      <c r="P90" s="51">
        <v>0</v>
      </c>
      <c r="Q90" s="51">
        <v>0</v>
      </c>
      <c r="R90" s="51">
        <v>0</v>
      </c>
      <c r="S90" s="51">
        <v>0</v>
      </c>
      <c r="T90" s="51">
        <v>0</v>
      </c>
      <c r="U90" s="51">
        <v>0</v>
      </c>
      <c r="V90" s="51">
        <v>0</v>
      </c>
      <c r="W90" s="51">
        <v>0</v>
      </c>
      <c r="X90" s="55">
        <v>0</v>
      </c>
      <c r="Y90" s="59">
        <f t="shared" si="15"/>
        <v>0</v>
      </c>
      <c r="Z90" s="51">
        <f t="shared" si="16"/>
        <v>0</v>
      </c>
      <c r="AA90" s="51">
        <f t="shared" si="27"/>
        <v>0</v>
      </c>
    </row>
    <row r="92" spans="1:36" x14ac:dyDescent="0.25">
      <c r="D92" s="41" t="s">
        <v>19</v>
      </c>
      <c r="E92" s="41"/>
      <c r="M92" s="24" t="s">
        <v>81</v>
      </c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</row>
    <row r="93" spans="1:36" x14ac:dyDescent="0.25">
      <c r="F93" s="23" t="s">
        <v>44</v>
      </c>
      <c r="G93" s="23"/>
      <c r="H93" s="23"/>
      <c r="I93" s="23"/>
      <c r="J93" s="23"/>
      <c r="K93" s="23"/>
      <c r="L93" s="7" t="s">
        <v>30</v>
      </c>
      <c r="M93" s="24" t="s">
        <v>46</v>
      </c>
      <c r="N93" s="24"/>
      <c r="O93" s="24"/>
      <c r="P93" s="24"/>
      <c r="Q93" s="24"/>
      <c r="R93" s="24" t="s">
        <v>47</v>
      </c>
      <c r="S93" s="24"/>
      <c r="T93" s="24"/>
      <c r="U93" s="24"/>
      <c r="V93" s="24"/>
      <c r="W93" s="24"/>
      <c r="X93" s="24"/>
      <c r="Y93" s="44" t="s">
        <v>85</v>
      </c>
      <c r="Z93" s="44" t="s">
        <v>48</v>
      </c>
      <c r="AA93" s="44" t="s">
        <v>3</v>
      </c>
    </row>
    <row r="94" spans="1:36" ht="63" x14ac:dyDescent="0.25">
      <c r="F94" s="38" t="s">
        <v>36</v>
      </c>
      <c r="G94" s="38" t="s">
        <v>37</v>
      </c>
      <c r="H94" s="38" t="s">
        <v>38</v>
      </c>
      <c r="I94" s="38" t="s">
        <v>80</v>
      </c>
      <c r="J94" s="38" t="s">
        <v>39</v>
      </c>
      <c r="K94" s="38" t="s">
        <v>45</v>
      </c>
      <c r="L94" s="39" t="s">
        <v>16</v>
      </c>
      <c r="M94" s="40" t="s">
        <v>34</v>
      </c>
      <c r="N94" s="40" t="s">
        <v>5</v>
      </c>
      <c r="O94" s="40" t="s">
        <v>7</v>
      </c>
      <c r="P94" s="40" t="s">
        <v>8</v>
      </c>
      <c r="Q94" s="40" t="s">
        <v>40</v>
      </c>
      <c r="R94" s="40" t="s">
        <v>41</v>
      </c>
      <c r="S94" s="40" t="s">
        <v>42</v>
      </c>
      <c r="T94" s="40" t="s">
        <v>31</v>
      </c>
      <c r="U94" s="40" t="s">
        <v>43</v>
      </c>
      <c r="V94" s="40" t="s">
        <v>82</v>
      </c>
      <c r="W94" s="40" t="s">
        <v>87</v>
      </c>
      <c r="X94" s="40" t="s">
        <v>83</v>
      </c>
      <c r="Y94" s="45" t="s">
        <v>3</v>
      </c>
      <c r="Z94" s="45" t="s">
        <v>3</v>
      </c>
      <c r="AA94" s="45" t="s">
        <v>3</v>
      </c>
    </row>
    <row r="95" spans="1:36" x14ac:dyDescent="0.25">
      <c r="A95" s="15" t="s">
        <v>51</v>
      </c>
      <c r="B95" s="2"/>
      <c r="C95" s="2"/>
      <c r="F95" s="1">
        <f t="shared" ref="F95:AA106" si="28">IF(F5&gt;0,F50/F5,0)</f>
        <v>0</v>
      </c>
      <c r="G95" s="1">
        <f t="shared" si="28"/>
        <v>0</v>
      </c>
      <c r="H95" s="1">
        <f t="shared" si="28"/>
        <v>0</v>
      </c>
      <c r="I95" s="1">
        <f t="shared" si="28"/>
        <v>0</v>
      </c>
      <c r="J95" s="1">
        <f t="shared" si="28"/>
        <v>0</v>
      </c>
      <c r="K95" s="1">
        <f t="shared" si="28"/>
        <v>0</v>
      </c>
      <c r="L95" s="52">
        <f t="shared" si="28"/>
        <v>0</v>
      </c>
      <c r="M95" s="1">
        <f t="shared" si="28"/>
        <v>0</v>
      </c>
      <c r="N95" s="1">
        <f t="shared" si="28"/>
        <v>0</v>
      </c>
      <c r="O95" s="1">
        <f t="shared" si="28"/>
        <v>0</v>
      </c>
      <c r="P95" s="1">
        <f t="shared" si="28"/>
        <v>0</v>
      </c>
      <c r="Q95" s="1">
        <f t="shared" si="28"/>
        <v>0</v>
      </c>
      <c r="R95" s="1">
        <f t="shared" si="28"/>
        <v>0</v>
      </c>
      <c r="S95" s="1">
        <f t="shared" si="28"/>
        <v>0</v>
      </c>
      <c r="T95" s="1">
        <f t="shared" si="28"/>
        <v>0</v>
      </c>
      <c r="U95" s="1">
        <f t="shared" si="28"/>
        <v>0</v>
      </c>
      <c r="V95" s="1">
        <f t="shared" si="28"/>
        <v>0</v>
      </c>
      <c r="W95" s="1">
        <f t="shared" si="28"/>
        <v>0</v>
      </c>
      <c r="X95" s="54">
        <f t="shared" si="28"/>
        <v>0</v>
      </c>
      <c r="Y95" s="58">
        <f t="shared" si="28"/>
        <v>0</v>
      </c>
      <c r="Z95" s="1">
        <f t="shared" si="28"/>
        <v>0</v>
      </c>
      <c r="AA95" s="1">
        <f t="shared" si="28"/>
        <v>0</v>
      </c>
    </row>
    <row r="96" spans="1:36" x14ac:dyDescent="0.25">
      <c r="A96" s="30" t="s">
        <v>60</v>
      </c>
      <c r="B96" s="2"/>
      <c r="C96" s="2"/>
      <c r="F96" s="1">
        <f t="shared" si="28"/>
        <v>0.17388746511627909</v>
      </c>
      <c r="G96" s="1">
        <f t="shared" si="28"/>
        <v>0.24928462310680455</v>
      </c>
      <c r="H96" s="1">
        <f t="shared" si="28"/>
        <v>0.3235294117647059</v>
      </c>
      <c r="I96" s="1">
        <f t="shared" si="28"/>
        <v>0.2639455782312925</v>
      </c>
      <c r="J96" s="1">
        <f t="shared" si="28"/>
        <v>0.24599254884793034</v>
      </c>
      <c r="K96" s="1">
        <f t="shared" si="28"/>
        <v>0.64706144539955435</v>
      </c>
      <c r="L96" s="52">
        <f t="shared" si="28"/>
        <v>8.5000000000000006E-2</v>
      </c>
      <c r="M96" s="1">
        <f t="shared" si="28"/>
        <v>0.19078172588832487</v>
      </c>
      <c r="N96" s="1">
        <f t="shared" si="28"/>
        <v>0.2756578947368421</v>
      </c>
      <c r="O96" s="1">
        <f t="shared" si="28"/>
        <v>0.44450000000000001</v>
      </c>
      <c r="P96" s="1">
        <f t="shared" si="28"/>
        <v>0.23</v>
      </c>
      <c r="Q96" s="1">
        <f t="shared" si="28"/>
        <v>0.1542056074766355</v>
      </c>
      <c r="R96" s="1">
        <f t="shared" si="28"/>
        <v>0.19656683710737763</v>
      </c>
      <c r="S96" s="1">
        <f t="shared" si="28"/>
        <v>0.24489795918367346</v>
      </c>
      <c r="T96" s="1">
        <f t="shared" si="28"/>
        <v>0.19745682292655153</v>
      </c>
      <c r="U96" s="1">
        <f t="shared" si="28"/>
        <v>0.26028169014084512</v>
      </c>
      <c r="V96" s="1">
        <f t="shared" si="28"/>
        <v>0.27774130006565989</v>
      </c>
      <c r="W96" s="1">
        <f t="shared" si="28"/>
        <v>0.18787878787878787</v>
      </c>
      <c r="X96" s="54">
        <f t="shared" si="28"/>
        <v>0.356893178557454</v>
      </c>
      <c r="Y96" s="58">
        <f t="shared" si="28"/>
        <v>0.28557165030461817</v>
      </c>
      <c r="Z96" s="1">
        <f t="shared" si="28"/>
        <v>0.22571831090093256</v>
      </c>
      <c r="AA96" s="1">
        <f t="shared" si="28"/>
        <v>0.14991274815966282</v>
      </c>
    </row>
    <row r="97" spans="1:28" x14ac:dyDescent="0.25">
      <c r="A97" s="15" t="s">
        <v>51</v>
      </c>
      <c r="B97" s="16" t="s">
        <v>52</v>
      </c>
      <c r="C97" s="2"/>
      <c r="F97" s="1">
        <f t="shared" si="28"/>
        <v>0</v>
      </c>
      <c r="G97" s="1">
        <f t="shared" si="28"/>
        <v>0</v>
      </c>
      <c r="H97" s="1">
        <f t="shared" si="28"/>
        <v>0</v>
      </c>
      <c r="I97" s="1">
        <f t="shared" si="28"/>
        <v>0</v>
      </c>
      <c r="J97" s="1">
        <f t="shared" si="28"/>
        <v>0</v>
      </c>
      <c r="K97" s="1">
        <f t="shared" si="28"/>
        <v>0</v>
      </c>
      <c r="L97" s="52">
        <f t="shared" si="28"/>
        <v>0</v>
      </c>
      <c r="M97" s="1">
        <f t="shared" si="28"/>
        <v>0</v>
      </c>
      <c r="N97" s="1">
        <f t="shared" si="28"/>
        <v>0</v>
      </c>
      <c r="O97" s="1">
        <f t="shared" si="28"/>
        <v>0</v>
      </c>
      <c r="P97" s="1">
        <f t="shared" si="28"/>
        <v>0</v>
      </c>
      <c r="Q97" s="1">
        <f t="shared" si="28"/>
        <v>0</v>
      </c>
      <c r="R97" s="1">
        <f t="shared" si="28"/>
        <v>0</v>
      </c>
      <c r="S97" s="1">
        <f t="shared" si="28"/>
        <v>0</v>
      </c>
      <c r="T97" s="1">
        <f t="shared" si="28"/>
        <v>0</v>
      </c>
      <c r="U97" s="1">
        <f t="shared" si="28"/>
        <v>0</v>
      </c>
      <c r="V97" s="1">
        <f t="shared" si="28"/>
        <v>0</v>
      </c>
      <c r="W97" s="1">
        <f t="shared" si="28"/>
        <v>0</v>
      </c>
      <c r="X97" s="54">
        <f t="shared" si="28"/>
        <v>0</v>
      </c>
      <c r="Y97" s="58">
        <f t="shared" si="28"/>
        <v>0</v>
      </c>
      <c r="Z97" s="1">
        <f t="shared" si="28"/>
        <v>0</v>
      </c>
      <c r="AA97" s="1">
        <f t="shared" si="28"/>
        <v>0</v>
      </c>
    </row>
    <row r="98" spans="1:28" x14ac:dyDescent="0.25">
      <c r="A98" s="15" t="s">
        <v>51</v>
      </c>
      <c r="B98" s="16" t="s">
        <v>56</v>
      </c>
      <c r="C98" s="2"/>
      <c r="F98" s="1">
        <f t="shared" si="28"/>
        <v>0</v>
      </c>
      <c r="G98" s="1">
        <f t="shared" si="28"/>
        <v>0</v>
      </c>
      <c r="H98" s="1">
        <f t="shared" si="28"/>
        <v>0</v>
      </c>
      <c r="I98" s="1">
        <f t="shared" si="28"/>
        <v>0</v>
      </c>
      <c r="J98" s="1">
        <f t="shared" si="28"/>
        <v>0</v>
      </c>
      <c r="K98" s="1">
        <f t="shared" si="28"/>
        <v>0</v>
      </c>
      <c r="L98" s="52">
        <f t="shared" si="28"/>
        <v>0</v>
      </c>
      <c r="M98" s="1">
        <f t="shared" si="28"/>
        <v>0</v>
      </c>
      <c r="N98" s="1">
        <f t="shared" si="28"/>
        <v>0</v>
      </c>
      <c r="O98" s="1">
        <f t="shared" si="28"/>
        <v>0</v>
      </c>
      <c r="P98" s="1">
        <f t="shared" si="28"/>
        <v>0</v>
      </c>
      <c r="Q98" s="1">
        <f t="shared" si="28"/>
        <v>0</v>
      </c>
      <c r="R98" s="1">
        <f t="shared" si="28"/>
        <v>0</v>
      </c>
      <c r="S98" s="1">
        <f t="shared" si="28"/>
        <v>0</v>
      </c>
      <c r="T98" s="1">
        <f t="shared" si="28"/>
        <v>0</v>
      </c>
      <c r="U98" s="1">
        <f t="shared" si="28"/>
        <v>0</v>
      </c>
      <c r="V98" s="1">
        <f t="shared" si="28"/>
        <v>0</v>
      </c>
      <c r="W98" s="1">
        <f t="shared" si="28"/>
        <v>0</v>
      </c>
      <c r="X98" s="54">
        <f t="shared" si="28"/>
        <v>0</v>
      </c>
      <c r="Y98" s="58">
        <f t="shared" si="28"/>
        <v>0</v>
      </c>
      <c r="Z98" s="1">
        <f t="shared" si="28"/>
        <v>0</v>
      </c>
      <c r="AA98" s="1">
        <f t="shared" si="28"/>
        <v>0</v>
      </c>
    </row>
    <row r="99" spans="1:28" x14ac:dyDescent="0.25">
      <c r="A99" s="15" t="s">
        <v>51</v>
      </c>
      <c r="B99" s="16" t="s">
        <v>9</v>
      </c>
      <c r="C99" s="2"/>
      <c r="F99" s="1">
        <f t="shared" si="28"/>
        <v>0</v>
      </c>
      <c r="G99" s="1">
        <f t="shared" si="28"/>
        <v>0</v>
      </c>
      <c r="H99" s="1">
        <f t="shared" si="28"/>
        <v>0</v>
      </c>
      <c r="I99" s="1">
        <f t="shared" si="28"/>
        <v>0</v>
      </c>
      <c r="J99" s="1">
        <f t="shared" si="28"/>
        <v>0</v>
      </c>
      <c r="K99" s="1">
        <f t="shared" si="28"/>
        <v>0</v>
      </c>
      <c r="L99" s="52">
        <f t="shared" si="28"/>
        <v>0</v>
      </c>
      <c r="M99" s="1">
        <f t="shared" si="28"/>
        <v>0</v>
      </c>
      <c r="N99" s="1">
        <f t="shared" si="28"/>
        <v>0</v>
      </c>
      <c r="O99" s="1">
        <f t="shared" si="28"/>
        <v>0</v>
      </c>
      <c r="P99" s="1">
        <f t="shared" si="28"/>
        <v>0</v>
      </c>
      <c r="Q99" s="1">
        <f t="shared" si="28"/>
        <v>0</v>
      </c>
      <c r="R99" s="1">
        <f t="shared" si="28"/>
        <v>0</v>
      </c>
      <c r="S99" s="1">
        <f t="shared" si="28"/>
        <v>0</v>
      </c>
      <c r="T99" s="1">
        <f t="shared" si="28"/>
        <v>0</v>
      </c>
      <c r="U99" s="1">
        <f t="shared" si="28"/>
        <v>0</v>
      </c>
      <c r="V99" s="1">
        <f t="shared" si="28"/>
        <v>0</v>
      </c>
      <c r="W99" s="1">
        <f t="shared" si="28"/>
        <v>0</v>
      </c>
      <c r="X99" s="54">
        <f t="shared" si="28"/>
        <v>0</v>
      </c>
      <c r="Y99" s="58">
        <f t="shared" si="28"/>
        <v>0</v>
      </c>
      <c r="Z99" s="1">
        <f t="shared" si="28"/>
        <v>0</v>
      </c>
      <c r="AA99" s="1">
        <f t="shared" si="28"/>
        <v>0</v>
      </c>
    </row>
    <row r="100" spans="1:28" x14ac:dyDescent="0.25">
      <c r="A100" s="30" t="s">
        <v>60</v>
      </c>
      <c r="B100" s="32" t="s">
        <v>13</v>
      </c>
      <c r="C100" s="2"/>
      <c r="F100" s="51">
        <f t="shared" si="28"/>
        <v>0.17388746511627909</v>
      </c>
      <c r="G100" s="51">
        <f t="shared" si="28"/>
        <v>0.24928462310680455</v>
      </c>
      <c r="H100" s="51">
        <f t="shared" si="28"/>
        <v>0.3235294117647059</v>
      </c>
      <c r="I100" s="51">
        <f t="shared" si="28"/>
        <v>0.2639455782312925</v>
      </c>
      <c r="J100" s="51">
        <f t="shared" si="28"/>
        <v>0.5376344086021505</v>
      </c>
      <c r="K100" s="51">
        <f t="shared" si="28"/>
        <v>0.28749999999999998</v>
      </c>
      <c r="L100" s="52">
        <f t="shared" si="28"/>
        <v>0</v>
      </c>
      <c r="M100" s="51">
        <f t="shared" si="28"/>
        <v>0.40500000000000003</v>
      </c>
      <c r="N100" s="51">
        <f t="shared" si="28"/>
        <v>0.30416666666666664</v>
      </c>
      <c r="O100" s="51">
        <f t="shared" si="28"/>
        <v>0.44450000000000001</v>
      </c>
      <c r="P100" s="51">
        <f t="shared" si="28"/>
        <v>0.23</v>
      </c>
      <c r="Q100" s="51">
        <f t="shared" si="28"/>
        <v>0.5</v>
      </c>
      <c r="R100" s="51">
        <f t="shared" si="28"/>
        <v>0.46</v>
      </c>
      <c r="S100" s="51">
        <f t="shared" si="28"/>
        <v>0</v>
      </c>
      <c r="T100" s="51">
        <f t="shared" si="28"/>
        <v>0.48</v>
      </c>
      <c r="U100" s="51">
        <f t="shared" si="28"/>
        <v>0.48</v>
      </c>
      <c r="V100" s="51">
        <f t="shared" si="28"/>
        <v>1.2</v>
      </c>
      <c r="W100" s="51">
        <f t="shared" si="28"/>
        <v>0.6</v>
      </c>
      <c r="X100" s="55">
        <f t="shared" si="28"/>
        <v>0.5</v>
      </c>
      <c r="Y100" s="59">
        <f t="shared" si="28"/>
        <v>0.2732475363132702</v>
      </c>
      <c r="Z100" s="51">
        <f t="shared" si="28"/>
        <v>0.35204757131841202</v>
      </c>
      <c r="AA100" s="51">
        <f>IF(AA10&gt;0,AB55/AA10,0)</f>
        <v>0.30944999163633369</v>
      </c>
    </row>
    <row r="101" spans="1:28" x14ac:dyDescent="0.25">
      <c r="A101" s="30" t="s">
        <v>60</v>
      </c>
      <c r="B101" s="31" t="s">
        <v>23</v>
      </c>
      <c r="C101" s="2"/>
      <c r="F101" s="51">
        <f t="shared" si="28"/>
        <v>0</v>
      </c>
      <c r="G101" s="51">
        <f t="shared" si="28"/>
        <v>0</v>
      </c>
      <c r="H101" s="51">
        <f t="shared" si="28"/>
        <v>0</v>
      </c>
      <c r="I101" s="51">
        <f t="shared" si="28"/>
        <v>0</v>
      </c>
      <c r="J101" s="51">
        <f t="shared" si="28"/>
        <v>0.28036520714706459</v>
      </c>
      <c r="K101" s="51">
        <f t="shared" si="28"/>
        <v>0.76993592481845363</v>
      </c>
      <c r="L101" s="52">
        <f t="shared" si="28"/>
        <v>0</v>
      </c>
      <c r="M101" s="51">
        <f t="shared" si="28"/>
        <v>0</v>
      </c>
      <c r="N101" s="51">
        <f t="shared" si="28"/>
        <v>0.25</v>
      </c>
      <c r="O101" s="51">
        <f t="shared" si="28"/>
        <v>0</v>
      </c>
      <c r="P101" s="51">
        <f t="shared" si="28"/>
        <v>0</v>
      </c>
      <c r="Q101" s="51">
        <f t="shared" si="28"/>
        <v>0</v>
      </c>
      <c r="R101" s="51">
        <f t="shared" si="28"/>
        <v>0</v>
      </c>
      <c r="S101" s="51">
        <f t="shared" si="28"/>
        <v>0.24489795918367346</v>
      </c>
      <c r="T101" s="51">
        <f t="shared" si="28"/>
        <v>0.4</v>
      </c>
      <c r="U101" s="51">
        <f t="shared" si="28"/>
        <v>0</v>
      </c>
      <c r="V101" s="51">
        <f t="shared" si="28"/>
        <v>0.9</v>
      </c>
      <c r="W101" s="51">
        <f t="shared" si="28"/>
        <v>0</v>
      </c>
      <c r="X101" s="55">
        <f t="shared" si="28"/>
        <v>0.9</v>
      </c>
      <c r="Y101" s="59">
        <f t="shared" si="28"/>
        <v>0.62150255982855107</v>
      </c>
      <c r="Z101" s="51">
        <f t="shared" si="28"/>
        <v>0.33395176252319109</v>
      </c>
      <c r="AA101" s="51">
        <f t="shared" si="28"/>
        <v>0.49350906748587847</v>
      </c>
    </row>
    <row r="102" spans="1:28" x14ac:dyDescent="0.25">
      <c r="A102" s="30" t="s">
        <v>60</v>
      </c>
      <c r="B102" s="31" t="s">
        <v>65</v>
      </c>
      <c r="C102" s="46"/>
      <c r="F102" s="51">
        <f t="shared" si="28"/>
        <v>0</v>
      </c>
      <c r="G102" s="51">
        <f t="shared" si="28"/>
        <v>0</v>
      </c>
      <c r="H102" s="51">
        <f t="shared" si="28"/>
        <v>0</v>
      </c>
      <c r="I102" s="51">
        <f t="shared" si="28"/>
        <v>0</v>
      </c>
      <c r="J102" s="51">
        <f t="shared" si="28"/>
        <v>0.11999999999999998</v>
      </c>
      <c r="K102" s="51">
        <f t="shared" si="28"/>
        <v>0</v>
      </c>
      <c r="L102" s="52">
        <f t="shared" si="28"/>
        <v>8.5000000000000006E-2</v>
      </c>
      <c r="M102" s="51">
        <f t="shared" si="28"/>
        <v>0.12</v>
      </c>
      <c r="N102" s="51">
        <f t="shared" si="28"/>
        <v>0</v>
      </c>
      <c r="O102" s="51">
        <f t="shared" si="28"/>
        <v>0</v>
      </c>
      <c r="P102" s="51">
        <f t="shared" si="28"/>
        <v>0</v>
      </c>
      <c r="Q102" s="51">
        <f t="shared" si="28"/>
        <v>0.15</v>
      </c>
      <c r="R102" s="51">
        <f t="shared" si="28"/>
        <v>0.18</v>
      </c>
      <c r="S102" s="51">
        <f t="shared" si="28"/>
        <v>0</v>
      </c>
      <c r="T102" s="51">
        <f t="shared" si="28"/>
        <v>0.18</v>
      </c>
      <c r="U102" s="51">
        <f t="shared" si="28"/>
        <v>0.22000000000000003</v>
      </c>
      <c r="V102" s="51">
        <f t="shared" si="28"/>
        <v>0.12</v>
      </c>
      <c r="W102" s="51">
        <f t="shared" si="28"/>
        <v>0.12</v>
      </c>
      <c r="X102" s="55">
        <f t="shared" si="28"/>
        <v>0.12</v>
      </c>
      <c r="Y102" s="59">
        <f t="shared" si="28"/>
        <v>0.11999999999999998</v>
      </c>
      <c r="Z102" s="51">
        <f t="shared" si="28"/>
        <v>0.1536344755970924</v>
      </c>
      <c r="AA102" s="51">
        <f>IF(AB12&gt;0,AA57/AB12,0)</f>
        <v>0.10082304526748972</v>
      </c>
    </row>
    <row r="103" spans="1:28" ht="15.75" thickBot="1" x14ac:dyDescent="0.3">
      <c r="A103" s="48" t="s">
        <v>60</v>
      </c>
      <c r="B103" s="49" t="s">
        <v>9</v>
      </c>
      <c r="C103" s="50"/>
      <c r="D103" s="50"/>
      <c r="E103" s="50"/>
      <c r="F103" s="53">
        <f t="shared" si="28"/>
        <v>0</v>
      </c>
      <c r="G103" s="53">
        <f t="shared" si="28"/>
        <v>0</v>
      </c>
      <c r="H103" s="53">
        <f t="shared" si="28"/>
        <v>0</v>
      </c>
      <c r="I103" s="53">
        <f t="shared" si="28"/>
        <v>0</v>
      </c>
      <c r="J103" s="53">
        <f t="shared" si="28"/>
        <v>0</v>
      </c>
      <c r="K103" s="53">
        <f t="shared" si="28"/>
        <v>0</v>
      </c>
      <c r="L103" s="62">
        <f t="shared" si="28"/>
        <v>0</v>
      </c>
      <c r="M103" s="53">
        <f t="shared" si="28"/>
        <v>0</v>
      </c>
      <c r="N103" s="53">
        <f t="shared" si="28"/>
        <v>0</v>
      </c>
      <c r="O103" s="53">
        <f t="shared" si="28"/>
        <v>0</v>
      </c>
      <c r="P103" s="53">
        <f t="shared" si="28"/>
        <v>0</v>
      </c>
      <c r="Q103" s="53">
        <f t="shared" si="28"/>
        <v>0</v>
      </c>
      <c r="R103" s="53">
        <f t="shared" si="28"/>
        <v>0</v>
      </c>
      <c r="S103" s="53">
        <f t="shared" si="28"/>
        <v>0</v>
      </c>
      <c r="T103" s="53">
        <f t="shared" si="28"/>
        <v>0</v>
      </c>
      <c r="U103" s="53">
        <f t="shared" si="28"/>
        <v>0</v>
      </c>
      <c r="V103" s="53">
        <f t="shared" si="28"/>
        <v>1</v>
      </c>
      <c r="W103" s="53">
        <f t="shared" si="28"/>
        <v>0</v>
      </c>
      <c r="X103" s="56">
        <f t="shared" si="28"/>
        <v>0.42</v>
      </c>
      <c r="Y103" s="60">
        <f t="shared" si="28"/>
        <v>0</v>
      </c>
      <c r="Z103" s="53">
        <f t="shared" si="28"/>
        <v>0.61607710230883284</v>
      </c>
      <c r="AA103" s="53">
        <f t="shared" si="28"/>
        <v>0.5</v>
      </c>
    </row>
    <row r="104" spans="1:28" ht="15.75" thickTop="1" x14ac:dyDescent="0.25">
      <c r="A104" s="15" t="s">
        <v>51</v>
      </c>
      <c r="B104" s="16" t="s">
        <v>52</v>
      </c>
      <c r="C104" s="16" t="s">
        <v>53</v>
      </c>
      <c r="D104" s="2"/>
      <c r="E104" s="2"/>
      <c r="F104" s="47">
        <f t="shared" si="28"/>
        <v>0</v>
      </c>
      <c r="G104" s="47">
        <f t="shared" si="28"/>
        <v>0</v>
      </c>
      <c r="H104" s="47">
        <f t="shared" si="28"/>
        <v>0</v>
      </c>
      <c r="I104" s="47">
        <f t="shared" si="28"/>
        <v>0</v>
      </c>
      <c r="J104" s="47">
        <f t="shared" si="28"/>
        <v>0</v>
      </c>
      <c r="K104" s="47">
        <f t="shared" si="28"/>
        <v>0</v>
      </c>
      <c r="L104" s="63">
        <f t="shared" si="28"/>
        <v>0</v>
      </c>
      <c r="M104" s="47">
        <f t="shared" si="28"/>
        <v>0</v>
      </c>
      <c r="N104" s="47">
        <f t="shared" si="28"/>
        <v>0</v>
      </c>
      <c r="O104" s="47">
        <f t="shared" si="28"/>
        <v>0</v>
      </c>
      <c r="P104" s="47">
        <f t="shared" si="28"/>
        <v>0</v>
      </c>
      <c r="Q104" s="47">
        <f t="shared" si="28"/>
        <v>0</v>
      </c>
      <c r="R104" s="47">
        <f t="shared" si="28"/>
        <v>0</v>
      </c>
      <c r="S104" s="47">
        <f t="shared" si="28"/>
        <v>0</v>
      </c>
      <c r="T104" s="47">
        <f t="shared" si="28"/>
        <v>0</v>
      </c>
      <c r="U104" s="47">
        <f t="shared" si="28"/>
        <v>0</v>
      </c>
      <c r="V104" s="47">
        <f t="shared" si="28"/>
        <v>0</v>
      </c>
      <c r="W104" s="47">
        <f t="shared" si="28"/>
        <v>0</v>
      </c>
      <c r="X104" s="57">
        <f t="shared" si="28"/>
        <v>0</v>
      </c>
      <c r="Y104" s="61">
        <f t="shared" si="28"/>
        <v>0</v>
      </c>
      <c r="Z104" s="47">
        <f t="shared" si="28"/>
        <v>0</v>
      </c>
      <c r="AA104" s="47">
        <f t="shared" si="28"/>
        <v>0</v>
      </c>
    </row>
    <row r="105" spans="1:28" x14ac:dyDescent="0.25">
      <c r="A105" s="15" t="s">
        <v>51</v>
      </c>
      <c r="B105" s="16" t="s">
        <v>52</v>
      </c>
      <c r="C105" s="16" t="s">
        <v>54</v>
      </c>
      <c r="D105" s="2"/>
      <c r="E105" s="2"/>
      <c r="F105" s="1">
        <f t="shared" si="28"/>
        <v>0</v>
      </c>
      <c r="G105" s="1">
        <f t="shared" si="28"/>
        <v>0</v>
      </c>
      <c r="H105" s="1">
        <f t="shared" si="28"/>
        <v>0</v>
      </c>
      <c r="I105" s="1">
        <f t="shared" si="28"/>
        <v>0</v>
      </c>
      <c r="J105" s="1">
        <f t="shared" si="28"/>
        <v>0</v>
      </c>
      <c r="K105" s="1">
        <f t="shared" si="28"/>
        <v>0</v>
      </c>
      <c r="L105" s="52">
        <f t="shared" si="28"/>
        <v>0</v>
      </c>
      <c r="M105" s="1">
        <f t="shared" si="28"/>
        <v>0</v>
      </c>
      <c r="N105" s="1">
        <f t="shared" si="28"/>
        <v>0</v>
      </c>
      <c r="O105" s="1">
        <f t="shared" si="28"/>
        <v>0</v>
      </c>
      <c r="P105" s="1">
        <f t="shared" si="28"/>
        <v>0</v>
      </c>
      <c r="Q105" s="1">
        <f t="shared" si="28"/>
        <v>0</v>
      </c>
      <c r="R105" s="1">
        <f t="shared" si="28"/>
        <v>0</v>
      </c>
      <c r="S105" s="1">
        <f t="shared" si="28"/>
        <v>0</v>
      </c>
      <c r="T105" s="1">
        <f t="shared" si="28"/>
        <v>0</v>
      </c>
      <c r="U105" s="1">
        <f t="shared" si="28"/>
        <v>0</v>
      </c>
      <c r="V105" s="1">
        <f t="shared" si="28"/>
        <v>0</v>
      </c>
      <c r="W105" s="1">
        <f t="shared" si="28"/>
        <v>0</v>
      </c>
      <c r="X105" s="54">
        <f t="shared" si="28"/>
        <v>0</v>
      </c>
      <c r="Y105" s="58">
        <f t="shared" si="28"/>
        <v>0</v>
      </c>
      <c r="Z105" s="1">
        <f t="shared" si="28"/>
        <v>0</v>
      </c>
      <c r="AA105" s="1">
        <f t="shared" si="28"/>
        <v>0</v>
      </c>
    </row>
    <row r="106" spans="1:28" x14ac:dyDescent="0.25">
      <c r="A106" s="15" t="s">
        <v>51</v>
      </c>
      <c r="B106" s="16" t="s">
        <v>52</v>
      </c>
      <c r="C106" s="16" t="s">
        <v>55</v>
      </c>
      <c r="D106" s="2"/>
      <c r="E106" s="2"/>
      <c r="F106" s="1">
        <f t="shared" si="28"/>
        <v>0</v>
      </c>
      <c r="G106" s="1">
        <f t="shared" si="28"/>
        <v>0</v>
      </c>
      <c r="H106" s="1">
        <f t="shared" si="28"/>
        <v>0</v>
      </c>
      <c r="I106" s="1">
        <f t="shared" si="28"/>
        <v>0</v>
      </c>
      <c r="J106" s="1">
        <f t="shared" si="28"/>
        <v>0</v>
      </c>
      <c r="K106" s="1">
        <f t="shared" si="28"/>
        <v>0</v>
      </c>
      <c r="L106" s="52">
        <f t="shared" si="28"/>
        <v>0</v>
      </c>
      <c r="M106" s="1">
        <f t="shared" si="28"/>
        <v>0</v>
      </c>
      <c r="N106" s="1">
        <f t="shared" si="28"/>
        <v>0</v>
      </c>
      <c r="O106" s="1">
        <f t="shared" si="28"/>
        <v>0</v>
      </c>
      <c r="P106" s="1">
        <f t="shared" si="28"/>
        <v>0</v>
      </c>
      <c r="Q106" s="1">
        <f t="shared" si="28"/>
        <v>0</v>
      </c>
      <c r="R106" s="1">
        <f t="shared" si="28"/>
        <v>0</v>
      </c>
      <c r="S106" s="1">
        <f t="shared" si="28"/>
        <v>0</v>
      </c>
      <c r="T106" s="1">
        <f t="shared" si="28"/>
        <v>0</v>
      </c>
      <c r="U106" s="1">
        <f t="shared" ref="F106:AA117" si="29">IF(U16&gt;0,U61/U16,0)</f>
        <v>0</v>
      </c>
      <c r="V106" s="1">
        <f t="shared" si="29"/>
        <v>0</v>
      </c>
      <c r="W106" s="1">
        <f t="shared" si="29"/>
        <v>0</v>
      </c>
      <c r="X106" s="54">
        <f t="shared" si="29"/>
        <v>0</v>
      </c>
      <c r="Y106" s="58">
        <f t="shared" si="29"/>
        <v>0</v>
      </c>
      <c r="Z106" s="1">
        <f t="shared" si="29"/>
        <v>0</v>
      </c>
      <c r="AA106" s="1">
        <f t="shared" si="29"/>
        <v>0</v>
      </c>
    </row>
    <row r="107" spans="1:28" x14ac:dyDescent="0.25">
      <c r="A107" s="25" t="s">
        <v>51</v>
      </c>
      <c r="B107" s="26" t="s">
        <v>56</v>
      </c>
      <c r="C107" s="26" t="s">
        <v>57</v>
      </c>
      <c r="D107" s="2"/>
      <c r="E107" s="2"/>
      <c r="F107" s="1">
        <f t="shared" si="29"/>
        <v>0</v>
      </c>
      <c r="G107" s="1">
        <f t="shared" si="29"/>
        <v>0</v>
      </c>
      <c r="H107" s="1">
        <f t="shared" si="29"/>
        <v>0</v>
      </c>
      <c r="I107" s="1">
        <f t="shared" si="29"/>
        <v>0</v>
      </c>
      <c r="J107" s="1">
        <f t="shared" si="29"/>
        <v>0</v>
      </c>
      <c r="K107" s="1">
        <f t="shared" si="29"/>
        <v>0</v>
      </c>
      <c r="L107" s="52">
        <f t="shared" si="29"/>
        <v>0</v>
      </c>
      <c r="M107" s="1">
        <f t="shared" si="29"/>
        <v>0</v>
      </c>
      <c r="N107" s="1">
        <f t="shared" si="29"/>
        <v>0</v>
      </c>
      <c r="O107" s="1">
        <f t="shared" si="29"/>
        <v>0</v>
      </c>
      <c r="P107" s="1">
        <f t="shared" si="29"/>
        <v>0</v>
      </c>
      <c r="Q107" s="1">
        <f t="shared" si="29"/>
        <v>0</v>
      </c>
      <c r="R107" s="1">
        <f t="shared" si="29"/>
        <v>0</v>
      </c>
      <c r="S107" s="1">
        <f t="shared" si="29"/>
        <v>0</v>
      </c>
      <c r="T107" s="1">
        <f t="shared" si="29"/>
        <v>0</v>
      </c>
      <c r="U107" s="1">
        <f t="shared" si="29"/>
        <v>0</v>
      </c>
      <c r="V107" s="1">
        <f t="shared" si="29"/>
        <v>0</v>
      </c>
      <c r="W107" s="1">
        <f t="shared" si="29"/>
        <v>0</v>
      </c>
      <c r="X107" s="54">
        <f t="shared" si="29"/>
        <v>0</v>
      </c>
      <c r="Y107" s="58">
        <f t="shared" si="29"/>
        <v>0</v>
      </c>
      <c r="Z107" s="1">
        <f t="shared" si="29"/>
        <v>0</v>
      </c>
      <c r="AA107" s="1">
        <f t="shared" si="29"/>
        <v>0</v>
      </c>
    </row>
    <row r="108" spans="1:28" x14ac:dyDescent="0.25">
      <c r="A108" s="15" t="s">
        <v>51</v>
      </c>
      <c r="B108" s="16" t="s">
        <v>56</v>
      </c>
      <c r="C108" s="27" t="s">
        <v>58</v>
      </c>
      <c r="D108" s="2"/>
      <c r="E108" s="2"/>
      <c r="F108" s="1">
        <f t="shared" si="29"/>
        <v>0</v>
      </c>
      <c r="G108" s="1">
        <f t="shared" si="29"/>
        <v>0</v>
      </c>
      <c r="H108" s="1">
        <f t="shared" si="29"/>
        <v>0</v>
      </c>
      <c r="I108" s="1">
        <f t="shared" si="29"/>
        <v>0</v>
      </c>
      <c r="J108" s="1">
        <f t="shared" si="29"/>
        <v>0</v>
      </c>
      <c r="K108" s="1">
        <f t="shared" si="29"/>
        <v>0</v>
      </c>
      <c r="L108" s="52">
        <f t="shared" si="29"/>
        <v>0</v>
      </c>
      <c r="M108" s="1">
        <f t="shared" si="29"/>
        <v>0</v>
      </c>
      <c r="N108" s="1">
        <f t="shared" si="29"/>
        <v>0</v>
      </c>
      <c r="O108" s="1">
        <f t="shared" si="29"/>
        <v>0</v>
      </c>
      <c r="P108" s="1">
        <f t="shared" si="29"/>
        <v>0</v>
      </c>
      <c r="Q108" s="1">
        <f t="shared" si="29"/>
        <v>0</v>
      </c>
      <c r="R108" s="1">
        <f t="shared" si="29"/>
        <v>0</v>
      </c>
      <c r="S108" s="1">
        <f t="shared" si="29"/>
        <v>0</v>
      </c>
      <c r="T108" s="1">
        <f t="shared" si="29"/>
        <v>0</v>
      </c>
      <c r="U108" s="1">
        <f t="shared" si="29"/>
        <v>0</v>
      </c>
      <c r="V108" s="1">
        <f t="shared" si="29"/>
        <v>0</v>
      </c>
      <c r="W108" s="1">
        <f t="shared" si="29"/>
        <v>0</v>
      </c>
      <c r="X108" s="54">
        <f t="shared" si="29"/>
        <v>0</v>
      </c>
      <c r="Y108" s="58">
        <f t="shared" si="29"/>
        <v>0</v>
      </c>
      <c r="Z108" s="1">
        <f t="shared" si="29"/>
        <v>0</v>
      </c>
      <c r="AA108" s="1">
        <f t="shared" si="29"/>
        <v>0</v>
      </c>
    </row>
    <row r="109" spans="1:28" x14ac:dyDescent="0.25">
      <c r="A109" s="15" t="s">
        <v>51</v>
      </c>
      <c r="B109" s="16" t="s">
        <v>9</v>
      </c>
      <c r="C109" s="27" t="s">
        <v>59</v>
      </c>
      <c r="D109" s="2"/>
      <c r="E109" s="2"/>
      <c r="F109" s="1">
        <f t="shared" si="29"/>
        <v>0</v>
      </c>
      <c r="G109" s="1">
        <f t="shared" si="29"/>
        <v>0</v>
      </c>
      <c r="H109" s="1">
        <f t="shared" si="29"/>
        <v>0</v>
      </c>
      <c r="I109" s="1">
        <f t="shared" si="29"/>
        <v>0</v>
      </c>
      <c r="J109" s="1">
        <f t="shared" si="29"/>
        <v>0</v>
      </c>
      <c r="K109" s="1">
        <f t="shared" si="29"/>
        <v>0</v>
      </c>
      <c r="L109" s="52">
        <f t="shared" si="29"/>
        <v>0</v>
      </c>
      <c r="M109" s="1">
        <f t="shared" si="29"/>
        <v>0</v>
      </c>
      <c r="N109" s="1">
        <f t="shared" si="29"/>
        <v>0</v>
      </c>
      <c r="O109" s="1">
        <f t="shared" si="29"/>
        <v>0</v>
      </c>
      <c r="P109" s="1">
        <f t="shared" si="29"/>
        <v>0</v>
      </c>
      <c r="Q109" s="1">
        <f t="shared" si="29"/>
        <v>0</v>
      </c>
      <c r="R109" s="1">
        <f t="shared" si="29"/>
        <v>0</v>
      </c>
      <c r="S109" s="1">
        <f t="shared" si="29"/>
        <v>0</v>
      </c>
      <c r="T109" s="1">
        <f t="shared" si="29"/>
        <v>0</v>
      </c>
      <c r="U109" s="1">
        <f t="shared" si="29"/>
        <v>0</v>
      </c>
      <c r="V109" s="1">
        <f t="shared" si="29"/>
        <v>0</v>
      </c>
      <c r="W109" s="1">
        <f t="shared" si="29"/>
        <v>0</v>
      </c>
      <c r="X109" s="54">
        <f t="shared" si="29"/>
        <v>0</v>
      </c>
      <c r="Y109" s="58">
        <f t="shared" si="29"/>
        <v>0</v>
      </c>
      <c r="Z109" s="1">
        <f t="shared" si="29"/>
        <v>0</v>
      </c>
      <c r="AA109" s="1">
        <f t="shared" si="29"/>
        <v>0</v>
      </c>
    </row>
    <row r="110" spans="1:28" x14ac:dyDescent="0.25">
      <c r="A110" s="15" t="s">
        <v>51</v>
      </c>
      <c r="B110" s="16" t="s">
        <v>9</v>
      </c>
      <c r="C110" s="27" t="s">
        <v>9</v>
      </c>
      <c r="D110" s="2"/>
      <c r="E110" s="2"/>
      <c r="F110" s="1">
        <f t="shared" si="29"/>
        <v>0</v>
      </c>
      <c r="G110" s="1">
        <f t="shared" si="29"/>
        <v>0</v>
      </c>
      <c r="H110" s="1">
        <f t="shared" si="29"/>
        <v>0</v>
      </c>
      <c r="I110" s="1">
        <f t="shared" si="29"/>
        <v>0</v>
      </c>
      <c r="J110" s="1">
        <f t="shared" si="29"/>
        <v>0</v>
      </c>
      <c r="K110" s="1">
        <f t="shared" si="29"/>
        <v>0</v>
      </c>
      <c r="L110" s="52">
        <f t="shared" si="29"/>
        <v>0</v>
      </c>
      <c r="M110" s="1">
        <f t="shared" si="29"/>
        <v>0</v>
      </c>
      <c r="N110" s="1">
        <f t="shared" si="29"/>
        <v>0</v>
      </c>
      <c r="O110" s="1">
        <f t="shared" si="29"/>
        <v>0</v>
      </c>
      <c r="P110" s="1">
        <f t="shared" si="29"/>
        <v>0</v>
      </c>
      <c r="Q110" s="1">
        <f t="shared" si="29"/>
        <v>0</v>
      </c>
      <c r="R110" s="1">
        <f t="shared" si="29"/>
        <v>0</v>
      </c>
      <c r="S110" s="1">
        <f t="shared" si="29"/>
        <v>0</v>
      </c>
      <c r="T110" s="1">
        <f t="shared" si="29"/>
        <v>0</v>
      </c>
      <c r="U110" s="1">
        <f t="shared" si="29"/>
        <v>0</v>
      </c>
      <c r="V110" s="1">
        <f t="shared" si="29"/>
        <v>0</v>
      </c>
      <c r="W110" s="1">
        <f t="shared" si="29"/>
        <v>0</v>
      </c>
      <c r="X110" s="54">
        <f t="shared" si="29"/>
        <v>0</v>
      </c>
      <c r="Y110" s="58">
        <f t="shared" si="29"/>
        <v>0</v>
      </c>
      <c r="Z110" s="1">
        <f t="shared" si="29"/>
        <v>0</v>
      </c>
      <c r="AA110" s="1">
        <f t="shared" si="29"/>
        <v>0</v>
      </c>
    </row>
    <row r="111" spans="1:28" x14ac:dyDescent="0.25">
      <c r="A111" s="28" t="s">
        <v>60</v>
      </c>
      <c r="B111" s="29" t="s">
        <v>13</v>
      </c>
      <c r="C111" s="29" t="s">
        <v>61</v>
      </c>
      <c r="D111" s="2"/>
      <c r="F111" s="51">
        <f t="shared" si="29"/>
        <v>0.14250002906976744</v>
      </c>
      <c r="G111" s="51">
        <f t="shared" si="29"/>
        <v>0</v>
      </c>
      <c r="H111" s="51">
        <f t="shared" si="29"/>
        <v>0.28758169934640521</v>
      </c>
      <c r="I111" s="51">
        <f t="shared" si="29"/>
        <v>0.2639455782312925</v>
      </c>
      <c r="J111" s="51">
        <f t="shared" si="29"/>
        <v>0.5376344086021505</v>
      </c>
      <c r="K111" s="51">
        <f t="shared" si="29"/>
        <v>0.28749999999999998</v>
      </c>
      <c r="L111" s="52">
        <f t="shared" si="29"/>
        <v>0</v>
      </c>
      <c r="M111" s="51">
        <f t="shared" si="29"/>
        <v>0.40500000000000003</v>
      </c>
      <c r="N111" s="51">
        <f t="shared" si="29"/>
        <v>0.30416666666666664</v>
      </c>
      <c r="O111" s="51">
        <f t="shared" si="29"/>
        <v>0.44450000000000001</v>
      </c>
      <c r="P111" s="51">
        <f t="shared" si="29"/>
        <v>0.23</v>
      </c>
      <c r="Q111" s="69">
        <v>0.5</v>
      </c>
      <c r="R111" s="69">
        <v>0.46</v>
      </c>
      <c r="S111" s="51">
        <f t="shared" si="29"/>
        <v>0</v>
      </c>
      <c r="T111" s="69">
        <v>0.48</v>
      </c>
      <c r="U111" s="69">
        <v>0.48</v>
      </c>
      <c r="V111" s="77">
        <v>1.2</v>
      </c>
      <c r="W111" s="69">
        <v>0.6</v>
      </c>
      <c r="X111" s="76">
        <v>0.5</v>
      </c>
      <c r="Y111" s="59">
        <f t="shared" si="29"/>
        <v>0.25227886350322204</v>
      </c>
      <c r="Z111" s="51">
        <f>IF(Z21&gt;0,Z66/Z21,0)</f>
        <v>0.39129888976632071</v>
      </c>
      <c r="AA111" s="51">
        <f t="shared" si="29"/>
        <v>0.34202810968612762</v>
      </c>
      <c r="AB111" s="5" t="s">
        <v>133</v>
      </c>
    </row>
    <row r="112" spans="1:28" x14ac:dyDescent="0.25">
      <c r="A112" s="36" t="s">
        <v>60</v>
      </c>
      <c r="B112" s="37" t="s">
        <v>13</v>
      </c>
      <c r="C112" s="29" t="s">
        <v>62</v>
      </c>
      <c r="D112" s="2"/>
      <c r="E112" s="2"/>
      <c r="F112" s="51">
        <f t="shared" si="29"/>
        <v>0.29943720930232559</v>
      </c>
      <c r="G112" s="51">
        <f t="shared" si="29"/>
        <v>0.24928462310680455</v>
      </c>
      <c r="H112" s="51">
        <f t="shared" si="29"/>
        <v>0.35294117647058826</v>
      </c>
      <c r="I112" s="51">
        <f t="shared" si="29"/>
        <v>0</v>
      </c>
      <c r="J112" s="51">
        <f t="shared" si="29"/>
        <v>0</v>
      </c>
      <c r="K112" s="51">
        <f t="shared" si="29"/>
        <v>0</v>
      </c>
      <c r="L112" s="52">
        <f t="shared" si="29"/>
        <v>0</v>
      </c>
      <c r="M112" s="51">
        <f t="shared" si="29"/>
        <v>0</v>
      </c>
      <c r="N112" s="51">
        <f t="shared" si="29"/>
        <v>0</v>
      </c>
      <c r="O112" s="51">
        <f t="shared" si="29"/>
        <v>0</v>
      </c>
      <c r="P112" s="51">
        <f t="shared" si="29"/>
        <v>0.23</v>
      </c>
      <c r="Q112" s="51">
        <f t="shared" si="29"/>
        <v>0</v>
      </c>
      <c r="R112" s="51">
        <f t="shared" si="29"/>
        <v>0</v>
      </c>
      <c r="S112" s="51">
        <f t="shared" si="29"/>
        <v>0</v>
      </c>
      <c r="T112" s="51">
        <f t="shared" si="29"/>
        <v>0</v>
      </c>
      <c r="U112" s="51">
        <f t="shared" si="29"/>
        <v>0</v>
      </c>
      <c r="V112" s="51">
        <f t="shared" si="29"/>
        <v>0</v>
      </c>
      <c r="W112" s="51">
        <f t="shared" si="29"/>
        <v>0</v>
      </c>
      <c r="X112" s="55">
        <f t="shared" si="29"/>
        <v>0</v>
      </c>
      <c r="Y112" s="59">
        <f t="shared" si="29"/>
        <v>0.3009300765195751</v>
      </c>
      <c r="Z112" s="51">
        <f t="shared" si="29"/>
        <v>0.23</v>
      </c>
      <c r="AA112" s="51">
        <f t="shared" si="29"/>
        <v>0.2699967679632842</v>
      </c>
      <c r="AB112" s="5" t="s">
        <v>134</v>
      </c>
    </row>
    <row r="113" spans="1:27" x14ac:dyDescent="0.25">
      <c r="A113" s="30" t="s">
        <v>60</v>
      </c>
      <c r="B113" s="31" t="s">
        <v>13</v>
      </c>
      <c r="C113" s="32" t="s">
        <v>63</v>
      </c>
      <c r="D113" s="2"/>
      <c r="E113" s="2"/>
      <c r="F113" s="51">
        <f t="shared" si="29"/>
        <v>0</v>
      </c>
      <c r="G113" s="51">
        <f t="shared" si="29"/>
        <v>0</v>
      </c>
      <c r="H113" s="51">
        <f t="shared" si="29"/>
        <v>0</v>
      </c>
      <c r="I113" s="51">
        <f t="shared" si="29"/>
        <v>0</v>
      </c>
      <c r="J113" s="51">
        <f t="shared" si="29"/>
        <v>0</v>
      </c>
      <c r="K113" s="51">
        <f t="shared" si="29"/>
        <v>0</v>
      </c>
      <c r="L113" s="52">
        <f t="shared" si="29"/>
        <v>0</v>
      </c>
      <c r="M113" s="51">
        <f t="shared" si="29"/>
        <v>0</v>
      </c>
      <c r="N113" s="51">
        <f t="shared" si="29"/>
        <v>0</v>
      </c>
      <c r="O113" s="51">
        <f t="shared" si="29"/>
        <v>0</v>
      </c>
      <c r="P113" s="51">
        <f t="shared" si="29"/>
        <v>0</v>
      </c>
      <c r="Q113" s="51">
        <f t="shared" si="29"/>
        <v>0</v>
      </c>
      <c r="R113" s="51">
        <f t="shared" si="29"/>
        <v>0</v>
      </c>
      <c r="S113" s="51">
        <f t="shared" si="29"/>
        <v>0</v>
      </c>
      <c r="T113" s="51">
        <f t="shared" si="29"/>
        <v>0</v>
      </c>
      <c r="U113" s="51">
        <f t="shared" si="29"/>
        <v>0</v>
      </c>
      <c r="V113" s="51">
        <f t="shared" si="29"/>
        <v>0</v>
      </c>
      <c r="W113" s="51">
        <f t="shared" si="29"/>
        <v>0</v>
      </c>
      <c r="X113" s="55">
        <f t="shared" si="29"/>
        <v>0</v>
      </c>
      <c r="Y113" s="59">
        <f t="shared" si="29"/>
        <v>0</v>
      </c>
      <c r="Z113" s="51">
        <f t="shared" si="29"/>
        <v>0</v>
      </c>
      <c r="AA113" s="51">
        <f t="shared" si="29"/>
        <v>0</v>
      </c>
    </row>
    <row r="114" spans="1:27" x14ac:dyDescent="0.25">
      <c r="A114" s="30" t="s">
        <v>60</v>
      </c>
      <c r="B114" s="32" t="s">
        <v>23</v>
      </c>
      <c r="C114" s="31" t="s">
        <v>50</v>
      </c>
      <c r="D114" s="2"/>
      <c r="E114" s="2"/>
      <c r="F114" s="77">
        <v>0.32</v>
      </c>
      <c r="G114" s="51">
        <f t="shared" si="29"/>
        <v>0</v>
      </c>
      <c r="H114" s="51">
        <f t="shared" si="29"/>
        <v>0</v>
      </c>
      <c r="I114" s="51">
        <f t="shared" si="29"/>
        <v>0</v>
      </c>
      <c r="J114" s="77">
        <v>0.3</v>
      </c>
      <c r="K114" s="51">
        <f t="shared" si="29"/>
        <v>0.89180000000000004</v>
      </c>
      <c r="L114" s="52">
        <f t="shared" si="29"/>
        <v>0</v>
      </c>
      <c r="M114" s="51">
        <f t="shared" si="29"/>
        <v>0</v>
      </c>
      <c r="N114" s="51">
        <f t="shared" si="29"/>
        <v>0.25</v>
      </c>
      <c r="O114" s="51">
        <f t="shared" si="29"/>
        <v>0</v>
      </c>
      <c r="P114" s="51">
        <f t="shared" si="29"/>
        <v>0</v>
      </c>
      <c r="Q114" s="51">
        <f t="shared" si="29"/>
        <v>0</v>
      </c>
      <c r="R114" s="51">
        <f t="shared" si="29"/>
        <v>0</v>
      </c>
      <c r="S114" s="51">
        <f t="shared" si="29"/>
        <v>0</v>
      </c>
      <c r="T114" s="51">
        <f t="shared" si="29"/>
        <v>0</v>
      </c>
      <c r="U114" s="51">
        <f t="shared" si="29"/>
        <v>0</v>
      </c>
      <c r="V114" s="51">
        <f t="shared" si="29"/>
        <v>0</v>
      </c>
      <c r="W114" s="51">
        <f t="shared" si="29"/>
        <v>0</v>
      </c>
      <c r="X114" s="55">
        <f t="shared" si="29"/>
        <v>0</v>
      </c>
      <c r="Y114" s="59">
        <f t="shared" si="29"/>
        <v>0.88606275409152513</v>
      </c>
      <c r="Z114" s="51">
        <f t="shared" si="29"/>
        <v>0.25</v>
      </c>
      <c r="AA114" s="51">
        <f t="shared" si="29"/>
        <v>0.56756756756756754</v>
      </c>
    </row>
    <row r="115" spans="1:27" x14ac:dyDescent="0.25">
      <c r="A115" s="30" t="s">
        <v>60</v>
      </c>
      <c r="B115" s="32" t="s">
        <v>23</v>
      </c>
      <c r="C115" s="31" t="s">
        <v>49</v>
      </c>
      <c r="D115" s="2"/>
      <c r="E115" s="2"/>
      <c r="F115" s="51">
        <f t="shared" ref="F115:AA127" si="30">IF(F25&gt;0,F70/F25,0)</f>
        <v>0</v>
      </c>
      <c r="G115" s="51">
        <f t="shared" si="30"/>
        <v>0</v>
      </c>
      <c r="H115" s="51">
        <f t="shared" si="30"/>
        <v>0</v>
      </c>
      <c r="I115" s="51">
        <f t="shared" si="30"/>
        <v>0</v>
      </c>
      <c r="J115" s="51">
        <f>IF(J25&gt;0,J70/J25,0)</f>
        <v>0.28000000000000003</v>
      </c>
      <c r="K115" s="51">
        <f t="shared" si="30"/>
        <v>0.24489795918367346</v>
      </c>
      <c r="L115" s="52">
        <f t="shared" si="30"/>
        <v>0</v>
      </c>
      <c r="M115" s="51">
        <f t="shared" si="30"/>
        <v>0</v>
      </c>
      <c r="N115" s="51">
        <f t="shared" si="30"/>
        <v>0</v>
      </c>
      <c r="O115" s="51">
        <f t="shared" si="30"/>
        <v>0</v>
      </c>
      <c r="P115" s="51">
        <f t="shared" si="30"/>
        <v>0</v>
      </c>
      <c r="Q115" s="51">
        <f t="shared" si="30"/>
        <v>0</v>
      </c>
      <c r="R115" s="51">
        <f t="shared" si="30"/>
        <v>0</v>
      </c>
      <c r="S115" s="51">
        <f t="shared" si="29"/>
        <v>0.24489795918367346</v>
      </c>
      <c r="T115" s="51">
        <v>0.4</v>
      </c>
      <c r="U115" s="51">
        <f t="shared" si="29"/>
        <v>0</v>
      </c>
      <c r="V115" s="51">
        <v>0.9</v>
      </c>
      <c r="W115" s="51">
        <f t="shared" si="29"/>
        <v>0</v>
      </c>
      <c r="X115" s="51">
        <v>0.9</v>
      </c>
      <c r="Y115" s="59">
        <f t="shared" si="30"/>
        <v>0.26925746009715473</v>
      </c>
      <c r="Z115" s="51">
        <f t="shared" si="30"/>
        <v>0.45662100456621002</v>
      </c>
      <c r="AA115" s="51">
        <f t="shared" si="30"/>
        <v>0.49290220820189273</v>
      </c>
    </row>
    <row r="116" spans="1:27" x14ac:dyDescent="0.25">
      <c r="A116" s="30" t="s">
        <v>60</v>
      </c>
      <c r="B116" s="32" t="s">
        <v>23</v>
      </c>
      <c r="C116" s="31" t="s">
        <v>64</v>
      </c>
      <c r="D116" s="2"/>
      <c r="E116" s="2"/>
      <c r="F116" s="51">
        <f t="shared" si="30"/>
        <v>0</v>
      </c>
      <c r="G116" s="51">
        <f t="shared" si="30"/>
        <v>0</v>
      </c>
      <c r="H116" s="51">
        <f t="shared" si="30"/>
        <v>0</v>
      </c>
      <c r="I116" s="51">
        <f t="shared" si="30"/>
        <v>0</v>
      </c>
      <c r="J116" s="51">
        <f t="shared" si="30"/>
        <v>0</v>
      </c>
      <c r="K116" s="51">
        <f t="shared" si="30"/>
        <v>0</v>
      </c>
      <c r="L116" s="52">
        <f t="shared" si="30"/>
        <v>0</v>
      </c>
      <c r="M116" s="51">
        <f t="shared" si="30"/>
        <v>0</v>
      </c>
      <c r="N116" s="51">
        <f t="shared" si="30"/>
        <v>0</v>
      </c>
      <c r="O116" s="51">
        <f t="shared" si="30"/>
        <v>0</v>
      </c>
      <c r="P116" s="51">
        <f t="shared" si="30"/>
        <v>0</v>
      </c>
      <c r="Q116" s="51">
        <f t="shared" si="30"/>
        <v>0</v>
      </c>
      <c r="R116" s="51">
        <f t="shared" si="30"/>
        <v>0</v>
      </c>
      <c r="S116" s="51">
        <f t="shared" si="30"/>
        <v>0</v>
      </c>
      <c r="T116" s="51">
        <f t="shared" si="30"/>
        <v>0</v>
      </c>
      <c r="U116" s="51">
        <f t="shared" si="30"/>
        <v>0</v>
      </c>
      <c r="V116" s="51">
        <f t="shared" si="30"/>
        <v>0</v>
      </c>
      <c r="W116" s="51">
        <f t="shared" si="29"/>
        <v>0</v>
      </c>
      <c r="X116" s="55">
        <f t="shared" si="30"/>
        <v>0</v>
      </c>
      <c r="Y116" s="59">
        <f t="shared" si="30"/>
        <v>0</v>
      </c>
      <c r="Z116" s="51">
        <f t="shared" si="30"/>
        <v>0</v>
      </c>
      <c r="AA116" s="51">
        <f t="shared" si="30"/>
        <v>0</v>
      </c>
    </row>
    <row r="117" spans="1:27" x14ac:dyDescent="0.25">
      <c r="A117" s="30" t="s">
        <v>60</v>
      </c>
      <c r="B117" s="32" t="s">
        <v>65</v>
      </c>
      <c r="C117" s="31" t="s">
        <v>66</v>
      </c>
      <c r="D117" s="2"/>
      <c r="E117" s="2"/>
      <c r="F117" s="51">
        <f t="shared" si="30"/>
        <v>0</v>
      </c>
      <c r="G117" s="51">
        <f t="shared" si="30"/>
        <v>0</v>
      </c>
      <c r="H117" s="51">
        <f t="shared" si="30"/>
        <v>0</v>
      </c>
      <c r="I117" s="51">
        <f t="shared" si="30"/>
        <v>0</v>
      </c>
      <c r="J117" s="77">
        <v>0.12</v>
      </c>
      <c r="K117" s="51">
        <f t="shared" si="30"/>
        <v>0</v>
      </c>
      <c r="L117" s="52">
        <f t="shared" si="30"/>
        <v>0</v>
      </c>
      <c r="M117" s="77">
        <v>0.12</v>
      </c>
      <c r="N117" s="51">
        <f t="shared" si="30"/>
        <v>0</v>
      </c>
      <c r="O117" s="51">
        <f t="shared" si="30"/>
        <v>0</v>
      </c>
      <c r="P117" s="51">
        <f t="shared" si="30"/>
        <v>0</v>
      </c>
      <c r="Q117" s="51">
        <f t="shared" si="30"/>
        <v>0</v>
      </c>
      <c r="R117" s="51">
        <f t="shared" si="30"/>
        <v>0</v>
      </c>
      <c r="S117" s="51">
        <f t="shared" si="30"/>
        <v>0</v>
      </c>
      <c r="T117" s="51">
        <f t="shared" si="30"/>
        <v>0</v>
      </c>
      <c r="U117" s="51">
        <f t="shared" si="30"/>
        <v>0</v>
      </c>
      <c r="V117" s="51">
        <f t="shared" si="30"/>
        <v>0</v>
      </c>
      <c r="W117" s="51">
        <f t="shared" si="29"/>
        <v>0</v>
      </c>
      <c r="X117" s="55">
        <f t="shared" si="30"/>
        <v>0</v>
      </c>
      <c r="Y117" s="59">
        <f t="shared" si="30"/>
        <v>0.11999999999999998</v>
      </c>
      <c r="Z117" s="51">
        <f t="shared" si="30"/>
        <v>0.12</v>
      </c>
      <c r="AA117" s="51">
        <f t="shared" si="30"/>
        <v>0.12</v>
      </c>
    </row>
    <row r="118" spans="1:27" x14ac:dyDescent="0.25">
      <c r="A118" s="30" t="s">
        <v>60</v>
      </c>
      <c r="B118" s="32" t="s">
        <v>65</v>
      </c>
      <c r="C118" s="31" t="s">
        <v>67</v>
      </c>
      <c r="D118" s="2"/>
      <c r="E118" s="2"/>
      <c r="F118" s="51">
        <f t="shared" si="30"/>
        <v>0</v>
      </c>
      <c r="G118" s="51">
        <f t="shared" si="30"/>
        <v>0</v>
      </c>
      <c r="H118" s="51">
        <f t="shared" si="30"/>
        <v>0</v>
      </c>
      <c r="I118" s="51">
        <f t="shared" si="30"/>
        <v>0</v>
      </c>
      <c r="J118" s="51">
        <f t="shared" si="30"/>
        <v>0</v>
      </c>
      <c r="K118" s="51">
        <f t="shared" si="30"/>
        <v>0</v>
      </c>
      <c r="L118" s="52">
        <f t="shared" si="30"/>
        <v>0</v>
      </c>
      <c r="M118" s="51">
        <f t="shared" si="30"/>
        <v>0</v>
      </c>
      <c r="N118" s="51">
        <f t="shared" si="30"/>
        <v>0</v>
      </c>
      <c r="O118" s="51">
        <f t="shared" si="30"/>
        <v>0</v>
      </c>
      <c r="P118" s="51">
        <f t="shared" si="30"/>
        <v>0</v>
      </c>
      <c r="Q118" s="77">
        <v>0.15</v>
      </c>
      <c r="R118" s="77">
        <v>0.18</v>
      </c>
      <c r="S118" s="51">
        <f t="shared" si="30"/>
        <v>0</v>
      </c>
      <c r="T118" s="77">
        <v>0.18</v>
      </c>
      <c r="U118" s="77">
        <v>0.22</v>
      </c>
      <c r="V118" s="77">
        <v>0.12</v>
      </c>
      <c r="W118" s="77">
        <v>0.12</v>
      </c>
      <c r="X118" s="77">
        <v>0.12</v>
      </c>
      <c r="Y118" s="59">
        <f t="shared" si="30"/>
        <v>0</v>
      </c>
      <c r="Z118" s="51">
        <f t="shared" si="30"/>
        <v>0.15859398272266906</v>
      </c>
      <c r="AA118" s="51">
        <f t="shared" si="30"/>
        <v>0.15859398272266906</v>
      </c>
    </row>
    <row r="119" spans="1:27" x14ac:dyDescent="0.25">
      <c r="A119" s="30" t="s">
        <v>60</v>
      </c>
      <c r="B119" s="32" t="s">
        <v>65</v>
      </c>
      <c r="C119" s="31" t="s">
        <v>68</v>
      </c>
      <c r="D119" s="2"/>
      <c r="E119" s="2"/>
      <c r="F119" s="51">
        <f t="shared" si="30"/>
        <v>0</v>
      </c>
      <c r="G119" s="51">
        <f t="shared" si="30"/>
        <v>0</v>
      </c>
      <c r="H119" s="51">
        <f t="shared" si="30"/>
        <v>0</v>
      </c>
      <c r="I119" s="51">
        <f t="shared" si="30"/>
        <v>0</v>
      </c>
      <c r="J119" s="51">
        <f t="shared" si="30"/>
        <v>0</v>
      </c>
      <c r="K119" s="51">
        <f t="shared" si="30"/>
        <v>0</v>
      </c>
      <c r="L119" s="77">
        <v>8.5000000000000006E-2</v>
      </c>
      <c r="M119" s="51">
        <f t="shared" si="30"/>
        <v>0</v>
      </c>
      <c r="N119" s="51">
        <f t="shared" si="30"/>
        <v>0</v>
      </c>
      <c r="O119" s="51">
        <f t="shared" si="30"/>
        <v>0</v>
      </c>
      <c r="P119" s="51">
        <f t="shared" si="30"/>
        <v>0</v>
      </c>
      <c r="Q119" s="51">
        <f t="shared" si="30"/>
        <v>0</v>
      </c>
      <c r="R119" s="51">
        <f t="shared" si="30"/>
        <v>0</v>
      </c>
      <c r="S119" s="51">
        <f t="shared" si="30"/>
        <v>0</v>
      </c>
      <c r="T119" s="51">
        <f t="shared" si="30"/>
        <v>0</v>
      </c>
      <c r="U119" s="51">
        <f t="shared" si="30"/>
        <v>0</v>
      </c>
      <c r="V119" s="51">
        <f t="shared" si="30"/>
        <v>0</v>
      </c>
      <c r="W119" s="51">
        <f t="shared" si="30"/>
        <v>0</v>
      </c>
      <c r="X119" s="55">
        <f t="shared" si="30"/>
        <v>0</v>
      </c>
      <c r="Y119" s="59">
        <f t="shared" si="30"/>
        <v>0</v>
      </c>
      <c r="Z119" s="51">
        <f t="shared" si="30"/>
        <v>0</v>
      </c>
      <c r="AA119" s="51">
        <f t="shared" si="30"/>
        <v>8.5000000000000006E-2</v>
      </c>
    </row>
    <row r="120" spans="1:27" x14ac:dyDescent="0.25">
      <c r="A120" s="30" t="s">
        <v>60</v>
      </c>
      <c r="B120" s="32" t="s">
        <v>9</v>
      </c>
      <c r="C120" s="31" t="s">
        <v>69</v>
      </c>
      <c r="D120" s="2"/>
      <c r="E120" s="2"/>
      <c r="F120" s="51">
        <f t="shared" si="30"/>
        <v>0</v>
      </c>
      <c r="G120" s="51">
        <f t="shared" si="30"/>
        <v>0</v>
      </c>
      <c r="H120" s="51">
        <f t="shared" si="30"/>
        <v>0</v>
      </c>
      <c r="I120" s="51">
        <f t="shared" si="30"/>
        <v>0</v>
      </c>
      <c r="J120" s="51">
        <f t="shared" si="30"/>
        <v>0</v>
      </c>
      <c r="K120" s="51">
        <f t="shared" si="30"/>
        <v>0</v>
      </c>
      <c r="L120" s="52">
        <f t="shared" si="30"/>
        <v>0</v>
      </c>
      <c r="M120" s="51">
        <f t="shared" si="30"/>
        <v>0</v>
      </c>
      <c r="N120" s="51">
        <f t="shared" si="30"/>
        <v>0</v>
      </c>
      <c r="O120" s="51">
        <f t="shared" si="30"/>
        <v>0</v>
      </c>
      <c r="P120" s="51">
        <f t="shared" si="30"/>
        <v>0</v>
      </c>
      <c r="Q120" s="51">
        <f t="shared" si="30"/>
        <v>0</v>
      </c>
      <c r="R120" s="51">
        <f t="shared" si="30"/>
        <v>0</v>
      </c>
      <c r="S120" s="51">
        <f t="shared" si="30"/>
        <v>0</v>
      </c>
      <c r="T120" s="51">
        <f t="shared" si="30"/>
        <v>0</v>
      </c>
      <c r="U120" s="51">
        <f t="shared" si="30"/>
        <v>0</v>
      </c>
      <c r="V120" s="51">
        <f t="shared" si="30"/>
        <v>1</v>
      </c>
      <c r="W120" s="51">
        <f t="shared" si="30"/>
        <v>0</v>
      </c>
      <c r="X120" s="79">
        <v>0.42</v>
      </c>
      <c r="Y120" s="59">
        <f t="shared" si="30"/>
        <v>0</v>
      </c>
      <c r="Z120" s="51">
        <f t="shared" si="30"/>
        <v>0.61607710230883284</v>
      </c>
      <c r="AA120" s="51">
        <f t="shared" si="30"/>
        <v>0.61607710230883284</v>
      </c>
    </row>
    <row r="121" spans="1:27" x14ac:dyDescent="0.25">
      <c r="A121" s="15" t="s">
        <v>51</v>
      </c>
      <c r="B121" s="16" t="s">
        <v>56</v>
      </c>
      <c r="C121" s="27" t="s">
        <v>57</v>
      </c>
      <c r="D121" s="16" t="s">
        <v>70</v>
      </c>
      <c r="E121" s="16"/>
      <c r="F121" s="1">
        <f t="shared" si="30"/>
        <v>0</v>
      </c>
      <c r="G121" s="1">
        <f t="shared" si="30"/>
        <v>0</v>
      </c>
      <c r="H121" s="1">
        <f t="shared" si="30"/>
        <v>0</v>
      </c>
      <c r="I121" s="1">
        <f t="shared" si="30"/>
        <v>0</v>
      </c>
      <c r="J121" s="1">
        <f t="shared" si="30"/>
        <v>0</v>
      </c>
      <c r="K121" s="1">
        <f t="shared" si="30"/>
        <v>0</v>
      </c>
      <c r="L121" s="52">
        <f t="shared" si="30"/>
        <v>0</v>
      </c>
      <c r="M121" s="1">
        <f t="shared" si="30"/>
        <v>0</v>
      </c>
      <c r="N121" s="1">
        <f t="shared" si="30"/>
        <v>0</v>
      </c>
      <c r="O121" s="1">
        <f t="shared" si="30"/>
        <v>0</v>
      </c>
      <c r="P121" s="1">
        <f t="shared" si="30"/>
        <v>0</v>
      </c>
      <c r="Q121" s="1">
        <f t="shared" si="30"/>
        <v>0</v>
      </c>
      <c r="R121" s="1">
        <f t="shared" si="30"/>
        <v>0</v>
      </c>
      <c r="S121" s="1">
        <f t="shared" si="30"/>
        <v>0</v>
      </c>
      <c r="T121" s="1">
        <f t="shared" si="30"/>
        <v>0</v>
      </c>
      <c r="U121" s="1">
        <f t="shared" si="30"/>
        <v>0</v>
      </c>
      <c r="V121" s="1">
        <f t="shared" si="30"/>
        <v>0</v>
      </c>
      <c r="W121" s="1">
        <f t="shared" si="30"/>
        <v>0</v>
      </c>
      <c r="X121" s="54">
        <f t="shared" si="30"/>
        <v>0</v>
      </c>
      <c r="Y121" s="58">
        <f t="shared" si="30"/>
        <v>0</v>
      </c>
      <c r="Z121" s="1">
        <f t="shared" si="30"/>
        <v>0</v>
      </c>
      <c r="AA121" s="1">
        <f t="shared" si="30"/>
        <v>0</v>
      </c>
    </row>
    <row r="122" spans="1:27" x14ac:dyDescent="0.25">
      <c r="A122" s="15" t="s">
        <v>51</v>
      </c>
      <c r="B122" s="16" t="s">
        <v>56</v>
      </c>
      <c r="C122" s="27" t="s">
        <v>57</v>
      </c>
      <c r="D122" s="16" t="s">
        <v>71</v>
      </c>
      <c r="E122" s="16"/>
      <c r="F122" s="1">
        <f t="shared" si="30"/>
        <v>0</v>
      </c>
      <c r="G122" s="1">
        <f t="shared" si="30"/>
        <v>0</v>
      </c>
      <c r="H122" s="1">
        <f t="shared" si="30"/>
        <v>0</v>
      </c>
      <c r="I122" s="1">
        <f t="shared" si="30"/>
        <v>0</v>
      </c>
      <c r="J122" s="1">
        <f t="shared" si="30"/>
        <v>0</v>
      </c>
      <c r="K122" s="1">
        <f t="shared" si="30"/>
        <v>0</v>
      </c>
      <c r="L122" s="52">
        <f t="shared" si="30"/>
        <v>0</v>
      </c>
      <c r="M122" s="1">
        <f t="shared" si="30"/>
        <v>0</v>
      </c>
      <c r="N122" s="1">
        <f t="shared" si="30"/>
        <v>0</v>
      </c>
      <c r="O122" s="1">
        <f t="shared" si="30"/>
        <v>0</v>
      </c>
      <c r="P122" s="1">
        <f t="shared" si="30"/>
        <v>0</v>
      </c>
      <c r="Q122" s="1">
        <f t="shared" si="30"/>
        <v>0</v>
      </c>
      <c r="R122" s="1">
        <f t="shared" si="30"/>
        <v>0</v>
      </c>
      <c r="S122" s="1">
        <f t="shared" si="30"/>
        <v>0</v>
      </c>
      <c r="T122" s="1">
        <f t="shared" si="30"/>
        <v>0</v>
      </c>
      <c r="U122" s="1">
        <f t="shared" si="30"/>
        <v>0</v>
      </c>
      <c r="V122" s="1">
        <f t="shared" si="30"/>
        <v>0</v>
      </c>
      <c r="W122" s="1">
        <f t="shared" si="30"/>
        <v>0</v>
      </c>
      <c r="X122" s="54">
        <f t="shared" si="30"/>
        <v>0</v>
      </c>
      <c r="Y122" s="58">
        <f t="shared" si="30"/>
        <v>0</v>
      </c>
      <c r="Z122" s="1">
        <f t="shared" si="30"/>
        <v>0</v>
      </c>
      <c r="AA122" s="1">
        <f t="shared" si="30"/>
        <v>0</v>
      </c>
    </row>
    <row r="123" spans="1:27" x14ac:dyDescent="0.25">
      <c r="A123" s="15" t="s">
        <v>51</v>
      </c>
      <c r="B123" s="16" t="s">
        <v>56</v>
      </c>
      <c r="C123" s="27" t="s">
        <v>27</v>
      </c>
      <c r="D123" s="16" t="s">
        <v>72</v>
      </c>
      <c r="E123" s="16"/>
      <c r="F123" s="1">
        <f t="shared" si="30"/>
        <v>0</v>
      </c>
      <c r="G123" s="1">
        <f t="shared" si="30"/>
        <v>0</v>
      </c>
      <c r="H123" s="1">
        <f t="shared" si="30"/>
        <v>0</v>
      </c>
      <c r="I123" s="1">
        <f t="shared" si="30"/>
        <v>0</v>
      </c>
      <c r="J123" s="1">
        <f t="shared" si="30"/>
        <v>0</v>
      </c>
      <c r="K123" s="1">
        <f t="shared" si="30"/>
        <v>0</v>
      </c>
      <c r="L123" s="52">
        <f t="shared" si="30"/>
        <v>0</v>
      </c>
      <c r="M123" s="1">
        <f t="shared" si="30"/>
        <v>0</v>
      </c>
      <c r="N123" s="1">
        <f t="shared" si="30"/>
        <v>0</v>
      </c>
      <c r="O123" s="1">
        <f t="shared" si="30"/>
        <v>0</v>
      </c>
      <c r="P123" s="1">
        <f t="shared" si="30"/>
        <v>0</v>
      </c>
      <c r="Q123" s="1">
        <f t="shared" si="30"/>
        <v>0</v>
      </c>
      <c r="R123" s="1">
        <f t="shared" si="30"/>
        <v>0</v>
      </c>
      <c r="S123" s="1">
        <f t="shared" si="30"/>
        <v>0</v>
      </c>
      <c r="T123" s="1">
        <f t="shared" si="30"/>
        <v>0</v>
      </c>
      <c r="U123" s="1">
        <f t="shared" si="30"/>
        <v>0</v>
      </c>
      <c r="V123" s="1">
        <f t="shared" si="30"/>
        <v>0</v>
      </c>
      <c r="W123" s="1">
        <f t="shared" si="30"/>
        <v>0</v>
      </c>
      <c r="X123" s="54">
        <f t="shared" si="30"/>
        <v>0</v>
      </c>
      <c r="Y123" s="58">
        <f t="shared" si="30"/>
        <v>0</v>
      </c>
      <c r="Z123" s="1">
        <f t="shared" si="30"/>
        <v>0</v>
      </c>
      <c r="AA123" s="1">
        <f t="shared" si="30"/>
        <v>0</v>
      </c>
    </row>
    <row r="124" spans="1:27" x14ac:dyDescent="0.25">
      <c r="A124" s="15" t="s">
        <v>51</v>
      </c>
      <c r="B124" s="16" t="s">
        <v>56</v>
      </c>
      <c r="C124" s="27" t="s">
        <v>57</v>
      </c>
      <c r="D124" s="16" t="s">
        <v>73</v>
      </c>
      <c r="E124" s="16"/>
      <c r="F124" s="1">
        <f t="shared" si="30"/>
        <v>0</v>
      </c>
      <c r="G124" s="1">
        <f t="shared" si="30"/>
        <v>0</v>
      </c>
      <c r="H124" s="1">
        <f t="shared" si="30"/>
        <v>0</v>
      </c>
      <c r="I124" s="1">
        <f t="shared" si="30"/>
        <v>0</v>
      </c>
      <c r="J124" s="1">
        <f t="shared" si="30"/>
        <v>0</v>
      </c>
      <c r="K124" s="1">
        <f t="shared" si="30"/>
        <v>0</v>
      </c>
      <c r="L124" s="52">
        <f t="shared" si="30"/>
        <v>0</v>
      </c>
      <c r="M124" s="1">
        <f t="shared" si="30"/>
        <v>0</v>
      </c>
      <c r="N124" s="1">
        <f t="shared" si="30"/>
        <v>0</v>
      </c>
      <c r="O124" s="1">
        <f t="shared" si="30"/>
        <v>0</v>
      </c>
      <c r="P124" s="1">
        <f t="shared" si="30"/>
        <v>0</v>
      </c>
      <c r="Q124" s="1">
        <f t="shared" si="30"/>
        <v>0</v>
      </c>
      <c r="R124" s="1">
        <f t="shared" si="30"/>
        <v>0</v>
      </c>
      <c r="S124" s="1">
        <f t="shared" si="30"/>
        <v>0</v>
      </c>
      <c r="T124" s="1">
        <f t="shared" si="30"/>
        <v>0</v>
      </c>
      <c r="U124" s="1">
        <f t="shared" si="30"/>
        <v>0</v>
      </c>
      <c r="V124" s="1">
        <f t="shared" si="30"/>
        <v>0</v>
      </c>
      <c r="W124" s="1">
        <f t="shared" si="30"/>
        <v>0</v>
      </c>
      <c r="X124" s="54">
        <f t="shared" si="30"/>
        <v>0</v>
      </c>
      <c r="Y124" s="58">
        <f t="shared" si="30"/>
        <v>0</v>
      </c>
      <c r="Z124" s="1">
        <f t="shared" si="30"/>
        <v>0</v>
      </c>
      <c r="AA124" s="1">
        <f t="shared" si="30"/>
        <v>0</v>
      </c>
    </row>
    <row r="125" spans="1:27" x14ac:dyDescent="0.25">
      <c r="A125" s="15" t="s">
        <v>51</v>
      </c>
      <c r="B125" s="16" t="s">
        <v>56</v>
      </c>
      <c r="C125" s="27" t="s">
        <v>57</v>
      </c>
      <c r="D125" s="16" t="s">
        <v>74</v>
      </c>
      <c r="E125" s="16"/>
      <c r="F125" s="1">
        <f t="shared" si="30"/>
        <v>0</v>
      </c>
      <c r="G125" s="1">
        <f t="shared" si="30"/>
        <v>0</v>
      </c>
      <c r="H125" s="1">
        <f t="shared" si="30"/>
        <v>0</v>
      </c>
      <c r="I125" s="1">
        <f t="shared" si="30"/>
        <v>0</v>
      </c>
      <c r="J125" s="1">
        <f t="shared" si="30"/>
        <v>0</v>
      </c>
      <c r="K125" s="1">
        <f t="shared" si="30"/>
        <v>0</v>
      </c>
      <c r="L125" s="52">
        <f t="shared" si="30"/>
        <v>0</v>
      </c>
      <c r="M125" s="1">
        <f t="shared" si="30"/>
        <v>0</v>
      </c>
      <c r="N125" s="1">
        <f t="shared" si="30"/>
        <v>0</v>
      </c>
      <c r="O125" s="1">
        <f t="shared" si="30"/>
        <v>0</v>
      </c>
      <c r="P125" s="1">
        <f t="shared" si="30"/>
        <v>0</v>
      </c>
      <c r="Q125" s="1">
        <f t="shared" si="30"/>
        <v>0</v>
      </c>
      <c r="R125" s="1">
        <f t="shared" si="30"/>
        <v>0</v>
      </c>
      <c r="S125" s="1">
        <f t="shared" si="30"/>
        <v>0</v>
      </c>
      <c r="T125" s="1">
        <f t="shared" si="30"/>
        <v>0</v>
      </c>
      <c r="U125" s="1">
        <f t="shared" si="30"/>
        <v>0</v>
      </c>
      <c r="V125" s="1">
        <f t="shared" si="30"/>
        <v>0</v>
      </c>
      <c r="W125" s="1">
        <f t="shared" si="30"/>
        <v>0</v>
      </c>
      <c r="X125" s="54">
        <f t="shared" si="30"/>
        <v>0</v>
      </c>
      <c r="Y125" s="58">
        <f t="shared" si="30"/>
        <v>0</v>
      </c>
      <c r="Z125" s="1">
        <f t="shared" si="30"/>
        <v>0</v>
      </c>
      <c r="AA125" s="1">
        <f t="shared" si="30"/>
        <v>0</v>
      </c>
    </row>
    <row r="126" spans="1:27" x14ac:dyDescent="0.25">
      <c r="A126" s="30" t="s">
        <v>60</v>
      </c>
      <c r="B126" s="31" t="s">
        <v>13</v>
      </c>
      <c r="C126" s="32" t="s">
        <v>61</v>
      </c>
      <c r="D126" s="31" t="s">
        <v>75</v>
      </c>
      <c r="E126" s="31"/>
      <c r="F126" s="51">
        <f t="shared" si="30"/>
        <v>0.14250002906976744</v>
      </c>
      <c r="G126" s="51">
        <f t="shared" si="30"/>
        <v>0</v>
      </c>
      <c r="H126" s="51">
        <f t="shared" si="30"/>
        <v>0.28758169934640521</v>
      </c>
      <c r="I126" s="51">
        <f t="shared" si="30"/>
        <v>0.2639455782312925</v>
      </c>
      <c r="J126" s="51">
        <f t="shared" si="30"/>
        <v>0.5376344086021505</v>
      </c>
      <c r="K126" s="51">
        <f t="shared" si="30"/>
        <v>0.28749999999999998</v>
      </c>
      <c r="L126" s="52">
        <f t="shared" si="30"/>
        <v>0</v>
      </c>
      <c r="M126" s="51">
        <f t="shared" si="30"/>
        <v>0.40500000000000003</v>
      </c>
      <c r="N126" s="51">
        <f t="shared" si="30"/>
        <v>0</v>
      </c>
      <c r="O126" s="51">
        <f t="shared" si="30"/>
        <v>0</v>
      </c>
      <c r="P126" s="51">
        <f t="shared" si="30"/>
        <v>0</v>
      </c>
      <c r="Q126" s="51">
        <f t="shared" si="30"/>
        <v>0</v>
      </c>
      <c r="R126" s="51">
        <f t="shared" si="30"/>
        <v>0</v>
      </c>
      <c r="S126" s="51">
        <f t="shared" si="30"/>
        <v>0</v>
      </c>
      <c r="T126" s="51">
        <f t="shared" si="30"/>
        <v>0</v>
      </c>
      <c r="U126" s="51">
        <f t="shared" si="30"/>
        <v>0</v>
      </c>
      <c r="V126" s="51">
        <f t="shared" si="30"/>
        <v>0</v>
      </c>
      <c r="W126" s="51">
        <f t="shared" si="30"/>
        <v>0.6</v>
      </c>
      <c r="X126" s="55">
        <f t="shared" si="30"/>
        <v>0.5</v>
      </c>
      <c r="Y126" s="59">
        <f t="shared" si="30"/>
        <v>0.25140883395357078</v>
      </c>
      <c r="Z126" s="51">
        <f t="shared" si="30"/>
        <v>0.53089156626506029</v>
      </c>
      <c r="AA126" s="51">
        <f t="shared" si="30"/>
        <v>0.30311109376588041</v>
      </c>
    </row>
    <row r="127" spans="1:27" x14ac:dyDescent="0.25">
      <c r="A127" s="30" t="s">
        <v>60</v>
      </c>
      <c r="B127" s="31" t="s">
        <v>13</v>
      </c>
      <c r="C127" s="32" t="s">
        <v>61</v>
      </c>
      <c r="D127" s="31" t="s">
        <v>76</v>
      </c>
      <c r="E127" s="31"/>
      <c r="F127" s="51">
        <f t="shared" si="30"/>
        <v>0.14250002906976744</v>
      </c>
      <c r="G127" s="51">
        <f t="shared" si="30"/>
        <v>0</v>
      </c>
      <c r="H127" s="51">
        <f t="shared" si="30"/>
        <v>0</v>
      </c>
      <c r="I127" s="51">
        <f t="shared" si="30"/>
        <v>0.2639455782312925</v>
      </c>
      <c r="J127" s="51">
        <f t="shared" si="30"/>
        <v>0.5376344086021505</v>
      </c>
      <c r="K127" s="51">
        <f t="shared" si="30"/>
        <v>0.28749999999999998</v>
      </c>
      <c r="L127" s="52">
        <f t="shared" si="30"/>
        <v>0</v>
      </c>
      <c r="M127" s="51">
        <f t="shared" si="30"/>
        <v>0.40500000000000003</v>
      </c>
      <c r="N127" s="51">
        <f t="shared" si="30"/>
        <v>0.30416666666666664</v>
      </c>
      <c r="O127" s="51">
        <f t="shared" si="30"/>
        <v>0.44450000000000001</v>
      </c>
      <c r="P127" s="51">
        <f t="shared" si="30"/>
        <v>0.23</v>
      </c>
      <c r="Q127" s="51">
        <f t="shared" ref="Q127:AA135" si="31">IF(Q37&gt;0,Q82/Q37,0)</f>
        <v>0</v>
      </c>
      <c r="R127" s="51">
        <f t="shared" si="31"/>
        <v>0.46</v>
      </c>
      <c r="S127" s="51">
        <f t="shared" si="31"/>
        <v>0</v>
      </c>
      <c r="T127" s="51">
        <f t="shared" si="31"/>
        <v>0</v>
      </c>
      <c r="U127" s="51">
        <f t="shared" si="31"/>
        <v>0</v>
      </c>
      <c r="V127" s="51">
        <f t="shared" si="31"/>
        <v>0</v>
      </c>
      <c r="W127" s="51">
        <f t="shared" si="31"/>
        <v>0</v>
      </c>
      <c r="X127" s="55">
        <f t="shared" si="31"/>
        <v>0.5</v>
      </c>
      <c r="Y127" s="59">
        <f t="shared" si="31"/>
        <v>0.25298171107485951</v>
      </c>
      <c r="Z127" s="51">
        <f t="shared" si="31"/>
        <v>0.36253170735842422</v>
      </c>
      <c r="AA127" s="51">
        <f t="shared" si="31"/>
        <v>0.31644982173954522</v>
      </c>
    </row>
    <row r="128" spans="1:27" x14ac:dyDescent="0.25">
      <c r="A128" s="30" t="s">
        <v>60</v>
      </c>
      <c r="B128" s="31" t="s">
        <v>13</v>
      </c>
      <c r="C128" s="32" t="s">
        <v>61</v>
      </c>
      <c r="D128" s="31" t="s">
        <v>77</v>
      </c>
      <c r="E128" s="31"/>
      <c r="F128" s="51">
        <f t="shared" ref="F128:AA135" si="32">IF(F38&gt;0,F83/F38,0)</f>
        <v>0</v>
      </c>
      <c r="G128" s="51">
        <f t="shared" si="32"/>
        <v>0</v>
      </c>
      <c r="H128" s="51">
        <f t="shared" si="32"/>
        <v>0</v>
      </c>
      <c r="I128" s="51">
        <f t="shared" si="32"/>
        <v>0</v>
      </c>
      <c r="J128" s="51">
        <f t="shared" si="32"/>
        <v>0</v>
      </c>
      <c r="K128" s="51">
        <f t="shared" si="32"/>
        <v>0.28749999999999998</v>
      </c>
      <c r="L128" s="52">
        <f t="shared" si="32"/>
        <v>0</v>
      </c>
      <c r="M128" s="51">
        <f t="shared" si="32"/>
        <v>0.40500000000000003</v>
      </c>
      <c r="N128" s="51">
        <f t="shared" si="32"/>
        <v>0</v>
      </c>
      <c r="O128" s="51">
        <f t="shared" si="32"/>
        <v>0.44449999999999995</v>
      </c>
      <c r="P128" s="51">
        <f t="shared" si="32"/>
        <v>0.23</v>
      </c>
      <c r="Q128" s="51">
        <f t="shared" si="32"/>
        <v>0</v>
      </c>
      <c r="R128" s="51">
        <f t="shared" si="32"/>
        <v>0</v>
      </c>
      <c r="S128" s="51">
        <f t="shared" si="32"/>
        <v>0</v>
      </c>
      <c r="T128" s="51">
        <f t="shared" si="32"/>
        <v>0.48</v>
      </c>
      <c r="U128" s="51">
        <f t="shared" si="32"/>
        <v>0.48</v>
      </c>
      <c r="V128" s="51">
        <f t="shared" si="32"/>
        <v>0</v>
      </c>
      <c r="W128" s="51">
        <f t="shared" si="31"/>
        <v>0</v>
      </c>
      <c r="X128" s="55">
        <f t="shared" si="32"/>
        <v>0.5</v>
      </c>
      <c r="Y128" s="59">
        <f t="shared" si="32"/>
        <v>0.28749999999999998</v>
      </c>
      <c r="Z128" s="51">
        <f t="shared" si="32"/>
        <v>0.38271830728604406</v>
      </c>
      <c r="AA128" s="51">
        <f t="shared" si="32"/>
        <v>0.38231016269170592</v>
      </c>
    </row>
    <row r="129" spans="1:55" x14ac:dyDescent="0.25">
      <c r="A129" s="30" t="s">
        <v>60</v>
      </c>
      <c r="B129" s="31" t="s">
        <v>13</v>
      </c>
      <c r="C129" s="32" t="s">
        <v>61</v>
      </c>
      <c r="D129" s="31" t="s">
        <v>78</v>
      </c>
      <c r="E129" s="31"/>
      <c r="F129" s="51">
        <f t="shared" si="32"/>
        <v>0</v>
      </c>
      <c r="G129" s="51">
        <f t="shared" si="32"/>
        <v>0</v>
      </c>
      <c r="H129" s="51">
        <f t="shared" si="32"/>
        <v>0</v>
      </c>
      <c r="I129" s="51">
        <f t="shared" si="32"/>
        <v>0.26394557823129255</v>
      </c>
      <c r="J129" s="51">
        <f t="shared" si="32"/>
        <v>0</v>
      </c>
      <c r="K129" s="51">
        <f t="shared" si="32"/>
        <v>0.28749999999999998</v>
      </c>
      <c r="L129" s="52">
        <f t="shared" si="32"/>
        <v>0</v>
      </c>
      <c r="M129" s="51">
        <f t="shared" si="32"/>
        <v>0</v>
      </c>
      <c r="N129" s="51">
        <f t="shared" si="32"/>
        <v>0</v>
      </c>
      <c r="O129" s="51">
        <f t="shared" si="32"/>
        <v>0</v>
      </c>
      <c r="P129" s="51">
        <f t="shared" si="32"/>
        <v>0.23</v>
      </c>
      <c r="Q129" s="51">
        <f t="shared" si="32"/>
        <v>0.5</v>
      </c>
      <c r="R129" s="51">
        <f t="shared" si="32"/>
        <v>0</v>
      </c>
      <c r="S129" s="51">
        <f t="shared" si="32"/>
        <v>0</v>
      </c>
      <c r="T129" s="51">
        <f t="shared" si="32"/>
        <v>0</v>
      </c>
      <c r="U129" s="51">
        <f t="shared" si="32"/>
        <v>0</v>
      </c>
      <c r="V129" s="51">
        <f t="shared" si="32"/>
        <v>0</v>
      </c>
      <c r="W129" s="51">
        <f t="shared" si="31"/>
        <v>0</v>
      </c>
      <c r="X129" s="55">
        <f t="shared" si="32"/>
        <v>0.5</v>
      </c>
      <c r="Y129" s="59">
        <f t="shared" si="32"/>
        <v>0.26898395721925134</v>
      </c>
      <c r="Z129" s="51">
        <f t="shared" si="32"/>
        <v>0.38260869565217392</v>
      </c>
      <c r="AA129" s="51">
        <f t="shared" si="32"/>
        <v>0.374065138721351</v>
      </c>
    </row>
    <row r="130" spans="1:55" ht="15.75" thickBot="1" x14ac:dyDescent="0.3">
      <c r="A130" s="33" t="s">
        <v>60</v>
      </c>
      <c r="B130" s="34" t="s">
        <v>13</v>
      </c>
      <c r="C130" s="35" t="s">
        <v>61</v>
      </c>
      <c r="D130" s="34" t="s">
        <v>79</v>
      </c>
      <c r="E130" s="31"/>
      <c r="F130" s="51">
        <f t="shared" si="32"/>
        <v>0</v>
      </c>
      <c r="G130" s="51">
        <f t="shared" si="32"/>
        <v>0</v>
      </c>
      <c r="H130" s="51">
        <f t="shared" si="32"/>
        <v>0</v>
      </c>
      <c r="I130" s="51">
        <f t="shared" si="32"/>
        <v>0</v>
      </c>
      <c r="J130" s="51">
        <f t="shared" si="32"/>
        <v>0</v>
      </c>
      <c r="K130" s="51">
        <f t="shared" si="32"/>
        <v>0</v>
      </c>
      <c r="L130" s="52">
        <f t="shared" si="32"/>
        <v>0</v>
      </c>
      <c r="M130" s="51">
        <f t="shared" si="32"/>
        <v>0</v>
      </c>
      <c r="N130" s="51">
        <f t="shared" si="32"/>
        <v>0</v>
      </c>
      <c r="O130" s="51">
        <f t="shared" si="32"/>
        <v>0</v>
      </c>
      <c r="P130" s="51">
        <f t="shared" si="32"/>
        <v>0</v>
      </c>
      <c r="Q130" s="51">
        <f t="shared" si="32"/>
        <v>0</v>
      </c>
      <c r="R130" s="51">
        <f t="shared" si="32"/>
        <v>0</v>
      </c>
      <c r="S130" s="51">
        <f t="shared" si="32"/>
        <v>0</v>
      </c>
      <c r="T130" s="51">
        <f t="shared" si="32"/>
        <v>0</v>
      </c>
      <c r="U130" s="51">
        <f t="shared" si="32"/>
        <v>0</v>
      </c>
      <c r="V130" s="51">
        <f t="shared" si="32"/>
        <v>0</v>
      </c>
      <c r="W130" s="51">
        <f t="shared" si="31"/>
        <v>0</v>
      </c>
      <c r="X130" s="55">
        <f t="shared" si="32"/>
        <v>0</v>
      </c>
      <c r="Y130" s="59">
        <f t="shared" si="32"/>
        <v>0</v>
      </c>
      <c r="Z130" s="51">
        <f t="shared" si="32"/>
        <v>0</v>
      </c>
      <c r="AA130" s="51">
        <f t="shared" si="32"/>
        <v>0</v>
      </c>
    </row>
    <row r="131" spans="1:55" x14ac:dyDescent="0.25">
      <c r="A131" s="30" t="s">
        <v>60</v>
      </c>
      <c r="B131" s="31" t="s">
        <v>13</v>
      </c>
      <c r="C131" s="32" t="s">
        <v>62</v>
      </c>
      <c r="D131" s="31" t="s">
        <v>75</v>
      </c>
      <c r="E131" s="31"/>
      <c r="F131" s="51">
        <f t="shared" si="32"/>
        <v>0</v>
      </c>
      <c r="G131" s="51">
        <f t="shared" si="32"/>
        <v>0.24928462310680455</v>
      </c>
      <c r="H131" s="51">
        <f>IF(H41&gt;0,H86/H41,0)</f>
        <v>0.35294117647058826</v>
      </c>
      <c r="I131" s="51">
        <f t="shared" si="32"/>
        <v>0</v>
      </c>
      <c r="J131" s="51">
        <f t="shared" si="32"/>
        <v>0</v>
      </c>
      <c r="K131" s="51">
        <f t="shared" si="32"/>
        <v>0</v>
      </c>
      <c r="L131" s="52">
        <f t="shared" si="32"/>
        <v>0</v>
      </c>
      <c r="M131" s="51">
        <f t="shared" si="32"/>
        <v>0</v>
      </c>
      <c r="N131" s="51">
        <f t="shared" si="32"/>
        <v>0</v>
      </c>
      <c r="O131" s="51">
        <f t="shared" si="32"/>
        <v>0</v>
      </c>
      <c r="P131" s="51">
        <f t="shared" si="32"/>
        <v>0</v>
      </c>
      <c r="Q131" s="51">
        <f t="shared" si="32"/>
        <v>0</v>
      </c>
      <c r="R131" s="51">
        <f t="shared" si="32"/>
        <v>0</v>
      </c>
      <c r="S131" s="51">
        <f t="shared" si="32"/>
        <v>0</v>
      </c>
      <c r="T131" s="51">
        <f t="shared" si="32"/>
        <v>0</v>
      </c>
      <c r="U131" s="51">
        <f t="shared" si="32"/>
        <v>0</v>
      </c>
      <c r="V131" s="51">
        <f t="shared" si="32"/>
        <v>0</v>
      </c>
      <c r="W131" s="51">
        <f t="shared" si="31"/>
        <v>0</v>
      </c>
      <c r="X131" s="55">
        <f t="shared" si="32"/>
        <v>0</v>
      </c>
      <c r="Y131" s="59">
        <f t="shared" si="32"/>
        <v>0.27893853765911591</v>
      </c>
      <c r="Z131" s="51">
        <f t="shared" si="32"/>
        <v>0</v>
      </c>
      <c r="AA131" s="51">
        <f t="shared" si="32"/>
        <v>0.27893853765911591</v>
      </c>
    </row>
    <row r="132" spans="1:55" x14ac:dyDescent="0.25">
      <c r="A132" s="30" t="s">
        <v>60</v>
      </c>
      <c r="B132" s="31" t="s">
        <v>13</v>
      </c>
      <c r="C132" s="32" t="s">
        <v>62</v>
      </c>
      <c r="D132" s="31" t="s">
        <v>76</v>
      </c>
      <c r="E132" s="31"/>
      <c r="F132" s="51">
        <f t="shared" si="32"/>
        <v>0.29943720930232559</v>
      </c>
      <c r="G132" s="51">
        <f t="shared" si="32"/>
        <v>0.24928462310680455</v>
      </c>
      <c r="H132" s="51">
        <f>IF(H42&gt;0,H87/H42,0)</f>
        <v>0.35294117647058826</v>
      </c>
      <c r="I132" s="51">
        <f t="shared" si="32"/>
        <v>0</v>
      </c>
      <c r="J132" s="51">
        <f t="shared" si="32"/>
        <v>0</v>
      </c>
      <c r="K132" s="51">
        <f t="shared" si="32"/>
        <v>0</v>
      </c>
      <c r="L132" s="52">
        <f t="shared" si="32"/>
        <v>0</v>
      </c>
      <c r="M132" s="51">
        <f t="shared" si="32"/>
        <v>0</v>
      </c>
      <c r="N132" s="51">
        <f t="shared" si="32"/>
        <v>0</v>
      </c>
      <c r="O132" s="51">
        <f t="shared" si="32"/>
        <v>0</v>
      </c>
      <c r="P132" s="51">
        <f t="shared" si="32"/>
        <v>0.23</v>
      </c>
      <c r="Q132" s="51">
        <f t="shared" si="32"/>
        <v>0</v>
      </c>
      <c r="R132" s="51">
        <f t="shared" si="32"/>
        <v>0</v>
      </c>
      <c r="S132" s="51">
        <f t="shared" si="32"/>
        <v>0</v>
      </c>
      <c r="T132" s="51">
        <f t="shared" si="32"/>
        <v>0</v>
      </c>
      <c r="U132" s="51">
        <f t="shared" si="32"/>
        <v>0</v>
      </c>
      <c r="V132" s="51">
        <f t="shared" si="32"/>
        <v>0</v>
      </c>
      <c r="W132" s="51">
        <f t="shared" si="31"/>
        <v>0</v>
      </c>
      <c r="X132" s="55">
        <f t="shared" si="32"/>
        <v>0</v>
      </c>
      <c r="Y132" s="59">
        <f t="shared" si="32"/>
        <v>0.31050498942040994</v>
      </c>
      <c r="Z132" s="51">
        <f t="shared" si="32"/>
        <v>0.23</v>
      </c>
      <c r="AA132" s="51">
        <f t="shared" si="32"/>
        <v>0.26815177528930201</v>
      </c>
    </row>
    <row r="133" spans="1:55" x14ac:dyDescent="0.25">
      <c r="A133" s="30" t="s">
        <v>60</v>
      </c>
      <c r="B133" s="31" t="s">
        <v>13</v>
      </c>
      <c r="C133" s="32" t="s">
        <v>62</v>
      </c>
      <c r="D133" s="31" t="s">
        <v>77</v>
      </c>
      <c r="E133" s="31"/>
      <c r="F133" s="51">
        <f t="shared" si="32"/>
        <v>0</v>
      </c>
      <c r="G133" s="51">
        <f t="shared" si="32"/>
        <v>0</v>
      </c>
      <c r="H133" s="51">
        <f t="shared" si="32"/>
        <v>0</v>
      </c>
      <c r="I133" s="51">
        <f t="shared" si="32"/>
        <v>0</v>
      </c>
      <c r="J133" s="51">
        <f t="shared" si="32"/>
        <v>0</v>
      </c>
      <c r="K133" s="51">
        <f t="shared" si="32"/>
        <v>0</v>
      </c>
      <c r="L133" s="52">
        <f t="shared" si="32"/>
        <v>0</v>
      </c>
      <c r="M133" s="51">
        <f t="shared" si="32"/>
        <v>0</v>
      </c>
      <c r="N133" s="51">
        <f t="shared" si="32"/>
        <v>0</v>
      </c>
      <c r="O133" s="51">
        <f t="shared" si="32"/>
        <v>0</v>
      </c>
      <c r="P133" s="51">
        <f t="shared" si="32"/>
        <v>0</v>
      </c>
      <c r="Q133" s="51">
        <f t="shared" si="32"/>
        <v>0</v>
      </c>
      <c r="R133" s="51">
        <f t="shared" si="32"/>
        <v>0</v>
      </c>
      <c r="S133" s="51">
        <f t="shared" si="32"/>
        <v>0</v>
      </c>
      <c r="T133" s="51">
        <f t="shared" si="32"/>
        <v>0</v>
      </c>
      <c r="U133" s="51">
        <f t="shared" si="32"/>
        <v>0</v>
      </c>
      <c r="V133" s="51">
        <f t="shared" si="32"/>
        <v>0</v>
      </c>
      <c r="W133" s="51">
        <f t="shared" si="31"/>
        <v>0</v>
      </c>
      <c r="X133" s="55">
        <f t="shared" si="32"/>
        <v>0</v>
      </c>
      <c r="Y133" s="59">
        <f t="shared" si="32"/>
        <v>0</v>
      </c>
      <c r="Z133" s="51">
        <f t="shared" si="32"/>
        <v>0</v>
      </c>
      <c r="AA133" s="51">
        <f t="shared" si="32"/>
        <v>0</v>
      </c>
    </row>
    <row r="134" spans="1:55" x14ac:dyDescent="0.25">
      <c r="A134" s="30" t="s">
        <v>60</v>
      </c>
      <c r="B134" s="31" t="s">
        <v>13</v>
      </c>
      <c r="C134" s="32" t="s">
        <v>62</v>
      </c>
      <c r="D134" s="31" t="s">
        <v>78</v>
      </c>
      <c r="E134" s="31"/>
      <c r="F134" s="51">
        <f t="shared" si="32"/>
        <v>0</v>
      </c>
      <c r="G134" s="51">
        <f t="shared" si="32"/>
        <v>0</v>
      </c>
      <c r="H134" s="51">
        <f t="shared" si="32"/>
        <v>0</v>
      </c>
      <c r="I134" s="51">
        <f t="shared" si="32"/>
        <v>0</v>
      </c>
      <c r="J134" s="51">
        <f t="shared" si="32"/>
        <v>0</v>
      </c>
      <c r="K134" s="51">
        <f t="shared" si="32"/>
        <v>0</v>
      </c>
      <c r="L134" s="52">
        <f t="shared" si="32"/>
        <v>0</v>
      </c>
      <c r="M134" s="51">
        <f t="shared" si="32"/>
        <v>0</v>
      </c>
      <c r="N134" s="51">
        <f t="shared" si="32"/>
        <v>0</v>
      </c>
      <c r="O134" s="51">
        <f t="shared" si="32"/>
        <v>0</v>
      </c>
      <c r="P134" s="51">
        <f t="shared" si="32"/>
        <v>0</v>
      </c>
      <c r="Q134" s="51">
        <f t="shared" si="32"/>
        <v>0</v>
      </c>
      <c r="R134" s="51">
        <f t="shared" si="32"/>
        <v>0</v>
      </c>
      <c r="S134" s="51">
        <f t="shared" si="32"/>
        <v>0</v>
      </c>
      <c r="T134" s="51">
        <f t="shared" si="32"/>
        <v>0</v>
      </c>
      <c r="U134" s="51">
        <f t="shared" si="32"/>
        <v>0</v>
      </c>
      <c r="V134" s="51">
        <f t="shared" si="32"/>
        <v>0</v>
      </c>
      <c r="W134" s="51">
        <f t="shared" si="31"/>
        <v>0</v>
      </c>
      <c r="X134" s="55">
        <f t="shared" si="32"/>
        <v>0</v>
      </c>
      <c r="Y134" s="59">
        <f t="shared" si="32"/>
        <v>0</v>
      </c>
      <c r="Z134" s="51">
        <f t="shared" si="32"/>
        <v>0</v>
      </c>
      <c r="AA134" s="51">
        <f t="shared" si="32"/>
        <v>0</v>
      </c>
    </row>
    <row r="135" spans="1:55" ht="15.75" thickBot="1" x14ac:dyDescent="0.3">
      <c r="A135" s="33" t="s">
        <v>60</v>
      </c>
      <c r="B135" s="34" t="s">
        <v>13</v>
      </c>
      <c r="C135" s="32" t="s">
        <v>62</v>
      </c>
      <c r="D135" s="34" t="s">
        <v>79</v>
      </c>
      <c r="E135" s="31"/>
      <c r="F135" s="51">
        <f t="shared" si="32"/>
        <v>0</v>
      </c>
      <c r="G135" s="51">
        <f t="shared" si="32"/>
        <v>0</v>
      </c>
      <c r="H135" s="51">
        <f t="shared" si="32"/>
        <v>0</v>
      </c>
      <c r="I135" s="51">
        <f t="shared" si="32"/>
        <v>0</v>
      </c>
      <c r="J135" s="51">
        <f t="shared" si="32"/>
        <v>0</v>
      </c>
      <c r="K135" s="51">
        <f t="shared" si="32"/>
        <v>0</v>
      </c>
      <c r="L135" s="52">
        <f t="shared" si="32"/>
        <v>0</v>
      </c>
      <c r="M135" s="51">
        <f t="shared" si="32"/>
        <v>0</v>
      </c>
      <c r="N135" s="51">
        <f t="shared" si="32"/>
        <v>0</v>
      </c>
      <c r="O135" s="51">
        <f t="shared" si="32"/>
        <v>0</v>
      </c>
      <c r="P135" s="51">
        <f t="shared" si="32"/>
        <v>0</v>
      </c>
      <c r="Q135" s="51">
        <f t="shared" si="32"/>
        <v>0</v>
      </c>
      <c r="R135" s="51">
        <f t="shared" si="32"/>
        <v>0</v>
      </c>
      <c r="S135" s="51">
        <f t="shared" si="32"/>
        <v>0</v>
      </c>
      <c r="T135" s="51">
        <f t="shared" si="32"/>
        <v>0</v>
      </c>
      <c r="U135" s="51">
        <f t="shared" si="32"/>
        <v>0</v>
      </c>
      <c r="V135" s="51">
        <f t="shared" si="32"/>
        <v>0</v>
      </c>
      <c r="W135" s="51">
        <f t="shared" si="31"/>
        <v>0</v>
      </c>
      <c r="X135" s="55">
        <f t="shared" si="32"/>
        <v>0</v>
      </c>
      <c r="Y135" s="59">
        <f t="shared" si="32"/>
        <v>0</v>
      </c>
      <c r="Z135" s="51">
        <f t="shared" si="32"/>
        <v>0</v>
      </c>
      <c r="AA135" s="51">
        <f t="shared" si="32"/>
        <v>0</v>
      </c>
    </row>
    <row r="136" spans="1:5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55" x14ac:dyDescent="0.25">
      <c r="D137" s="41" t="s">
        <v>17</v>
      </c>
      <c r="E137" s="41"/>
      <c r="M137" s="24" t="s">
        <v>81</v>
      </c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AF137" s="41" t="s">
        <v>22</v>
      </c>
      <c r="AG137" s="41"/>
      <c r="AO137" s="24" t="s">
        <v>81</v>
      </c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</row>
    <row r="138" spans="1:55" x14ac:dyDescent="0.25">
      <c r="F138" s="23" t="s">
        <v>44</v>
      </c>
      <c r="G138" s="23"/>
      <c r="H138" s="23"/>
      <c r="I138" s="23"/>
      <c r="J138" s="23"/>
      <c r="K138" s="23"/>
      <c r="L138" s="7" t="s">
        <v>30</v>
      </c>
      <c r="M138" s="24" t="s">
        <v>46</v>
      </c>
      <c r="N138" s="24"/>
      <c r="O138" s="24"/>
      <c r="P138" s="24"/>
      <c r="Q138" s="24"/>
      <c r="R138" s="24" t="s">
        <v>47</v>
      </c>
      <c r="S138" s="24"/>
      <c r="T138" s="24"/>
      <c r="U138" s="24"/>
      <c r="V138" s="24"/>
      <c r="W138" s="24"/>
      <c r="X138" s="24"/>
      <c r="Y138" s="44" t="s">
        <v>85</v>
      </c>
      <c r="Z138" s="44" t="s">
        <v>48</v>
      </c>
      <c r="AA138" s="44" t="s">
        <v>3</v>
      </c>
      <c r="AH138" s="23" t="s">
        <v>44</v>
      </c>
      <c r="AI138" s="23"/>
      <c r="AJ138" s="23"/>
      <c r="AK138" s="23"/>
      <c r="AL138" s="23"/>
      <c r="AM138" s="23"/>
      <c r="AN138" s="7" t="s">
        <v>30</v>
      </c>
      <c r="AO138" s="24" t="s">
        <v>46</v>
      </c>
      <c r="AP138" s="24"/>
      <c r="AQ138" s="24"/>
      <c r="AR138" s="24"/>
      <c r="AS138" s="24"/>
      <c r="AT138" s="24" t="s">
        <v>47</v>
      </c>
      <c r="AU138" s="24"/>
      <c r="AV138" s="24"/>
      <c r="AW138" s="24"/>
      <c r="AX138" s="24"/>
      <c r="AY138" s="24"/>
      <c r="AZ138" s="24"/>
      <c r="BA138" s="44" t="s">
        <v>85</v>
      </c>
      <c r="BB138" s="44" t="s">
        <v>48</v>
      </c>
      <c r="BC138" s="44" t="s">
        <v>3</v>
      </c>
    </row>
    <row r="139" spans="1:55" ht="63" x14ac:dyDescent="0.25">
      <c r="F139" s="38" t="s">
        <v>36</v>
      </c>
      <c r="G139" s="38" t="s">
        <v>37</v>
      </c>
      <c r="H139" s="38" t="s">
        <v>38</v>
      </c>
      <c r="I139" s="38" t="s">
        <v>80</v>
      </c>
      <c r="J139" s="38" t="s">
        <v>39</v>
      </c>
      <c r="K139" s="38" t="s">
        <v>45</v>
      </c>
      <c r="L139" s="39" t="s">
        <v>16</v>
      </c>
      <c r="M139" s="40" t="s">
        <v>34</v>
      </c>
      <c r="N139" s="40" t="s">
        <v>5</v>
      </c>
      <c r="O139" s="40" t="s">
        <v>7</v>
      </c>
      <c r="P139" s="40" t="s">
        <v>8</v>
      </c>
      <c r="Q139" s="40" t="s">
        <v>40</v>
      </c>
      <c r="R139" s="40" t="s">
        <v>41</v>
      </c>
      <c r="S139" s="40" t="s">
        <v>42</v>
      </c>
      <c r="T139" s="40" t="s">
        <v>31</v>
      </c>
      <c r="U139" s="40" t="s">
        <v>43</v>
      </c>
      <c r="V139" s="40" t="s">
        <v>82</v>
      </c>
      <c r="W139" s="40" t="s">
        <v>87</v>
      </c>
      <c r="X139" s="40" t="s">
        <v>83</v>
      </c>
      <c r="Y139" s="45" t="s">
        <v>3</v>
      </c>
      <c r="Z139" s="45" t="s">
        <v>3</v>
      </c>
      <c r="AA139" s="45" t="s">
        <v>3</v>
      </c>
      <c r="AH139" s="38" t="s">
        <v>36</v>
      </c>
      <c r="AI139" s="38" t="s">
        <v>37</v>
      </c>
      <c r="AJ139" s="38" t="s">
        <v>38</v>
      </c>
      <c r="AK139" s="38" t="s">
        <v>80</v>
      </c>
      <c r="AL139" s="38" t="s">
        <v>39</v>
      </c>
      <c r="AM139" s="38" t="s">
        <v>45</v>
      </c>
      <c r="AN139" s="39" t="s">
        <v>16</v>
      </c>
      <c r="AO139" s="40" t="s">
        <v>34</v>
      </c>
      <c r="AP139" s="40" t="s">
        <v>5</v>
      </c>
      <c r="AQ139" s="40" t="s">
        <v>7</v>
      </c>
      <c r="AR139" s="40" t="s">
        <v>8</v>
      </c>
      <c r="AS139" s="40" t="s">
        <v>40</v>
      </c>
      <c r="AT139" s="40" t="s">
        <v>41</v>
      </c>
      <c r="AU139" s="40" t="s">
        <v>42</v>
      </c>
      <c r="AV139" s="40" t="s">
        <v>31</v>
      </c>
      <c r="AW139" s="40" t="s">
        <v>43</v>
      </c>
      <c r="AX139" s="40" t="s">
        <v>82</v>
      </c>
      <c r="AY139" s="40" t="s">
        <v>87</v>
      </c>
      <c r="AZ139" s="40" t="s">
        <v>83</v>
      </c>
      <c r="BA139" s="45" t="s">
        <v>3</v>
      </c>
      <c r="BB139" s="45" t="s">
        <v>86</v>
      </c>
      <c r="BC139" s="45" t="s">
        <v>3</v>
      </c>
    </row>
    <row r="140" spans="1:55" x14ac:dyDescent="0.25">
      <c r="A140" s="15" t="s">
        <v>51</v>
      </c>
      <c r="B140" s="2"/>
      <c r="C140" s="2"/>
      <c r="F140" s="1">
        <f t="shared" ref="F140:AA151" si="33">IF(F185&gt;0,F5/F185,0)</f>
        <v>0</v>
      </c>
      <c r="G140" s="1">
        <f t="shared" si="33"/>
        <v>0</v>
      </c>
      <c r="H140" s="1">
        <f t="shared" si="33"/>
        <v>0</v>
      </c>
      <c r="I140" s="1">
        <f t="shared" si="33"/>
        <v>0</v>
      </c>
      <c r="J140" s="1">
        <f t="shared" si="33"/>
        <v>0</v>
      </c>
      <c r="K140" s="1">
        <f t="shared" si="33"/>
        <v>0</v>
      </c>
      <c r="L140" s="52">
        <f t="shared" si="33"/>
        <v>0</v>
      </c>
      <c r="M140" s="1">
        <f t="shared" si="33"/>
        <v>0</v>
      </c>
      <c r="N140" s="1">
        <f t="shared" si="33"/>
        <v>0</v>
      </c>
      <c r="O140" s="1">
        <f t="shared" si="33"/>
        <v>0</v>
      </c>
      <c r="P140" s="1">
        <f t="shared" si="33"/>
        <v>0</v>
      </c>
      <c r="Q140" s="1">
        <f t="shared" si="33"/>
        <v>0</v>
      </c>
      <c r="R140" s="1">
        <f t="shared" si="33"/>
        <v>0</v>
      </c>
      <c r="S140" s="1">
        <f t="shared" si="33"/>
        <v>0</v>
      </c>
      <c r="T140" s="1">
        <f t="shared" si="33"/>
        <v>0</v>
      </c>
      <c r="U140" s="1">
        <f t="shared" si="33"/>
        <v>0</v>
      </c>
      <c r="V140" s="1">
        <f t="shared" si="33"/>
        <v>0</v>
      </c>
      <c r="W140" s="1">
        <f t="shared" si="33"/>
        <v>0</v>
      </c>
      <c r="X140" s="54">
        <f t="shared" si="33"/>
        <v>0</v>
      </c>
      <c r="Y140" s="58">
        <f t="shared" si="33"/>
        <v>0</v>
      </c>
      <c r="Z140" s="1">
        <f t="shared" si="33"/>
        <v>0</v>
      </c>
      <c r="AA140" s="1">
        <f t="shared" si="33"/>
        <v>0</v>
      </c>
      <c r="AC140" s="15" t="s">
        <v>51</v>
      </c>
      <c r="AD140" s="2"/>
      <c r="AE140" s="2"/>
      <c r="AH140" s="1" t="str">
        <f t="shared" ref="AH140:AW155" si="34">IF(F185&gt;0,F50/F185,"")</f>
        <v/>
      </c>
      <c r="AI140" s="1" t="str">
        <f t="shared" si="34"/>
        <v/>
      </c>
      <c r="AJ140" s="1" t="str">
        <f t="shared" si="34"/>
        <v/>
      </c>
      <c r="AK140" s="1" t="str">
        <f t="shared" si="34"/>
        <v/>
      </c>
      <c r="AL140" s="1" t="str">
        <f t="shared" si="34"/>
        <v/>
      </c>
      <c r="AM140" s="1" t="str">
        <f t="shared" si="34"/>
        <v/>
      </c>
      <c r="AN140" s="52" t="str">
        <f t="shared" si="34"/>
        <v/>
      </c>
      <c r="AO140" s="1" t="str">
        <f t="shared" si="34"/>
        <v/>
      </c>
      <c r="AP140" s="1" t="str">
        <f t="shared" si="34"/>
        <v/>
      </c>
      <c r="AQ140" s="1" t="str">
        <f t="shared" si="34"/>
        <v/>
      </c>
      <c r="AR140" s="1" t="str">
        <f t="shared" si="34"/>
        <v/>
      </c>
      <c r="AS140" s="1" t="str">
        <f t="shared" si="34"/>
        <v/>
      </c>
      <c r="AT140" s="1" t="str">
        <f t="shared" si="34"/>
        <v/>
      </c>
      <c r="AU140" s="1" t="str">
        <f t="shared" si="34"/>
        <v/>
      </c>
      <c r="AV140" s="1" t="str">
        <f t="shared" si="34"/>
        <v/>
      </c>
      <c r="AW140" s="1" t="str">
        <f t="shared" si="34"/>
        <v/>
      </c>
      <c r="AX140" s="1" t="str">
        <f t="shared" ref="AX140:BC155" si="35">IF(V185&gt;0,V50/V185,"")</f>
        <v/>
      </c>
      <c r="AY140" s="1" t="str">
        <f t="shared" si="35"/>
        <v/>
      </c>
      <c r="AZ140" s="1" t="str">
        <f t="shared" si="35"/>
        <v/>
      </c>
      <c r="BA140" s="1" t="str">
        <f t="shared" si="35"/>
        <v/>
      </c>
      <c r="BB140" s="1" t="str">
        <f t="shared" si="35"/>
        <v/>
      </c>
      <c r="BC140" s="1" t="str">
        <f t="shared" si="35"/>
        <v/>
      </c>
    </row>
    <row r="141" spans="1:55" x14ac:dyDescent="0.25">
      <c r="A141" s="30" t="s">
        <v>60</v>
      </c>
      <c r="B141" s="2"/>
      <c r="C141" s="2"/>
      <c r="F141" s="1">
        <f t="shared" si="33"/>
        <v>52.121212121212125</v>
      </c>
      <c r="G141" s="1">
        <f t="shared" si="33"/>
        <v>27.05314009661836</v>
      </c>
      <c r="H141" s="1">
        <f t="shared" si="33"/>
        <v>4.975609756097561</v>
      </c>
      <c r="I141" s="1">
        <f t="shared" si="33"/>
        <v>29</v>
      </c>
      <c r="J141" s="1">
        <f t="shared" si="33"/>
        <v>39.8482871913804</v>
      </c>
      <c r="K141" s="1">
        <f t="shared" si="33"/>
        <v>3.4813061321348409</v>
      </c>
      <c r="L141" s="52">
        <f t="shared" si="33"/>
        <v>750</v>
      </c>
      <c r="M141" s="1">
        <f t="shared" si="33"/>
        <v>320.84690553745929</v>
      </c>
      <c r="N141" s="1">
        <f t="shared" si="33"/>
        <v>1085.7142857142858</v>
      </c>
      <c r="O141" s="1">
        <f t="shared" si="33"/>
        <v>10000</v>
      </c>
      <c r="P141" s="1">
        <f t="shared" si="33"/>
        <v>76923.076923076922</v>
      </c>
      <c r="Q141" s="1">
        <f t="shared" si="33"/>
        <v>940.00000000000011</v>
      </c>
      <c r="R141" s="1">
        <f t="shared" si="33"/>
        <v>426.00000000000006</v>
      </c>
      <c r="S141" s="1">
        <f t="shared" si="33"/>
        <v>99.999999999999986</v>
      </c>
      <c r="T141" s="1">
        <f t="shared" si="33"/>
        <v>425.07006596408218</v>
      </c>
      <c r="U141" s="1">
        <f t="shared" si="33"/>
        <v>425.99999999999994</v>
      </c>
      <c r="V141" s="1">
        <f t="shared" si="33"/>
        <v>500.43123278302329</v>
      </c>
      <c r="W141" s="1">
        <f t="shared" si="33"/>
        <v>426</v>
      </c>
      <c r="X141" s="54">
        <f t="shared" si="33"/>
        <v>418.52581779413424</v>
      </c>
      <c r="Y141" s="58">
        <f t="shared" si="33"/>
        <v>10.502113569394281</v>
      </c>
      <c r="Z141" s="1">
        <f t="shared" si="33"/>
        <v>559.75445245554977</v>
      </c>
      <c r="AA141" s="1">
        <f t="shared" si="33"/>
        <v>97.669750618897339</v>
      </c>
      <c r="AC141" s="30" t="s">
        <v>60</v>
      </c>
      <c r="AD141" s="2"/>
      <c r="AE141" s="2"/>
      <c r="AH141" s="1">
        <f t="shared" si="34"/>
        <v>9.0632254545454565</v>
      </c>
      <c r="AI141" s="1">
        <f t="shared" si="34"/>
        <v>6.7439318328410902</v>
      </c>
      <c r="AJ141" s="1">
        <f t="shared" si="34"/>
        <v>1.6097560975609757</v>
      </c>
      <c r="AK141" s="1">
        <f t="shared" si="34"/>
        <v>7.6544217687074827</v>
      </c>
      <c r="AL141" s="1">
        <f t="shared" si="34"/>
        <v>9.802381733432</v>
      </c>
      <c r="AM141" s="1">
        <f t="shared" si="34"/>
        <v>2.2526189777375016</v>
      </c>
      <c r="AN141" s="52">
        <f t="shared" si="34"/>
        <v>63.750000000000007</v>
      </c>
      <c r="AO141" s="1">
        <f t="shared" si="34"/>
        <v>61.211726384364816</v>
      </c>
      <c r="AP141" s="1">
        <f t="shared" si="34"/>
        <v>299.28571428571428</v>
      </c>
      <c r="AQ141" s="1">
        <f t="shared" si="34"/>
        <v>4445</v>
      </c>
      <c r="AR141" s="1">
        <f t="shared" si="34"/>
        <v>17692.307692307691</v>
      </c>
      <c r="AS141" s="1">
        <f t="shared" si="34"/>
        <v>144.95327102803739</v>
      </c>
      <c r="AT141" s="1">
        <f t="shared" si="34"/>
        <v>83.737472607742873</v>
      </c>
      <c r="AU141" s="1">
        <f t="shared" si="34"/>
        <v>24.489795918367346</v>
      </c>
      <c r="AV141" s="1">
        <f t="shared" si="34"/>
        <v>83.932984746447346</v>
      </c>
      <c r="AW141" s="1">
        <f t="shared" si="34"/>
        <v>110.88</v>
      </c>
      <c r="AX141" s="1">
        <f t="shared" si="35"/>
        <v>138.99042118661777</v>
      </c>
      <c r="AY141" s="1">
        <f t="shared" si="35"/>
        <v>80.036363636363632</v>
      </c>
      <c r="AZ141" s="1">
        <f t="shared" si="35"/>
        <v>149.36900942090642</v>
      </c>
      <c r="BA141" s="1">
        <f t="shared" si="35"/>
        <v>2.9991059036984486</v>
      </c>
      <c r="BB141" s="1">
        <f t="shared" si="35"/>
        <v>126.34682952754305</v>
      </c>
      <c r="BC141" s="1">
        <f t="shared" si="35"/>
        <v>14.64194072734783</v>
      </c>
    </row>
    <row r="142" spans="1:55" x14ac:dyDescent="0.25">
      <c r="A142" s="15" t="s">
        <v>51</v>
      </c>
      <c r="B142" s="16" t="s">
        <v>52</v>
      </c>
      <c r="C142" s="2"/>
      <c r="F142" s="1">
        <f t="shared" si="33"/>
        <v>0</v>
      </c>
      <c r="G142" s="1">
        <f t="shared" si="33"/>
        <v>0</v>
      </c>
      <c r="H142" s="1">
        <f t="shared" si="33"/>
        <v>0</v>
      </c>
      <c r="I142" s="1">
        <f t="shared" si="33"/>
        <v>0</v>
      </c>
      <c r="J142" s="1">
        <f t="shared" si="33"/>
        <v>0</v>
      </c>
      <c r="K142" s="1">
        <f t="shared" si="33"/>
        <v>0</v>
      </c>
      <c r="L142" s="52">
        <f t="shared" si="33"/>
        <v>0</v>
      </c>
      <c r="M142" s="1">
        <f t="shared" si="33"/>
        <v>0</v>
      </c>
      <c r="N142" s="1">
        <f t="shared" si="33"/>
        <v>0</v>
      </c>
      <c r="O142" s="1">
        <f t="shared" si="33"/>
        <v>0</v>
      </c>
      <c r="P142" s="1">
        <f t="shared" si="33"/>
        <v>0</v>
      </c>
      <c r="Q142" s="1">
        <f t="shared" si="33"/>
        <v>0</v>
      </c>
      <c r="R142" s="1">
        <f t="shared" si="33"/>
        <v>0</v>
      </c>
      <c r="S142" s="1">
        <f t="shared" si="33"/>
        <v>0</v>
      </c>
      <c r="T142" s="1">
        <f t="shared" si="33"/>
        <v>0</v>
      </c>
      <c r="U142" s="1">
        <f t="shared" si="33"/>
        <v>0</v>
      </c>
      <c r="V142" s="1">
        <f t="shared" si="33"/>
        <v>0</v>
      </c>
      <c r="W142" s="1">
        <f t="shared" si="33"/>
        <v>0</v>
      </c>
      <c r="X142" s="54">
        <f t="shared" si="33"/>
        <v>0</v>
      </c>
      <c r="Y142" s="58">
        <f t="shared" si="33"/>
        <v>0</v>
      </c>
      <c r="Z142" s="1">
        <f t="shared" si="33"/>
        <v>0</v>
      </c>
      <c r="AA142" s="1">
        <f t="shared" si="33"/>
        <v>0</v>
      </c>
      <c r="AC142" s="15" t="s">
        <v>51</v>
      </c>
      <c r="AD142" s="16" t="s">
        <v>52</v>
      </c>
      <c r="AE142" s="2"/>
      <c r="AH142" s="1" t="str">
        <f t="shared" si="34"/>
        <v/>
      </c>
      <c r="AI142" s="1" t="str">
        <f t="shared" si="34"/>
        <v/>
      </c>
      <c r="AJ142" s="1" t="str">
        <f t="shared" si="34"/>
        <v/>
      </c>
      <c r="AK142" s="1" t="str">
        <f t="shared" si="34"/>
        <v/>
      </c>
      <c r="AL142" s="1" t="str">
        <f t="shared" si="34"/>
        <v/>
      </c>
      <c r="AM142" s="1" t="str">
        <f t="shared" si="34"/>
        <v/>
      </c>
      <c r="AN142" s="52" t="str">
        <f t="shared" si="34"/>
        <v/>
      </c>
      <c r="AO142" s="1" t="str">
        <f t="shared" si="34"/>
        <v/>
      </c>
      <c r="AP142" s="1" t="str">
        <f t="shared" si="34"/>
        <v/>
      </c>
      <c r="AQ142" s="1" t="str">
        <f t="shared" si="34"/>
        <v/>
      </c>
      <c r="AR142" s="1" t="str">
        <f t="shared" si="34"/>
        <v/>
      </c>
      <c r="AS142" s="1" t="str">
        <f t="shared" si="34"/>
        <v/>
      </c>
      <c r="AT142" s="1" t="str">
        <f t="shared" si="34"/>
        <v/>
      </c>
      <c r="AU142" s="1" t="str">
        <f t="shared" si="34"/>
        <v/>
      </c>
      <c r="AV142" s="1" t="str">
        <f t="shared" si="34"/>
        <v/>
      </c>
      <c r="AW142" s="1" t="str">
        <f t="shared" si="34"/>
        <v/>
      </c>
      <c r="AX142" s="1" t="str">
        <f t="shared" si="35"/>
        <v/>
      </c>
      <c r="AY142" s="1" t="str">
        <f t="shared" si="35"/>
        <v/>
      </c>
      <c r="AZ142" s="1" t="str">
        <f t="shared" si="35"/>
        <v/>
      </c>
      <c r="BA142" s="1" t="str">
        <f t="shared" si="35"/>
        <v/>
      </c>
      <c r="BB142" s="1" t="str">
        <f t="shared" si="35"/>
        <v/>
      </c>
      <c r="BC142" s="1" t="str">
        <f t="shared" si="35"/>
        <v/>
      </c>
    </row>
    <row r="143" spans="1:55" x14ac:dyDescent="0.25">
      <c r="A143" s="15" t="s">
        <v>51</v>
      </c>
      <c r="B143" s="16" t="s">
        <v>56</v>
      </c>
      <c r="C143" s="2"/>
      <c r="F143" s="1">
        <f t="shared" si="33"/>
        <v>0</v>
      </c>
      <c r="G143" s="1">
        <f t="shared" si="33"/>
        <v>0</v>
      </c>
      <c r="H143" s="1">
        <f t="shared" si="33"/>
        <v>0</v>
      </c>
      <c r="I143" s="1">
        <f t="shared" si="33"/>
        <v>0</v>
      </c>
      <c r="J143" s="1">
        <f t="shared" si="33"/>
        <v>0</v>
      </c>
      <c r="K143" s="1">
        <f t="shared" si="33"/>
        <v>0</v>
      </c>
      <c r="L143" s="52">
        <f t="shared" si="33"/>
        <v>0</v>
      </c>
      <c r="M143" s="1">
        <f t="shared" si="33"/>
        <v>0</v>
      </c>
      <c r="N143" s="1">
        <f t="shared" si="33"/>
        <v>0</v>
      </c>
      <c r="O143" s="1">
        <f t="shared" si="33"/>
        <v>0</v>
      </c>
      <c r="P143" s="1">
        <f t="shared" si="33"/>
        <v>0</v>
      </c>
      <c r="Q143" s="1">
        <f t="shared" si="33"/>
        <v>0</v>
      </c>
      <c r="R143" s="1">
        <f t="shared" si="33"/>
        <v>0</v>
      </c>
      <c r="S143" s="1">
        <f t="shared" si="33"/>
        <v>0</v>
      </c>
      <c r="T143" s="1">
        <f t="shared" si="33"/>
        <v>0</v>
      </c>
      <c r="U143" s="1">
        <f t="shared" si="33"/>
        <v>0</v>
      </c>
      <c r="V143" s="1">
        <f t="shared" si="33"/>
        <v>0</v>
      </c>
      <c r="W143" s="1">
        <f t="shared" si="33"/>
        <v>0</v>
      </c>
      <c r="X143" s="54">
        <f t="shared" si="33"/>
        <v>0</v>
      </c>
      <c r="Y143" s="58">
        <f t="shared" si="33"/>
        <v>0</v>
      </c>
      <c r="Z143" s="1">
        <f t="shared" si="33"/>
        <v>0</v>
      </c>
      <c r="AA143" s="1">
        <f t="shared" si="33"/>
        <v>0</v>
      </c>
      <c r="AC143" s="15" t="s">
        <v>51</v>
      </c>
      <c r="AD143" s="16" t="s">
        <v>56</v>
      </c>
      <c r="AE143" s="2"/>
      <c r="AH143" s="1" t="str">
        <f t="shared" si="34"/>
        <v/>
      </c>
      <c r="AI143" s="1" t="str">
        <f t="shared" si="34"/>
        <v/>
      </c>
      <c r="AJ143" s="1" t="str">
        <f t="shared" si="34"/>
        <v/>
      </c>
      <c r="AK143" s="1" t="str">
        <f t="shared" si="34"/>
        <v/>
      </c>
      <c r="AL143" s="1" t="str">
        <f t="shared" si="34"/>
        <v/>
      </c>
      <c r="AM143" s="1" t="str">
        <f t="shared" si="34"/>
        <v/>
      </c>
      <c r="AN143" s="52" t="str">
        <f t="shared" si="34"/>
        <v/>
      </c>
      <c r="AO143" s="1" t="str">
        <f t="shared" si="34"/>
        <v/>
      </c>
      <c r="AP143" s="1" t="str">
        <f t="shared" si="34"/>
        <v/>
      </c>
      <c r="AQ143" s="1" t="str">
        <f t="shared" si="34"/>
        <v/>
      </c>
      <c r="AR143" s="1" t="str">
        <f t="shared" si="34"/>
        <v/>
      </c>
      <c r="AS143" s="1" t="str">
        <f t="shared" si="34"/>
        <v/>
      </c>
      <c r="AT143" s="1" t="str">
        <f t="shared" si="34"/>
        <v/>
      </c>
      <c r="AU143" s="1" t="str">
        <f t="shared" si="34"/>
        <v/>
      </c>
      <c r="AV143" s="1" t="str">
        <f t="shared" si="34"/>
        <v/>
      </c>
      <c r="AW143" s="1" t="str">
        <f t="shared" si="34"/>
        <v/>
      </c>
      <c r="AX143" s="1" t="str">
        <f t="shared" si="35"/>
        <v/>
      </c>
      <c r="AY143" s="1" t="str">
        <f t="shared" si="35"/>
        <v/>
      </c>
      <c r="AZ143" s="1" t="str">
        <f t="shared" si="35"/>
        <v/>
      </c>
      <c r="BA143" s="1" t="str">
        <f t="shared" si="35"/>
        <v/>
      </c>
      <c r="BB143" s="1" t="str">
        <f t="shared" si="35"/>
        <v/>
      </c>
      <c r="BC143" s="1" t="str">
        <f t="shared" si="35"/>
        <v/>
      </c>
    </row>
    <row r="144" spans="1:55" x14ac:dyDescent="0.25">
      <c r="A144" s="15" t="s">
        <v>51</v>
      </c>
      <c r="B144" s="16" t="s">
        <v>9</v>
      </c>
      <c r="C144" s="2"/>
      <c r="F144" s="1">
        <f t="shared" si="33"/>
        <v>0</v>
      </c>
      <c r="G144" s="1">
        <f t="shared" si="33"/>
        <v>0</v>
      </c>
      <c r="H144" s="1">
        <f t="shared" si="33"/>
        <v>0</v>
      </c>
      <c r="I144" s="1">
        <f t="shared" si="33"/>
        <v>0</v>
      </c>
      <c r="J144" s="1">
        <f t="shared" si="33"/>
        <v>0</v>
      </c>
      <c r="K144" s="1">
        <f t="shared" si="33"/>
        <v>0</v>
      </c>
      <c r="L144" s="52">
        <f t="shared" si="33"/>
        <v>0</v>
      </c>
      <c r="M144" s="1">
        <f t="shared" si="33"/>
        <v>0</v>
      </c>
      <c r="N144" s="1">
        <f t="shared" si="33"/>
        <v>0</v>
      </c>
      <c r="O144" s="1">
        <f t="shared" si="33"/>
        <v>0</v>
      </c>
      <c r="P144" s="1">
        <f t="shared" si="33"/>
        <v>0</v>
      </c>
      <c r="Q144" s="1">
        <f t="shared" si="33"/>
        <v>0</v>
      </c>
      <c r="R144" s="1">
        <f t="shared" si="33"/>
        <v>0</v>
      </c>
      <c r="S144" s="1">
        <f t="shared" si="33"/>
        <v>0</v>
      </c>
      <c r="T144" s="1">
        <f t="shared" si="33"/>
        <v>0</v>
      </c>
      <c r="U144" s="1">
        <f t="shared" si="33"/>
        <v>0</v>
      </c>
      <c r="V144" s="1">
        <f t="shared" si="33"/>
        <v>0</v>
      </c>
      <c r="W144" s="1">
        <f t="shared" si="33"/>
        <v>0</v>
      </c>
      <c r="X144" s="54">
        <f t="shared" si="33"/>
        <v>0</v>
      </c>
      <c r="Y144" s="58">
        <f t="shared" si="33"/>
        <v>0</v>
      </c>
      <c r="Z144" s="1">
        <f t="shared" si="33"/>
        <v>0</v>
      </c>
      <c r="AA144" s="1">
        <f t="shared" si="33"/>
        <v>0</v>
      </c>
      <c r="AC144" s="15" t="s">
        <v>51</v>
      </c>
      <c r="AD144" s="16" t="s">
        <v>9</v>
      </c>
      <c r="AE144" s="2"/>
      <c r="AH144" s="1" t="str">
        <f t="shared" si="34"/>
        <v/>
      </c>
      <c r="AI144" s="1" t="str">
        <f t="shared" si="34"/>
        <v/>
      </c>
      <c r="AJ144" s="1" t="str">
        <f t="shared" si="34"/>
        <v/>
      </c>
      <c r="AK144" s="1" t="str">
        <f t="shared" si="34"/>
        <v/>
      </c>
      <c r="AL144" s="1" t="str">
        <f t="shared" si="34"/>
        <v/>
      </c>
      <c r="AM144" s="1" t="str">
        <f t="shared" si="34"/>
        <v/>
      </c>
      <c r="AN144" s="52" t="str">
        <f t="shared" si="34"/>
        <v/>
      </c>
      <c r="AO144" s="1" t="str">
        <f t="shared" si="34"/>
        <v/>
      </c>
      <c r="AP144" s="1" t="str">
        <f t="shared" si="34"/>
        <v/>
      </c>
      <c r="AQ144" s="1" t="str">
        <f t="shared" si="34"/>
        <v/>
      </c>
      <c r="AR144" s="1" t="str">
        <f t="shared" si="34"/>
        <v/>
      </c>
      <c r="AS144" s="1" t="str">
        <f t="shared" si="34"/>
        <v/>
      </c>
      <c r="AT144" s="1" t="str">
        <f t="shared" si="34"/>
        <v/>
      </c>
      <c r="AU144" s="1" t="str">
        <f t="shared" si="34"/>
        <v/>
      </c>
      <c r="AV144" s="1" t="str">
        <f t="shared" si="34"/>
        <v/>
      </c>
      <c r="AW144" s="1" t="str">
        <f t="shared" si="34"/>
        <v/>
      </c>
      <c r="AX144" s="1" t="str">
        <f t="shared" si="35"/>
        <v/>
      </c>
      <c r="AY144" s="1" t="str">
        <f t="shared" si="35"/>
        <v/>
      </c>
      <c r="AZ144" s="1" t="str">
        <f t="shared" si="35"/>
        <v/>
      </c>
      <c r="BA144" s="1" t="str">
        <f t="shared" si="35"/>
        <v/>
      </c>
      <c r="BB144" s="1" t="str">
        <f t="shared" si="35"/>
        <v/>
      </c>
      <c r="BC144" s="1" t="str">
        <f t="shared" si="35"/>
        <v/>
      </c>
    </row>
    <row r="145" spans="1:55" x14ac:dyDescent="0.25">
      <c r="A145" s="30" t="s">
        <v>60</v>
      </c>
      <c r="B145" s="32" t="s">
        <v>13</v>
      </c>
      <c r="C145" s="2"/>
      <c r="F145" s="51">
        <f t="shared" si="33"/>
        <v>52.121212121212125</v>
      </c>
      <c r="G145" s="51">
        <f t="shared" si="33"/>
        <v>27.05314009661836</v>
      </c>
      <c r="H145" s="51">
        <f t="shared" si="33"/>
        <v>4.975609756097561</v>
      </c>
      <c r="I145" s="51">
        <f t="shared" si="33"/>
        <v>29</v>
      </c>
      <c r="J145" s="51">
        <f t="shared" si="33"/>
        <v>23.25</v>
      </c>
      <c r="K145" s="51">
        <f t="shared" si="33"/>
        <v>29.000000000000004</v>
      </c>
      <c r="L145" s="52">
        <f t="shared" si="33"/>
        <v>0</v>
      </c>
      <c r="M145" s="51">
        <f t="shared" si="33"/>
        <v>400</v>
      </c>
      <c r="N145" s="51">
        <f t="shared" si="33"/>
        <v>900</v>
      </c>
      <c r="O145" s="51">
        <f t="shared" si="33"/>
        <v>10000</v>
      </c>
      <c r="P145" s="51">
        <f t="shared" si="33"/>
        <v>76923.076923076922</v>
      </c>
      <c r="Q145" s="51">
        <f t="shared" si="33"/>
        <v>940</v>
      </c>
      <c r="R145" s="51">
        <f t="shared" si="33"/>
        <v>426</v>
      </c>
      <c r="S145" s="51">
        <f t="shared" si="33"/>
        <v>0</v>
      </c>
      <c r="T145" s="51">
        <f t="shared" si="33"/>
        <v>426</v>
      </c>
      <c r="U145" s="51">
        <f t="shared" si="33"/>
        <v>426</v>
      </c>
      <c r="V145" s="51">
        <f t="shared" si="33"/>
        <v>426</v>
      </c>
      <c r="W145" s="51">
        <f t="shared" si="33"/>
        <v>426</v>
      </c>
      <c r="X145" s="55">
        <f t="shared" si="33"/>
        <v>426</v>
      </c>
      <c r="Y145" s="59">
        <f t="shared" si="33"/>
        <v>11.402657998899056</v>
      </c>
      <c r="Z145" s="51">
        <f t="shared" si="33"/>
        <v>939.9601331855506</v>
      </c>
      <c r="AA145" s="51">
        <f t="shared" si="33"/>
        <v>26.580288049350973</v>
      </c>
      <c r="AC145" s="30" t="s">
        <v>60</v>
      </c>
      <c r="AD145" s="32" t="s">
        <v>13</v>
      </c>
      <c r="AE145" s="2"/>
      <c r="AH145" s="1">
        <f t="shared" si="34"/>
        <v>9.0632254545454565</v>
      </c>
      <c r="AI145" s="1">
        <f t="shared" si="34"/>
        <v>6.7439318328410902</v>
      </c>
      <c r="AJ145" s="1">
        <f t="shared" si="34"/>
        <v>1.6097560975609757</v>
      </c>
      <c r="AK145" s="1">
        <f t="shared" si="34"/>
        <v>7.6544217687074827</v>
      </c>
      <c r="AL145" s="1">
        <f t="shared" si="34"/>
        <v>12.5</v>
      </c>
      <c r="AM145" s="1">
        <f t="shared" si="34"/>
        <v>8.3375000000000004</v>
      </c>
      <c r="AN145" s="52" t="str">
        <f t="shared" si="34"/>
        <v/>
      </c>
      <c r="AO145" s="1">
        <f t="shared" si="34"/>
        <v>162</v>
      </c>
      <c r="AP145" s="1">
        <f t="shared" si="34"/>
        <v>273.75</v>
      </c>
      <c r="AQ145" s="1">
        <f t="shared" si="34"/>
        <v>4445</v>
      </c>
      <c r="AR145" s="1">
        <f t="shared" si="34"/>
        <v>17692.307692307691</v>
      </c>
      <c r="AS145" s="1">
        <f t="shared" si="34"/>
        <v>470</v>
      </c>
      <c r="AT145" s="1">
        <f t="shared" si="34"/>
        <v>195.96</v>
      </c>
      <c r="AU145" s="1" t="str">
        <f t="shared" si="34"/>
        <v/>
      </c>
      <c r="AV145" s="1">
        <f t="shared" si="34"/>
        <v>204.48</v>
      </c>
      <c r="AW145" s="1">
        <f t="shared" si="34"/>
        <v>204.48</v>
      </c>
      <c r="AX145" s="1">
        <f t="shared" si="35"/>
        <v>511.2</v>
      </c>
      <c r="AY145" s="1">
        <f t="shared" si="35"/>
        <v>255.6</v>
      </c>
      <c r="AZ145" s="1">
        <f t="shared" si="35"/>
        <v>213</v>
      </c>
      <c r="BA145" s="1">
        <f t="shared" si="35"/>
        <v>3.1157482056219705</v>
      </c>
      <c r="BB145" s="1">
        <f t="shared" si="35"/>
        <v>330.91068202410423</v>
      </c>
      <c r="BC145" s="1">
        <f t="shared" si="35"/>
        <v>8.4736828201801337</v>
      </c>
    </row>
    <row r="146" spans="1:55" x14ac:dyDescent="0.25">
      <c r="A146" s="30" t="s">
        <v>60</v>
      </c>
      <c r="B146" s="31" t="s">
        <v>23</v>
      </c>
      <c r="C146" s="2"/>
      <c r="F146" s="51">
        <f t="shared" si="33"/>
        <v>0</v>
      </c>
      <c r="G146" s="51">
        <f t="shared" si="33"/>
        <v>0</v>
      </c>
      <c r="H146" s="51">
        <f t="shared" si="33"/>
        <v>0</v>
      </c>
      <c r="I146" s="51">
        <f t="shared" si="33"/>
        <v>0</v>
      </c>
      <c r="J146" s="51">
        <f t="shared" si="33"/>
        <v>40.081322140608606</v>
      </c>
      <c r="K146" s="51">
        <f t="shared" si="33"/>
        <v>2.6764643979098408</v>
      </c>
      <c r="L146" s="52">
        <f t="shared" si="33"/>
        <v>0</v>
      </c>
      <c r="M146" s="51">
        <f t="shared" si="33"/>
        <v>0</v>
      </c>
      <c r="N146" s="51">
        <f t="shared" si="33"/>
        <v>1333.3333333333335</v>
      </c>
      <c r="O146" s="51">
        <f t="shared" si="33"/>
        <v>0</v>
      </c>
      <c r="P146" s="51">
        <f t="shared" si="33"/>
        <v>0</v>
      </c>
      <c r="Q146" s="51">
        <f t="shared" si="33"/>
        <v>0</v>
      </c>
      <c r="R146" s="51">
        <f t="shared" si="33"/>
        <v>0</v>
      </c>
      <c r="S146" s="51">
        <f t="shared" si="33"/>
        <v>99.999999999999986</v>
      </c>
      <c r="T146" s="51">
        <f t="shared" si="33"/>
        <v>406</v>
      </c>
      <c r="U146" s="51">
        <f t="shared" si="33"/>
        <v>0</v>
      </c>
      <c r="V146" s="51">
        <f t="shared" si="33"/>
        <v>406</v>
      </c>
      <c r="W146" s="51">
        <f t="shared" si="33"/>
        <v>0</v>
      </c>
      <c r="X146" s="55">
        <f t="shared" si="33"/>
        <v>100</v>
      </c>
      <c r="Y146" s="59">
        <f t="shared" si="33"/>
        <v>3.7325790973914126</v>
      </c>
      <c r="Z146" s="51">
        <f t="shared" si="33"/>
        <v>414.78827855491107</v>
      </c>
      <c r="AA146" s="51">
        <f t="shared" si="33"/>
        <v>6.678565059087215</v>
      </c>
      <c r="AC146" s="30" t="s">
        <v>60</v>
      </c>
      <c r="AD146" s="31" t="s">
        <v>23</v>
      </c>
      <c r="AE146" s="2"/>
      <c r="AH146" s="1" t="str">
        <f t="shared" si="34"/>
        <v/>
      </c>
      <c r="AI146" s="1" t="str">
        <f t="shared" si="34"/>
        <v/>
      </c>
      <c r="AJ146" s="1" t="str">
        <f t="shared" si="34"/>
        <v/>
      </c>
      <c r="AK146" s="1" t="str">
        <f t="shared" si="34"/>
        <v/>
      </c>
      <c r="AL146" s="1">
        <f t="shared" si="34"/>
        <v>11.237408184679957</v>
      </c>
      <c r="AM146" s="1">
        <f t="shared" si="34"/>
        <v>2.0607060914483792</v>
      </c>
      <c r="AN146" s="52" t="str">
        <f t="shared" si="34"/>
        <v/>
      </c>
      <c r="AO146" s="1" t="str">
        <f t="shared" si="34"/>
        <v/>
      </c>
      <c r="AP146" s="1">
        <f t="shared" si="34"/>
        <v>333.33333333333337</v>
      </c>
      <c r="AQ146" s="1" t="str">
        <f t="shared" si="34"/>
        <v/>
      </c>
      <c r="AR146" s="1" t="str">
        <f t="shared" si="34"/>
        <v/>
      </c>
      <c r="AS146" s="1" t="str">
        <f t="shared" si="34"/>
        <v/>
      </c>
      <c r="AT146" s="1" t="str">
        <f t="shared" si="34"/>
        <v/>
      </c>
      <c r="AU146" s="1">
        <f t="shared" si="34"/>
        <v>24.489795918367346</v>
      </c>
      <c r="AV146" s="1">
        <f t="shared" si="34"/>
        <v>162.4</v>
      </c>
      <c r="AW146" s="1" t="str">
        <f t="shared" si="34"/>
        <v/>
      </c>
      <c r="AX146" s="1">
        <f t="shared" si="35"/>
        <v>365.4</v>
      </c>
      <c r="AY146" s="1" t="str">
        <f t="shared" si="35"/>
        <v/>
      </c>
      <c r="AZ146" s="1">
        <f t="shared" si="35"/>
        <v>90</v>
      </c>
      <c r="BA146" s="1">
        <f t="shared" si="35"/>
        <v>2.3198074637913053</v>
      </c>
      <c r="BB146" s="1">
        <f t="shared" si="35"/>
        <v>138.5192766973729</v>
      </c>
      <c r="BC146" s="1">
        <f t="shared" si="35"/>
        <v>3.2959324144539024</v>
      </c>
    </row>
    <row r="147" spans="1:55" x14ac:dyDescent="0.25">
      <c r="A147" s="30" t="s">
        <v>60</v>
      </c>
      <c r="B147" s="31" t="s">
        <v>65</v>
      </c>
      <c r="C147" s="46"/>
      <c r="F147" s="51">
        <f t="shared" si="33"/>
        <v>0</v>
      </c>
      <c r="G147" s="51">
        <f t="shared" si="33"/>
        <v>0</v>
      </c>
      <c r="H147" s="51">
        <f t="shared" si="33"/>
        <v>0</v>
      </c>
      <c r="I147" s="51">
        <f t="shared" si="33"/>
        <v>0</v>
      </c>
      <c r="J147" s="51">
        <f t="shared" si="33"/>
        <v>56</v>
      </c>
      <c r="K147" s="51">
        <f t="shared" si="33"/>
        <v>0</v>
      </c>
      <c r="L147" s="52">
        <f t="shared" si="33"/>
        <v>750</v>
      </c>
      <c r="M147" s="51">
        <f t="shared" si="33"/>
        <v>300</v>
      </c>
      <c r="N147" s="51">
        <f t="shared" si="33"/>
        <v>0</v>
      </c>
      <c r="O147" s="51">
        <f t="shared" si="33"/>
        <v>0</v>
      </c>
      <c r="P147" s="51">
        <f t="shared" si="33"/>
        <v>0</v>
      </c>
      <c r="Q147" s="51">
        <f t="shared" si="33"/>
        <v>940</v>
      </c>
      <c r="R147" s="51">
        <f t="shared" si="33"/>
        <v>426</v>
      </c>
      <c r="S147" s="51">
        <f t="shared" si="33"/>
        <v>0</v>
      </c>
      <c r="T147" s="51">
        <f t="shared" si="33"/>
        <v>426</v>
      </c>
      <c r="U147" s="51">
        <f t="shared" si="33"/>
        <v>425.99999999999994</v>
      </c>
      <c r="V147" s="51">
        <f t="shared" si="33"/>
        <v>426</v>
      </c>
      <c r="W147" s="51">
        <f t="shared" si="33"/>
        <v>426</v>
      </c>
      <c r="X147" s="55">
        <f t="shared" si="33"/>
        <v>426</v>
      </c>
      <c r="Y147" s="59">
        <f t="shared" si="33"/>
        <v>56</v>
      </c>
      <c r="Z147" s="51">
        <f t="shared" si="33"/>
        <v>473.38378821634132</v>
      </c>
      <c r="AA147" s="51">
        <f>IF(AA192&gt;0,AB12/AA192,0)</f>
        <v>620.14841445640877</v>
      </c>
      <c r="AC147" s="30" t="s">
        <v>60</v>
      </c>
      <c r="AD147" s="31" t="s">
        <v>65</v>
      </c>
      <c r="AE147" s="46"/>
      <c r="AH147" s="1" t="str">
        <f t="shared" si="34"/>
        <v/>
      </c>
      <c r="AI147" s="1" t="str">
        <f t="shared" si="34"/>
        <v/>
      </c>
      <c r="AJ147" s="1" t="str">
        <f t="shared" si="34"/>
        <v/>
      </c>
      <c r="AK147" s="1" t="str">
        <f t="shared" si="34"/>
        <v/>
      </c>
      <c r="AL147" s="1">
        <f t="shared" si="34"/>
        <v>6.72</v>
      </c>
      <c r="AM147" s="1" t="str">
        <f t="shared" si="34"/>
        <v/>
      </c>
      <c r="AN147" s="52">
        <f t="shared" si="34"/>
        <v>63.750000000000007</v>
      </c>
      <c r="AO147" s="1">
        <f t="shared" si="34"/>
        <v>36</v>
      </c>
      <c r="AP147" s="1" t="str">
        <f t="shared" si="34"/>
        <v/>
      </c>
      <c r="AQ147" s="1" t="str">
        <f t="shared" si="34"/>
        <v/>
      </c>
      <c r="AR147" s="1" t="str">
        <f t="shared" si="34"/>
        <v/>
      </c>
      <c r="AS147" s="1">
        <f t="shared" si="34"/>
        <v>141</v>
      </c>
      <c r="AT147" s="1">
        <f t="shared" si="34"/>
        <v>76.680000000000007</v>
      </c>
      <c r="AU147" s="1" t="str">
        <f t="shared" si="34"/>
        <v/>
      </c>
      <c r="AV147" s="1">
        <f t="shared" si="34"/>
        <v>76.679999999999993</v>
      </c>
      <c r="AW147" s="1">
        <f t="shared" si="34"/>
        <v>93.72</v>
      </c>
      <c r="AX147" s="1">
        <f t="shared" si="35"/>
        <v>51.11999999999999</v>
      </c>
      <c r="AY147" s="1">
        <f t="shared" si="35"/>
        <v>51.11999999999999</v>
      </c>
      <c r="AZ147" s="1">
        <f t="shared" si="35"/>
        <v>51.12</v>
      </c>
      <c r="BA147" s="1">
        <f t="shared" si="35"/>
        <v>6.72</v>
      </c>
      <c r="BB147" s="1">
        <f t="shared" si="35"/>
        <v>72.728070058782649</v>
      </c>
      <c r="BC147" s="1">
        <f t="shared" si="35"/>
        <v>62.52525166330048</v>
      </c>
    </row>
    <row r="148" spans="1:55" ht="15.75" thickBot="1" x14ac:dyDescent="0.3">
      <c r="A148" s="48" t="s">
        <v>60</v>
      </c>
      <c r="B148" s="49" t="s">
        <v>9</v>
      </c>
      <c r="C148" s="50"/>
      <c r="D148" s="50"/>
      <c r="E148" s="50"/>
      <c r="F148" s="53">
        <f t="shared" si="33"/>
        <v>0</v>
      </c>
      <c r="G148" s="53">
        <f t="shared" si="33"/>
        <v>0</v>
      </c>
      <c r="H148" s="53">
        <f t="shared" si="33"/>
        <v>0</v>
      </c>
      <c r="I148" s="53">
        <f t="shared" si="33"/>
        <v>0</v>
      </c>
      <c r="J148" s="53">
        <f t="shared" si="33"/>
        <v>0</v>
      </c>
      <c r="K148" s="53">
        <f t="shared" si="33"/>
        <v>0</v>
      </c>
      <c r="L148" s="62">
        <f t="shared" si="33"/>
        <v>0</v>
      </c>
      <c r="M148" s="53">
        <f t="shared" si="33"/>
        <v>0</v>
      </c>
      <c r="N148" s="53">
        <f t="shared" si="33"/>
        <v>0</v>
      </c>
      <c r="O148" s="53">
        <f t="shared" si="33"/>
        <v>0</v>
      </c>
      <c r="P148" s="53">
        <f t="shared" si="33"/>
        <v>0</v>
      </c>
      <c r="Q148" s="53">
        <f t="shared" si="33"/>
        <v>0</v>
      </c>
      <c r="R148" s="53">
        <f t="shared" si="33"/>
        <v>0</v>
      </c>
      <c r="S148" s="53">
        <f t="shared" si="33"/>
        <v>0</v>
      </c>
      <c r="T148" s="53">
        <f t="shared" si="33"/>
        <v>0</v>
      </c>
      <c r="U148" s="53">
        <f t="shared" si="33"/>
        <v>0</v>
      </c>
      <c r="V148" s="53">
        <f t="shared" si="33"/>
        <v>0</v>
      </c>
      <c r="W148" s="53">
        <f t="shared" si="33"/>
        <v>0</v>
      </c>
      <c r="X148" s="56">
        <f t="shared" si="33"/>
        <v>426</v>
      </c>
      <c r="Y148" s="60">
        <f t="shared" si="33"/>
        <v>0</v>
      </c>
      <c r="Z148" s="53">
        <f t="shared" si="33"/>
        <v>643.56672000000003</v>
      </c>
      <c r="AA148" s="53">
        <f t="shared" si="33"/>
        <v>629.79840000000002</v>
      </c>
      <c r="AC148" s="48" t="s">
        <v>60</v>
      </c>
      <c r="AD148" s="49" t="s">
        <v>9</v>
      </c>
      <c r="AE148" s="50"/>
      <c r="AF148" s="50"/>
      <c r="AG148" s="50"/>
      <c r="AH148" s="1" t="str">
        <f t="shared" si="34"/>
        <v/>
      </c>
      <c r="AI148" s="1" t="str">
        <f t="shared" si="34"/>
        <v/>
      </c>
      <c r="AJ148" s="1" t="str">
        <f t="shared" si="34"/>
        <v/>
      </c>
      <c r="AK148" s="1" t="str">
        <f t="shared" si="34"/>
        <v/>
      </c>
      <c r="AL148" s="1" t="str">
        <f t="shared" si="34"/>
        <v/>
      </c>
      <c r="AM148" s="1" t="str">
        <f t="shared" si="34"/>
        <v/>
      </c>
      <c r="AN148" s="52" t="str">
        <f t="shared" si="34"/>
        <v/>
      </c>
      <c r="AO148" s="1" t="str">
        <f t="shared" si="34"/>
        <v/>
      </c>
      <c r="AP148" s="1" t="str">
        <f t="shared" si="34"/>
        <v/>
      </c>
      <c r="AQ148" s="1" t="str">
        <f t="shared" si="34"/>
        <v/>
      </c>
      <c r="AR148" s="1" t="str">
        <f t="shared" si="34"/>
        <v/>
      </c>
      <c r="AS148" s="1" t="str">
        <f t="shared" si="34"/>
        <v/>
      </c>
      <c r="AT148" s="1" t="str">
        <f t="shared" si="34"/>
        <v/>
      </c>
      <c r="AU148" s="1" t="str">
        <f t="shared" si="34"/>
        <v/>
      </c>
      <c r="AV148" s="1" t="str">
        <f t="shared" si="34"/>
        <v/>
      </c>
      <c r="AW148" s="1" t="str">
        <f t="shared" si="34"/>
        <v/>
      </c>
      <c r="AX148" s="1" t="str">
        <f t="shared" si="35"/>
        <v/>
      </c>
      <c r="AY148" s="1" t="str">
        <f t="shared" si="35"/>
        <v/>
      </c>
      <c r="AZ148" s="1">
        <f t="shared" si="35"/>
        <v>178.92000000000002</v>
      </c>
      <c r="BA148" s="1" t="str">
        <f t="shared" si="35"/>
        <v/>
      </c>
      <c r="BB148" s="1">
        <f t="shared" si="35"/>
        <v>396.48671999999999</v>
      </c>
      <c r="BC148" s="1">
        <f t="shared" si="35"/>
        <v>314.89920000000001</v>
      </c>
    </row>
    <row r="149" spans="1:55" ht="15.75" thickTop="1" x14ac:dyDescent="0.25">
      <c r="A149" s="15" t="s">
        <v>51</v>
      </c>
      <c r="B149" s="16" t="s">
        <v>52</v>
      </c>
      <c r="C149" s="16" t="s">
        <v>53</v>
      </c>
      <c r="D149" s="2"/>
      <c r="E149" s="2"/>
      <c r="F149" s="47">
        <f t="shared" si="33"/>
        <v>0</v>
      </c>
      <c r="G149" s="47">
        <f t="shared" si="33"/>
        <v>0</v>
      </c>
      <c r="H149" s="47">
        <f t="shared" si="33"/>
        <v>0</v>
      </c>
      <c r="I149" s="47">
        <f t="shared" si="33"/>
        <v>0</v>
      </c>
      <c r="J149" s="47">
        <f t="shared" si="33"/>
        <v>0</v>
      </c>
      <c r="K149" s="47">
        <f t="shared" si="33"/>
        <v>0</v>
      </c>
      <c r="L149" s="63">
        <f t="shared" si="33"/>
        <v>0</v>
      </c>
      <c r="M149" s="47">
        <f t="shared" si="33"/>
        <v>0</v>
      </c>
      <c r="N149" s="47">
        <f t="shared" si="33"/>
        <v>0</v>
      </c>
      <c r="O149" s="47">
        <f t="shared" si="33"/>
        <v>0</v>
      </c>
      <c r="P149" s="47">
        <f t="shared" si="33"/>
        <v>0</v>
      </c>
      <c r="Q149" s="47">
        <f t="shared" si="33"/>
        <v>0</v>
      </c>
      <c r="R149" s="47">
        <f t="shared" si="33"/>
        <v>0</v>
      </c>
      <c r="S149" s="47">
        <f t="shared" si="33"/>
        <v>0</v>
      </c>
      <c r="T149" s="47">
        <f t="shared" si="33"/>
        <v>0</v>
      </c>
      <c r="U149" s="47">
        <f t="shared" si="33"/>
        <v>0</v>
      </c>
      <c r="V149" s="47">
        <f t="shared" si="33"/>
        <v>0</v>
      </c>
      <c r="W149" s="47">
        <f t="shared" si="33"/>
        <v>0</v>
      </c>
      <c r="X149" s="57">
        <f t="shared" si="33"/>
        <v>0</v>
      </c>
      <c r="Y149" s="61">
        <f t="shared" si="33"/>
        <v>0</v>
      </c>
      <c r="Z149" s="47">
        <f t="shared" si="33"/>
        <v>0</v>
      </c>
      <c r="AA149" s="47">
        <f t="shared" si="33"/>
        <v>0</v>
      </c>
      <c r="AC149" s="15" t="s">
        <v>51</v>
      </c>
      <c r="AD149" s="16" t="s">
        <v>52</v>
      </c>
      <c r="AE149" s="16" t="s">
        <v>53</v>
      </c>
      <c r="AF149" s="2"/>
      <c r="AG149" s="2"/>
      <c r="AH149" s="90" t="str">
        <f t="shared" si="34"/>
        <v/>
      </c>
      <c r="AI149" s="90" t="str">
        <f t="shared" si="34"/>
        <v/>
      </c>
      <c r="AJ149" s="90" t="str">
        <f t="shared" si="34"/>
        <v/>
      </c>
      <c r="AK149" s="90" t="str">
        <f t="shared" si="34"/>
        <v/>
      </c>
      <c r="AL149" s="90" t="str">
        <f t="shared" si="34"/>
        <v/>
      </c>
      <c r="AM149" s="90" t="str">
        <f t="shared" si="34"/>
        <v/>
      </c>
      <c r="AN149" s="90" t="str">
        <f t="shared" si="34"/>
        <v/>
      </c>
      <c r="AO149" s="90" t="str">
        <f t="shared" si="34"/>
        <v/>
      </c>
      <c r="AP149" s="90" t="str">
        <f t="shared" si="34"/>
        <v/>
      </c>
      <c r="AQ149" s="90" t="str">
        <f t="shared" si="34"/>
        <v/>
      </c>
      <c r="AR149" s="90" t="str">
        <f t="shared" si="34"/>
        <v/>
      </c>
      <c r="AS149" s="90" t="str">
        <f t="shared" si="34"/>
        <v/>
      </c>
      <c r="AT149" s="90" t="str">
        <f t="shared" si="34"/>
        <v/>
      </c>
      <c r="AU149" s="90" t="str">
        <f t="shared" si="34"/>
        <v/>
      </c>
      <c r="AV149" s="90" t="str">
        <f t="shared" si="34"/>
        <v/>
      </c>
      <c r="AW149" s="90" t="str">
        <f t="shared" si="34"/>
        <v/>
      </c>
      <c r="AX149" s="90" t="str">
        <f t="shared" si="35"/>
        <v/>
      </c>
      <c r="AY149" s="90" t="str">
        <f t="shared" si="35"/>
        <v/>
      </c>
      <c r="AZ149" s="90" t="str">
        <f t="shared" si="35"/>
        <v/>
      </c>
      <c r="BA149" s="90" t="str">
        <f t="shared" si="35"/>
        <v/>
      </c>
      <c r="BB149" s="90" t="str">
        <f t="shared" si="35"/>
        <v/>
      </c>
      <c r="BC149" s="90" t="str">
        <f t="shared" si="35"/>
        <v/>
      </c>
    </row>
    <row r="150" spans="1:55" x14ac:dyDescent="0.25">
      <c r="A150" s="15" t="s">
        <v>51</v>
      </c>
      <c r="B150" s="16" t="s">
        <v>52</v>
      </c>
      <c r="C150" s="16" t="s">
        <v>54</v>
      </c>
      <c r="D150" s="2"/>
      <c r="E150" s="2"/>
      <c r="F150" s="1">
        <f t="shared" si="33"/>
        <v>0</v>
      </c>
      <c r="G150" s="1">
        <f t="shared" si="33"/>
        <v>0</v>
      </c>
      <c r="H150" s="1">
        <f t="shared" si="33"/>
        <v>0</v>
      </c>
      <c r="I150" s="1">
        <f t="shared" si="33"/>
        <v>0</v>
      </c>
      <c r="J150" s="1">
        <f t="shared" si="33"/>
        <v>0</v>
      </c>
      <c r="K150" s="1">
        <f t="shared" si="33"/>
        <v>0</v>
      </c>
      <c r="L150" s="52">
        <f t="shared" si="33"/>
        <v>0</v>
      </c>
      <c r="M150" s="1">
        <f t="shared" si="33"/>
        <v>0</v>
      </c>
      <c r="N150" s="1">
        <f t="shared" si="33"/>
        <v>0</v>
      </c>
      <c r="O150" s="1">
        <f t="shared" si="33"/>
        <v>0</v>
      </c>
      <c r="P150" s="1">
        <f t="shared" si="33"/>
        <v>0</v>
      </c>
      <c r="Q150" s="1">
        <f t="shared" si="33"/>
        <v>0</v>
      </c>
      <c r="R150" s="1">
        <f t="shared" si="33"/>
        <v>0</v>
      </c>
      <c r="S150" s="1">
        <f t="shared" si="33"/>
        <v>0</v>
      </c>
      <c r="T150" s="1">
        <f t="shared" si="33"/>
        <v>0</v>
      </c>
      <c r="U150" s="1">
        <f t="shared" si="33"/>
        <v>0</v>
      </c>
      <c r="V150" s="1">
        <f t="shared" si="33"/>
        <v>0</v>
      </c>
      <c r="W150" s="1">
        <f t="shared" si="33"/>
        <v>0</v>
      </c>
      <c r="X150" s="54">
        <f t="shared" si="33"/>
        <v>0</v>
      </c>
      <c r="Y150" s="58">
        <f t="shared" si="33"/>
        <v>0</v>
      </c>
      <c r="Z150" s="1">
        <f t="shared" si="33"/>
        <v>0</v>
      </c>
      <c r="AA150" s="1">
        <f t="shared" si="33"/>
        <v>0</v>
      </c>
      <c r="AC150" s="15" t="s">
        <v>51</v>
      </c>
      <c r="AD150" s="16" t="s">
        <v>52</v>
      </c>
      <c r="AE150" s="16" t="s">
        <v>54</v>
      </c>
      <c r="AF150" s="2"/>
      <c r="AG150" s="2"/>
      <c r="AH150" s="90" t="str">
        <f t="shared" si="34"/>
        <v/>
      </c>
      <c r="AI150" s="90" t="str">
        <f t="shared" si="34"/>
        <v/>
      </c>
      <c r="AJ150" s="90" t="str">
        <f t="shared" si="34"/>
        <v/>
      </c>
      <c r="AK150" s="90" t="str">
        <f t="shared" si="34"/>
        <v/>
      </c>
      <c r="AL150" s="90" t="str">
        <f t="shared" si="34"/>
        <v/>
      </c>
      <c r="AM150" s="90" t="str">
        <f t="shared" si="34"/>
        <v/>
      </c>
      <c r="AN150" s="90" t="str">
        <f t="shared" si="34"/>
        <v/>
      </c>
      <c r="AO150" s="90" t="str">
        <f t="shared" si="34"/>
        <v/>
      </c>
      <c r="AP150" s="90" t="str">
        <f t="shared" si="34"/>
        <v/>
      </c>
      <c r="AQ150" s="90" t="str">
        <f t="shared" si="34"/>
        <v/>
      </c>
      <c r="AR150" s="90" t="str">
        <f t="shared" si="34"/>
        <v/>
      </c>
      <c r="AS150" s="90" t="str">
        <f t="shared" si="34"/>
        <v/>
      </c>
      <c r="AT150" s="90" t="str">
        <f t="shared" si="34"/>
        <v/>
      </c>
      <c r="AU150" s="90" t="str">
        <f t="shared" si="34"/>
        <v/>
      </c>
      <c r="AV150" s="90" t="str">
        <f t="shared" si="34"/>
        <v/>
      </c>
      <c r="AW150" s="90" t="str">
        <f t="shared" si="34"/>
        <v/>
      </c>
      <c r="AX150" s="90" t="str">
        <f t="shared" si="35"/>
        <v/>
      </c>
      <c r="AY150" s="90" t="str">
        <f t="shared" si="35"/>
        <v/>
      </c>
      <c r="AZ150" s="90" t="str">
        <f t="shared" si="35"/>
        <v/>
      </c>
      <c r="BA150" s="90" t="str">
        <f t="shared" si="35"/>
        <v/>
      </c>
      <c r="BB150" s="90" t="str">
        <f t="shared" si="35"/>
        <v/>
      </c>
      <c r="BC150" s="90" t="str">
        <f t="shared" si="35"/>
        <v/>
      </c>
    </row>
    <row r="151" spans="1:55" x14ac:dyDescent="0.25">
      <c r="A151" s="15" t="s">
        <v>51</v>
      </c>
      <c r="B151" s="16" t="s">
        <v>52</v>
      </c>
      <c r="C151" s="16" t="s">
        <v>55</v>
      </c>
      <c r="D151" s="2"/>
      <c r="E151" s="2"/>
      <c r="F151" s="1">
        <f t="shared" si="33"/>
        <v>0</v>
      </c>
      <c r="G151" s="1">
        <f t="shared" si="33"/>
        <v>0</v>
      </c>
      <c r="H151" s="1">
        <f t="shared" si="33"/>
        <v>0</v>
      </c>
      <c r="I151" s="1">
        <f t="shared" si="33"/>
        <v>0</v>
      </c>
      <c r="J151" s="1">
        <f t="shared" si="33"/>
        <v>0</v>
      </c>
      <c r="K151" s="1">
        <f t="shared" si="33"/>
        <v>0</v>
      </c>
      <c r="L151" s="52">
        <f t="shared" si="33"/>
        <v>0</v>
      </c>
      <c r="M151" s="1">
        <f t="shared" si="33"/>
        <v>0</v>
      </c>
      <c r="N151" s="1">
        <f t="shared" si="33"/>
        <v>0</v>
      </c>
      <c r="O151" s="1">
        <f t="shared" si="33"/>
        <v>0</v>
      </c>
      <c r="P151" s="1">
        <f t="shared" si="33"/>
        <v>0</v>
      </c>
      <c r="Q151" s="1">
        <f t="shared" si="33"/>
        <v>0</v>
      </c>
      <c r="R151" s="1">
        <f t="shared" si="33"/>
        <v>0</v>
      </c>
      <c r="S151" s="1">
        <f t="shared" si="33"/>
        <v>0</v>
      </c>
      <c r="T151" s="1">
        <f t="shared" ref="G151:AA165" si="36">IF(T196&gt;0,T16/T196,0)</f>
        <v>0</v>
      </c>
      <c r="U151" s="1">
        <f t="shared" si="36"/>
        <v>0</v>
      </c>
      <c r="V151" s="1">
        <f t="shared" si="36"/>
        <v>0</v>
      </c>
      <c r="W151" s="1">
        <f t="shared" si="36"/>
        <v>0</v>
      </c>
      <c r="X151" s="54">
        <f t="shared" si="36"/>
        <v>0</v>
      </c>
      <c r="Y151" s="58">
        <f t="shared" si="36"/>
        <v>0</v>
      </c>
      <c r="Z151" s="1">
        <f t="shared" si="36"/>
        <v>0</v>
      </c>
      <c r="AA151" s="1">
        <f t="shared" si="36"/>
        <v>0</v>
      </c>
      <c r="AC151" s="15" t="s">
        <v>51</v>
      </c>
      <c r="AD151" s="16" t="s">
        <v>52</v>
      </c>
      <c r="AE151" s="16" t="s">
        <v>55</v>
      </c>
      <c r="AF151" s="2"/>
      <c r="AG151" s="2"/>
      <c r="AH151" s="90" t="str">
        <f t="shared" si="34"/>
        <v/>
      </c>
      <c r="AI151" s="90" t="str">
        <f t="shared" si="34"/>
        <v/>
      </c>
      <c r="AJ151" s="90" t="str">
        <f t="shared" si="34"/>
        <v/>
      </c>
      <c r="AK151" s="90" t="str">
        <f t="shared" si="34"/>
        <v/>
      </c>
      <c r="AL151" s="90" t="str">
        <f t="shared" si="34"/>
        <v/>
      </c>
      <c r="AM151" s="90" t="str">
        <f t="shared" si="34"/>
        <v/>
      </c>
      <c r="AN151" s="90" t="str">
        <f t="shared" si="34"/>
        <v/>
      </c>
      <c r="AO151" s="90" t="str">
        <f t="shared" si="34"/>
        <v/>
      </c>
      <c r="AP151" s="90" t="str">
        <f t="shared" si="34"/>
        <v/>
      </c>
      <c r="AQ151" s="90" t="str">
        <f t="shared" si="34"/>
        <v/>
      </c>
      <c r="AR151" s="90" t="str">
        <f t="shared" si="34"/>
        <v/>
      </c>
      <c r="AS151" s="90" t="str">
        <f t="shared" si="34"/>
        <v/>
      </c>
      <c r="AT151" s="90" t="str">
        <f t="shared" si="34"/>
        <v/>
      </c>
      <c r="AU151" s="90" t="str">
        <f t="shared" si="34"/>
        <v/>
      </c>
      <c r="AV151" s="90" t="str">
        <f t="shared" si="34"/>
        <v/>
      </c>
      <c r="AW151" s="90" t="str">
        <f t="shared" si="34"/>
        <v/>
      </c>
      <c r="AX151" s="90" t="str">
        <f t="shared" si="35"/>
        <v/>
      </c>
      <c r="AY151" s="90" t="str">
        <f t="shared" si="35"/>
        <v/>
      </c>
      <c r="AZ151" s="90" t="str">
        <f t="shared" si="35"/>
        <v/>
      </c>
      <c r="BA151" s="90" t="str">
        <f t="shared" si="35"/>
        <v/>
      </c>
      <c r="BB151" s="90" t="str">
        <f t="shared" si="35"/>
        <v/>
      </c>
      <c r="BC151" s="90" t="str">
        <f t="shared" si="35"/>
        <v/>
      </c>
    </row>
    <row r="152" spans="1:55" x14ac:dyDescent="0.25">
      <c r="A152" s="25" t="s">
        <v>51</v>
      </c>
      <c r="B152" s="26" t="s">
        <v>56</v>
      </c>
      <c r="C152" s="26" t="s">
        <v>57</v>
      </c>
      <c r="D152" s="2"/>
      <c r="E152" s="2"/>
      <c r="F152" s="1">
        <f t="shared" ref="F152:F170" si="37">IF(F197&gt;0,F17/F197,0)</f>
        <v>0</v>
      </c>
      <c r="G152" s="1">
        <f t="shared" si="36"/>
        <v>0</v>
      </c>
      <c r="H152" s="1">
        <f t="shared" si="36"/>
        <v>0</v>
      </c>
      <c r="I152" s="1">
        <f t="shared" si="36"/>
        <v>0</v>
      </c>
      <c r="J152" s="1">
        <f t="shared" si="36"/>
        <v>0</v>
      </c>
      <c r="K152" s="1">
        <f t="shared" si="36"/>
        <v>0</v>
      </c>
      <c r="L152" s="52">
        <f t="shared" si="36"/>
        <v>0</v>
      </c>
      <c r="M152" s="1">
        <f t="shared" si="36"/>
        <v>0</v>
      </c>
      <c r="N152" s="1">
        <f t="shared" si="36"/>
        <v>0</v>
      </c>
      <c r="O152" s="1">
        <f t="shared" si="36"/>
        <v>0</v>
      </c>
      <c r="P152" s="1">
        <f t="shared" si="36"/>
        <v>0</v>
      </c>
      <c r="Q152" s="1">
        <f t="shared" si="36"/>
        <v>0</v>
      </c>
      <c r="R152" s="1">
        <f t="shared" si="36"/>
        <v>0</v>
      </c>
      <c r="S152" s="1">
        <f t="shared" si="36"/>
        <v>0</v>
      </c>
      <c r="T152" s="1">
        <f t="shared" si="36"/>
        <v>0</v>
      </c>
      <c r="U152" s="1">
        <f t="shared" si="36"/>
        <v>0</v>
      </c>
      <c r="V152" s="1">
        <f t="shared" si="36"/>
        <v>0</v>
      </c>
      <c r="W152" s="1">
        <f t="shared" si="36"/>
        <v>0</v>
      </c>
      <c r="X152" s="54">
        <f t="shared" si="36"/>
        <v>0</v>
      </c>
      <c r="Y152" s="58">
        <f t="shared" si="36"/>
        <v>0</v>
      </c>
      <c r="Z152" s="1">
        <f t="shared" si="36"/>
        <v>0</v>
      </c>
      <c r="AA152" s="1">
        <f t="shared" si="36"/>
        <v>0</v>
      </c>
      <c r="AC152" s="25" t="s">
        <v>51</v>
      </c>
      <c r="AD152" s="26" t="s">
        <v>56</v>
      </c>
      <c r="AE152" s="26" t="s">
        <v>57</v>
      </c>
      <c r="AF152" s="2"/>
      <c r="AG152" s="2"/>
      <c r="AH152" s="90" t="str">
        <f t="shared" si="34"/>
        <v/>
      </c>
      <c r="AI152" s="90" t="str">
        <f t="shared" si="34"/>
        <v/>
      </c>
      <c r="AJ152" s="90" t="str">
        <f t="shared" si="34"/>
        <v/>
      </c>
      <c r="AK152" s="90" t="str">
        <f t="shared" si="34"/>
        <v/>
      </c>
      <c r="AL152" s="90" t="str">
        <f t="shared" si="34"/>
        <v/>
      </c>
      <c r="AM152" s="90" t="str">
        <f t="shared" si="34"/>
        <v/>
      </c>
      <c r="AN152" s="90" t="str">
        <f t="shared" si="34"/>
        <v/>
      </c>
      <c r="AO152" s="90" t="str">
        <f t="shared" si="34"/>
        <v/>
      </c>
      <c r="AP152" s="90" t="str">
        <f t="shared" si="34"/>
        <v/>
      </c>
      <c r="AQ152" s="90" t="str">
        <f t="shared" si="34"/>
        <v/>
      </c>
      <c r="AR152" s="90" t="str">
        <f t="shared" si="34"/>
        <v/>
      </c>
      <c r="AS152" s="90" t="str">
        <f t="shared" si="34"/>
        <v/>
      </c>
      <c r="AT152" s="90" t="str">
        <f t="shared" si="34"/>
        <v/>
      </c>
      <c r="AU152" s="90" t="str">
        <f t="shared" si="34"/>
        <v/>
      </c>
      <c r="AV152" s="90" t="str">
        <f t="shared" si="34"/>
        <v/>
      </c>
      <c r="AW152" s="90" t="str">
        <f t="shared" si="34"/>
        <v/>
      </c>
      <c r="AX152" s="90" t="str">
        <f t="shared" si="35"/>
        <v/>
      </c>
      <c r="AY152" s="90" t="str">
        <f t="shared" si="35"/>
        <v/>
      </c>
      <c r="AZ152" s="90" t="str">
        <f t="shared" si="35"/>
        <v/>
      </c>
      <c r="BA152" s="90" t="str">
        <f t="shared" si="35"/>
        <v/>
      </c>
      <c r="BB152" s="90" t="str">
        <f t="shared" si="35"/>
        <v/>
      </c>
      <c r="BC152" s="90" t="str">
        <f t="shared" si="35"/>
        <v/>
      </c>
    </row>
    <row r="153" spans="1:55" x14ac:dyDescent="0.25">
      <c r="A153" s="15" t="s">
        <v>51</v>
      </c>
      <c r="B153" s="16" t="s">
        <v>56</v>
      </c>
      <c r="C153" s="27" t="s">
        <v>58</v>
      </c>
      <c r="D153" s="2"/>
      <c r="E153" s="2"/>
      <c r="F153" s="1">
        <f t="shared" si="37"/>
        <v>0</v>
      </c>
      <c r="G153" s="1">
        <f t="shared" si="36"/>
        <v>0</v>
      </c>
      <c r="H153" s="1">
        <f t="shared" si="36"/>
        <v>0</v>
      </c>
      <c r="I153" s="1">
        <f t="shared" si="36"/>
        <v>0</v>
      </c>
      <c r="J153" s="1">
        <f t="shared" si="36"/>
        <v>0</v>
      </c>
      <c r="K153" s="1">
        <f t="shared" si="36"/>
        <v>0</v>
      </c>
      <c r="L153" s="52">
        <f t="shared" si="36"/>
        <v>0</v>
      </c>
      <c r="M153" s="1">
        <f t="shared" si="36"/>
        <v>0</v>
      </c>
      <c r="N153" s="1">
        <f t="shared" si="36"/>
        <v>0</v>
      </c>
      <c r="O153" s="1">
        <f t="shared" si="36"/>
        <v>0</v>
      </c>
      <c r="P153" s="1">
        <f t="shared" si="36"/>
        <v>0</v>
      </c>
      <c r="Q153" s="1">
        <f t="shared" si="36"/>
        <v>0</v>
      </c>
      <c r="R153" s="1">
        <f t="shared" si="36"/>
        <v>0</v>
      </c>
      <c r="S153" s="1">
        <f t="shared" si="36"/>
        <v>0</v>
      </c>
      <c r="T153" s="1">
        <f t="shared" si="36"/>
        <v>0</v>
      </c>
      <c r="U153" s="1">
        <f t="shared" si="36"/>
        <v>0</v>
      </c>
      <c r="V153" s="1">
        <f t="shared" si="36"/>
        <v>0</v>
      </c>
      <c r="W153" s="1">
        <f t="shared" si="36"/>
        <v>0</v>
      </c>
      <c r="X153" s="54">
        <f t="shared" si="36"/>
        <v>0</v>
      </c>
      <c r="Y153" s="58">
        <f t="shared" si="36"/>
        <v>0</v>
      </c>
      <c r="Z153" s="1">
        <f t="shared" si="36"/>
        <v>0</v>
      </c>
      <c r="AA153" s="1">
        <f t="shared" si="36"/>
        <v>0</v>
      </c>
      <c r="AC153" s="15" t="s">
        <v>51</v>
      </c>
      <c r="AD153" s="16" t="s">
        <v>56</v>
      </c>
      <c r="AE153" s="27" t="s">
        <v>58</v>
      </c>
      <c r="AF153" s="2"/>
      <c r="AG153" s="2"/>
      <c r="AH153" s="90" t="str">
        <f t="shared" si="34"/>
        <v/>
      </c>
      <c r="AI153" s="90" t="str">
        <f t="shared" si="34"/>
        <v/>
      </c>
      <c r="AJ153" s="90" t="str">
        <f t="shared" si="34"/>
        <v/>
      </c>
      <c r="AK153" s="90" t="str">
        <f t="shared" si="34"/>
        <v/>
      </c>
      <c r="AL153" s="90" t="str">
        <f t="shared" si="34"/>
        <v/>
      </c>
      <c r="AM153" s="90" t="str">
        <f t="shared" si="34"/>
        <v/>
      </c>
      <c r="AN153" s="90" t="str">
        <f t="shared" si="34"/>
        <v/>
      </c>
      <c r="AO153" s="90" t="str">
        <f t="shared" si="34"/>
        <v/>
      </c>
      <c r="AP153" s="90" t="str">
        <f t="shared" si="34"/>
        <v/>
      </c>
      <c r="AQ153" s="90" t="str">
        <f t="shared" si="34"/>
        <v/>
      </c>
      <c r="AR153" s="90" t="str">
        <f t="shared" si="34"/>
        <v/>
      </c>
      <c r="AS153" s="90" t="str">
        <f t="shared" si="34"/>
        <v/>
      </c>
      <c r="AT153" s="90" t="str">
        <f t="shared" si="34"/>
        <v/>
      </c>
      <c r="AU153" s="90" t="str">
        <f t="shared" si="34"/>
        <v/>
      </c>
      <c r="AV153" s="90" t="str">
        <f t="shared" si="34"/>
        <v/>
      </c>
      <c r="AW153" s="90" t="str">
        <f t="shared" si="34"/>
        <v/>
      </c>
      <c r="AX153" s="90" t="str">
        <f t="shared" si="35"/>
        <v/>
      </c>
      <c r="AY153" s="90" t="str">
        <f t="shared" si="35"/>
        <v/>
      </c>
      <c r="AZ153" s="90" t="str">
        <f t="shared" si="35"/>
        <v/>
      </c>
      <c r="BA153" s="90" t="str">
        <f t="shared" si="35"/>
        <v/>
      </c>
      <c r="BB153" s="90" t="str">
        <f t="shared" si="35"/>
        <v/>
      </c>
      <c r="BC153" s="90" t="str">
        <f t="shared" si="35"/>
        <v/>
      </c>
    </row>
    <row r="154" spans="1:55" x14ac:dyDescent="0.25">
      <c r="A154" s="15" t="s">
        <v>51</v>
      </c>
      <c r="B154" s="16" t="s">
        <v>9</v>
      </c>
      <c r="C154" s="27" t="s">
        <v>59</v>
      </c>
      <c r="D154" s="2"/>
      <c r="E154" s="2"/>
      <c r="F154" s="1">
        <f t="shared" si="37"/>
        <v>0</v>
      </c>
      <c r="G154" s="1">
        <f t="shared" si="36"/>
        <v>0</v>
      </c>
      <c r="H154" s="1">
        <f t="shared" si="36"/>
        <v>0</v>
      </c>
      <c r="I154" s="1">
        <f t="shared" si="36"/>
        <v>0</v>
      </c>
      <c r="J154" s="1">
        <f t="shared" si="36"/>
        <v>0</v>
      </c>
      <c r="K154" s="1">
        <f t="shared" si="36"/>
        <v>0</v>
      </c>
      <c r="L154" s="52">
        <f t="shared" si="36"/>
        <v>0</v>
      </c>
      <c r="M154" s="1">
        <f t="shared" si="36"/>
        <v>0</v>
      </c>
      <c r="N154" s="1">
        <f t="shared" si="36"/>
        <v>0</v>
      </c>
      <c r="O154" s="1">
        <f t="shared" si="36"/>
        <v>0</v>
      </c>
      <c r="P154" s="1">
        <f t="shared" si="36"/>
        <v>0</v>
      </c>
      <c r="Q154" s="1">
        <f t="shared" si="36"/>
        <v>0</v>
      </c>
      <c r="R154" s="1">
        <f t="shared" si="36"/>
        <v>0</v>
      </c>
      <c r="S154" s="1">
        <f t="shared" si="36"/>
        <v>0</v>
      </c>
      <c r="T154" s="1">
        <f t="shared" si="36"/>
        <v>0</v>
      </c>
      <c r="U154" s="1">
        <f t="shared" si="36"/>
        <v>0</v>
      </c>
      <c r="V154" s="1">
        <f t="shared" si="36"/>
        <v>0</v>
      </c>
      <c r="W154" s="1">
        <f t="shared" si="36"/>
        <v>0</v>
      </c>
      <c r="X154" s="54">
        <f t="shared" si="36"/>
        <v>0</v>
      </c>
      <c r="Y154" s="58">
        <f t="shared" si="36"/>
        <v>0</v>
      </c>
      <c r="Z154" s="1">
        <f t="shared" si="36"/>
        <v>0</v>
      </c>
      <c r="AA154" s="1">
        <f t="shared" si="36"/>
        <v>0</v>
      </c>
      <c r="AC154" s="15" t="s">
        <v>51</v>
      </c>
      <c r="AD154" s="16" t="s">
        <v>9</v>
      </c>
      <c r="AE154" s="27" t="s">
        <v>59</v>
      </c>
      <c r="AF154" s="2"/>
      <c r="AG154" s="2"/>
      <c r="AH154" s="90" t="str">
        <f t="shared" si="34"/>
        <v/>
      </c>
      <c r="AI154" s="90" t="str">
        <f t="shared" si="34"/>
        <v/>
      </c>
      <c r="AJ154" s="90" t="str">
        <f t="shared" si="34"/>
        <v/>
      </c>
      <c r="AK154" s="90" t="str">
        <f t="shared" si="34"/>
        <v/>
      </c>
      <c r="AL154" s="90" t="str">
        <f t="shared" si="34"/>
        <v/>
      </c>
      <c r="AM154" s="90" t="str">
        <f t="shared" si="34"/>
        <v/>
      </c>
      <c r="AN154" s="90" t="str">
        <f t="shared" si="34"/>
        <v/>
      </c>
      <c r="AO154" s="90" t="str">
        <f t="shared" si="34"/>
        <v/>
      </c>
      <c r="AP154" s="90" t="str">
        <f t="shared" si="34"/>
        <v/>
      </c>
      <c r="AQ154" s="90" t="str">
        <f t="shared" si="34"/>
        <v/>
      </c>
      <c r="AR154" s="90" t="str">
        <f t="shared" si="34"/>
        <v/>
      </c>
      <c r="AS154" s="90" t="str">
        <f t="shared" si="34"/>
        <v/>
      </c>
      <c r="AT154" s="90" t="str">
        <f t="shared" si="34"/>
        <v/>
      </c>
      <c r="AU154" s="90" t="str">
        <f t="shared" si="34"/>
        <v/>
      </c>
      <c r="AV154" s="90" t="str">
        <f t="shared" si="34"/>
        <v/>
      </c>
      <c r="AW154" s="90" t="str">
        <f t="shared" si="34"/>
        <v/>
      </c>
      <c r="AX154" s="90" t="str">
        <f t="shared" si="35"/>
        <v/>
      </c>
      <c r="AY154" s="90" t="str">
        <f t="shared" si="35"/>
        <v/>
      </c>
      <c r="AZ154" s="90" t="str">
        <f t="shared" si="35"/>
        <v/>
      </c>
      <c r="BA154" s="90" t="str">
        <f t="shared" si="35"/>
        <v/>
      </c>
      <c r="BB154" s="90" t="str">
        <f t="shared" si="35"/>
        <v/>
      </c>
      <c r="BC154" s="90" t="str">
        <f t="shared" si="35"/>
        <v/>
      </c>
    </row>
    <row r="155" spans="1:55" x14ac:dyDescent="0.25">
      <c r="A155" s="15" t="s">
        <v>51</v>
      </c>
      <c r="B155" s="16" t="s">
        <v>9</v>
      </c>
      <c r="C155" s="27" t="s">
        <v>9</v>
      </c>
      <c r="D155" s="2"/>
      <c r="E155" s="2"/>
      <c r="F155" s="1">
        <f t="shared" si="37"/>
        <v>0</v>
      </c>
      <c r="G155" s="1">
        <f t="shared" si="36"/>
        <v>0</v>
      </c>
      <c r="H155" s="1">
        <f t="shared" si="36"/>
        <v>0</v>
      </c>
      <c r="I155" s="1">
        <f t="shared" si="36"/>
        <v>0</v>
      </c>
      <c r="J155" s="1">
        <f t="shared" si="36"/>
        <v>0</v>
      </c>
      <c r="K155" s="1">
        <f t="shared" si="36"/>
        <v>0</v>
      </c>
      <c r="L155" s="52">
        <f t="shared" si="36"/>
        <v>0</v>
      </c>
      <c r="M155" s="1">
        <f t="shared" si="36"/>
        <v>0</v>
      </c>
      <c r="N155" s="1">
        <f t="shared" si="36"/>
        <v>0</v>
      </c>
      <c r="O155" s="1">
        <f t="shared" si="36"/>
        <v>0</v>
      </c>
      <c r="P155" s="1">
        <f t="shared" si="36"/>
        <v>0</v>
      </c>
      <c r="Q155" s="1">
        <f t="shared" si="36"/>
        <v>0</v>
      </c>
      <c r="R155" s="1">
        <f t="shared" si="36"/>
        <v>0</v>
      </c>
      <c r="S155" s="1">
        <f t="shared" si="36"/>
        <v>0</v>
      </c>
      <c r="T155" s="1">
        <f t="shared" si="36"/>
        <v>0</v>
      </c>
      <c r="U155" s="1">
        <f t="shared" si="36"/>
        <v>0</v>
      </c>
      <c r="V155" s="1">
        <f t="shared" si="36"/>
        <v>0</v>
      </c>
      <c r="W155" s="1">
        <f t="shared" si="36"/>
        <v>0</v>
      </c>
      <c r="X155" s="54">
        <f t="shared" si="36"/>
        <v>0</v>
      </c>
      <c r="Y155" s="58">
        <f t="shared" si="36"/>
        <v>0</v>
      </c>
      <c r="Z155" s="1">
        <f t="shared" si="36"/>
        <v>0</v>
      </c>
      <c r="AA155" s="1">
        <f t="shared" si="36"/>
        <v>0</v>
      </c>
      <c r="AC155" s="15" t="s">
        <v>51</v>
      </c>
      <c r="AD155" s="16" t="s">
        <v>9</v>
      </c>
      <c r="AE155" s="27" t="s">
        <v>9</v>
      </c>
      <c r="AF155" s="2"/>
      <c r="AG155" s="2"/>
      <c r="AH155" s="90" t="str">
        <f t="shared" si="34"/>
        <v/>
      </c>
      <c r="AI155" s="90" t="str">
        <f t="shared" si="34"/>
        <v/>
      </c>
      <c r="AJ155" s="90" t="str">
        <f t="shared" si="34"/>
        <v/>
      </c>
      <c r="AK155" s="90" t="str">
        <f t="shared" si="34"/>
        <v/>
      </c>
      <c r="AL155" s="90" t="str">
        <f t="shared" si="34"/>
        <v/>
      </c>
      <c r="AM155" s="90" t="str">
        <f t="shared" si="34"/>
        <v/>
      </c>
      <c r="AN155" s="90" t="str">
        <f t="shared" si="34"/>
        <v/>
      </c>
      <c r="AO155" s="90" t="str">
        <f t="shared" si="34"/>
        <v/>
      </c>
      <c r="AP155" s="90" t="str">
        <f t="shared" si="34"/>
        <v/>
      </c>
      <c r="AQ155" s="90" t="str">
        <f t="shared" si="34"/>
        <v/>
      </c>
      <c r="AR155" s="90" t="str">
        <f t="shared" si="34"/>
        <v/>
      </c>
      <c r="AS155" s="90" t="str">
        <f t="shared" si="34"/>
        <v/>
      </c>
      <c r="AT155" s="90" t="str">
        <f t="shared" si="34"/>
        <v/>
      </c>
      <c r="AU155" s="90" t="str">
        <f t="shared" si="34"/>
        <v/>
      </c>
      <c r="AV155" s="90" t="str">
        <f t="shared" si="34"/>
        <v/>
      </c>
      <c r="AW155" s="90" t="str">
        <f t="shared" ref="AW155:BC180" si="38">IF(U200&gt;0,U65/U200,"")</f>
        <v/>
      </c>
      <c r="AX155" s="90" t="str">
        <f t="shared" si="35"/>
        <v/>
      </c>
      <c r="AY155" s="90" t="str">
        <f t="shared" si="35"/>
        <v/>
      </c>
      <c r="AZ155" s="90" t="str">
        <f t="shared" si="35"/>
        <v/>
      </c>
      <c r="BA155" s="90" t="str">
        <f t="shared" si="35"/>
        <v/>
      </c>
      <c r="BB155" s="90" t="str">
        <f t="shared" si="35"/>
        <v/>
      </c>
      <c r="BC155" s="90" t="str">
        <f t="shared" si="35"/>
        <v/>
      </c>
    </row>
    <row r="156" spans="1:55" x14ac:dyDescent="0.25">
      <c r="A156" s="28" t="s">
        <v>60</v>
      </c>
      <c r="B156" s="29" t="s">
        <v>13</v>
      </c>
      <c r="C156" s="29" t="s">
        <v>61</v>
      </c>
      <c r="D156" s="2"/>
      <c r="E156" s="2"/>
      <c r="F156" s="51">
        <f t="shared" si="37"/>
        <v>52.121212121212125</v>
      </c>
      <c r="G156" s="51">
        <f t="shared" si="36"/>
        <v>0</v>
      </c>
      <c r="H156" s="51">
        <f t="shared" si="36"/>
        <v>4.4780487804878053</v>
      </c>
      <c r="I156" s="91">
        <v>29</v>
      </c>
      <c r="J156" s="51">
        <f>IF(J201&gt;0,J21/J201,0)</f>
        <v>23.25</v>
      </c>
      <c r="K156" s="91">
        <v>29</v>
      </c>
      <c r="L156" s="52">
        <f t="shared" si="36"/>
        <v>0</v>
      </c>
      <c r="M156" s="64">
        <v>400</v>
      </c>
      <c r="N156" s="8">
        <f>N21/N201</f>
        <v>900</v>
      </c>
      <c r="O156" s="8">
        <f t="shared" ref="O156:P157" si="39">O21/O201</f>
        <v>10000</v>
      </c>
      <c r="P156" s="8">
        <f t="shared" si="39"/>
        <v>76923.076923076922</v>
      </c>
      <c r="Q156" s="77">
        <v>940</v>
      </c>
      <c r="R156" s="77">
        <v>426</v>
      </c>
      <c r="S156" s="51">
        <f t="shared" si="36"/>
        <v>0</v>
      </c>
      <c r="T156" s="77">
        <v>426</v>
      </c>
      <c r="U156" s="77">
        <v>426</v>
      </c>
      <c r="V156" s="77">
        <v>426</v>
      </c>
      <c r="W156" s="77">
        <v>426</v>
      </c>
      <c r="X156" s="79">
        <v>426</v>
      </c>
      <c r="Y156" s="59">
        <f t="shared" si="36"/>
        <v>12.496655138464645</v>
      </c>
      <c r="Z156" s="51">
        <f t="shared" si="36"/>
        <v>713.34647421258524</v>
      </c>
      <c r="AA156" s="51">
        <f t="shared" si="36"/>
        <v>34.169580707415946</v>
      </c>
      <c r="AC156" s="28" t="s">
        <v>60</v>
      </c>
      <c r="AD156" s="29" t="s">
        <v>13</v>
      </c>
      <c r="AE156" s="29" t="s">
        <v>61</v>
      </c>
      <c r="AF156" s="2"/>
      <c r="AG156" s="2"/>
      <c r="AH156" s="1">
        <f t="shared" ref="AH156:AV172" si="40">IF(F201&gt;0,F66/F201,"")</f>
        <v>7.4272742424242431</v>
      </c>
      <c r="AI156" s="1" t="str">
        <f t="shared" si="40"/>
        <v/>
      </c>
      <c r="AJ156" s="1">
        <f t="shared" si="40"/>
        <v>1.2878048780487805</v>
      </c>
      <c r="AK156" s="1">
        <f t="shared" si="40"/>
        <v>7.6544217687074827</v>
      </c>
      <c r="AL156" s="1">
        <f t="shared" si="40"/>
        <v>12.5</v>
      </c>
      <c r="AM156" s="1">
        <f t="shared" si="40"/>
        <v>8.3375000000000004</v>
      </c>
      <c r="AN156" s="52" t="str">
        <f t="shared" si="40"/>
        <v/>
      </c>
      <c r="AO156" s="1">
        <f t="shared" si="40"/>
        <v>162</v>
      </c>
      <c r="AP156" s="1">
        <f t="shared" si="40"/>
        <v>273.75</v>
      </c>
      <c r="AQ156" s="1">
        <f t="shared" si="40"/>
        <v>4445</v>
      </c>
      <c r="AR156" s="1">
        <f t="shared" si="40"/>
        <v>17692.307692307691</v>
      </c>
      <c r="AS156" s="1">
        <f t="shared" si="40"/>
        <v>470</v>
      </c>
      <c r="AT156" s="1">
        <f t="shared" si="40"/>
        <v>195.96</v>
      </c>
      <c r="AU156" s="1" t="str">
        <f t="shared" si="40"/>
        <v/>
      </c>
      <c r="AV156" s="1">
        <f t="shared" si="40"/>
        <v>204.48</v>
      </c>
      <c r="AW156" s="1">
        <f t="shared" si="38"/>
        <v>204.48</v>
      </c>
      <c r="AX156" s="1">
        <f t="shared" si="38"/>
        <v>511.2</v>
      </c>
      <c r="AY156" s="1">
        <f t="shared" si="38"/>
        <v>255.6</v>
      </c>
      <c r="AZ156" s="1">
        <f t="shared" si="38"/>
        <v>213</v>
      </c>
      <c r="BA156" s="1">
        <f t="shared" si="38"/>
        <v>3.1526419559235603</v>
      </c>
      <c r="BB156" s="1">
        <f t="shared" si="38"/>
        <v>279.13168337810396</v>
      </c>
      <c r="BC156" s="1">
        <f t="shared" si="38"/>
        <v>11.686957098125051</v>
      </c>
    </row>
    <row r="157" spans="1:55" x14ac:dyDescent="0.25">
      <c r="A157" s="36" t="s">
        <v>60</v>
      </c>
      <c r="B157" s="37" t="s">
        <v>13</v>
      </c>
      <c r="C157" s="29" t="s">
        <v>62</v>
      </c>
      <c r="D157" s="2"/>
      <c r="E157" s="2"/>
      <c r="F157" s="51">
        <f t="shared" si="37"/>
        <v>52.121212121212125</v>
      </c>
      <c r="G157" s="51">
        <f t="shared" si="36"/>
        <v>27.05314009661836</v>
      </c>
      <c r="H157" s="51">
        <f t="shared" si="36"/>
        <v>5.4731707317073175</v>
      </c>
      <c r="I157" s="77">
        <v>20</v>
      </c>
      <c r="J157" s="51">
        <f t="shared" si="36"/>
        <v>0</v>
      </c>
      <c r="K157" s="51">
        <f t="shared" si="36"/>
        <v>0</v>
      </c>
      <c r="L157" s="52">
        <f t="shared" si="36"/>
        <v>0</v>
      </c>
      <c r="M157" s="51">
        <f t="shared" si="36"/>
        <v>0</v>
      </c>
      <c r="N157" s="8">
        <f t="shared" si="36"/>
        <v>0</v>
      </c>
      <c r="O157" s="8">
        <f t="shared" si="36"/>
        <v>0</v>
      </c>
      <c r="P157" s="8">
        <f t="shared" si="39"/>
        <v>76923.076923076922</v>
      </c>
      <c r="Q157" s="51">
        <f t="shared" si="36"/>
        <v>0</v>
      </c>
      <c r="R157" s="51">
        <f t="shared" si="36"/>
        <v>0</v>
      </c>
      <c r="S157" s="51">
        <f t="shared" si="36"/>
        <v>0</v>
      </c>
      <c r="T157" s="51">
        <f t="shared" si="36"/>
        <v>0</v>
      </c>
      <c r="U157" s="51">
        <f t="shared" si="36"/>
        <v>0</v>
      </c>
      <c r="V157" s="51">
        <f t="shared" si="36"/>
        <v>0</v>
      </c>
      <c r="W157" s="51">
        <f t="shared" si="36"/>
        <v>0</v>
      </c>
      <c r="X157" s="55">
        <f t="shared" si="36"/>
        <v>0</v>
      </c>
      <c r="Y157" s="59">
        <f t="shared" si="36"/>
        <v>10.221343873517787</v>
      </c>
      <c r="Z157" s="51">
        <f t="shared" si="36"/>
        <v>76923.076923076922</v>
      </c>
      <c r="AA157" s="51">
        <f t="shared" si="36"/>
        <v>18.124619604309437</v>
      </c>
      <c r="AB157" s="14">
        <f>0.74*55</f>
        <v>40.700000000000003</v>
      </c>
      <c r="AC157" s="36" t="s">
        <v>60</v>
      </c>
      <c r="AD157" s="37" t="s">
        <v>13</v>
      </c>
      <c r="AE157" s="29" t="s">
        <v>62</v>
      </c>
      <c r="AF157" s="2"/>
      <c r="AG157" s="2"/>
      <c r="AH157" s="1">
        <f t="shared" si="40"/>
        <v>15.607030303030305</v>
      </c>
      <c r="AI157" s="1">
        <f t="shared" si="40"/>
        <v>6.7439318328410902</v>
      </c>
      <c r="AJ157" s="1">
        <f t="shared" si="40"/>
        <v>1.9317073170731707</v>
      </c>
      <c r="AK157" s="1" t="str">
        <f t="shared" si="40"/>
        <v/>
      </c>
      <c r="AL157" s="1" t="str">
        <f t="shared" si="40"/>
        <v/>
      </c>
      <c r="AM157" s="1" t="str">
        <f t="shared" si="40"/>
        <v/>
      </c>
      <c r="AN157" s="52" t="str">
        <f t="shared" si="40"/>
        <v/>
      </c>
      <c r="AO157" s="1" t="str">
        <f t="shared" si="40"/>
        <v/>
      </c>
      <c r="AP157" s="1" t="str">
        <f t="shared" si="40"/>
        <v/>
      </c>
      <c r="AQ157" s="1" t="str">
        <f t="shared" si="40"/>
        <v/>
      </c>
      <c r="AR157" s="1">
        <f t="shared" si="40"/>
        <v>17692.307692307691</v>
      </c>
      <c r="AS157" s="1" t="str">
        <f t="shared" si="40"/>
        <v/>
      </c>
      <c r="AT157" s="1" t="str">
        <f t="shared" si="40"/>
        <v/>
      </c>
      <c r="AU157" s="1" t="str">
        <f t="shared" si="40"/>
        <v/>
      </c>
      <c r="AV157" s="1" t="str">
        <f t="shared" si="40"/>
        <v/>
      </c>
      <c r="AW157" s="1" t="str">
        <f t="shared" si="38"/>
        <v/>
      </c>
      <c r="AX157" s="1" t="str">
        <f t="shared" si="38"/>
        <v/>
      </c>
      <c r="AY157" s="1" t="str">
        <f t="shared" si="38"/>
        <v/>
      </c>
      <c r="AZ157" s="1" t="str">
        <f t="shared" si="38"/>
        <v/>
      </c>
      <c r="BA157" s="1">
        <f t="shared" si="38"/>
        <v>3.0759097939905975</v>
      </c>
      <c r="BB157" s="1">
        <f t="shared" si="38"/>
        <v>17692.307692307691</v>
      </c>
      <c r="BC157" s="1">
        <f t="shared" si="38"/>
        <v>4.8935887137275262</v>
      </c>
    </row>
    <row r="158" spans="1:55" x14ac:dyDescent="0.25">
      <c r="A158" s="30" t="s">
        <v>60</v>
      </c>
      <c r="B158" s="31" t="s">
        <v>13</v>
      </c>
      <c r="C158" s="32" t="s">
        <v>63</v>
      </c>
      <c r="D158" s="2"/>
      <c r="E158" s="2"/>
      <c r="F158" s="51">
        <f t="shared" si="37"/>
        <v>0</v>
      </c>
      <c r="G158" s="51">
        <f t="shared" si="36"/>
        <v>0</v>
      </c>
      <c r="H158" s="51">
        <f t="shared" si="36"/>
        <v>0</v>
      </c>
      <c r="I158" s="51">
        <f t="shared" si="36"/>
        <v>0</v>
      </c>
      <c r="J158" s="51">
        <f t="shared" si="36"/>
        <v>0</v>
      </c>
      <c r="K158" s="51">
        <f t="shared" si="36"/>
        <v>0</v>
      </c>
      <c r="L158" s="52">
        <f t="shared" si="36"/>
        <v>0</v>
      </c>
      <c r="M158" s="51">
        <f t="shared" si="36"/>
        <v>0</v>
      </c>
      <c r="N158" s="8">
        <f t="shared" si="36"/>
        <v>0</v>
      </c>
      <c r="O158" s="8">
        <f t="shared" si="36"/>
        <v>0</v>
      </c>
      <c r="P158" s="8">
        <f t="shared" si="36"/>
        <v>0</v>
      </c>
      <c r="Q158" s="51">
        <f t="shared" si="36"/>
        <v>0</v>
      </c>
      <c r="R158" s="51">
        <f t="shared" si="36"/>
        <v>0</v>
      </c>
      <c r="S158" s="51">
        <f t="shared" si="36"/>
        <v>0</v>
      </c>
      <c r="T158" s="51">
        <f t="shared" si="36"/>
        <v>0</v>
      </c>
      <c r="U158" s="51">
        <f t="shared" si="36"/>
        <v>0</v>
      </c>
      <c r="V158" s="51">
        <f t="shared" si="36"/>
        <v>0</v>
      </c>
      <c r="W158" s="51">
        <f t="shared" si="36"/>
        <v>0</v>
      </c>
      <c r="X158" s="55">
        <f t="shared" si="36"/>
        <v>0</v>
      </c>
      <c r="Y158" s="59">
        <f t="shared" si="36"/>
        <v>0</v>
      </c>
      <c r="Z158" s="51">
        <f t="shared" si="36"/>
        <v>0</v>
      </c>
      <c r="AA158" s="51">
        <f t="shared" si="36"/>
        <v>0</v>
      </c>
      <c r="AB158" s="14">
        <f>0.75*70</f>
        <v>52.5</v>
      </c>
      <c r="AC158" s="30" t="s">
        <v>60</v>
      </c>
      <c r="AD158" s="31" t="s">
        <v>13</v>
      </c>
      <c r="AE158" s="32" t="s">
        <v>63</v>
      </c>
      <c r="AF158" s="2"/>
      <c r="AG158" s="2"/>
      <c r="AH158" s="1" t="str">
        <f t="shared" si="40"/>
        <v/>
      </c>
      <c r="AI158" s="1" t="str">
        <f t="shared" si="40"/>
        <v/>
      </c>
      <c r="AJ158" s="1" t="str">
        <f t="shared" si="40"/>
        <v/>
      </c>
      <c r="AK158" s="1" t="str">
        <f t="shared" si="40"/>
        <v/>
      </c>
      <c r="AL158" s="1" t="str">
        <f t="shared" si="40"/>
        <v/>
      </c>
      <c r="AM158" s="1" t="str">
        <f t="shared" si="40"/>
        <v/>
      </c>
      <c r="AN158" s="52" t="str">
        <f t="shared" si="40"/>
        <v/>
      </c>
      <c r="AO158" s="1" t="str">
        <f t="shared" si="40"/>
        <v/>
      </c>
      <c r="AP158" s="1" t="str">
        <f t="shared" si="40"/>
        <v/>
      </c>
      <c r="AQ158" s="1" t="str">
        <f t="shared" si="40"/>
        <v/>
      </c>
      <c r="AR158" s="1" t="str">
        <f t="shared" si="40"/>
        <v/>
      </c>
      <c r="AS158" s="1" t="str">
        <f t="shared" si="40"/>
        <v/>
      </c>
      <c r="AT158" s="1" t="str">
        <f t="shared" si="40"/>
        <v/>
      </c>
      <c r="AU158" s="1" t="str">
        <f t="shared" si="40"/>
        <v/>
      </c>
      <c r="AV158" s="1" t="str">
        <f t="shared" si="40"/>
        <v/>
      </c>
      <c r="AW158" s="1" t="str">
        <f t="shared" si="38"/>
        <v/>
      </c>
      <c r="AX158" s="1" t="str">
        <f t="shared" si="38"/>
        <v/>
      </c>
      <c r="AY158" s="1" t="str">
        <f t="shared" si="38"/>
        <v/>
      </c>
      <c r="AZ158" s="1" t="str">
        <f t="shared" si="38"/>
        <v/>
      </c>
      <c r="BA158" s="1" t="str">
        <f t="shared" si="38"/>
        <v/>
      </c>
      <c r="BB158" s="1" t="str">
        <f t="shared" si="38"/>
        <v/>
      </c>
      <c r="BC158" s="1" t="str">
        <f t="shared" si="38"/>
        <v/>
      </c>
    </row>
    <row r="159" spans="1:55" x14ac:dyDescent="0.25">
      <c r="A159" s="30" t="s">
        <v>60</v>
      </c>
      <c r="B159" s="32" t="s">
        <v>23</v>
      </c>
      <c r="C159" s="31" t="s">
        <v>50</v>
      </c>
      <c r="D159" s="2"/>
      <c r="E159" s="2"/>
      <c r="F159" s="77">
        <v>40</v>
      </c>
      <c r="G159" s="51">
        <f t="shared" si="36"/>
        <v>0</v>
      </c>
      <c r="H159" s="51">
        <f t="shared" si="36"/>
        <v>0</v>
      </c>
      <c r="I159" s="51">
        <f t="shared" si="36"/>
        <v>0</v>
      </c>
      <c r="J159" s="77">
        <v>45</v>
      </c>
      <c r="K159" s="77">
        <v>2.2000000000000002</v>
      </c>
      <c r="L159" s="52">
        <f t="shared" si="36"/>
        <v>0</v>
      </c>
      <c r="M159" s="51">
        <f t="shared" si="36"/>
        <v>0</v>
      </c>
      <c r="N159" s="8">
        <f>N24/N204</f>
        <v>1333.3333333333335</v>
      </c>
      <c r="O159" s="8">
        <f t="shared" si="36"/>
        <v>0</v>
      </c>
      <c r="P159" s="8">
        <f t="shared" si="36"/>
        <v>0</v>
      </c>
      <c r="Q159" s="51">
        <f t="shared" si="36"/>
        <v>0</v>
      </c>
      <c r="R159" s="51">
        <f t="shared" si="36"/>
        <v>0</v>
      </c>
      <c r="S159" s="51">
        <f t="shared" si="36"/>
        <v>0</v>
      </c>
      <c r="T159" s="51">
        <f t="shared" si="36"/>
        <v>0</v>
      </c>
      <c r="U159" s="51">
        <f t="shared" si="36"/>
        <v>0</v>
      </c>
      <c r="V159" s="77">
        <v>426</v>
      </c>
      <c r="W159" s="51">
        <f t="shared" si="36"/>
        <v>0</v>
      </c>
      <c r="X159" s="55">
        <f t="shared" si="36"/>
        <v>0</v>
      </c>
      <c r="Y159" s="59">
        <f t="shared" si="36"/>
        <v>2.2204741309773151</v>
      </c>
      <c r="Z159" s="51">
        <f t="shared" si="36"/>
        <v>1333.3333333333335</v>
      </c>
      <c r="AA159" s="51">
        <f t="shared" si="36"/>
        <v>4.2762222430799453</v>
      </c>
      <c r="AC159" s="30" t="s">
        <v>60</v>
      </c>
      <c r="AD159" s="32" t="s">
        <v>23</v>
      </c>
      <c r="AE159" s="31" t="s">
        <v>50</v>
      </c>
      <c r="AF159" s="2"/>
      <c r="AG159" s="2"/>
      <c r="AH159" s="1" t="str">
        <f t="shared" si="40"/>
        <v/>
      </c>
      <c r="AI159" s="1" t="str">
        <f t="shared" si="40"/>
        <v/>
      </c>
      <c r="AJ159" s="1" t="str">
        <f t="shared" si="40"/>
        <v/>
      </c>
      <c r="AK159" s="1" t="str">
        <f t="shared" si="40"/>
        <v/>
      </c>
      <c r="AL159" s="1">
        <f t="shared" si="40"/>
        <v>13.499999999999998</v>
      </c>
      <c r="AM159" s="1">
        <f t="shared" si="40"/>
        <v>1.9619600000000004</v>
      </c>
      <c r="AN159" s="52" t="str">
        <f t="shared" si="40"/>
        <v/>
      </c>
      <c r="AO159" s="1" t="str">
        <f t="shared" si="40"/>
        <v/>
      </c>
      <c r="AP159" s="1">
        <f t="shared" si="40"/>
        <v>333.33333333333337</v>
      </c>
      <c r="AQ159" s="1" t="str">
        <f t="shared" si="40"/>
        <v/>
      </c>
      <c r="AR159" s="1" t="str">
        <f t="shared" si="40"/>
        <v/>
      </c>
      <c r="AS159" s="1" t="str">
        <f t="shared" si="40"/>
        <v/>
      </c>
      <c r="AT159" s="1" t="str">
        <f t="shared" si="40"/>
        <v/>
      </c>
      <c r="AU159" s="1" t="str">
        <f t="shared" si="40"/>
        <v/>
      </c>
      <c r="AV159" s="1" t="str">
        <f t="shared" si="40"/>
        <v/>
      </c>
      <c r="AW159" s="1" t="str">
        <f t="shared" si="38"/>
        <v/>
      </c>
      <c r="AX159" s="1" t="str">
        <f t="shared" si="38"/>
        <v/>
      </c>
      <c r="AY159" s="1" t="str">
        <f t="shared" si="38"/>
        <v/>
      </c>
      <c r="AZ159" s="1" t="str">
        <f t="shared" si="38"/>
        <v/>
      </c>
      <c r="BA159" s="1">
        <f t="shared" si="38"/>
        <v>1.9674794238827455</v>
      </c>
      <c r="BB159" s="1">
        <f t="shared" si="38"/>
        <v>333.33333333333337</v>
      </c>
      <c r="BC159" s="1">
        <f t="shared" si="38"/>
        <v>2.427045056883212</v>
      </c>
    </row>
    <row r="160" spans="1:55" x14ac:dyDescent="0.25">
      <c r="A160" s="30" t="s">
        <v>60</v>
      </c>
      <c r="B160" s="32" t="s">
        <v>23</v>
      </c>
      <c r="C160" s="31" t="s">
        <v>49</v>
      </c>
      <c r="D160" s="2"/>
      <c r="E160" s="2"/>
      <c r="F160" s="51">
        <f t="shared" si="37"/>
        <v>0</v>
      </c>
      <c r="G160" s="51">
        <f t="shared" si="36"/>
        <v>0</v>
      </c>
      <c r="H160" s="51">
        <f t="shared" si="36"/>
        <v>0</v>
      </c>
      <c r="I160" s="51">
        <f t="shared" si="36"/>
        <v>0</v>
      </c>
      <c r="J160" s="77">
        <v>40</v>
      </c>
      <c r="K160" s="77">
        <v>40</v>
      </c>
      <c r="L160" s="52">
        <f t="shared" si="36"/>
        <v>0</v>
      </c>
      <c r="M160" s="51">
        <f t="shared" si="36"/>
        <v>0</v>
      </c>
      <c r="N160" s="51">
        <f t="shared" si="36"/>
        <v>0</v>
      </c>
      <c r="O160" s="51">
        <f t="shared" si="36"/>
        <v>0</v>
      </c>
      <c r="P160" s="51">
        <f t="shared" si="36"/>
        <v>0</v>
      </c>
      <c r="Q160" s="51">
        <f t="shared" si="36"/>
        <v>0</v>
      </c>
      <c r="R160" s="51">
        <f t="shared" si="36"/>
        <v>0</v>
      </c>
      <c r="S160" s="77">
        <v>100</v>
      </c>
      <c r="T160" s="77">
        <v>406</v>
      </c>
      <c r="U160" s="51">
        <f t="shared" si="36"/>
        <v>0</v>
      </c>
      <c r="V160" s="77">
        <v>406</v>
      </c>
      <c r="W160" s="51">
        <f t="shared" si="36"/>
        <v>0</v>
      </c>
      <c r="X160" s="77">
        <v>100</v>
      </c>
      <c r="Y160" s="59">
        <f t="shared" si="36"/>
        <v>40</v>
      </c>
      <c r="Z160" s="51">
        <f t="shared" si="36"/>
        <v>206.70944343702052</v>
      </c>
      <c r="AA160" s="51">
        <f t="shared" si="36"/>
        <v>61.371234766955659</v>
      </c>
      <c r="AC160" s="30" t="s">
        <v>60</v>
      </c>
      <c r="AD160" s="32" t="s">
        <v>23</v>
      </c>
      <c r="AE160" s="31" t="s">
        <v>49</v>
      </c>
      <c r="AF160" s="2"/>
      <c r="AG160" s="2"/>
      <c r="AH160" s="1" t="str">
        <f t="shared" si="40"/>
        <v/>
      </c>
      <c r="AI160" s="1" t="str">
        <f t="shared" si="40"/>
        <v/>
      </c>
      <c r="AJ160" s="1" t="str">
        <f t="shared" si="40"/>
        <v/>
      </c>
      <c r="AK160" s="1" t="str">
        <f t="shared" si="40"/>
        <v/>
      </c>
      <c r="AL160" s="1">
        <f t="shared" si="40"/>
        <v>11.2</v>
      </c>
      <c r="AM160" s="1">
        <f t="shared" si="40"/>
        <v>9.795918367346939</v>
      </c>
      <c r="AN160" s="52" t="str">
        <f t="shared" si="40"/>
        <v/>
      </c>
      <c r="AO160" s="1" t="str">
        <f t="shared" si="40"/>
        <v/>
      </c>
      <c r="AP160" s="1" t="str">
        <f t="shared" si="40"/>
        <v/>
      </c>
      <c r="AQ160" s="1" t="str">
        <f t="shared" si="40"/>
        <v/>
      </c>
      <c r="AR160" s="1" t="str">
        <f t="shared" si="40"/>
        <v/>
      </c>
      <c r="AS160" s="1" t="str">
        <f t="shared" si="40"/>
        <v/>
      </c>
      <c r="AT160" s="1" t="str">
        <f t="shared" si="40"/>
        <v/>
      </c>
      <c r="AU160" s="1">
        <f t="shared" si="40"/>
        <v>24.489795918367346</v>
      </c>
      <c r="AV160" s="1">
        <f t="shared" si="40"/>
        <v>162.4</v>
      </c>
      <c r="AW160" s="1" t="str">
        <f t="shared" si="38"/>
        <v/>
      </c>
      <c r="AX160" s="1">
        <f t="shared" si="38"/>
        <v>365.4</v>
      </c>
      <c r="AY160" s="1" t="str">
        <f t="shared" si="38"/>
        <v/>
      </c>
      <c r="AZ160" s="1">
        <f t="shared" si="38"/>
        <v>90</v>
      </c>
      <c r="BA160" s="1">
        <f t="shared" si="38"/>
        <v>10.770298403886191</v>
      </c>
      <c r="BB160" s="1">
        <f t="shared" si="38"/>
        <v>94.387873715534482</v>
      </c>
      <c r="BC160" s="1">
        <f t="shared" si="38"/>
        <v>30.250017136709218</v>
      </c>
    </row>
    <row r="161" spans="1:55" x14ac:dyDescent="0.25">
      <c r="A161" s="30" t="s">
        <v>60</v>
      </c>
      <c r="B161" s="32" t="s">
        <v>23</v>
      </c>
      <c r="C161" s="31" t="s">
        <v>64</v>
      </c>
      <c r="D161" s="2"/>
      <c r="E161" s="2"/>
      <c r="F161" s="51">
        <f t="shared" si="37"/>
        <v>0</v>
      </c>
      <c r="G161" s="51">
        <f t="shared" si="36"/>
        <v>0</v>
      </c>
      <c r="H161" s="51">
        <f t="shared" si="36"/>
        <v>0</v>
      </c>
      <c r="I161" s="51">
        <f t="shared" si="36"/>
        <v>0</v>
      </c>
      <c r="J161" s="51">
        <f t="shared" si="36"/>
        <v>0</v>
      </c>
      <c r="K161" s="51">
        <f t="shared" si="36"/>
        <v>0</v>
      </c>
      <c r="L161" s="52">
        <f t="shared" si="36"/>
        <v>0</v>
      </c>
      <c r="M161" s="51">
        <f t="shared" si="36"/>
        <v>0</v>
      </c>
      <c r="N161" s="51">
        <f t="shared" si="36"/>
        <v>0</v>
      </c>
      <c r="O161" s="51">
        <f t="shared" si="36"/>
        <v>0</v>
      </c>
      <c r="P161" s="51">
        <f t="shared" si="36"/>
        <v>0</v>
      </c>
      <c r="Q161" s="51">
        <f t="shared" si="36"/>
        <v>0</v>
      </c>
      <c r="R161" s="51">
        <f t="shared" si="36"/>
        <v>0</v>
      </c>
      <c r="S161" s="51">
        <f t="shared" si="36"/>
        <v>0</v>
      </c>
      <c r="T161" s="51">
        <f t="shared" si="36"/>
        <v>0</v>
      </c>
      <c r="U161" s="51">
        <f t="shared" si="36"/>
        <v>0</v>
      </c>
      <c r="V161" s="51">
        <f t="shared" si="36"/>
        <v>0</v>
      </c>
      <c r="W161" s="51">
        <f t="shared" si="36"/>
        <v>0</v>
      </c>
      <c r="X161" s="55">
        <f t="shared" si="36"/>
        <v>0</v>
      </c>
      <c r="Y161" s="59">
        <f t="shared" si="36"/>
        <v>0</v>
      </c>
      <c r="Z161" s="51">
        <f t="shared" si="36"/>
        <v>0</v>
      </c>
      <c r="AA161" s="51">
        <f t="shared" si="36"/>
        <v>0</v>
      </c>
      <c r="AC161" s="30" t="s">
        <v>60</v>
      </c>
      <c r="AD161" s="32" t="s">
        <v>23</v>
      </c>
      <c r="AE161" s="31" t="s">
        <v>64</v>
      </c>
      <c r="AF161" s="2"/>
      <c r="AG161" s="2"/>
      <c r="AH161" s="1" t="str">
        <f t="shared" si="40"/>
        <v/>
      </c>
      <c r="AI161" s="1" t="str">
        <f t="shared" si="40"/>
        <v/>
      </c>
      <c r="AJ161" s="1" t="str">
        <f t="shared" si="40"/>
        <v/>
      </c>
      <c r="AK161" s="1" t="str">
        <f t="shared" si="40"/>
        <v/>
      </c>
      <c r="AL161" s="1" t="str">
        <f t="shared" si="40"/>
        <v/>
      </c>
      <c r="AM161" s="1" t="str">
        <f t="shared" si="40"/>
        <v/>
      </c>
      <c r="AN161" s="52" t="str">
        <f t="shared" si="40"/>
        <v/>
      </c>
      <c r="AO161" s="1" t="str">
        <f t="shared" si="40"/>
        <v/>
      </c>
      <c r="AP161" s="1" t="str">
        <f t="shared" si="40"/>
        <v/>
      </c>
      <c r="AQ161" s="1" t="str">
        <f t="shared" si="40"/>
        <v/>
      </c>
      <c r="AR161" s="1" t="str">
        <f t="shared" si="40"/>
        <v/>
      </c>
      <c r="AS161" s="1" t="str">
        <f t="shared" si="40"/>
        <v/>
      </c>
      <c r="AT161" s="1" t="str">
        <f t="shared" si="40"/>
        <v/>
      </c>
      <c r="AU161" s="1" t="str">
        <f t="shared" si="40"/>
        <v/>
      </c>
      <c r="AV161" s="1" t="str">
        <f t="shared" si="40"/>
        <v/>
      </c>
      <c r="AW161" s="1" t="str">
        <f t="shared" si="38"/>
        <v/>
      </c>
      <c r="AX161" s="1" t="str">
        <f t="shared" si="38"/>
        <v/>
      </c>
      <c r="AY161" s="1" t="str">
        <f t="shared" si="38"/>
        <v/>
      </c>
      <c r="AZ161" s="1" t="str">
        <f t="shared" si="38"/>
        <v/>
      </c>
      <c r="BA161" s="1" t="str">
        <f t="shared" si="38"/>
        <v/>
      </c>
      <c r="BB161" s="1" t="str">
        <f t="shared" si="38"/>
        <v/>
      </c>
      <c r="BC161" s="1" t="str">
        <f t="shared" si="38"/>
        <v/>
      </c>
    </row>
    <row r="162" spans="1:55" x14ac:dyDescent="0.25">
      <c r="A162" s="30" t="s">
        <v>60</v>
      </c>
      <c r="B162" s="32" t="s">
        <v>65</v>
      </c>
      <c r="C162" s="31" t="s">
        <v>66</v>
      </c>
      <c r="D162" s="2"/>
      <c r="E162" s="2"/>
      <c r="F162" s="51">
        <f t="shared" si="37"/>
        <v>0</v>
      </c>
      <c r="G162" s="51">
        <f t="shared" si="36"/>
        <v>0</v>
      </c>
      <c r="H162" s="51">
        <f t="shared" si="36"/>
        <v>0</v>
      </c>
      <c r="I162" s="51">
        <f t="shared" si="36"/>
        <v>0</v>
      </c>
      <c r="J162" s="77">
        <v>56</v>
      </c>
      <c r="K162" s="51">
        <f t="shared" si="36"/>
        <v>0</v>
      </c>
      <c r="L162" s="52">
        <f t="shared" si="36"/>
        <v>0</v>
      </c>
      <c r="M162" s="77">
        <f>300</f>
        <v>300</v>
      </c>
      <c r="N162" s="51">
        <f t="shared" si="36"/>
        <v>0</v>
      </c>
      <c r="O162" s="51">
        <f t="shared" si="36"/>
        <v>0</v>
      </c>
      <c r="P162" s="51">
        <f t="shared" si="36"/>
        <v>0</v>
      </c>
      <c r="Q162" s="51">
        <f t="shared" si="36"/>
        <v>0</v>
      </c>
      <c r="R162" s="51">
        <f t="shared" si="36"/>
        <v>0</v>
      </c>
      <c r="S162" s="51">
        <f t="shared" si="36"/>
        <v>0</v>
      </c>
      <c r="T162" s="51">
        <f t="shared" si="36"/>
        <v>0</v>
      </c>
      <c r="U162" s="51">
        <f t="shared" si="36"/>
        <v>0</v>
      </c>
      <c r="V162" s="51">
        <f t="shared" si="36"/>
        <v>0</v>
      </c>
      <c r="W162" s="51">
        <f t="shared" si="36"/>
        <v>0</v>
      </c>
      <c r="X162" s="55">
        <f t="shared" si="36"/>
        <v>0</v>
      </c>
      <c r="Y162" s="59">
        <f t="shared" si="36"/>
        <v>56</v>
      </c>
      <c r="Z162" s="51">
        <f t="shared" si="36"/>
        <v>300</v>
      </c>
      <c r="AA162" s="51">
        <f t="shared" si="36"/>
        <v>132.66832917705736</v>
      </c>
      <c r="AC162" s="30" t="s">
        <v>60</v>
      </c>
      <c r="AD162" s="32" t="s">
        <v>65</v>
      </c>
      <c r="AE162" s="31" t="s">
        <v>66</v>
      </c>
      <c r="AF162" s="2"/>
      <c r="AG162" s="2"/>
      <c r="AH162" s="1" t="str">
        <f t="shared" si="40"/>
        <v/>
      </c>
      <c r="AI162" s="1" t="str">
        <f t="shared" si="40"/>
        <v/>
      </c>
      <c r="AJ162" s="1" t="str">
        <f t="shared" si="40"/>
        <v/>
      </c>
      <c r="AK162" s="1" t="str">
        <f t="shared" si="40"/>
        <v/>
      </c>
      <c r="AL162" s="1">
        <f t="shared" si="40"/>
        <v>6.72</v>
      </c>
      <c r="AM162" s="1" t="str">
        <f t="shared" si="40"/>
        <v/>
      </c>
      <c r="AN162" s="52" t="str">
        <f t="shared" si="40"/>
        <v/>
      </c>
      <c r="AO162" s="1">
        <f t="shared" si="40"/>
        <v>36</v>
      </c>
      <c r="AP162" s="1" t="str">
        <f t="shared" si="40"/>
        <v/>
      </c>
      <c r="AQ162" s="1" t="str">
        <f t="shared" si="40"/>
        <v/>
      </c>
      <c r="AR162" s="1" t="str">
        <f t="shared" si="40"/>
        <v/>
      </c>
      <c r="AS162" s="1" t="str">
        <f t="shared" si="40"/>
        <v/>
      </c>
      <c r="AT162" s="1" t="str">
        <f t="shared" si="40"/>
        <v/>
      </c>
      <c r="AU162" s="1" t="str">
        <f t="shared" si="40"/>
        <v/>
      </c>
      <c r="AV162" s="1" t="str">
        <f t="shared" si="40"/>
        <v/>
      </c>
      <c r="AW162" s="1" t="str">
        <f t="shared" si="38"/>
        <v/>
      </c>
      <c r="AX162" s="1" t="str">
        <f t="shared" si="38"/>
        <v/>
      </c>
      <c r="AY162" s="1" t="str">
        <f t="shared" si="38"/>
        <v/>
      </c>
      <c r="AZ162" s="1" t="str">
        <f t="shared" si="38"/>
        <v/>
      </c>
      <c r="BA162" s="1">
        <f t="shared" si="38"/>
        <v>6.72</v>
      </c>
      <c r="BB162" s="1">
        <f t="shared" si="38"/>
        <v>36</v>
      </c>
      <c r="BC162" s="1">
        <f t="shared" si="38"/>
        <v>15.920199501246882</v>
      </c>
    </row>
    <row r="163" spans="1:55" x14ac:dyDescent="0.25">
      <c r="A163" s="30" t="s">
        <v>60</v>
      </c>
      <c r="B163" s="32" t="s">
        <v>65</v>
      </c>
      <c r="C163" s="31" t="s">
        <v>67</v>
      </c>
      <c r="D163" s="2"/>
      <c r="E163" s="2"/>
      <c r="F163" s="51">
        <f t="shared" si="37"/>
        <v>0</v>
      </c>
      <c r="G163" s="51">
        <f t="shared" si="36"/>
        <v>0</v>
      </c>
      <c r="H163" s="51">
        <f t="shared" si="36"/>
        <v>0</v>
      </c>
      <c r="I163" s="51">
        <f t="shared" si="36"/>
        <v>0</v>
      </c>
      <c r="J163" s="51">
        <f t="shared" si="36"/>
        <v>0</v>
      </c>
      <c r="K163" s="51">
        <f t="shared" si="36"/>
        <v>0</v>
      </c>
      <c r="L163" s="52">
        <f t="shared" si="36"/>
        <v>0</v>
      </c>
      <c r="M163" s="51">
        <f t="shared" si="36"/>
        <v>0</v>
      </c>
      <c r="N163" s="51">
        <f t="shared" si="36"/>
        <v>0</v>
      </c>
      <c r="O163" s="51">
        <f t="shared" si="36"/>
        <v>0</v>
      </c>
      <c r="P163" s="51">
        <f t="shared" si="36"/>
        <v>0</v>
      </c>
      <c r="Q163" s="77">
        <v>940</v>
      </c>
      <c r="R163" s="77">
        <v>426</v>
      </c>
      <c r="S163" s="51">
        <f t="shared" si="36"/>
        <v>0</v>
      </c>
      <c r="T163" s="77">
        <v>426</v>
      </c>
      <c r="U163" s="77">
        <v>426</v>
      </c>
      <c r="V163" s="77">
        <v>426</v>
      </c>
      <c r="W163" s="77">
        <v>426</v>
      </c>
      <c r="X163" s="79">
        <v>426</v>
      </c>
      <c r="Y163" s="59">
        <f t="shared" si="36"/>
        <v>0</v>
      </c>
      <c r="Z163" s="51">
        <f t="shared" si="36"/>
        <v>517.48370493289235</v>
      </c>
      <c r="AA163" s="51">
        <f t="shared" si="36"/>
        <v>517.48370493289235</v>
      </c>
      <c r="AC163" s="30" t="s">
        <v>60</v>
      </c>
      <c r="AD163" s="32" t="s">
        <v>65</v>
      </c>
      <c r="AE163" s="31" t="s">
        <v>67</v>
      </c>
      <c r="AF163" s="2"/>
      <c r="AG163" s="2"/>
      <c r="AH163" s="1" t="str">
        <f t="shared" si="40"/>
        <v/>
      </c>
      <c r="AI163" s="1" t="str">
        <f t="shared" si="40"/>
        <v/>
      </c>
      <c r="AJ163" s="1" t="str">
        <f t="shared" si="40"/>
        <v/>
      </c>
      <c r="AK163" s="1" t="str">
        <f t="shared" si="40"/>
        <v/>
      </c>
      <c r="AL163" s="1" t="str">
        <f t="shared" si="40"/>
        <v/>
      </c>
      <c r="AM163" s="1" t="str">
        <f t="shared" si="40"/>
        <v/>
      </c>
      <c r="AN163" s="52" t="str">
        <f t="shared" si="40"/>
        <v/>
      </c>
      <c r="AO163" s="1" t="str">
        <f t="shared" si="40"/>
        <v/>
      </c>
      <c r="AP163" s="1" t="str">
        <f t="shared" si="40"/>
        <v/>
      </c>
      <c r="AQ163" s="1" t="str">
        <f t="shared" si="40"/>
        <v/>
      </c>
      <c r="AR163" s="1" t="str">
        <f t="shared" si="40"/>
        <v/>
      </c>
      <c r="AS163" s="1">
        <f t="shared" si="40"/>
        <v>141</v>
      </c>
      <c r="AT163" s="1">
        <f t="shared" si="40"/>
        <v>76.680000000000007</v>
      </c>
      <c r="AU163" s="1" t="str">
        <f t="shared" si="40"/>
        <v/>
      </c>
      <c r="AV163" s="1">
        <f t="shared" si="40"/>
        <v>76.679999999999993</v>
      </c>
      <c r="AW163" s="1">
        <f t="shared" si="38"/>
        <v>93.72</v>
      </c>
      <c r="AX163" s="1">
        <f t="shared" si="38"/>
        <v>51.11999999999999</v>
      </c>
      <c r="AY163" s="1">
        <f t="shared" si="38"/>
        <v>51.11999999999999</v>
      </c>
      <c r="AZ163" s="1">
        <f t="shared" si="38"/>
        <v>51.12</v>
      </c>
      <c r="BA163" s="1" t="str">
        <f t="shared" si="38"/>
        <v/>
      </c>
      <c r="BB163" s="1">
        <f t="shared" si="38"/>
        <v>82.069801759389904</v>
      </c>
      <c r="BC163" s="1">
        <f t="shared" si="38"/>
        <v>82.069801759389904</v>
      </c>
    </row>
    <row r="164" spans="1:55" x14ac:dyDescent="0.25">
      <c r="A164" s="30" t="s">
        <v>60</v>
      </c>
      <c r="B164" s="32" t="s">
        <v>65</v>
      </c>
      <c r="C164" s="31" t="s">
        <v>68</v>
      </c>
      <c r="D164" s="2"/>
      <c r="E164" s="2"/>
      <c r="F164" s="51">
        <f t="shared" si="37"/>
        <v>0</v>
      </c>
      <c r="G164" s="51">
        <f t="shared" si="36"/>
        <v>0</v>
      </c>
      <c r="H164" s="51">
        <f t="shared" si="36"/>
        <v>0</v>
      </c>
      <c r="I164" s="51">
        <f t="shared" si="36"/>
        <v>0</v>
      </c>
      <c r="J164" s="51">
        <f t="shared" si="36"/>
        <v>0</v>
      </c>
      <c r="K164" s="51">
        <f t="shared" si="36"/>
        <v>0</v>
      </c>
      <c r="L164" s="77">
        <v>750</v>
      </c>
      <c r="M164" s="51">
        <f t="shared" si="36"/>
        <v>0</v>
      </c>
      <c r="N164" s="51">
        <f t="shared" si="36"/>
        <v>0</v>
      </c>
      <c r="O164" s="51">
        <f t="shared" si="36"/>
        <v>0</v>
      </c>
      <c r="P164" s="51">
        <f t="shared" si="36"/>
        <v>0</v>
      </c>
      <c r="Q164" s="51">
        <f t="shared" si="36"/>
        <v>0</v>
      </c>
      <c r="R164" s="51">
        <f t="shared" si="36"/>
        <v>0</v>
      </c>
      <c r="S164" s="51">
        <f t="shared" si="36"/>
        <v>0</v>
      </c>
      <c r="T164" s="51">
        <f t="shared" si="36"/>
        <v>0</v>
      </c>
      <c r="U164" s="51">
        <f t="shared" si="36"/>
        <v>0</v>
      </c>
      <c r="V164" s="51">
        <f t="shared" si="36"/>
        <v>0</v>
      </c>
      <c r="W164" s="51">
        <f t="shared" si="36"/>
        <v>0</v>
      </c>
      <c r="X164" s="55">
        <f t="shared" si="36"/>
        <v>0</v>
      </c>
      <c r="Y164" s="59">
        <f t="shared" si="36"/>
        <v>0</v>
      </c>
      <c r="Z164" s="51">
        <f t="shared" si="36"/>
        <v>0</v>
      </c>
      <c r="AA164" s="51">
        <f t="shared" si="36"/>
        <v>750</v>
      </c>
      <c r="AC164" s="30" t="s">
        <v>60</v>
      </c>
      <c r="AD164" s="32" t="s">
        <v>65</v>
      </c>
      <c r="AE164" s="31" t="s">
        <v>68</v>
      </c>
      <c r="AF164" s="2"/>
      <c r="AG164" s="2"/>
      <c r="AH164" s="1" t="str">
        <f t="shared" si="40"/>
        <v/>
      </c>
      <c r="AI164" s="1" t="str">
        <f t="shared" si="40"/>
        <v/>
      </c>
      <c r="AJ164" s="1" t="str">
        <f t="shared" si="40"/>
        <v/>
      </c>
      <c r="AK164" s="1" t="str">
        <f t="shared" si="40"/>
        <v/>
      </c>
      <c r="AL164" s="1" t="str">
        <f t="shared" si="40"/>
        <v/>
      </c>
      <c r="AM164" s="1" t="str">
        <f t="shared" si="40"/>
        <v/>
      </c>
      <c r="AN164" s="52">
        <f t="shared" si="40"/>
        <v>63.750000000000007</v>
      </c>
      <c r="AO164" s="1" t="str">
        <f t="shared" si="40"/>
        <v/>
      </c>
      <c r="AP164" s="1" t="str">
        <f t="shared" si="40"/>
        <v/>
      </c>
      <c r="AQ164" s="1" t="str">
        <f t="shared" si="40"/>
        <v/>
      </c>
      <c r="AR164" s="1" t="str">
        <f t="shared" si="40"/>
        <v/>
      </c>
      <c r="AS164" s="1" t="str">
        <f t="shared" si="40"/>
        <v/>
      </c>
      <c r="AT164" s="1" t="str">
        <f t="shared" si="40"/>
        <v/>
      </c>
      <c r="AU164" s="1" t="str">
        <f t="shared" si="40"/>
        <v/>
      </c>
      <c r="AV164" s="1" t="str">
        <f t="shared" si="40"/>
        <v/>
      </c>
      <c r="AW164" s="1" t="str">
        <f t="shared" si="38"/>
        <v/>
      </c>
      <c r="AX164" s="1" t="str">
        <f t="shared" si="38"/>
        <v/>
      </c>
      <c r="AY164" s="1" t="str">
        <f t="shared" si="38"/>
        <v/>
      </c>
      <c r="AZ164" s="1" t="str">
        <f t="shared" si="38"/>
        <v/>
      </c>
      <c r="BA164" s="1" t="str">
        <f t="shared" si="38"/>
        <v/>
      </c>
      <c r="BB164" s="1" t="str">
        <f t="shared" si="38"/>
        <v/>
      </c>
      <c r="BC164" s="1">
        <f t="shared" si="38"/>
        <v>63.750000000000007</v>
      </c>
    </row>
    <row r="165" spans="1:55" x14ac:dyDescent="0.25">
      <c r="A165" s="30" t="s">
        <v>60</v>
      </c>
      <c r="B165" s="32" t="s">
        <v>9</v>
      </c>
      <c r="C165" s="31" t="s">
        <v>69</v>
      </c>
      <c r="D165" s="2"/>
      <c r="E165" s="2"/>
      <c r="F165" s="51">
        <f t="shared" si="37"/>
        <v>0</v>
      </c>
      <c r="G165" s="51">
        <f t="shared" si="36"/>
        <v>0</v>
      </c>
      <c r="H165" s="51">
        <f t="shared" si="36"/>
        <v>0</v>
      </c>
      <c r="I165" s="51">
        <f t="shared" si="36"/>
        <v>0</v>
      </c>
      <c r="J165" s="51">
        <f t="shared" si="36"/>
        <v>0</v>
      </c>
      <c r="K165" s="51">
        <f t="shared" si="36"/>
        <v>0</v>
      </c>
      <c r="L165" s="52">
        <f t="shared" si="36"/>
        <v>0</v>
      </c>
      <c r="M165" s="51">
        <f t="shared" si="36"/>
        <v>0</v>
      </c>
      <c r="N165" s="51">
        <f t="shared" si="36"/>
        <v>0</v>
      </c>
      <c r="O165" s="51">
        <f t="shared" si="36"/>
        <v>0</v>
      </c>
      <c r="P165" s="51">
        <f t="shared" si="36"/>
        <v>0</v>
      </c>
      <c r="Q165" s="51">
        <f t="shared" ref="G165:AA179" si="41">IF(Q210&gt;0,Q30/Q210,0)</f>
        <v>0</v>
      </c>
      <c r="R165" s="51">
        <f t="shared" si="41"/>
        <v>0</v>
      </c>
      <c r="S165" s="51">
        <f t="shared" si="41"/>
        <v>0</v>
      </c>
      <c r="T165" s="51">
        <f t="shared" si="41"/>
        <v>0</v>
      </c>
      <c r="U165" s="51">
        <f t="shared" si="41"/>
        <v>0</v>
      </c>
      <c r="V165" s="51">
        <f t="shared" si="41"/>
        <v>0</v>
      </c>
      <c r="W165" s="51">
        <f t="shared" si="41"/>
        <v>0</v>
      </c>
      <c r="X165" s="79">
        <v>426</v>
      </c>
      <c r="Y165" s="59">
        <f t="shared" si="41"/>
        <v>0</v>
      </c>
      <c r="Z165" s="51">
        <f t="shared" si="41"/>
        <v>643.56672000000003</v>
      </c>
      <c r="AA165" s="51">
        <f t="shared" si="41"/>
        <v>643.56672000000003</v>
      </c>
      <c r="AC165" s="30" t="s">
        <v>60</v>
      </c>
      <c r="AD165" s="32" t="s">
        <v>9</v>
      </c>
      <c r="AE165" s="31" t="s">
        <v>69</v>
      </c>
      <c r="AF165" s="2"/>
      <c r="AG165" s="2"/>
      <c r="AH165" s="1" t="str">
        <f t="shared" si="40"/>
        <v/>
      </c>
      <c r="AI165" s="1" t="str">
        <f t="shared" si="40"/>
        <v/>
      </c>
      <c r="AJ165" s="1" t="str">
        <f t="shared" si="40"/>
        <v/>
      </c>
      <c r="AK165" s="1" t="str">
        <f t="shared" si="40"/>
        <v/>
      </c>
      <c r="AL165" s="1" t="str">
        <f t="shared" si="40"/>
        <v/>
      </c>
      <c r="AM165" s="1" t="str">
        <f t="shared" si="40"/>
        <v/>
      </c>
      <c r="AN165" s="52" t="str">
        <f t="shared" si="40"/>
        <v/>
      </c>
      <c r="AO165" s="1" t="str">
        <f t="shared" si="40"/>
        <v/>
      </c>
      <c r="AP165" s="1" t="str">
        <f t="shared" si="40"/>
        <v/>
      </c>
      <c r="AQ165" s="1" t="str">
        <f t="shared" si="40"/>
        <v/>
      </c>
      <c r="AR165" s="1" t="str">
        <f t="shared" si="40"/>
        <v/>
      </c>
      <c r="AS165" s="1" t="str">
        <f t="shared" si="40"/>
        <v/>
      </c>
      <c r="AT165" s="1" t="str">
        <f t="shared" si="40"/>
        <v/>
      </c>
      <c r="AU165" s="1" t="str">
        <f t="shared" si="40"/>
        <v/>
      </c>
      <c r="AV165" s="1" t="str">
        <f t="shared" si="40"/>
        <v/>
      </c>
      <c r="AW165" s="1" t="str">
        <f t="shared" si="38"/>
        <v/>
      </c>
      <c r="AX165" s="1" t="str">
        <f t="shared" si="38"/>
        <v/>
      </c>
      <c r="AY165" s="1" t="str">
        <f t="shared" si="38"/>
        <v/>
      </c>
      <c r="AZ165" s="1">
        <f t="shared" si="38"/>
        <v>178.92000000000002</v>
      </c>
      <c r="BA165" s="1" t="str">
        <f t="shared" si="38"/>
        <v/>
      </c>
      <c r="BB165" s="1">
        <f t="shared" si="38"/>
        <v>396.48671999999999</v>
      </c>
      <c r="BC165" s="1">
        <f t="shared" si="38"/>
        <v>396.48671999999999</v>
      </c>
    </row>
    <row r="166" spans="1:55" x14ac:dyDescent="0.25">
      <c r="A166" s="15" t="s">
        <v>51</v>
      </c>
      <c r="B166" s="16" t="s">
        <v>56</v>
      </c>
      <c r="C166" s="27" t="s">
        <v>57</v>
      </c>
      <c r="D166" s="16" t="s">
        <v>70</v>
      </c>
      <c r="E166" s="16"/>
      <c r="F166" s="1">
        <f t="shared" si="37"/>
        <v>0</v>
      </c>
      <c r="G166" s="1">
        <f t="shared" si="41"/>
        <v>0</v>
      </c>
      <c r="H166" s="1">
        <f t="shared" si="41"/>
        <v>0</v>
      </c>
      <c r="I166" s="1">
        <f t="shared" si="41"/>
        <v>0</v>
      </c>
      <c r="J166" s="1">
        <f t="shared" si="41"/>
        <v>0</v>
      </c>
      <c r="K166" s="1">
        <f t="shared" si="41"/>
        <v>0</v>
      </c>
      <c r="L166" s="52">
        <f t="shared" si="41"/>
        <v>0</v>
      </c>
      <c r="M166" s="1">
        <f t="shared" si="41"/>
        <v>0</v>
      </c>
      <c r="N166" s="1">
        <f t="shared" si="41"/>
        <v>0</v>
      </c>
      <c r="O166" s="1">
        <f t="shared" si="41"/>
        <v>0</v>
      </c>
      <c r="P166" s="1">
        <f t="shared" si="41"/>
        <v>0</v>
      </c>
      <c r="Q166" s="1">
        <f t="shared" si="41"/>
        <v>0</v>
      </c>
      <c r="R166" s="1">
        <f t="shared" si="41"/>
        <v>0</v>
      </c>
      <c r="S166" s="1">
        <f t="shared" si="41"/>
        <v>0</v>
      </c>
      <c r="T166" s="1">
        <f t="shared" si="41"/>
        <v>0</v>
      </c>
      <c r="U166" s="1">
        <f t="shared" si="41"/>
        <v>0</v>
      </c>
      <c r="V166" s="1">
        <f t="shared" si="41"/>
        <v>0</v>
      </c>
      <c r="W166" s="1">
        <f t="shared" si="41"/>
        <v>0</v>
      </c>
      <c r="X166" s="54">
        <f t="shared" si="41"/>
        <v>0</v>
      </c>
      <c r="Y166" s="58">
        <f t="shared" si="41"/>
        <v>0</v>
      </c>
      <c r="Z166" s="1">
        <f t="shared" si="41"/>
        <v>0</v>
      </c>
      <c r="AA166" s="1">
        <f t="shared" si="41"/>
        <v>0</v>
      </c>
      <c r="AC166" s="15" t="s">
        <v>51</v>
      </c>
      <c r="AD166" s="16" t="s">
        <v>56</v>
      </c>
      <c r="AE166" s="27" t="s">
        <v>57</v>
      </c>
      <c r="AF166" s="16" t="s">
        <v>70</v>
      </c>
      <c r="AG166" s="16"/>
      <c r="AH166" s="90" t="str">
        <f t="shared" si="40"/>
        <v/>
      </c>
      <c r="AI166" s="90" t="str">
        <f t="shared" si="40"/>
        <v/>
      </c>
      <c r="AJ166" s="90" t="str">
        <f t="shared" si="40"/>
        <v/>
      </c>
      <c r="AK166" s="90" t="str">
        <f t="shared" si="40"/>
        <v/>
      </c>
      <c r="AL166" s="90" t="str">
        <f t="shared" si="40"/>
        <v/>
      </c>
      <c r="AM166" s="90" t="str">
        <f t="shared" si="40"/>
        <v/>
      </c>
      <c r="AN166" s="90" t="str">
        <f t="shared" si="40"/>
        <v/>
      </c>
      <c r="AO166" s="90" t="str">
        <f t="shared" si="40"/>
        <v/>
      </c>
      <c r="AP166" s="90" t="str">
        <f t="shared" si="40"/>
        <v/>
      </c>
      <c r="AQ166" s="90" t="str">
        <f t="shared" si="40"/>
        <v/>
      </c>
      <c r="AR166" s="90" t="str">
        <f t="shared" si="40"/>
        <v/>
      </c>
      <c r="AS166" s="90" t="str">
        <f t="shared" si="40"/>
        <v/>
      </c>
      <c r="AT166" s="90" t="str">
        <f t="shared" si="40"/>
        <v/>
      </c>
      <c r="AU166" s="90" t="str">
        <f t="shared" si="40"/>
        <v/>
      </c>
      <c r="AV166" s="90" t="str">
        <f t="shared" si="40"/>
        <v/>
      </c>
      <c r="AW166" s="90" t="str">
        <f t="shared" si="38"/>
        <v/>
      </c>
      <c r="AX166" s="90" t="str">
        <f t="shared" si="38"/>
        <v/>
      </c>
      <c r="AY166" s="90" t="str">
        <f t="shared" si="38"/>
        <v/>
      </c>
      <c r="AZ166" s="90" t="str">
        <f t="shared" si="38"/>
        <v/>
      </c>
      <c r="BA166" s="90" t="str">
        <f t="shared" si="38"/>
        <v/>
      </c>
      <c r="BB166" s="90" t="str">
        <f t="shared" si="38"/>
        <v/>
      </c>
      <c r="BC166" s="90" t="str">
        <f t="shared" si="38"/>
        <v/>
      </c>
    </row>
    <row r="167" spans="1:55" x14ac:dyDescent="0.25">
      <c r="A167" s="15" t="s">
        <v>51</v>
      </c>
      <c r="B167" s="16" t="s">
        <v>56</v>
      </c>
      <c r="C167" s="27" t="s">
        <v>57</v>
      </c>
      <c r="D167" s="16" t="s">
        <v>71</v>
      </c>
      <c r="E167" s="16"/>
      <c r="F167" s="1">
        <f t="shared" si="37"/>
        <v>0</v>
      </c>
      <c r="G167" s="1">
        <f t="shared" si="41"/>
        <v>0</v>
      </c>
      <c r="H167" s="1">
        <f t="shared" si="41"/>
        <v>0</v>
      </c>
      <c r="I167" s="1">
        <f t="shared" si="41"/>
        <v>0</v>
      </c>
      <c r="J167" s="1">
        <f t="shared" si="41"/>
        <v>0</v>
      </c>
      <c r="K167" s="1">
        <f t="shared" si="41"/>
        <v>0</v>
      </c>
      <c r="L167" s="52">
        <f t="shared" si="41"/>
        <v>0</v>
      </c>
      <c r="M167" s="1">
        <f t="shared" si="41"/>
        <v>0</v>
      </c>
      <c r="N167" s="1">
        <f t="shared" si="41"/>
        <v>0</v>
      </c>
      <c r="O167" s="1">
        <f t="shared" si="41"/>
        <v>0</v>
      </c>
      <c r="P167" s="1">
        <f t="shared" si="41"/>
        <v>0</v>
      </c>
      <c r="Q167" s="1">
        <f t="shared" si="41"/>
        <v>0</v>
      </c>
      <c r="R167" s="1">
        <f t="shared" si="41"/>
        <v>0</v>
      </c>
      <c r="S167" s="1">
        <f t="shared" si="41"/>
        <v>0</v>
      </c>
      <c r="T167" s="1">
        <f t="shared" si="41"/>
        <v>0</v>
      </c>
      <c r="U167" s="1">
        <f t="shared" si="41"/>
        <v>0</v>
      </c>
      <c r="V167" s="1">
        <f t="shared" si="41"/>
        <v>0</v>
      </c>
      <c r="W167" s="1">
        <f t="shared" si="41"/>
        <v>0</v>
      </c>
      <c r="X167" s="54">
        <f t="shared" si="41"/>
        <v>0</v>
      </c>
      <c r="Y167" s="58">
        <f t="shared" si="41"/>
        <v>0</v>
      </c>
      <c r="Z167" s="1">
        <f t="shared" si="41"/>
        <v>0</v>
      </c>
      <c r="AA167" s="1">
        <f t="shared" si="41"/>
        <v>0</v>
      </c>
      <c r="AC167" s="15" t="s">
        <v>51</v>
      </c>
      <c r="AD167" s="16" t="s">
        <v>56</v>
      </c>
      <c r="AE167" s="27" t="s">
        <v>57</v>
      </c>
      <c r="AF167" s="16" t="s">
        <v>71</v>
      </c>
      <c r="AG167" s="16"/>
      <c r="AH167" s="90" t="str">
        <f t="shared" si="40"/>
        <v/>
      </c>
      <c r="AI167" s="90" t="str">
        <f t="shared" si="40"/>
        <v/>
      </c>
      <c r="AJ167" s="90" t="str">
        <f t="shared" si="40"/>
        <v/>
      </c>
      <c r="AK167" s="90" t="str">
        <f t="shared" si="40"/>
        <v/>
      </c>
      <c r="AL167" s="90" t="str">
        <f t="shared" si="40"/>
        <v/>
      </c>
      <c r="AM167" s="90" t="str">
        <f t="shared" si="40"/>
        <v/>
      </c>
      <c r="AN167" s="90" t="str">
        <f t="shared" si="40"/>
        <v/>
      </c>
      <c r="AO167" s="90" t="str">
        <f t="shared" si="40"/>
        <v/>
      </c>
      <c r="AP167" s="90" t="str">
        <f t="shared" si="40"/>
        <v/>
      </c>
      <c r="AQ167" s="90" t="str">
        <f t="shared" si="40"/>
        <v/>
      </c>
      <c r="AR167" s="90" t="str">
        <f t="shared" si="40"/>
        <v/>
      </c>
      <c r="AS167" s="90" t="str">
        <f t="shared" si="40"/>
        <v/>
      </c>
      <c r="AT167" s="90" t="str">
        <f t="shared" si="40"/>
        <v/>
      </c>
      <c r="AU167" s="90" t="str">
        <f t="shared" si="40"/>
        <v/>
      </c>
      <c r="AV167" s="90" t="str">
        <f t="shared" si="40"/>
        <v/>
      </c>
      <c r="AW167" s="90" t="str">
        <f t="shared" si="38"/>
        <v/>
      </c>
      <c r="AX167" s="90" t="str">
        <f t="shared" si="38"/>
        <v/>
      </c>
      <c r="AY167" s="90" t="str">
        <f t="shared" si="38"/>
        <v/>
      </c>
      <c r="AZ167" s="90" t="str">
        <f t="shared" si="38"/>
        <v/>
      </c>
      <c r="BA167" s="90" t="str">
        <f t="shared" si="38"/>
        <v/>
      </c>
      <c r="BB167" s="90" t="str">
        <f t="shared" si="38"/>
        <v/>
      </c>
      <c r="BC167" s="90" t="str">
        <f t="shared" si="38"/>
        <v/>
      </c>
    </row>
    <row r="168" spans="1:55" x14ac:dyDescent="0.25">
      <c r="A168" s="15" t="s">
        <v>51</v>
      </c>
      <c r="B168" s="16" t="s">
        <v>56</v>
      </c>
      <c r="C168" s="27" t="s">
        <v>27</v>
      </c>
      <c r="D168" s="16" t="s">
        <v>72</v>
      </c>
      <c r="E168" s="16"/>
      <c r="F168" s="1">
        <f t="shared" si="37"/>
        <v>0</v>
      </c>
      <c r="G168" s="1">
        <f t="shared" si="41"/>
        <v>0</v>
      </c>
      <c r="H168" s="1">
        <f t="shared" si="41"/>
        <v>0</v>
      </c>
      <c r="I168" s="1">
        <f t="shared" si="41"/>
        <v>0</v>
      </c>
      <c r="J168" s="1">
        <f t="shared" si="41"/>
        <v>0</v>
      </c>
      <c r="K168" s="1">
        <f t="shared" si="41"/>
        <v>0</v>
      </c>
      <c r="L168" s="52">
        <f t="shared" si="41"/>
        <v>0</v>
      </c>
      <c r="M168" s="1">
        <f t="shared" si="41"/>
        <v>0</v>
      </c>
      <c r="N168" s="1">
        <f t="shared" si="41"/>
        <v>0</v>
      </c>
      <c r="O168" s="1">
        <f t="shared" si="41"/>
        <v>0</v>
      </c>
      <c r="P168" s="1">
        <f t="shared" si="41"/>
        <v>0</v>
      </c>
      <c r="Q168" s="1">
        <f t="shared" si="41"/>
        <v>0</v>
      </c>
      <c r="R168" s="1">
        <f t="shared" si="41"/>
        <v>0</v>
      </c>
      <c r="S168" s="1">
        <f t="shared" si="41"/>
        <v>0</v>
      </c>
      <c r="T168" s="1">
        <f t="shared" si="41"/>
        <v>0</v>
      </c>
      <c r="U168" s="1">
        <f t="shared" si="41"/>
        <v>0</v>
      </c>
      <c r="V168" s="1">
        <f t="shared" si="41"/>
        <v>0</v>
      </c>
      <c r="W168" s="1">
        <f t="shared" si="41"/>
        <v>0</v>
      </c>
      <c r="X168" s="54">
        <f t="shared" si="41"/>
        <v>0</v>
      </c>
      <c r="Y168" s="58">
        <f t="shared" si="41"/>
        <v>0</v>
      </c>
      <c r="Z168" s="1">
        <f t="shared" si="41"/>
        <v>0</v>
      </c>
      <c r="AA168" s="1">
        <f t="shared" si="41"/>
        <v>0</v>
      </c>
      <c r="AC168" s="15" t="s">
        <v>51</v>
      </c>
      <c r="AD168" s="16" t="s">
        <v>56</v>
      </c>
      <c r="AE168" s="27" t="s">
        <v>27</v>
      </c>
      <c r="AF168" s="16" t="s">
        <v>72</v>
      </c>
      <c r="AG168" s="16"/>
      <c r="AH168" s="90" t="str">
        <f t="shared" si="40"/>
        <v/>
      </c>
      <c r="AI168" s="90" t="str">
        <f t="shared" si="40"/>
        <v/>
      </c>
      <c r="AJ168" s="90" t="str">
        <f t="shared" si="40"/>
        <v/>
      </c>
      <c r="AK168" s="90" t="str">
        <f t="shared" si="40"/>
        <v/>
      </c>
      <c r="AL168" s="90" t="str">
        <f t="shared" si="40"/>
        <v/>
      </c>
      <c r="AM168" s="90" t="str">
        <f t="shared" si="40"/>
        <v/>
      </c>
      <c r="AN168" s="90" t="str">
        <f t="shared" si="40"/>
        <v/>
      </c>
      <c r="AO168" s="90" t="str">
        <f t="shared" si="40"/>
        <v/>
      </c>
      <c r="AP168" s="90" t="str">
        <f t="shared" si="40"/>
        <v/>
      </c>
      <c r="AQ168" s="90" t="str">
        <f t="shared" si="40"/>
        <v/>
      </c>
      <c r="AR168" s="90" t="str">
        <f t="shared" si="40"/>
        <v/>
      </c>
      <c r="AS168" s="90" t="str">
        <f t="shared" si="40"/>
        <v/>
      </c>
      <c r="AT168" s="90" t="str">
        <f t="shared" si="40"/>
        <v/>
      </c>
      <c r="AU168" s="90" t="str">
        <f t="shared" si="40"/>
        <v/>
      </c>
      <c r="AV168" s="90" t="str">
        <f t="shared" si="40"/>
        <v/>
      </c>
      <c r="AW168" s="90" t="str">
        <f t="shared" si="38"/>
        <v/>
      </c>
      <c r="AX168" s="90" t="str">
        <f t="shared" si="38"/>
        <v/>
      </c>
      <c r="AY168" s="90" t="str">
        <f t="shared" si="38"/>
        <v/>
      </c>
      <c r="AZ168" s="90" t="str">
        <f t="shared" si="38"/>
        <v/>
      </c>
      <c r="BA168" s="90" t="str">
        <f t="shared" si="38"/>
        <v/>
      </c>
      <c r="BB168" s="90" t="str">
        <f t="shared" si="38"/>
        <v/>
      </c>
      <c r="BC168" s="90" t="str">
        <f t="shared" si="38"/>
        <v/>
      </c>
    </row>
    <row r="169" spans="1:55" x14ac:dyDescent="0.25">
      <c r="A169" s="15" t="s">
        <v>51</v>
      </c>
      <c r="B169" s="16" t="s">
        <v>56</v>
      </c>
      <c r="C169" s="27" t="s">
        <v>57</v>
      </c>
      <c r="D169" s="16" t="s">
        <v>73</v>
      </c>
      <c r="E169" s="16"/>
      <c r="F169" s="1">
        <f t="shared" si="37"/>
        <v>0</v>
      </c>
      <c r="G169" s="1">
        <f t="shared" si="41"/>
        <v>0</v>
      </c>
      <c r="H169" s="1">
        <f t="shared" si="41"/>
        <v>0</v>
      </c>
      <c r="I169" s="1">
        <f t="shared" si="41"/>
        <v>0</v>
      </c>
      <c r="J169" s="1">
        <f t="shared" si="41"/>
        <v>0</v>
      </c>
      <c r="K169" s="1">
        <f t="shared" si="41"/>
        <v>0</v>
      </c>
      <c r="L169" s="52">
        <f t="shared" si="41"/>
        <v>0</v>
      </c>
      <c r="M169" s="1">
        <f t="shared" si="41"/>
        <v>0</v>
      </c>
      <c r="N169" s="1">
        <f t="shared" si="41"/>
        <v>0</v>
      </c>
      <c r="O169" s="1">
        <f t="shared" si="41"/>
        <v>0</v>
      </c>
      <c r="P169" s="1">
        <f t="shared" si="41"/>
        <v>0</v>
      </c>
      <c r="Q169" s="1">
        <f t="shared" si="41"/>
        <v>0</v>
      </c>
      <c r="R169" s="1">
        <f t="shared" si="41"/>
        <v>0</v>
      </c>
      <c r="S169" s="1">
        <f t="shared" si="41"/>
        <v>0</v>
      </c>
      <c r="T169" s="1">
        <f t="shared" si="41"/>
        <v>0</v>
      </c>
      <c r="U169" s="1">
        <f t="shared" si="41"/>
        <v>0</v>
      </c>
      <c r="V169" s="1">
        <f t="shared" si="41"/>
        <v>0</v>
      </c>
      <c r="W169" s="1">
        <f t="shared" si="41"/>
        <v>0</v>
      </c>
      <c r="X169" s="54">
        <f t="shared" si="41"/>
        <v>0</v>
      </c>
      <c r="Y169" s="58">
        <f t="shared" si="41"/>
        <v>0</v>
      </c>
      <c r="Z169" s="1">
        <f t="shared" si="41"/>
        <v>0</v>
      </c>
      <c r="AA169" s="1">
        <f t="shared" si="41"/>
        <v>0</v>
      </c>
      <c r="AC169" s="15" t="s">
        <v>51</v>
      </c>
      <c r="AD169" s="16" t="s">
        <v>56</v>
      </c>
      <c r="AE169" s="27" t="s">
        <v>57</v>
      </c>
      <c r="AF169" s="16" t="s">
        <v>73</v>
      </c>
      <c r="AG169" s="16"/>
      <c r="AH169" s="90" t="str">
        <f t="shared" si="40"/>
        <v/>
      </c>
      <c r="AI169" s="90" t="str">
        <f t="shared" si="40"/>
        <v/>
      </c>
      <c r="AJ169" s="90" t="str">
        <f t="shared" si="40"/>
        <v/>
      </c>
      <c r="AK169" s="90" t="str">
        <f t="shared" si="40"/>
        <v/>
      </c>
      <c r="AL169" s="90" t="str">
        <f t="shared" si="40"/>
        <v/>
      </c>
      <c r="AM169" s="90" t="str">
        <f t="shared" si="40"/>
        <v/>
      </c>
      <c r="AN169" s="90" t="str">
        <f t="shared" si="40"/>
        <v/>
      </c>
      <c r="AO169" s="90" t="str">
        <f t="shared" si="40"/>
        <v/>
      </c>
      <c r="AP169" s="90" t="str">
        <f t="shared" si="40"/>
        <v/>
      </c>
      <c r="AQ169" s="90" t="str">
        <f t="shared" si="40"/>
        <v/>
      </c>
      <c r="AR169" s="90" t="str">
        <f t="shared" si="40"/>
        <v/>
      </c>
      <c r="AS169" s="90" t="str">
        <f t="shared" si="40"/>
        <v/>
      </c>
      <c r="AT169" s="90" t="str">
        <f t="shared" si="40"/>
        <v/>
      </c>
      <c r="AU169" s="90" t="str">
        <f t="shared" si="40"/>
        <v/>
      </c>
      <c r="AV169" s="90" t="str">
        <f t="shared" si="40"/>
        <v/>
      </c>
      <c r="AW169" s="90" t="str">
        <f t="shared" si="38"/>
        <v/>
      </c>
      <c r="AX169" s="90" t="str">
        <f t="shared" si="38"/>
        <v/>
      </c>
      <c r="AY169" s="90" t="str">
        <f t="shared" si="38"/>
        <v/>
      </c>
      <c r="AZ169" s="90" t="str">
        <f t="shared" si="38"/>
        <v/>
      </c>
      <c r="BA169" s="90" t="str">
        <f t="shared" si="38"/>
        <v/>
      </c>
      <c r="BB169" s="90" t="str">
        <f t="shared" si="38"/>
        <v/>
      </c>
      <c r="BC169" s="90" t="str">
        <f t="shared" si="38"/>
        <v/>
      </c>
    </row>
    <row r="170" spans="1:55" x14ac:dyDescent="0.25">
      <c r="A170" s="15" t="s">
        <v>51</v>
      </c>
      <c r="B170" s="16" t="s">
        <v>56</v>
      </c>
      <c r="C170" s="27" t="s">
        <v>57</v>
      </c>
      <c r="D170" s="16" t="s">
        <v>74</v>
      </c>
      <c r="E170" s="16"/>
      <c r="F170" s="1">
        <f t="shared" si="37"/>
        <v>0</v>
      </c>
      <c r="G170" s="1">
        <f t="shared" si="41"/>
        <v>0</v>
      </c>
      <c r="H170" s="1">
        <f t="shared" si="41"/>
        <v>0</v>
      </c>
      <c r="I170" s="1">
        <f t="shared" si="41"/>
        <v>0</v>
      </c>
      <c r="J170" s="1">
        <f t="shared" si="41"/>
        <v>0</v>
      </c>
      <c r="K170" s="1">
        <f t="shared" si="41"/>
        <v>0</v>
      </c>
      <c r="L170" s="52">
        <f t="shared" si="41"/>
        <v>0</v>
      </c>
      <c r="M170" s="1">
        <f t="shared" si="41"/>
        <v>0</v>
      </c>
      <c r="N170" s="1">
        <f t="shared" si="41"/>
        <v>0</v>
      </c>
      <c r="O170" s="1">
        <f t="shared" si="41"/>
        <v>0</v>
      </c>
      <c r="P170" s="1">
        <f t="shared" si="41"/>
        <v>0</v>
      </c>
      <c r="Q170" s="1">
        <f t="shared" si="41"/>
        <v>0</v>
      </c>
      <c r="R170" s="1">
        <f t="shared" si="41"/>
        <v>0</v>
      </c>
      <c r="S170" s="1">
        <f t="shared" si="41"/>
        <v>0</v>
      </c>
      <c r="T170" s="1">
        <f t="shared" si="41"/>
        <v>0</v>
      </c>
      <c r="U170" s="1">
        <f t="shared" si="41"/>
        <v>0</v>
      </c>
      <c r="V170" s="1">
        <f t="shared" si="41"/>
        <v>0</v>
      </c>
      <c r="W170" s="1">
        <f t="shared" si="41"/>
        <v>0</v>
      </c>
      <c r="X170" s="54">
        <f t="shared" si="41"/>
        <v>0</v>
      </c>
      <c r="Y170" s="58">
        <f t="shared" si="41"/>
        <v>0</v>
      </c>
      <c r="Z170" s="1">
        <f t="shared" si="41"/>
        <v>0</v>
      </c>
      <c r="AA170" s="1">
        <f t="shared" si="41"/>
        <v>0</v>
      </c>
      <c r="AC170" s="15" t="s">
        <v>51</v>
      </c>
      <c r="AD170" s="16" t="s">
        <v>56</v>
      </c>
      <c r="AE170" s="27" t="s">
        <v>57</v>
      </c>
      <c r="AF170" s="16" t="s">
        <v>74</v>
      </c>
      <c r="AG170" s="16"/>
      <c r="AH170" s="90" t="str">
        <f t="shared" si="40"/>
        <v/>
      </c>
      <c r="AI170" s="90" t="str">
        <f t="shared" si="40"/>
        <v/>
      </c>
      <c r="AJ170" s="90" t="str">
        <f t="shared" si="40"/>
        <v/>
      </c>
      <c r="AK170" s="90" t="str">
        <f t="shared" si="40"/>
        <v/>
      </c>
      <c r="AL170" s="90" t="str">
        <f t="shared" si="40"/>
        <v/>
      </c>
      <c r="AM170" s="90" t="str">
        <f t="shared" si="40"/>
        <v/>
      </c>
      <c r="AN170" s="90" t="str">
        <f t="shared" si="40"/>
        <v/>
      </c>
      <c r="AO170" s="90" t="str">
        <f t="shared" si="40"/>
        <v/>
      </c>
      <c r="AP170" s="90" t="str">
        <f t="shared" si="40"/>
        <v/>
      </c>
      <c r="AQ170" s="90" t="str">
        <f t="shared" si="40"/>
        <v/>
      </c>
      <c r="AR170" s="90" t="str">
        <f t="shared" si="40"/>
        <v/>
      </c>
      <c r="AS170" s="90" t="str">
        <f t="shared" si="40"/>
        <v/>
      </c>
      <c r="AT170" s="90" t="str">
        <f t="shared" si="40"/>
        <v/>
      </c>
      <c r="AU170" s="90" t="str">
        <f t="shared" si="40"/>
        <v/>
      </c>
      <c r="AV170" s="90" t="str">
        <f t="shared" si="40"/>
        <v/>
      </c>
      <c r="AW170" s="90" t="str">
        <f t="shared" si="38"/>
        <v/>
      </c>
      <c r="AX170" s="90" t="str">
        <f t="shared" si="38"/>
        <v/>
      </c>
      <c r="AY170" s="90" t="str">
        <f t="shared" si="38"/>
        <v/>
      </c>
      <c r="AZ170" s="90" t="str">
        <f t="shared" si="38"/>
        <v/>
      </c>
      <c r="BA170" s="90" t="str">
        <f t="shared" si="38"/>
        <v/>
      </c>
      <c r="BB170" s="90" t="str">
        <f t="shared" si="38"/>
        <v/>
      </c>
      <c r="BC170" s="90" t="str">
        <f t="shared" si="38"/>
        <v/>
      </c>
    </row>
    <row r="171" spans="1:55" x14ac:dyDescent="0.25">
      <c r="A171" s="30" t="s">
        <v>60</v>
      </c>
      <c r="B171" s="31" t="s">
        <v>13</v>
      </c>
      <c r="C171" s="32" t="s">
        <v>61</v>
      </c>
      <c r="D171" s="31" t="s">
        <v>75</v>
      </c>
      <c r="E171" s="31"/>
      <c r="F171" s="51">
        <f t="shared" ref="F171:K171" si="42">F156</f>
        <v>52.121212121212125</v>
      </c>
      <c r="G171" s="51">
        <f t="shared" si="42"/>
        <v>0</v>
      </c>
      <c r="H171" s="51">
        <f t="shared" si="42"/>
        <v>4.4780487804878053</v>
      </c>
      <c r="I171" s="51">
        <f t="shared" si="42"/>
        <v>29</v>
      </c>
      <c r="J171" s="51">
        <f t="shared" si="42"/>
        <v>23.25</v>
      </c>
      <c r="K171" s="51">
        <f t="shared" si="42"/>
        <v>29</v>
      </c>
      <c r="L171" s="52">
        <f t="shared" si="41"/>
        <v>0</v>
      </c>
      <c r="M171" s="51">
        <f t="shared" si="41"/>
        <v>400</v>
      </c>
      <c r="N171" s="51">
        <f t="shared" si="41"/>
        <v>0</v>
      </c>
      <c r="O171" s="51">
        <f t="shared" si="41"/>
        <v>0</v>
      </c>
      <c r="P171" s="51">
        <f t="shared" si="41"/>
        <v>0</v>
      </c>
      <c r="Q171" s="51">
        <f t="shared" si="41"/>
        <v>0</v>
      </c>
      <c r="R171" s="51">
        <f t="shared" si="41"/>
        <v>0</v>
      </c>
      <c r="S171" s="51">
        <f t="shared" si="41"/>
        <v>0</v>
      </c>
      <c r="T171" s="51">
        <f t="shared" si="41"/>
        <v>0</v>
      </c>
      <c r="U171" s="51">
        <f t="shared" si="41"/>
        <v>0</v>
      </c>
      <c r="V171" s="51">
        <f t="shared" si="41"/>
        <v>0</v>
      </c>
      <c r="W171" s="51">
        <f t="shared" si="41"/>
        <v>426</v>
      </c>
      <c r="X171" s="55">
        <f t="shared" si="41"/>
        <v>426</v>
      </c>
      <c r="Y171" s="59">
        <f t="shared" si="41"/>
        <v>9.3424485485114026</v>
      </c>
      <c r="Z171" s="51">
        <f t="shared" si="41"/>
        <v>421.7721156598912</v>
      </c>
      <c r="AA171" s="51">
        <f t="shared" si="41"/>
        <v>11.405678910368469</v>
      </c>
      <c r="AC171" s="30" t="s">
        <v>60</v>
      </c>
      <c r="AD171" s="31" t="s">
        <v>13</v>
      </c>
      <c r="AE171" s="32" t="s">
        <v>61</v>
      </c>
      <c r="AF171" s="31" t="s">
        <v>75</v>
      </c>
      <c r="AG171" s="31"/>
      <c r="AH171" s="1">
        <f t="shared" si="40"/>
        <v>7.4272742424242431</v>
      </c>
      <c r="AI171" s="1" t="str">
        <f t="shared" si="40"/>
        <v/>
      </c>
      <c r="AJ171" s="1">
        <f t="shared" si="40"/>
        <v>1.2878048780487805</v>
      </c>
      <c r="AK171" s="1">
        <f t="shared" si="40"/>
        <v>7.6544217687074827</v>
      </c>
      <c r="AL171" s="1">
        <f t="shared" si="40"/>
        <v>12.5</v>
      </c>
      <c r="AM171" s="1">
        <f t="shared" si="40"/>
        <v>8.3374999999999986</v>
      </c>
      <c r="AN171" s="52" t="str">
        <f t="shared" si="40"/>
        <v/>
      </c>
      <c r="AO171" s="1">
        <f t="shared" si="40"/>
        <v>162</v>
      </c>
      <c r="AP171" s="1" t="str">
        <f t="shared" si="40"/>
        <v/>
      </c>
      <c r="AQ171" s="1" t="str">
        <f t="shared" si="40"/>
        <v/>
      </c>
      <c r="AR171" s="1" t="str">
        <f t="shared" si="40"/>
        <v/>
      </c>
      <c r="AS171" s="1" t="str">
        <f t="shared" si="40"/>
        <v/>
      </c>
      <c r="AT171" s="1" t="str">
        <f t="shared" si="40"/>
        <v/>
      </c>
      <c r="AU171" s="1" t="str">
        <f t="shared" si="40"/>
        <v/>
      </c>
      <c r="AV171" s="1" t="str">
        <f t="shared" si="40"/>
        <v/>
      </c>
      <c r="AW171" s="1" t="str">
        <f t="shared" si="38"/>
        <v/>
      </c>
      <c r="AX171" s="1" t="str">
        <f t="shared" si="38"/>
        <v/>
      </c>
      <c r="AY171" s="1">
        <f t="shared" si="38"/>
        <v>255.6</v>
      </c>
      <c r="AZ171" s="1">
        <f t="shared" si="38"/>
        <v>213</v>
      </c>
      <c r="BA171" s="1">
        <f t="shared" si="38"/>
        <v>2.3487740958524816</v>
      </c>
      <c r="BB171" s="1">
        <f t="shared" si="38"/>
        <v>223.91525908960779</v>
      </c>
      <c r="BC171" s="1">
        <f t="shared" si="38"/>
        <v>3.4571878096642217</v>
      </c>
    </row>
    <row r="172" spans="1:55" x14ac:dyDescent="0.25">
      <c r="A172" s="30" t="s">
        <v>60</v>
      </c>
      <c r="B172" s="31" t="s">
        <v>13</v>
      </c>
      <c r="C172" s="32" t="s">
        <v>61</v>
      </c>
      <c r="D172" s="31" t="s">
        <v>76</v>
      </c>
      <c r="E172" s="31"/>
      <c r="F172" s="51">
        <f t="shared" ref="F172:K172" si="43">F156</f>
        <v>52.121212121212125</v>
      </c>
      <c r="G172" s="51">
        <f t="shared" si="43"/>
        <v>0</v>
      </c>
      <c r="H172" s="51">
        <f t="shared" si="43"/>
        <v>4.4780487804878053</v>
      </c>
      <c r="I172" s="51">
        <f t="shared" si="43"/>
        <v>29</v>
      </c>
      <c r="J172" s="51">
        <f t="shared" si="43"/>
        <v>23.25</v>
      </c>
      <c r="K172" s="51">
        <f t="shared" si="43"/>
        <v>29</v>
      </c>
      <c r="L172" s="52">
        <f t="shared" si="41"/>
        <v>0</v>
      </c>
      <c r="M172" s="51">
        <f t="shared" si="41"/>
        <v>400</v>
      </c>
      <c r="N172" s="51">
        <f t="shared" si="41"/>
        <v>900</v>
      </c>
      <c r="O172" s="51">
        <f>IF(O217&gt;0,O37/O217,0)</f>
        <v>10000</v>
      </c>
      <c r="P172" s="51">
        <f t="shared" si="41"/>
        <v>76923.076923076922</v>
      </c>
      <c r="Q172" s="51">
        <f t="shared" si="41"/>
        <v>0</v>
      </c>
      <c r="R172" s="51">
        <f>R156</f>
        <v>426</v>
      </c>
      <c r="S172" s="51">
        <f t="shared" si="41"/>
        <v>0</v>
      </c>
      <c r="T172" s="51">
        <f t="shared" si="41"/>
        <v>0</v>
      </c>
      <c r="U172" s="51">
        <f t="shared" si="41"/>
        <v>0</v>
      </c>
      <c r="V172" s="51">
        <f t="shared" si="41"/>
        <v>0</v>
      </c>
      <c r="W172" s="51">
        <f t="shared" si="41"/>
        <v>0</v>
      </c>
      <c r="X172" s="55">
        <f t="shared" si="41"/>
        <v>426</v>
      </c>
      <c r="Y172" s="59">
        <f t="shared" si="41"/>
        <v>37.095525156503598</v>
      </c>
      <c r="Z172" s="51">
        <f t="shared" si="41"/>
        <v>739.12410192179539</v>
      </c>
      <c r="AA172" s="51">
        <f t="shared" si="41"/>
        <v>82.485104685766245</v>
      </c>
      <c r="AC172" s="30" t="s">
        <v>60</v>
      </c>
      <c r="AD172" s="31" t="s">
        <v>13</v>
      </c>
      <c r="AE172" s="32" t="s">
        <v>61</v>
      </c>
      <c r="AF172" s="31" t="s">
        <v>76</v>
      </c>
      <c r="AG172" s="31"/>
      <c r="AH172" s="1">
        <f t="shared" si="40"/>
        <v>7.4272742424242431</v>
      </c>
      <c r="AI172" s="1" t="str">
        <f t="shared" si="40"/>
        <v/>
      </c>
      <c r="AJ172" s="1" t="str">
        <f t="shared" si="40"/>
        <v/>
      </c>
      <c r="AK172" s="1">
        <f t="shared" si="40"/>
        <v>7.6544217687074827</v>
      </c>
      <c r="AL172" s="1">
        <f t="shared" si="40"/>
        <v>12.5</v>
      </c>
      <c r="AM172" s="1">
        <f t="shared" si="40"/>
        <v>8.3374999999999986</v>
      </c>
      <c r="AN172" s="52" t="str">
        <f t="shared" si="40"/>
        <v/>
      </c>
      <c r="AO172" s="1">
        <f t="shared" si="40"/>
        <v>162</v>
      </c>
      <c r="AP172" s="1">
        <f t="shared" si="40"/>
        <v>273.75</v>
      </c>
      <c r="AQ172" s="1">
        <f t="shared" si="40"/>
        <v>4445</v>
      </c>
      <c r="AR172" s="1">
        <f t="shared" si="40"/>
        <v>17692.307692307691</v>
      </c>
      <c r="AS172" s="1" t="str">
        <f t="shared" si="40"/>
        <v/>
      </c>
      <c r="AT172" s="1">
        <f t="shared" si="40"/>
        <v>195.96</v>
      </c>
      <c r="AU172" s="1" t="str">
        <f t="shared" si="40"/>
        <v/>
      </c>
      <c r="AV172" s="1" t="str">
        <f t="shared" si="40"/>
        <v/>
      </c>
      <c r="AW172" s="1" t="str">
        <f t="shared" si="38"/>
        <v/>
      </c>
      <c r="AX172" s="1" t="str">
        <f t="shared" si="38"/>
        <v/>
      </c>
      <c r="AY172" s="1" t="str">
        <f t="shared" si="38"/>
        <v/>
      </c>
      <c r="AZ172" s="1">
        <f t="shared" si="38"/>
        <v>213</v>
      </c>
      <c r="BA172" s="1">
        <f t="shared" si="38"/>
        <v>9.3844894273127757</v>
      </c>
      <c r="BB172" s="1">
        <f t="shared" si="38"/>
        <v>267.95592261947041</v>
      </c>
      <c r="BC172" s="1">
        <f t="shared" si="38"/>
        <v>26.102396673978454</v>
      </c>
    </row>
    <row r="173" spans="1:55" x14ac:dyDescent="0.25">
      <c r="A173" s="30" t="s">
        <v>60</v>
      </c>
      <c r="B173" s="31" t="s">
        <v>13</v>
      </c>
      <c r="C173" s="32" t="s">
        <v>61</v>
      </c>
      <c r="D173" s="31" t="s">
        <v>77</v>
      </c>
      <c r="E173" s="31"/>
      <c r="F173" s="51">
        <f t="shared" ref="F173:K173" si="44">F156</f>
        <v>52.121212121212125</v>
      </c>
      <c r="G173" s="51">
        <f t="shared" si="44"/>
        <v>0</v>
      </c>
      <c r="H173" s="51">
        <f t="shared" si="44"/>
        <v>4.4780487804878053</v>
      </c>
      <c r="I173" s="51">
        <f t="shared" si="44"/>
        <v>29</v>
      </c>
      <c r="J173" s="51">
        <f t="shared" si="44"/>
        <v>23.25</v>
      </c>
      <c r="K173" s="51">
        <f t="shared" si="44"/>
        <v>29</v>
      </c>
      <c r="L173" s="52">
        <f t="shared" si="41"/>
        <v>0</v>
      </c>
      <c r="M173" s="51">
        <f t="shared" si="41"/>
        <v>400</v>
      </c>
      <c r="N173" s="51">
        <f t="shared" si="41"/>
        <v>0</v>
      </c>
      <c r="O173" s="51">
        <f t="shared" si="41"/>
        <v>10000.000000000002</v>
      </c>
      <c r="P173" s="51">
        <f t="shared" si="41"/>
        <v>76923.076923076922</v>
      </c>
      <c r="Q173" s="51">
        <f t="shared" si="41"/>
        <v>0</v>
      </c>
      <c r="R173" s="51">
        <f t="shared" si="41"/>
        <v>0</v>
      </c>
      <c r="S173" s="51">
        <f t="shared" si="41"/>
        <v>0</v>
      </c>
      <c r="T173" s="51">
        <f t="shared" si="41"/>
        <v>426</v>
      </c>
      <c r="U173" s="51">
        <f t="shared" si="41"/>
        <v>426</v>
      </c>
      <c r="V173" s="51">
        <f t="shared" si="41"/>
        <v>0</v>
      </c>
      <c r="W173" s="51">
        <f t="shared" si="41"/>
        <v>0</v>
      </c>
      <c r="X173" s="55">
        <f t="shared" si="41"/>
        <v>426</v>
      </c>
      <c r="Y173" s="59">
        <f t="shared" si="41"/>
        <v>28.999999999999996</v>
      </c>
      <c r="Z173" s="51">
        <f t="shared" si="41"/>
        <v>760.45096767895768</v>
      </c>
      <c r="AA173" s="51">
        <f t="shared" si="41"/>
        <v>686.25715355603245</v>
      </c>
      <c r="AC173" s="30" t="s">
        <v>60</v>
      </c>
      <c r="AD173" s="31" t="s">
        <v>13</v>
      </c>
      <c r="AE173" s="32" t="s">
        <v>61</v>
      </c>
      <c r="AF173" s="31" t="s">
        <v>77</v>
      </c>
      <c r="AG173" s="31"/>
      <c r="AH173" s="1" t="str">
        <f t="shared" ref="AH173:AV180" si="45">IF(F218&gt;0,F83/F218,"")</f>
        <v/>
      </c>
      <c r="AI173" s="1" t="str">
        <f t="shared" si="45"/>
        <v/>
      </c>
      <c r="AJ173" s="1" t="str">
        <f t="shared" si="45"/>
        <v/>
      </c>
      <c r="AK173" s="1" t="str">
        <f t="shared" si="45"/>
        <v/>
      </c>
      <c r="AL173" s="1" t="str">
        <f t="shared" si="45"/>
        <v/>
      </c>
      <c r="AM173" s="1">
        <f t="shared" si="45"/>
        <v>8.3374999999999986</v>
      </c>
      <c r="AN173" s="52" t="str">
        <f t="shared" si="45"/>
        <v/>
      </c>
      <c r="AO173" s="1">
        <f t="shared" si="45"/>
        <v>162</v>
      </c>
      <c r="AP173" s="1" t="str">
        <f t="shared" si="45"/>
        <v/>
      </c>
      <c r="AQ173" s="1">
        <f t="shared" si="45"/>
        <v>4445</v>
      </c>
      <c r="AR173" s="1">
        <f t="shared" si="45"/>
        <v>17692.307692307691</v>
      </c>
      <c r="AS173" s="1" t="str">
        <f t="shared" si="45"/>
        <v/>
      </c>
      <c r="AT173" s="1" t="str">
        <f t="shared" si="45"/>
        <v/>
      </c>
      <c r="AU173" s="1" t="str">
        <f t="shared" si="45"/>
        <v/>
      </c>
      <c r="AV173" s="1">
        <f t="shared" si="45"/>
        <v>204.48</v>
      </c>
      <c r="AW173" s="1">
        <f t="shared" si="38"/>
        <v>204.48</v>
      </c>
      <c r="AX173" s="1" t="str">
        <f t="shared" si="38"/>
        <v/>
      </c>
      <c r="AY173" s="1" t="str">
        <f t="shared" si="38"/>
        <v/>
      </c>
      <c r="AZ173" s="1">
        <f t="shared" si="38"/>
        <v>213</v>
      </c>
      <c r="BA173" s="1">
        <f t="shared" si="38"/>
        <v>8.3374999999999986</v>
      </c>
      <c r="BB173" s="1">
        <f t="shared" si="38"/>
        <v>291.03850712412486</v>
      </c>
      <c r="BC173" s="1">
        <f t="shared" si="38"/>
        <v>262.36308402435378</v>
      </c>
    </row>
    <row r="174" spans="1:55" x14ac:dyDescent="0.25">
      <c r="A174" s="30" t="s">
        <v>60</v>
      </c>
      <c r="B174" s="31" t="s">
        <v>13</v>
      </c>
      <c r="C174" s="32" t="s">
        <v>61</v>
      </c>
      <c r="D174" s="31" t="s">
        <v>78</v>
      </c>
      <c r="E174" s="31"/>
      <c r="F174" s="51">
        <f t="shared" ref="F174:K174" si="46">F156</f>
        <v>52.121212121212125</v>
      </c>
      <c r="G174" s="51">
        <f t="shared" si="46"/>
        <v>0</v>
      </c>
      <c r="H174" s="51">
        <f t="shared" si="46"/>
        <v>4.4780487804878053</v>
      </c>
      <c r="I174" s="51">
        <f t="shared" si="46"/>
        <v>29</v>
      </c>
      <c r="J174" s="51">
        <f t="shared" si="46"/>
        <v>23.25</v>
      </c>
      <c r="K174" s="51">
        <f t="shared" si="46"/>
        <v>29</v>
      </c>
      <c r="L174" s="52">
        <f t="shared" si="41"/>
        <v>0</v>
      </c>
      <c r="M174" s="51">
        <f t="shared" si="41"/>
        <v>0</v>
      </c>
      <c r="N174" s="51">
        <f t="shared" si="41"/>
        <v>0</v>
      </c>
      <c r="O174" s="51">
        <f t="shared" si="41"/>
        <v>0</v>
      </c>
      <c r="P174" s="51">
        <f t="shared" si="41"/>
        <v>76923.076923076922</v>
      </c>
      <c r="Q174" s="51">
        <f t="shared" si="41"/>
        <v>940</v>
      </c>
      <c r="R174" s="51">
        <f t="shared" si="41"/>
        <v>0</v>
      </c>
      <c r="S174" s="51">
        <f t="shared" si="41"/>
        <v>0</v>
      </c>
      <c r="T174" s="51">
        <f t="shared" si="41"/>
        <v>0</v>
      </c>
      <c r="U174" s="51">
        <f t="shared" si="41"/>
        <v>0</v>
      </c>
      <c r="V174" s="51">
        <f t="shared" si="41"/>
        <v>0</v>
      </c>
      <c r="W174" s="51">
        <f t="shared" si="41"/>
        <v>0</v>
      </c>
      <c r="X174" s="55">
        <f t="shared" si="41"/>
        <v>426</v>
      </c>
      <c r="Y174" s="59">
        <f t="shared" si="41"/>
        <v>28.999999999999996</v>
      </c>
      <c r="Z174" s="51">
        <f t="shared" si="41"/>
        <v>858.3477075965634</v>
      </c>
      <c r="AA174" s="51">
        <f t="shared" si="41"/>
        <v>272.46306695504393</v>
      </c>
      <c r="AC174" s="30" t="s">
        <v>60</v>
      </c>
      <c r="AD174" s="31" t="s">
        <v>13</v>
      </c>
      <c r="AE174" s="32" t="s">
        <v>61</v>
      </c>
      <c r="AF174" s="31" t="s">
        <v>78</v>
      </c>
      <c r="AG174" s="31"/>
      <c r="AH174" s="1" t="str">
        <f t="shared" si="45"/>
        <v/>
      </c>
      <c r="AI174" s="1" t="str">
        <f t="shared" si="45"/>
        <v/>
      </c>
      <c r="AJ174" s="1" t="str">
        <f t="shared" si="45"/>
        <v/>
      </c>
      <c r="AK174" s="1">
        <f t="shared" si="45"/>
        <v>7.6544217687074827</v>
      </c>
      <c r="AL174" s="1" t="str">
        <f t="shared" si="45"/>
        <v/>
      </c>
      <c r="AM174" s="1">
        <f t="shared" si="45"/>
        <v>8.3374999999999986</v>
      </c>
      <c r="AN174" s="52" t="str">
        <f t="shared" si="45"/>
        <v/>
      </c>
      <c r="AO174" s="1" t="str">
        <f t="shared" si="45"/>
        <v/>
      </c>
      <c r="AP174" s="1" t="str">
        <f t="shared" si="45"/>
        <v/>
      </c>
      <c r="AQ174" s="1" t="str">
        <f t="shared" si="45"/>
        <v/>
      </c>
      <c r="AR174" s="1">
        <f t="shared" si="45"/>
        <v>17692.307692307691</v>
      </c>
      <c r="AS174" s="1">
        <f t="shared" si="45"/>
        <v>470</v>
      </c>
      <c r="AT174" s="1" t="str">
        <f t="shared" si="45"/>
        <v/>
      </c>
      <c r="AU174" s="1" t="str">
        <f t="shared" si="45"/>
        <v/>
      </c>
      <c r="AV174" s="1" t="str">
        <f t="shared" si="45"/>
        <v/>
      </c>
      <c r="AW174" s="1" t="str">
        <f t="shared" si="38"/>
        <v/>
      </c>
      <c r="AX174" s="1" t="str">
        <f t="shared" si="38"/>
        <v/>
      </c>
      <c r="AY174" s="1" t="str">
        <f t="shared" si="38"/>
        <v/>
      </c>
      <c r="AZ174" s="1">
        <f t="shared" si="38"/>
        <v>213</v>
      </c>
      <c r="BA174" s="1">
        <f t="shared" si="38"/>
        <v>7.800534759358289</v>
      </c>
      <c r="BB174" s="1">
        <f t="shared" si="38"/>
        <v>328.41129681955471</v>
      </c>
      <c r="BC174" s="1">
        <f t="shared" si="38"/>
        <v>101.91893493698326</v>
      </c>
    </row>
    <row r="175" spans="1:55" ht="15.75" thickBot="1" x14ac:dyDescent="0.3">
      <c r="A175" s="33" t="s">
        <v>60</v>
      </c>
      <c r="B175" s="34" t="s">
        <v>13</v>
      </c>
      <c r="C175" s="35" t="s">
        <v>61</v>
      </c>
      <c r="D175" s="34" t="s">
        <v>79</v>
      </c>
      <c r="E175" s="31"/>
      <c r="F175" s="51">
        <f>F156</f>
        <v>52.121212121212125</v>
      </c>
      <c r="G175" s="51">
        <f t="shared" ref="G175:K176" si="47">G156</f>
        <v>0</v>
      </c>
      <c r="H175" s="51">
        <f t="shared" si="47"/>
        <v>4.4780487804878053</v>
      </c>
      <c r="I175" s="51">
        <f t="shared" si="47"/>
        <v>29</v>
      </c>
      <c r="J175" s="51">
        <f t="shared" si="47"/>
        <v>23.25</v>
      </c>
      <c r="K175" s="51">
        <f t="shared" si="47"/>
        <v>29</v>
      </c>
      <c r="L175" s="52">
        <f t="shared" si="41"/>
        <v>0</v>
      </c>
      <c r="M175" s="51">
        <f t="shared" si="41"/>
        <v>0</v>
      </c>
      <c r="N175" s="51">
        <f t="shared" si="41"/>
        <v>0</v>
      </c>
      <c r="O175" s="51">
        <f t="shared" si="41"/>
        <v>0</v>
      </c>
      <c r="P175" s="51">
        <f t="shared" si="41"/>
        <v>0</v>
      </c>
      <c r="Q175" s="51">
        <f t="shared" si="41"/>
        <v>0</v>
      </c>
      <c r="R175" s="51">
        <f t="shared" si="41"/>
        <v>0</v>
      </c>
      <c r="S175" s="51">
        <f t="shared" si="41"/>
        <v>0</v>
      </c>
      <c r="T175" s="51">
        <f t="shared" si="41"/>
        <v>0</v>
      </c>
      <c r="U175" s="51">
        <f t="shared" si="41"/>
        <v>0</v>
      </c>
      <c r="V175" s="51">
        <f t="shared" si="41"/>
        <v>0</v>
      </c>
      <c r="W175" s="51">
        <f t="shared" si="41"/>
        <v>0</v>
      </c>
      <c r="X175" s="55">
        <f t="shared" si="41"/>
        <v>0</v>
      </c>
      <c r="Y175" s="59">
        <f t="shared" si="41"/>
        <v>0</v>
      </c>
      <c r="Z175" s="51">
        <f t="shared" si="41"/>
        <v>0</v>
      </c>
      <c r="AA175" s="51">
        <f t="shared" si="41"/>
        <v>0</v>
      </c>
      <c r="AC175" s="33" t="s">
        <v>60</v>
      </c>
      <c r="AD175" s="34" t="s">
        <v>13</v>
      </c>
      <c r="AE175" s="35" t="s">
        <v>61</v>
      </c>
      <c r="AF175" s="34" t="s">
        <v>79</v>
      </c>
      <c r="AG175" s="31"/>
      <c r="AH175" s="1" t="str">
        <f t="shared" si="45"/>
        <v/>
      </c>
      <c r="AI175" s="1" t="str">
        <f t="shared" si="45"/>
        <v/>
      </c>
      <c r="AJ175" s="1" t="str">
        <f t="shared" si="45"/>
        <v/>
      </c>
      <c r="AK175" s="1" t="str">
        <f t="shared" si="45"/>
        <v/>
      </c>
      <c r="AL175" s="1" t="str">
        <f t="shared" si="45"/>
        <v/>
      </c>
      <c r="AM175" s="1" t="str">
        <f t="shared" si="45"/>
        <v/>
      </c>
      <c r="AN175" s="52" t="str">
        <f t="shared" si="45"/>
        <v/>
      </c>
      <c r="AO175" s="1" t="str">
        <f t="shared" si="45"/>
        <v/>
      </c>
      <c r="AP175" s="1" t="str">
        <f t="shared" si="45"/>
        <v/>
      </c>
      <c r="AQ175" s="1" t="str">
        <f t="shared" si="45"/>
        <v/>
      </c>
      <c r="AR175" s="1" t="str">
        <f t="shared" si="45"/>
        <v/>
      </c>
      <c r="AS175" s="1" t="str">
        <f t="shared" si="45"/>
        <v/>
      </c>
      <c r="AT175" s="1" t="str">
        <f t="shared" si="45"/>
        <v/>
      </c>
      <c r="AU175" s="1" t="str">
        <f t="shared" si="45"/>
        <v/>
      </c>
      <c r="AV175" s="1" t="str">
        <f t="shared" si="45"/>
        <v/>
      </c>
      <c r="AW175" s="1" t="str">
        <f t="shared" si="38"/>
        <v/>
      </c>
      <c r="AX175" s="1" t="str">
        <f t="shared" si="38"/>
        <v/>
      </c>
      <c r="AY175" s="1" t="str">
        <f t="shared" si="38"/>
        <v/>
      </c>
      <c r="AZ175" s="1" t="str">
        <f t="shared" si="38"/>
        <v/>
      </c>
      <c r="BA175" s="1" t="str">
        <f t="shared" si="38"/>
        <v/>
      </c>
      <c r="BB175" s="1" t="str">
        <f t="shared" si="38"/>
        <v/>
      </c>
      <c r="BC175" s="1" t="str">
        <f t="shared" si="38"/>
        <v/>
      </c>
    </row>
    <row r="176" spans="1:55" x14ac:dyDescent="0.25">
      <c r="A176" s="30" t="s">
        <v>60</v>
      </c>
      <c r="B176" s="31" t="s">
        <v>13</v>
      </c>
      <c r="C176" s="32" t="s">
        <v>62</v>
      </c>
      <c r="D176" s="31" t="s">
        <v>75</v>
      </c>
      <c r="E176" s="31"/>
      <c r="F176" s="51">
        <f>F157</f>
        <v>52.121212121212125</v>
      </c>
      <c r="G176" s="51">
        <f t="shared" si="47"/>
        <v>27.05314009661836</v>
      </c>
      <c r="H176" s="51">
        <f t="shared" si="47"/>
        <v>5.4731707317073175</v>
      </c>
      <c r="I176" s="51">
        <f t="shared" si="47"/>
        <v>20</v>
      </c>
      <c r="J176" s="51">
        <f t="shared" si="47"/>
        <v>0</v>
      </c>
      <c r="K176" s="51">
        <f t="shared" si="47"/>
        <v>0</v>
      </c>
      <c r="L176" s="52">
        <f t="shared" si="41"/>
        <v>0</v>
      </c>
      <c r="M176" s="51">
        <f t="shared" si="41"/>
        <v>0</v>
      </c>
      <c r="N176" s="51">
        <f t="shared" si="41"/>
        <v>0</v>
      </c>
      <c r="O176" s="51">
        <f t="shared" si="41"/>
        <v>0</v>
      </c>
      <c r="P176" s="51">
        <f t="shared" si="41"/>
        <v>0</v>
      </c>
      <c r="Q176" s="51">
        <f t="shared" si="41"/>
        <v>0</v>
      </c>
      <c r="R176" s="51">
        <f t="shared" si="41"/>
        <v>0</v>
      </c>
      <c r="S176" s="51">
        <f t="shared" si="41"/>
        <v>0</v>
      </c>
      <c r="T176" s="51">
        <f t="shared" si="41"/>
        <v>0</v>
      </c>
      <c r="U176" s="51">
        <f t="shared" si="41"/>
        <v>0</v>
      </c>
      <c r="V176" s="51">
        <f t="shared" si="41"/>
        <v>0</v>
      </c>
      <c r="W176" s="51">
        <f t="shared" si="41"/>
        <v>0</v>
      </c>
      <c r="X176" s="55">
        <f t="shared" si="41"/>
        <v>0</v>
      </c>
      <c r="Y176" s="59">
        <f t="shared" si="41"/>
        <v>12.713128038897894</v>
      </c>
      <c r="Z176" s="51">
        <f t="shared" si="41"/>
        <v>0</v>
      </c>
      <c r="AA176" s="51">
        <f t="shared" si="41"/>
        <v>12.713128038897894</v>
      </c>
      <c r="AC176" s="30" t="s">
        <v>60</v>
      </c>
      <c r="AD176" s="31" t="s">
        <v>13</v>
      </c>
      <c r="AE176" s="32" t="s">
        <v>62</v>
      </c>
      <c r="AF176" s="31" t="s">
        <v>75</v>
      </c>
      <c r="AG176" s="31"/>
      <c r="AH176" s="1" t="str">
        <f t="shared" si="45"/>
        <v/>
      </c>
      <c r="AI176" s="1">
        <f t="shared" si="45"/>
        <v>6.7439318328410902</v>
      </c>
      <c r="AJ176" s="1">
        <f t="shared" si="45"/>
        <v>1.9317073170731707</v>
      </c>
      <c r="AK176" s="1" t="str">
        <f t="shared" si="45"/>
        <v/>
      </c>
      <c r="AL176" s="1" t="str">
        <f t="shared" si="45"/>
        <v/>
      </c>
      <c r="AM176" s="1" t="str">
        <f t="shared" si="45"/>
        <v/>
      </c>
      <c r="AN176" s="52" t="str">
        <f t="shared" si="45"/>
        <v/>
      </c>
      <c r="AO176" s="1" t="str">
        <f t="shared" si="45"/>
        <v/>
      </c>
      <c r="AP176" s="1" t="str">
        <f t="shared" si="45"/>
        <v/>
      </c>
      <c r="AQ176" s="1" t="str">
        <f t="shared" si="45"/>
        <v/>
      </c>
      <c r="AR176" s="1" t="str">
        <f t="shared" si="45"/>
        <v/>
      </c>
      <c r="AS176" s="1" t="str">
        <f t="shared" si="45"/>
        <v/>
      </c>
      <c r="AT176" s="1" t="str">
        <f t="shared" si="45"/>
        <v/>
      </c>
      <c r="AU176" s="1" t="str">
        <f t="shared" si="45"/>
        <v/>
      </c>
      <c r="AV176" s="1" t="str">
        <f t="shared" si="45"/>
        <v/>
      </c>
      <c r="AW176" s="1" t="str">
        <f t="shared" si="38"/>
        <v/>
      </c>
      <c r="AX176" s="1" t="str">
        <f t="shared" si="38"/>
        <v/>
      </c>
      <c r="AY176" s="1" t="str">
        <f t="shared" si="38"/>
        <v/>
      </c>
      <c r="AZ176" s="1" t="str">
        <f t="shared" si="38"/>
        <v/>
      </c>
      <c r="BA176" s="1">
        <f t="shared" si="38"/>
        <v>3.546181344243283</v>
      </c>
      <c r="BB176" s="1" t="str">
        <f t="shared" si="38"/>
        <v/>
      </c>
      <c r="BC176" s="1">
        <f t="shared" si="38"/>
        <v>3.546181344243283</v>
      </c>
    </row>
    <row r="177" spans="1:55" x14ac:dyDescent="0.25">
      <c r="A177" s="30" t="s">
        <v>60</v>
      </c>
      <c r="B177" s="31" t="s">
        <v>13</v>
      </c>
      <c r="C177" s="32" t="s">
        <v>62</v>
      </c>
      <c r="D177" s="31" t="s">
        <v>76</v>
      </c>
      <c r="E177" s="31"/>
      <c r="F177" s="51">
        <f t="shared" ref="F177:K177" si="48">F157</f>
        <v>52.121212121212125</v>
      </c>
      <c r="G177" s="51">
        <f t="shared" si="48"/>
        <v>27.05314009661836</v>
      </c>
      <c r="H177" s="51">
        <f t="shared" si="48"/>
        <v>5.4731707317073175</v>
      </c>
      <c r="I177" s="51">
        <f t="shared" si="48"/>
        <v>20</v>
      </c>
      <c r="J177" s="51">
        <f t="shared" si="48"/>
        <v>0</v>
      </c>
      <c r="K177" s="51">
        <f t="shared" si="48"/>
        <v>0</v>
      </c>
      <c r="L177" s="52">
        <f t="shared" si="41"/>
        <v>0</v>
      </c>
      <c r="M177" s="51">
        <f t="shared" si="41"/>
        <v>0</v>
      </c>
      <c r="N177" s="51">
        <f t="shared" si="41"/>
        <v>0</v>
      </c>
      <c r="O177" s="51">
        <f t="shared" si="41"/>
        <v>0</v>
      </c>
      <c r="P177" s="51">
        <f t="shared" si="41"/>
        <v>76923.076923076922</v>
      </c>
      <c r="Q177" s="51">
        <f t="shared" si="41"/>
        <v>0</v>
      </c>
      <c r="R177" s="51">
        <f t="shared" si="41"/>
        <v>0</v>
      </c>
      <c r="S177" s="51">
        <f t="shared" si="41"/>
        <v>0</v>
      </c>
      <c r="T177" s="51">
        <f t="shared" si="41"/>
        <v>0</v>
      </c>
      <c r="U177" s="51">
        <f t="shared" si="41"/>
        <v>0</v>
      </c>
      <c r="V177" s="51">
        <f t="shared" si="41"/>
        <v>0</v>
      </c>
      <c r="W177" s="51">
        <f t="shared" si="41"/>
        <v>0</v>
      </c>
      <c r="X177" s="55">
        <f t="shared" si="41"/>
        <v>0</v>
      </c>
      <c r="Y177" s="59">
        <f t="shared" si="41"/>
        <v>9.4176685833768943</v>
      </c>
      <c r="Z177" s="51">
        <f t="shared" si="41"/>
        <v>76923.076923076922</v>
      </c>
      <c r="AA177" s="51">
        <f t="shared" si="41"/>
        <v>19.869751105443065</v>
      </c>
      <c r="AC177" s="30" t="s">
        <v>60</v>
      </c>
      <c r="AD177" s="31" t="s">
        <v>13</v>
      </c>
      <c r="AE177" s="32" t="s">
        <v>62</v>
      </c>
      <c r="AF177" s="31" t="s">
        <v>76</v>
      </c>
      <c r="AG177" s="31"/>
      <c r="AH177" s="1">
        <f t="shared" si="45"/>
        <v>15.607030303030305</v>
      </c>
      <c r="AI177" s="1">
        <f t="shared" si="45"/>
        <v>6.7439318328410902</v>
      </c>
      <c r="AJ177" s="1">
        <f t="shared" si="45"/>
        <v>1.9317073170731707</v>
      </c>
      <c r="AK177" s="1" t="str">
        <f t="shared" si="45"/>
        <v/>
      </c>
      <c r="AL177" s="1" t="str">
        <f t="shared" si="45"/>
        <v/>
      </c>
      <c r="AM177" s="1" t="str">
        <f t="shared" si="45"/>
        <v/>
      </c>
      <c r="AN177" s="52" t="str">
        <f t="shared" si="45"/>
        <v/>
      </c>
      <c r="AO177" s="1" t="str">
        <f t="shared" si="45"/>
        <v/>
      </c>
      <c r="AP177" s="1" t="str">
        <f t="shared" si="45"/>
        <v/>
      </c>
      <c r="AQ177" s="1" t="str">
        <f t="shared" si="45"/>
        <v/>
      </c>
      <c r="AR177" s="1">
        <f t="shared" si="45"/>
        <v>17692.307692307691</v>
      </c>
      <c r="AS177" s="1" t="str">
        <f t="shared" si="45"/>
        <v/>
      </c>
      <c r="AT177" s="1" t="str">
        <f t="shared" si="45"/>
        <v/>
      </c>
      <c r="AU177" s="1" t="str">
        <f t="shared" si="45"/>
        <v/>
      </c>
      <c r="AV177" s="1" t="str">
        <f t="shared" si="45"/>
        <v/>
      </c>
      <c r="AW177" s="1" t="str">
        <f t="shared" si="38"/>
        <v/>
      </c>
      <c r="AX177" s="1" t="str">
        <f t="shared" si="38"/>
        <v/>
      </c>
      <c r="AY177" s="1" t="str">
        <f t="shared" si="38"/>
        <v/>
      </c>
      <c r="AZ177" s="1" t="str">
        <f t="shared" si="38"/>
        <v/>
      </c>
      <c r="BA177" s="1">
        <f t="shared" si="38"/>
        <v>2.9242330838463699</v>
      </c>
      <c r="BB177" s="1">
        <f t="shared" si="38"/>
        <v>17692.307692307691</v>
      </c>
      <c r="BC177" s="1">
        <f t="shared" si="38"/>
        <v>5.3281090334811294</v>
      </c>
    </row>
    <row r="178" spans="1:55" x14ac:dyDescent="0.25">
      <c r="A178" s="30" t="s">
        <v>60</v>
      </c>
      <c r="B178" s="31" t="s">
        <v>13</v>
      </c>
      <c r="C178" s="32" t="s">
        <v>62</v>
      </c>
      <c r="D178" s="31" t="s">
        <v>77</v>
      </c>
      <c r="E178" s="31"/>
      <c r="F178" s="51">
        <f t="shared" ref="F178:K178" si="49">F157</f>
        <v>52.121212121212125</v>
      </c>
      <c r="G178" s="51">
        <f t="shared" si="49"/>
        <v>27.05314009661836</v>
      </c>
      <c r="H178" s="51">
        <f t="shared" si="49"/>
        <v>5.4731707317073175</v>
      </c>
      <c r="I178" s="51">
        <f t="shared" si="49"/>
        <v>20</v>
      </c>
      <c r="J178" s="51">
        <f t="shared" si="49"/>
        <v>0</v>
      </c>
      <c r="K178" s="51">
        <f t="shared" si="49"/>
        <v>0</v>
      </c>
      <c r="L178" s="52">
        <f t="shared" si="41"/>
        <v>0</v>
      </c>
      <c r="M178" s="51">
        <f t="shared" si="41"/>
        <v>0</v>
      </c>
      <c r="N178" s="51">
        <f t="shared" si="41"/>
        <v>0</v>
      </c>
      <c r="O178" s="51">
        <f t="shared" si="41"/>
        <v>0</v>
      </c>
      <c r="P178" s="51">
        <f t="shared" si="41"/>
        <v>0</v>
      </c>
      <c r="Q178" s="51">
        <f t="shared" si="41"/>
        <v>0</v>
      </c>
      <c r="R178" s="51">
        <f t="shared" si="41"/>
        <v>0</v>
      </c>
      <c r="S178" s="51">
        <f t="shared" si="41"/>
        <v>0</v>
      </c>
      <c r="T178" s="51">
        <f t="shared" si="41"/>
        <v>0</v>
      </c>
      <c r="U178" s="51">
        <f t="shared" si="41"/>
        <v>0</v>
      </c>
      <c r="V178" s="51">
        <f t="shared" si="41"/>
        <v>0</v>
      </c>
      <c r="W178" s="51">
        <f t="shared" si="41"/>
        <v>0</v>
      </c>
      <c r="X178" s="55">
        <f t="shared" si="41"/>
        <v>0</v>
      </c>
      <c r="Y178" s="59">
        <f t="shared" si="41"/>
        <v>0</v>
      </c>
      <c r="Z178" s="51">
        <f t="shared" si="41"/>
        <v>0</v>
      </c>
      <c r="AA178" s="51">
        <f t="shared" si="41"/>
        <v>0</v>
      </c>
      <c r="AC178" s="30" t="s">
        <v>60</v>
      </c>
      <c r="AD178" s="31" t="s">
        <v>13</v>
      </c>
      <c r="AE178" s="32" t="s">
        <v>62</v>
      </c>
      <c r="AF178" s="31" t="s">
        <v>77</v>
      </c>
      <c r="AG178" s="31"/>
      <c r="AH178" s="1" t="str">
        <f t="shared" si="45"/>
        <v/>
      </c>
      <c r="AI178" s="1" t="str">
        <f t="shared" si="45"/>
        <v/>
      </c>
      <c r="AJ178" s="1" t="str">
        <f t="shared" si="45"/>
        <v/>
      </c>
      <c r="AK178" s="1" t="str">
        <f t="shared" si="45"/>
        <v/>
      </c>
      <c r="AL178" s="1" t="str">
        <f t="shared" si="45"/>
        <v/>
      </c>
      <c r="AM178" s="1" t="str">
        <f t="shared" si="45"/>
        <v/>
      </c>
      <c r="AN178" s="52" t="str">
        <f t="shared" si="45"/>
        <v/>
      </c>
      <c r="AO178" s="1" t="str">
        <f t="shared" si="45"/>
        <v/>
      </c>
      <c r="AP178" s="1" t="str">
        <f t="shared" si="45"/>
        <v/>
      </c>
      <c r="AQ178" s="1" t="str">
        <f t="shared" si="45"/>
        <v/>
      </c>
      <c r="AR178" s="1" t="str">
        <f t="shared" si="45"/>
        <v/>
      </c>
      <c r="AS178" s="1" t="str">
        <f t="shared" si="45"/>
        <v/>
      </c>
      <c r="AT178" s="1" t="str">
        <f t="shared" si="45"/>
        <v/>
      </c>
      <c r="AU178" s="1" t="str">
        <f t="shared" si="45"/>
        <v/>
      </c>
      <c r="AV178" s="1" t="str">
        <f t="shared" si="45"/>
        <v/>
      </c>
      <c r="AW178" s="1" t="str">
        <f t="shared" si="38"/>
        <v/>
      </c>
      <c r="AX178" s="1" t="str">
        <f t="shared" si="38"/>
        <v/>
      </c>
      <c r="AY178" s="1" t="str">
        <f t="shared" si="38"/>
        <v/>
      </c>
      <c r="AZ178" s="1" t="str">
        <f t="shared" si="38"/>
        <v/>
      </c>
      <c r="BA178" s="1" t="str">
        <f t="shared" si="38"/>
        <v/>
      </c>
      <c r="BB178" s="1" t="str">
        <f t="shared" si="38"/>
        <v/>
      </c>
      <c r="BC178" s="1" t="str">
        <f t="shared" si="38"/>
        <v/>
      </c>
    </row>
    <row r="179" spans="1:55" x14ac:dyDescent="0.25">
      <c r="A179" s="30" t="s">
        <v>60</v>
      </c>
      <c r="B179" s="31" t="s">
        <v>13</v>
      </c>
      <c r="C179" s="32" t="s">
        <v>62</v>
      </c>
      <c r="D179" s="31" t="s">
        <v>78</v>
      </c>
      <c r="E179" s="31"/>
      <c r="F179" s="51">
        <f t="shared" ref="F179:K179" si="50">F157</f>
        <v>52.121212121212125</v>
      </c>
      <c r="G179" s="51">
        <f t="shared" si="50"/>
        <v>27.05314009661836</v>
      </c>
      <c r="H179" s="51">
        <f t="shared" si="50"/>
        <v>5.4731707317073175</v>
      </c>
      <c r="I179" s="51">
        <f t="shared" si="50"/>
        <v>20</v>
      </c>
      <c r="J179" s="51">
        <f t="shared" si="50"/>
        <v>0</v>
      </c>
      <c r="K179" s="51">
        <f t="shared" si="50"/>
        <v>0</v>
      </c>
      <c r="L179" s="52">
        <f t="shared" si="41"/>
        <v>0</v>
      </c>
      <c r="M179" s="51">
        <f t="shared" si="41"/>
        <v>0</v>
      </c>
      <c r="N179" s="51">
        <f t="shared" si="41"/>
        <v>0</v>
      </c>
      <c r="O179" s="51">
        <f t="shared" si="41"/>
        <v>0</v>
      </c>
      <c r="P179" s="51">
        <f t="shared" si="41"/>
        <v>0</v>
      </c>
      <c r="Q179" s="51">
        <f t="shared" si="41"/>
        <v>0</v>
      </c>
      <c r="R179" s="51">
        <f t="shared" si="41"/>
        <v>0</v>
      </c>
      <c r="S179" s="51">
        <f t="shared" si="41"/>
        <v>0</v>
      </c>
      <c r="T179" s="51">
        <f t="shared" si="41"/>
        <v>0</v>
      </c>
      <c r="U179" s="51">
        <f t="shared" si="41"/>
        <v>0</v>
      </c>
      <c r="V179" s="51">
        <f t="shared" si="41"/>
        <v>0</v>
      </c>
      <c r="W179" s="51">
        <f t="shared" si="41"/>
        <v>0</v>
      </c>
      <c r="X179" s="55">
        <f t="shared" si="41"/>
        <v>0</v>
      </c>
      <c r="Y179" s="59">
        <f t="shared" si="41"/>
        <v>0</v>
      </c>
      <c r="Z179" s="51">
        <f t="shared" ref="L179:AA180" si="51">IF(Z224&gt;0,Z44/Z224,0)</f>
        <v>0</v>
      </c>
      <c r="AA179" s="51">
        <f t="shared" si="51"/>
        <v>0</v>
      </c>
      <c r="AC179" s="30" t="s">
        <v>60</v>
      </c>
      <c r="AD179" s="31" t="s">
        <v>13</v>
      </c>
      <c r="AE179" s="32" t="s">
        <v>62</v>
      </c>
      <c r="AF179" s="31" t="s">
        <v>78</v>
      </c>
      <c r="AG179" s="31"/>
      <c r="AH179" s="1" t="str">
        <f t="shared" si="45"/>
        <v/>
      </c>
      <c r="AI179" s="1" t="str">
        <f t="shared" si="45"/>
        <v/>
      </c>
      <c r="AJ179" s="1" t="str">
        <f t="shared" si="45"/>
        <v/>
      </c>
      <c r="AK179" s="1" t="str">
        <f t="shared" si="45"/>
        <v/>
      </c>
      <c r="AL179" s="1" t="str">
        <f t="shared" si="45"/>
        <v/>
      </c>
      <c r="AM179" s="1" t="str">
        <f t="shared" si="45"/>
        <v/>
      </c>
      <c r="AN179" s="52" t="str">
        <f t="shared" si="45"/>
        <v/>
      </c>
      <c r="AO179" s="1" t="str">
        <f t="shared" si="45"/>
        <v/>
      </c>
      <c r="AP179" s="1" t="str">
        <f t="shared" si="45"/>
        <v/>
      </c>
      <c r="AQ179" s="1" t="str">
        <f t="shared" si="45"/>
        <v/>
      </c>
      <c r="AR179" s="1" t="str">
        <f t="shared" si="45"/>
        <v/>
      </c>
      <c r="AS179" s="1" t="str">
        <f t="shared" si="45"/>
        <v/>
      </c>
      <c r="AT179" s="1" t="str">
        <f t="shared" si="45"/>
        <v/>
      </c>
      <c r="AU179" s="1" t="str">
        <f t="shared" si="45"/>
        <v/>
      </c>
      <c r="AV179" s="1" t="str">
        <f t="shared" si="45"/>
        <v/>
      </c>
      <c r="AW179" s="1" t="str">
        <f t="shared" si="38"/>
        <v/>
      </c>
      <c r="AX179" s="1" t="str">
        <f t="shared" si="38"/>
        <v/>
      </c>
      <c r="AY179" s="1" t="str">
        <f t="shared" si="38"/>
        <v/>
      </c>
      <c r="AZ179" s="1" t="str">
        <f t="shared" si="38"/>
        <v/>
      </c>
      <c r="BA179" s="1" t="str">
        <f t="shared" si="38"/>
        <v/>
      </c>
      <c r="BB179" s="1" t="str">
        <f t="shared" si="38"/>
        <v/>
      </c>
      <c r="BC179" s="1" t="str">
        <f t="shared" si="38"/>
        <v/>
      </c>
    </row>
    <row r="180" spans="1:55" ht="15.75" thickBot="1" x14ac:dyDescent="0.3">
      <c r="A180" s="33" t="s">
        <v>60</v>
      </c>
      <c r="B180" s="34" t="s">
        <v>13</v>
      </c>
      <c r="C180" s="32" t="s">
        <v>62</v>
      </c>
      <c r="D180" s="34" t="s">
        <v>79</v>
      </c>
      <c r="E180" s="31"/>
      <c r="F180" s="51">
        <f t="shared" ref="F180:K180" si="52">F157</f>
        <v>52.121212121212125</v>
      </c>
      <c r="G180" s="51">
        <f t="shared" si="52"/>
        <v>27.05314009661836</v>
      </c>
      <c r="H180" s="51">
        <f t="shared" si="52"/>
        <v>5.4731707317073175</v>
      </c>
      <c r="I180" s="51">
        <f t="shared" si="52"/>
        <v>20</v>
      </c>
      <c r="J180" s="51">
        <f t="shared" si="52"/>
        <v>0</v>
      </c>
      <c r="K180" s="51">
        <f t="shared" si="52"/>
        <v>0</v>
      </c>
      <c r="L180" s="52">
        <f t="shared" si="51"/>
        <v>0</v>
      </c>
      <c r="M180" s="51">
        <f t="shared" si="51"/>
        <v>0</v>
      </c>
      <c r="N180" s="51">
        <f t="shared" si="51"/>
        <v>0</v>
      </c>
      <c r="O180" s="51">
        <f t="shared" si="51"/>
        <v>0</v>
      </c>
      <c r="P180" s="51">
        <f t="shared" si="51"/>
        <v>0</v>
      </c>
      <c r="Q180" s="51">
        <f t="shared" si="51"/>
        <v>0</v>
      </c>
      <c r="R180" s="51">
        <f t="shared" si="51"/>
        <v>0</v>
      </c>
      <c r="S180" s="51">
        <f t="shared" si="51"/>
        <v>0</v>
      </c>
      <c r="T180" s="51">
        <f t="shared" si="51"/>
        <v>0</v>
      </c>
      <c r="U180" s="51">
        <f t="shared" si="51"/>
        <v>0</v>
      </c>
      <c r="V180" s="51">
        <f t="shared" si="51"/>
        <v>0</v>
      </c>
      <c r="W180" s="51">
        <f t="shared" si="51"/>
        <v>0</v>
      </c>
      <c r="X180" s="55">
        <f t="shared" si="51"/>
        <v>0</v>
      </c>
      <c r="Y180" s="59">
        <f t="shared" si="51"/>
        <v>0</v>
      </c>
      <c r="Z180" s="51">
        <f t="shared" si="51"/>
        <v>0</v>
      </c>
      <c r="AA180" s="51">
        <f t="shared" si="51"/>
        <v>0</v>
      </c>
      <c r="AC180" s="33" t="s">
        <v>60</v>
      </c>
      <c r="AD180" s="34" t="s">
        <v>13</v>
      </c>
      <c r="AE180" s="32" t="s">
        <v>62</v>
      </c>
      <c r="AF180" s="34" t="s">
        <v>79</v>
      </c>
      <c r="AG180" s="31"/>
      <c r="AH180" s="1" t="str">
        <f t="shared" si="45"/>
        <v/>
      </c>
      <c r="AI180" s="1" t="str">
        <f t="shared" si="45"/>
        <v/>
      </c>
      <c r="AJ180" s="1" t="str">
        <f t="shared" si="45"/>
        <v/>
      </c>
      <c r="AK180" s="1" t="str">
        <f t="shared" si="45"/>
        <v/>
      </c>
      <c r="AL180" s="1" t="str">
        <f t="shared" si="45"/>
        <v/>
      </c>
      <c r="AM180" s="1" t="str">
        <f t="shared" si="45"/>
        <v/>
      </c>
      <c r="AN180" s="52" t="str">
        <f t="shared" si="45"/>
        <v/>
      </c>
      <c r="AO180" s="1" t="str">
        <f t="shared" si="45"/>
        <v/>
      </c>
      <c r="AP180" s="1" t="str">
        <f t="shared" si="45"/>
        <v/>
      </c>
      <c r="AQ180" s="1" t="str">
        <f t="shared" si="45"/>
        <v/>
      </c>
      <c r="AR180" s="1" t="str">
        <f t="shared" si="45"/>
        <v/>
      </c>
      <c r="AS180" s="1" t="str">
        <f t="shared" si="45"/>
        <v/>
      </c>
      <c r="AT180" s="1" t="str">
        <f t="shared" si="45"/>
        <v/>
      </c>
      <c r="AU180" s="1" t="str">
        <f t="shared" si="45"/>
        <v/>
      </c>
      <c r="AV180" s="1" t="str">
        <f t="shared" si="45"/>
        <v/>
      </c>
      <c r="AW180" s="1" t="str">
        <f t="shared" si="38"/>
        <v/>
      </c>
      <c r="AX180" s="1" t="str">
        <f t="shared" si="38"/>
        <v/>
      </c>
      <c r="AY180" s="1" t="str">
        <f t="shared" si="38"/>
        <v/>
      </c>
      <c r="AZ180" s="1" t="str">
        <f t="shared" si="38"/>
        <v/>
      </c>
      <c r="BA180" s="1" t="str">
        <f t="shared" si="38"/>
        <v/>
      </c>
      <c r="BB180" s="1" t="str">
        <f t="shared" si="38"/>
        <v/>
      </c>
      <c r="BC180" s="1" t="str">
        <f t="shared" si="38"/>
        <v/>
      </c>
    </row>
    <row r="181" spans="1:55" x14ac:dyDescent="0.25">
      <c r="F181" s="99">
        <v>170</v>
      </c>
      <c r="G181" s="99">
        <v>230</v>
      </c>
      <c r="H181" s="99">
        <v>1900</v>
      </c>
      <c r="M181" s="5" t="s">
        <v>126</v>
      </c>
      <c r="N181" s="5">
        <v>0.6</v>
      </c>
    </row>
    <row r="182" spans="1:55" x14ac:dyDescent="0.25">
      <c r="D182" s="41" t="s">
        <v>35</v>
      </c>
      <c r="E182" s="41"/>
      <c r="M182" s="24" t="s">
        <v>81</v>
      </c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AF182" s="41" t="s">
        <v>101</v>
      </c>
      <c r="AG182" s="41"/>
      <c r="AO182" s="24" t="s">
        <v>81</v>
      </c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</row>
    <row r="183" spans="1:55" x14ac:dyDescent="0.25">
      <c r="F183" s="23" t="s">
        <v>44</v>
      </c>
      <c r="G183" s="23"/>
      <c r="H183" s="23"/>
      <c r="I183" s="23"/>
      <c r="J183" s="23"/>
      <c r="K183" s="23"/>
      <c r="L183" s="7" t="s">
        <v>30</v>
      </c>
      <c r="M183" s="24" t="s">
        <v>46</v>
      </c>
      <c r="N183" s="24"/>
      <c r="O183" s="24"/>
      <c r="P183" s="24"/>
      <c r="Q183" s="24"/>
      <c r="R183" s="24" t="s">
        <v>47</v>
      </c>
      <c r="S183" s="24"/>
      <c r="T183" s="24"/>
      <c r="U183" s="24"/>
      <c r="V183" s="24"/>
      <c r="W183" s="24"/>
      <c r="X183" s="24"/>
      <c r="Y183" s="44" t="s">
        <v>85</v>
      </c>
      <c r="Z183" s="44" t="s">
        <v>48</v>
      </c>
      <c r="AA183" s="44" t="s">
        <v>3</v>
      </c>
      <c r="AH183" s="23" t="s">
        <v>44</v>
      </c>
      <c r="AI183" s="23"/>
      <c r="AJ183" s="23"/>
      <c r="AK183" s="23"/>
      <c r="AL183" s="23"/>
      <c r="AM183" s="23"/>
      <c r="AN183" s="7" t="s">
        <v>30</v>
      </c>
      <c r="AO183" s="24" t="s">
        <v>46</v>
      </c>
      <c r="AP183" s="24"/>
      <c r="AQ183" s="24"/>
      <c r="AR183" s="24"/>
      <c r="AS183" s="24"/>
      <c r="AT183" s="24" t="s">
        <v>47</v>
      </c>
      <c r="AU183" s="24"/>
      <c r="AV183" s="24"/>
      <c r="AW183" s="24"/>
      <c r="AX183" s="24"/>
      <c r="AY183" s="24"/>
      <c r="AZ183" s="24"/>
      <c r="BA183" s="44" t="s">
        <v>85</v>
      </c>
      <c r="BB183" s="44" t="s">
        <v>48</v>
      </c>
      <c r="BC183" s="44" t="s">
        <v>3</v>
      </c>
    </row>
    <row r="184" spans="1:55" ht="63" x14ac:dyDescent="0.25">
      <c r="F184" s="38" t="s">
        <v>36</v>
      </c>
      <c r="G184" s="38" t="s">
        <v>37</v>
      </c>
      <c r="H184" s="38" t="s">
        <v>38</v>
      </c>
      <c r="I184" s="38" t="s">
        <v>80</v>
      </c>
      <c r="J184" s="38" t="s">
        <v>39</v>
      </c>
      <c r="K184" s="38" t="s">
        <v>45</v>
      </c>
      <c r="L184" s="39" t="s">
        <v>16</v>
      </c>
      <c r="M184" s="40" t="s">
        <v>34</v>
      </c>
      <c r="N184" s="40" t="s">
        <v>5</v>
      </c>
      <c r="O184" s="40" t="s">
        <v>7</v>
      </c>
      <c r="P184" s="40" t="s">
        <v>8</v>
      </c>
      <c r="Q184" s="40" t="s">
        <v>40</v>
      </c>
      <c r="R184" s="40" t="s">
        <v>41</v>
      </c>
      <c r="S184" s="40" t="s">
        <v>42</v>
      </c>
      <c r="T184" s="40" t="s">
        <v>31</v>
      </c>
      <c r="U184" s="40" t="s">
        <v>43</v>
      </c>
      <c r="V184" s="40" t="s">
        <v>82</v>
      </c>
      <c r="W184" s="40" t="s">
        <v>87</v>
      </c>
      <c r="X184" s="40" t="s">
        <v>83</v>
      </c>
      <c r="Y184" s="45" t="s">
        <v>3</v>
      </c>
      <c r="Z184" s="45" t="s">
        <v>3</v>
      </c>
      <c r="AA184" s="45" t="s">
        <v>3</v>
      </c>
      <c r="AH184" s="38" t="s">
        <v>36</v>
      </c>
      <c r="AI184" s="38" t="s">
        <v>37</v>
      </c>
      <c r="AJ184" s="38" t="s">
        <v>38</v>
      </c>
      <c r="AK184" s="38" t="s">
        <v>80</v>
      </c>
      <c r="AL184" s="38" t="s">
        <v>39</v>
      </c>
      <c r="AM184" s="38" t="s">
        <v>45</v>
      </c>
      <c r="AN184" s="39" t="s">
        <v>16</v>
      </c>
      <c r="AO184" s="40" t="s">
        <v>34</v>
      </c>
      <c r="AP184" s="40" t="s">
        <v>5</v>
      </c>
      <c r="AQ184" s="40" t="s">
        <v>7</v>
      </c>
      <c r="AR184" s="40" t="s">
        <v>8</v>
      </c>
      <c r="AS184" s="40" t="s">
        <v>40</v>
      </c>
      <c r="AT184" s="40" t="s">
        <v>41</v>
      </c>
      <c r="AU184" s="40" t="s">
        <v>42</v>
      </c>
      <c r="AV184" s="40" t="s">
        <v>31</v>
      </c>
      <c r="AW184" s="40" t="s">
        <v>43</v>
      </c>
      <c r="AX184" s="40" t="s">
        <v>82</v>
      </c>
      <c r="AY184" s="40" t="s">
        <v>87</v>
      </c>
      <c r="AZ184" s="40" t="s">
        <v>83</v>
      </c>
      <c r="BA184" s="45" t="s">
        <v>3</v>
      </c>
      <c r="BB184" s="45" t="s">
        <v>86</v>
      </c>
      <c r="BC184" s="45" t="s">
        <v>3</v>
      </c>
    </row>
    <row r="185" spans="1:55" x14ac:dyDescent="0.25">
      <c r="A185" s="15" t="s">
        <v>51</v>
      </c>
      <c r="B185" s="2"/>
      <c r="C185" s="2"/>
      <c r="F185" s="1">
        <f t="shared" ref="F185:X185" si="53">F187+F188+F189</f>
        <v>0</v>
      </c>
      <c r="G185" s="1">
        <f t="shared" si="53"/>
        <v>0</v>
      </c>
      <c r="H185" s="1">
        <f t="shared" si="53"/>
        <v>0</v>
      </c>
      <c r="I185" s="1">
        <f t="shared" si="53"/>
        <v>0</v>
      </c>
      <c r="J185" s="1">
        <f t="shared" si="53"/>
        <v>0</v>
      </c>
      <c r="K185" s="1">
        <f t="shared" si="53"/>
        <v>0</v>
      </c>
      <c r="L185" s="52">
        <f t="shared" si="53"/>
        <v>0</v>
      </c>
      <c r="M185" s="1">
        <f t="shared" si="53"/>
        <v>0</v>
      </c>
      <c r="N185" s="1">
        <f t="shared" si="53"/>
        <v>0</v>
      </c>
      <c r="O185" s="1">
        <f t="shared" si="53"/>
        <v>0</v>
      </c>
      <c r="P185" s="1">
        <f t="shared" si="53"/>
        <v>0</v>
      </c>
      <c r="Q185" s="1">
        <f t="shared" si="53"/>
        <v>0</v>
      </c>
      <c r="R185" s="1">
        <f t="shared" si="53"/>
        <v>0</v>
      </c>
      <c r="S185" s="1">
        <f t="shared" si="53"/>
        <v>0</v>
      </c>
      <c r="T185" s="1">
        <f t="shared" si="53"/>
        <v>0</v>
      </c>
      <c r="U185" s="1">
        <f t="shared" si="53"/>
        <v>0</v>
      </c>
      <c r="V185" s="1">
        <f t="shared" si="53"/>
        <v>0</v>
      </c>
      <c r="W185" s="1">
        <f t="shared" si="53"/>
        <v>0</v>
      </c>
      <c r="X185" s="1">
        <f t="shared" si="53"/>
        <v>0</v>
      </c>
      <c r="Y185" s="58">
        <f t="shared" ref="Y185:Y225" si="54">SUM(F185:K185)</f>
        <v>0</v>
      </c>
      <c r="Z185" s="1">
        <f t="shared" ref="Z185:Z225" si="55">SUM(M185:X185)</f>
        <v>0</v>
      </c>
      <c r="AA185" s="1">
        <f t="shared" ref="AA185:AA225" si="56">L185+Y185+Z185</f>
        <v>0</v>
      </c>
      <c r="AC185" s="15" t="s">
        <v>51</v>
      </c>
      <c r="AD185" s="2"/>
      <c r="AE185" s="2"/>
      <c r="AH185" s="1" t="str">
        <f t="shared" ref="AH185:AW200" si="57">IF(F185&gt;0,F230/F185*1000,"")</f>
        <v/>
      </c>
      <c r="AI185" s="1" t="str">
        <f t="shared" si="57"/>
        <v/>
      </c>
      <c r="AJ185" s="1" t="str">
        <f t="shared" si="57"/>
        <v/>
      </c>
      <c r="AK185" s="1" t="str">
        <f t="shared" si="57"/>
        <v/>
      </c>
      <c r="AL185" s="1" t="str">
        <f t="shared" si="57"/>
        <v/>
      </c>
      <c r="AM185" s="1" t="str">
        <f t="shared" si="57"/>
        <v/>
      </c>
      <c r="AN185" s="52" t="str">
        <f t="shared" si="57"/>
        <v/>
      </c>
      <c r="AO185" s="1" t="str">
        <f t="shared" si="57"/>
        <v/>
      </c>
      <c r="AP185" s="1" t="str">
        <f t="shared" si="57"/>
        <v/>
      </c>
      <c r="AQ185" s="1" t="str">
        <f t="shared" si="57"/>
        <v/>
      </c>
      <c r="AR185" s="1" t="str">
        <f t="shared" si="57"/>
        <v/>
      </c>
      <c r="AS185" s="1" t="str">
        <f t="shared" si="57"/>
        <v/>
      </c>
      <c r="AT185" s="1" t="str">
        <f t="shared" si="57"/>
        <v/>
      </c>
      <c r="AU185" s="1" t="str">
        <f t="shared" si="57"/>
        <v/>
      </c>
      <c r="AV185" s="1" t="str">
        <f t="shared" si="57"/>
        <v/>
      </c>
      <c r="AW185" s="1" t="str">
        <f t="shared" si="57"/>
        <v/>
      </c>
      <c r="AX185" s="1" t="str">
        <f t="shared" ref="AX185:BC200" si="58">IF(V185&gt;0,V230/V185*1000,"")</f>
        <v/>
      </c>
      <c r="AY185" s="1" t="str">
        <f t="shared" si="58"/>
        <v/>
      </c>
      <c r="AZ185" s="1" t="str">
        <f t="shared" si="58"/>
        <v/>
      </c>
      <c r="BA185" s="1" t="str">
        <f t="shared" si="58"/>
        <v/>
      </c>
      <c r="BB185" s="1" t="str">
        <f t="shared" si="58"/>
        <v/>
      </c>
      <c r="BC185" s="1" t="str">
        <f t="shared" si="58"/>
        <v/>
      </c>
    </row>
    <row r="186" spans="1:55" x14ac:dyDescent="0.25">
      <c r="A186" s="30" t="s">
        <v>60</v>
      </c>
      <c r="B186" s="2"/>
      <c r="C186" s="2"/>
      <c r="F186" s="1">
        <f>F190+F191+F192+F193</f>
        <v>165</v>
      </c>
      <c r="G186" s="1">
        <f t="shared" ref="G186:X186" si="59">G190+G191+G192+G193</f>
        <v>207</v>
      </c>
      <c r="H186" s="1">
        <f t="shared" si="59"/>
        <v>2050</v>
      </c>
      <c r="I186" s="1">
        <f t="shared" si="59"/>
        <v>101.37931034482759</v>
      </c>
      <c r="J186" s="1">
        <f t="shared" si="59"/>
        <v>187.25857142857143</v>
      </c>
      <c r="K186" s="1">
        <f t="shared" si="59"/>
        <v>902.24757053291523</v>
      </c>
      <c r="L186" s="52">
        <f t="shared" si="59"/>
        <v>313.7254901960784</v>
      </c>
      <c r="M186" s="1">
        <f t="shared" si="59"/>
        <v>47.376543209876544</v>
      </c>
      <c r="N186" s="1">
        <f t="shared" si="59"/>
        <v>2.8</v>
      </c>
      <c r="O186" s="1">
        <f t="shared" si="59"/>
        <v>0.2</v>
      </c>
      <c r="P186" s="1">
        <f t="shared" si="59"/>
        <v>0.26</v>
      </c>
      <c r="Q186" s="1">
        <f t="shared" si="59"/>
        <v>26.560283687943262</v>
      </c>
      <c r="R186" s="1">
        <f t="shared" si="59"/>
        <v>38.81177564582341</v>
      </c>
      <c r="S186" s="1">
        <f t="shared" si="59"/>
        <v>2.4500000000000002</v>
      </c>
      <c r="T186" s="1">
        <f t="shared" si="59"/>
        <v>34.432231961372324</v>
      </c>
      <c r="U186" s="1">
        <f t="shared" si="59"/>
        <v>12.626262626262626</v>
      </c>
      <c r="V186" s="1">
        <f t="shared" si="59"/>
        <v>10.144583978969605</v>
      </c>
      <c r="W186" s="1">
        <f t="shared" si="59"/>
        <v>19.366197183098592</v>
      </c>
      <c r="X186" s="54">
        <f t="shared" si="59"/>
        <v>43.616811983009164</v>
      </c>
      <c r="Y186" s="58">
        <f t="shared" si="54"/>
        <v>3612.8854523063142</v>
      </c>
      <c r="Z186" s="1">
        <f t="shared" si="55"/>
        <v>238.6446902763555</v>
      </c>
      <c r="AA186" s="1">
        <f t="shared" si="56"/>
        <v>4165.2556327787479</v>
      </c>
      <c r="AC186" s="30" t="s">
        <v>60</v>
      </c>
      <c r="AD186" s="2"/>
      <c r="AE186" s="2"/>
      <c r="AH186" s="1">
        <f t="shared" si="57"/>
        <v>289.56228956228955</v>
      </c>
      <c r="AI186" s="1">
        <f t="shared" si="57"/>
        <v>150.29522275899092</v>
      </c>
      <c r="AJ186" s="1">
        <f t="shared" si="57"/>
        <v>29.26829268292683</v>
      </c>
      <c r="AK186" s="1">
        <f t="shared" si="57"/>
        <v>170.58823529411762</v>
      </c>
      <c r="AL186" s="1">
        <f t="shared" si="57"/>
        <v>790.5266217881184</v>
      </c>
      <c r="AM186" s="1">
        <f t="shared" si="57"/>
        <v>46.161099077494178</v>
      </c>
      <c r="AN186" s="52">
        <f t="shared" si="57"/>
        <v>18750</v>
      </c>
      <c r="AO186" s="1">
        <f t="shared" si="57"/>
        <v>6399.7466521896486</v>
      </c>
      <c r="AP186" s="1">
        <f t="shared" si="57"/>
        <v>12005.494505494506</v>
      </c>
      <c r="AQ186" s="1">
        <f t="shared" si="57"/>
        <v>55555.555555555547</v>
      </c>
      <c r="AR186" s="1">
        <f t="shared" si="57"/>
        <v>427350.42735042737</v>
      </c>
      <c r="AS186" s="1">
        <f t="shared" si="57"/>
        <v>26597.177188632464</v>
      </c>
      <c r="AT186" s="1">
        <f t="shared" si="57"/>
        <v>11591.307523739957</v>
      </c>
      <c r="AU186" s="1">
        <f t="shared" si="57"/>
        <v>2222.2222222222222</v>
      </c>
      <c r="AV186" s="1">
        <f t="shared" si="57"/>
        <v>11894.194115940434</v>
      </c>
      <c r="AW186" s="1">
        <f t="shared" si="57"/>
        <v>10652.38095238095</v>
      </c>
      <c r="AX186" s="1">
        <f t="shared" si="58"/>
        <v>11981.528202595131</v>
      </c>
      <c r="AY186" s="1">
        <f t="shared" si="58"/>
        <v>10784.896584896585</v>
      </c>
      <c r="AZ186" s="1">
        <f t="shared" si="58"/>
        <v>6260.3281427795264</v>
      </c>
      <c r="BA186" s="1">
        <f t="shared" si="58"/>
        <v>95.730860130995381</v>
      </c>
      <c r="BB186" s="1">
        <f t="shared" si="58"/>
        <v>11600.07683018953</v>
      </c>
      <c r="BC186" s="1">
        <f t="shared" si="58"/>
        <v>2159.8948800655526</v>
      </c>
    </row>
    <row r="187" spans="1:55" x14ac:dyDescent="0.25">
      <c r="A187" s="15" t="s">
        <v>51</v>
      </c>
      <c r="B187" s="16" t="s">
        <v>52</v>
      </c>
      <c r="C187" s="2"/>
      <c r="F187" s="1">
        <f>F194+F195+F196</f>
        <v>0</v>
      </c>
      <c r="G187" s="1">
        <f t="shared" ref="G187:X187" si="60">G194+G195+G196</f>
        <v>0</v>
      </c>
      <c r="H187" s="1">
        <f t="shared" si="60"/>
        <v>0</v>
      </c>
      <c r="I187" s="1">
        <f t="shared" si="60"/>
        <v>0</v>
      </c>
      <c r="J187" s="1">
        <f t="shared" si="60"/>
        <v>0</v>
      </c>
      <c r="K187" s="1">
        <f t="shared" si="60"/>
        <v>0</v>
      </c>
      <c r="L187" s="52">
        <f t="shared" si="60"/>
        <v>0</v>
      </c>
      <c r="M187" s="1">
        <f t="shared" si="60"/>
        <v>0</v>
      </c>
      <c r="N187" s="1">
        <f t="shared" si="60"/>
        <v>0</v>
      </c>
      <c r="O187" s="1">
        <f t="shared" si="60"/>
        <v>0</v>
      </c>
      <c r="P187" s="1">
        <f t="shared" si="60"/>
        <v>0</v>
      </c>
      <c r="Q187" s="1">
        <f t="shared" si="60"/>
        <v>0</v>
      </c>
      <c r="R187" s="1">
        <f t="shared" si="60"/>
        <v>0</v>
      </c>
      <c r="S187" s="1">
        <f t="shared" si="60"/>
        <v>0</v>
      </c>
      <c r="T187" s="1">
        <f t="shared" si="60"/>
        <v>0</v>
      </c>
      <c r="U187" s="1">
        <f t="shared" si="60"/>
        <v>0</v>
      </c>
      <c r="V187" s="1">
        <f t="shared" si="60"/>
        <v>0</v>
      </c>
      <c r="W187" s="1">
        <f t="shared" si="60"/>
        <v>0</v>
      </c>
      <c r="X187" s="54">
        <f t="shared" si="60"/>
        <v>0</v>
      </c>
      <c r="Y187" s="58">
        <f t="shared" si="54"/>
        <v>0</v>
      </c>
      <c r="Z187" s="1">
        <f t="shared" si="55"/>
        <v>0</v>
      </c>
      <c r="AA187" s="1">
        <f t="shared" si="56"/>
        <v>0</v>
      </c>
      <c r="AC187" s="15" t="s">
        <v>51</v>
      </c>
      <c r="AD187" s="16" t="s">
        <v>52</v>
      </c>
      <c r="AE187" s="2"/>
      <c r="AH187" s="1" t="str">
        <f t="shared" si="57"/>
        <v/>
      </c>
      <c r="AI187" s="1" t="str">
        <f t="shared" si="57"/>
        <v/>
      </c>
      <c r="AJ187" s="1" t="str">
        <f t="shared" si="57"/>
        <v/>
      </c>
      <c r="AK187" s="1" t="str">
        <f t="shared" si="57"/>
        <v/>
      </c>
      <c r="AL187" s="1" t="str">
        <f t="shared" si="57"/>
        <v/>
      </c>
      <c r="AM187" s="1" t="str">
        <f t="shared" si="57"/>
        <v/>
      </c>
      <c r="AN187" s="52" t="str">
        <f t="shared" si="57"/>
        <v/>
      </c>
      <c r="AO187" s="1" t="str">
        <f t="shared" si="57"/>
        <v/>
      </c>
      <c r="AP187" s="1" t="str">
        <f t="shared" si="57"/>
        <v/>
      </c>
      <c r="AQ187" s="1" t="str">
        <f t="shared" si="57"/>
        <v/>
      </c>
      <c r="AR187" s="1" t="str">
        <f t="shared" si="57"/>
        <v/>
      </c>
      <c r="AS187" s="1" t="str">
        <f t="shared" si="57"/>
        <v/>
      </c>
      <c r="AT187" s="1" t="str">
        <f t="shared" si="57"/>
        <v/>
      </c>
      <c r="AU187" s="1" t="str">
        <f t="shared" si="57"/>
        <v/>
      </c>
      <c r="AV187" s="1" t="str">
        <f t="shared" si="57"/>
        <v/>
      </c>
      <c r="AW187" s="1" t="str">
        <f t="shared" si="57"/>
        <v/>
      </c>
      <c r="AX187" s="1" t="str">
        <f t="shared" si="58"/>
        <v/>
      </c>
      <c r="AY187" s="1" t="str">
        <f t="shared" si="58"/>
        <v/>
      </c>
      <c r="AZ187" s="1" t="str">
        <f t="shared" si="58"/>
        <v/>
      </c>
      <c r="BA187" s="1" t="str">
        <f t="shared" si="58"/>
        <v/>
      </c>
      <c r="BB187" s="1" t="str">
        <f t="shared" si="58"/>
        <v/>
      </c>
      <c r="BC187" s="1" t="str">
        <f t="shared" si="58"/>
        <v/>
      </c>
    </row>
    <row r="188" spans="1:55" x14ac:dyDescent="0.25">
      <c r="A188" s="15" t="s">
        <v>51</v>
      </c>
      <c r="B188" s="16" t="s">
        <v>56</v>
      </c>
      <c r="C188" s="2"/>
      <c r="F188" s="1">
        <f>F197+F198+F199</f>
        <v>0</v>
      </c>
      <c r="G188" s="1">
        <f t="shared" ref="G188:X188" si="61">G197+G198+G199</f>
        <v>0</v>
      </c>
      <c r="H188" s="1">
        <f t="shared" si="61"/>
        <v>0</v>
      </c>
      <c r="I188" s="1">
        <f t="shared" si="61"/>
        <v>0</v>
      </c>
      <c r="J188" s="1">
        <f t="shared" si="61"/>
        <v>0</v>
      </c>
      <c r="K188" s="1">
        <f t="shared" si="61"/>
        <v>0</v>
      </c>
      <c r="L188" s="52">
        <f t="shared" si="61"/>
        <v>0</v>
      </c>
      <c r="M188" s="1">
        <f t="shared" si="61"/>
        <v>0</v>
      </c>
      <c r="N188" s="1">
        <f t="shared" si="61"/>
        <v>0</v>
      </c>
      <c r="O188" s="1">
        <f t="shared" si="61"/>
        <v>0</v>
      </c>
      <c r="P188" s="1">
        <f t="shared" si="61"/>
        <v>0</v>
      </c>
      <c r="Q188" s="1">
        <f t="shared" si="61"/>
        <v>0</v>
      </c>
      <c r="R188" s="1">
        <f t="shared" si="61"/>
        <v>0</v>
      </c>
      <c r="S188" s="1">
        <f t="shared" si="61"/>
        <v>0</v>
      </c>
      <c r="T188" s="1">
        <f t="shared" si="61"/>
        <v>0</v>
      </c>
      <c r="U188" s="1">
        <f t="shared" si="61"/>
        <v>0</v>
      </c>
      <c r="V188" s="1">
        <f t="shared" si="61"/>
        <v>0</v>
      </c>
      <c r="W188" s="1">
        <f t="shared" si="61"/>
        <v>0</v>
      </c>
      <c r="X188" s="54">
        <f t="shared" si="61"/>
        <v>0</v>
      </c>
      <c r="Y188" s="58">
        <f t="shared" si="54"/>
        <v>0</v>
      </c>
      <c r="Z188" s="1">
        <f t="shared" si="55"/>
        <v>0</v>
      </c>
      <c r="AA188" s="1">
        <f t="shared" si="56"/>
        <v>0</v>
      </c>
      <c r="AC188" s="15" t="s">
        <v>51</v>
      </c>
      <c r="AD188" s="16" t="s">
        <v>56</v>
      </c>
      <c r="AE188" s="2"/>
      <c r="AH188" s="1" t="str">
        <f t="shared" si="57"/>
        <v/>
      </c>
      <c r="AI188" s="1" t="str">
        <f t="shared" si="57"/>
        <v/>
      </c>
      <c r="AJ188" s="1" t="str">
        <f t="shared" si="57"/>
        <v/>
      </c>
      <c r="AK188" s="1" t="str">
        <f t="shared" si="57"/>
        <v/>
      </c>
      <c r="AL188" s="1" t="str">
        <f t="shared" si="57"/>
        <v/>
      </c>
      <c r="AM188" s="1" t="str">
        <f t="shared" si="57"/>
        <v/>
      </c>
      <c r="AN188" s="52" t="str">
        <f t="shared" si="57"/>
        <v/>
      </c>
      <c r="AO188" s="1" t="str">
        <f t="shared" si="57"/>
        <v/>
      </c>
      <c r="AP188" s="1" t="str">
        <f t="shared" si="57"/>
        <v/>
      </c>
      <c r="AQ188" s="1" t="str">
        <f t="shared" si="57"/>
        <v/>
      </c>
      <c r="AR188" s="1" t="str">
        <f t="shared" si="57"/>
        <v/>
      </c>
      <c r="AS188" s="1" t="str">
        <f t="shared" si="57"/>
        <v/>
      </c>
      <c r="AT188" s="1" t="str">
        <f t="shared" si="57"/>
        <v/>
      </c>
      <c r="AU188" s="1" t="str">
        <f t="shared" si="57"/>
        <v/>
      </c>
      <c r="AV188" s="1" t="str">
        <f t="shared" si="57"/>
        <v/>
      </c>
      <c r="AW188" s="1" t="str">
        <f t="shared" si="57"/>
        <v/>
      </c>
      <c r="AX188" s="1" t="str">
        <f t="shared" si="58"/>
        <v/>
      </c>
      <c r="AY188" s="1" t="str">
        <f t="shared" si="58"/>
        <v/>
      </c>
      <c r="AZ188" s="1" t="str">
        <f t="shared" si="58"/>
        <v/>
      </c>
      <c r="BA188" s="1" t="str">
        <f t="shared" si="58"/>
        <v/>
      </c>
      <c r="BB188" s="1" t="str">
        <f t="shared" si="58"/>
        <v/>
      </c>
      <c r="BC188" s="1" t="str">
        <f t="shared" si="58"/>
        <v/>
      </c>
    </row>
    <row r="189" spans="1:55" x14ac:dyDescent="0.25">
      <c r="A189" s="15" t="s">
        <v>51</v>
      </c>
      <c r="B189" s="16" t="s">
        <v>9</v>
      </c>
      <c r="C189" s="2"/>
      <c r="F189" s="1">
        <f>F200</f>
        <v>0</v>
      </c>
      <c r="G189" s="1">
        <f t="shared" ref="G189:X189" si="62">G200</f>
        <v>0</v>
      </c>
      <c r="H189" s="1">
        <f t="shared" si="62"/>
        <v>0</v>
      </c>
      <c r="I189" s="1">
        <f t="shared" si="62"/>
        <v>0</v>
      </c>
      <c r="J189" s="1">
        <f t="shared" si="62"/>
        <v>0</v>
      </c>
      <c r="K189" s="1">
        <f t="shared" si="62"/>
        <v>0</v>
      </c>
      <c r="L189" s="52">
        <f t="shared" si="62"/>
        <v>0</v>
      </c>
      <c r="M189" s="1">
        <f t="shared" si="62"/>
        <v>0</v>
      </c>
      <c r="N189" s="1">
        <f t="shared" si="62"/>
        <v>0</v>
      </c>
      <c r="O189" s="1">
        <f t="shared" si="62"/>
        <v>0</v>
      </c>
      <c r="P189" s="1">
        <f t="shared" si="62"/>
        <v>0</v>
      </c>
      <c r="Q189" s="1">
        <f t="shared" si="62"/>
        <v>0</v>
      </c>
      <c r="R189" s="1">
        <f t="shared" si="62"/>
        <v>0</v>
      </c>
      <c r="S189" s="1">
        <f t="shared" si="62"/>
        <v>0</v>
      </c>
      <c r="T189" s="1">
        <f t="shared" si="62"/>
        <v>0</v>
      </c>
      <c r="U189" s="1">
        <f t="shared" si="62"/>
        <v>0</v>
      </c>
      <c r="V189" s="1">
        <f t="shared" si="62"/>
        <v>0</v>
      </c>
      <c r="W189" s="1">
        <f t="shared" si="62"/>
        <v>0</v>
      </c>
      <c r="X189" s="54">
        <f t="shared" si="62"/>
        <v>0</v>
      </c>
      <c r="Y189" s="58">
        <f t="shared" si="54"/>
        <v>0</v>
      </c>
      <c r="Z189" s="1">
        <f t="shared" si="55"/>
        <v>0</v>
      </c>
      <c r="AA189" s="1">
        <f t="shared" si="56"/>
        <v>0</v>
      </c>
      <c r="AC189" s="15" t="s">
        <v>51</v>
      </c>
      <c r="AD189" s="16" t="s">
        <v>9</v>
      </c>
      <c r="AE189" s="2"/>
      <c r="AH189" s="1" t="str">
        <f t="shared" si="57"/>
        <v/>
      </c>
      <c r="AI189" s="1" t="str">
        <f t="shared" si="57"/>
        <v/>
      </c>
      <c r="AJ189" s="1" t="str">
        <f t="shared" si="57"/>
        <v/>
      </c>
      <c r="AK189" s="1" t="str">
        <f t="shared" si="57"/>
        <v/>
      </c>
      <c r="AL189" s="1" t="str">
        <f t="shared" si="57"/>
        <v/>
      </c>
      <c r="AM189" s="1" t="str">
        <f t="shared" si="57"/>
        <v/>
      </c>
      <c r="AN189" s="52" t="str">
        <f t="shared" si="57"/>
        <v/>
      </c>
      <c r="AO189" s="1" t="str">
        <f t="shared" si="57"/>
        <v/>
      </c>
      <c r="AP189" s="1" t="str">
        <f t="shared" si="57"/>
        <v/>
      </c>
      <c r="AQ189" s="1" t="str">
        <f t="shared" si="57"/>
        <v/>
      </c>
      <c r="AR189" s="1" t="str">
        <f t="shared" si="57"/>
        <v/>
      </c>
      <c r="AS189" s="1" t="str">
        <f t="shared" si="57"/>
        <v/>
      </c>
      <c r="AT189" s="1" t="str">
        <f t="shared" si="57"/>
        <v/>
      </c>
      <c r="AU189" s="1" t="str">
        <f t="shared" si="57"/>
        <v/>
      </c>
      <c r="AV189" s="1" t="str">
        <f t="shared" si="57"/>
        <v/>
      </c>
      <c r="AW189" s="1" t="str">
        <f t="shared" si="57"/>
        <v/>
      </c>
      <c r="AX189" s="1" t="str">
        <f t="shared" si="58"/>
        <v/>
      </c>
      <c r="AY189" s="1" t="str">
        <f t="shared" si="58"/>
        <v/>
      </c>
      <c r="AZ189" s="1" t="str">
        <f t="shared" si="58"/>
        <v/>
      </c>
      <c r="BA189" s="1" t="str">
        <f t="shared" si="58"/>
        <v/>
      </c>
      <c r="BB189" s="1" t="str">
        <f t="shared" si="58"/>
        <v/>
      </c>
      <c r="BC189" s="1" t="str">
        <f t="shared" si="58"/>
        <v/>
      </c>
    </row>
    <row r="190" spans="1:55" x14ac:dyDescent="0.25">
      <c r="A190" s="30" t="s">
        <v>60</v>
      </c>
      <c r="B190" s="32" t="s">
        <v>13</v>
      </c>
      <c r="C190" s="2"/>
      <c r="F190" s="51">
        <f>F201+F202+F203</f>
        <v>165</v>
      </c>
      <c r="G190" s="51">
        <f t="shared" ref="G190:X190" si="63">G201+G202+G203</f>
        <v>207</v>
      </c>
      <c r="H190" s="51">
        <f t="shared" si="63"/>
        <v>2050</v>
      </c>
      <c r="I190" s="51">
        <f t="shared" si="63"/>
        <v>101.37931034482759</v>
      </c>
      <c r="J190" s="51">
        <f t="shared" si="63"/>
        <v>80</v>
      </c>
      <c r="K190" s="51">
        <f t="shared" si="63"/>
        <v>27.586206896551722</v>
      </c>
      <c r="L190" s="52">
        <f t="shared" si="63"/>
        <v>0</v>
      </c>
      <c r="M190" s="51">
        <f t="shared" si="63"/>
        <v>9.8765432098765427</v>
      </c>
      <c r="N190" s="51">
        <f t="shared" si="63"/>
        <v>1.6</v>
      </c>
      <c r="O190" s="51">
        <f t="shared" si="63"/>
        <v>0.2</v>
      </c>
      <c r="P190" s="51">
        <f t="shared" si="63"/>
        <v>0.26</v>
      </c>
      <c r="Q190" s="51">
        <f t="shared" si="63"/>
        <v>0.31914893617021278</v>
      </c>
      <c r="R190" s="51">
        <f t="shared" si="63"/>
        <v>2.2963870177587262</v>
      </c>
      <c r="S190" s="51">
        <f t="shared" si="63"/>
        <v>0</v>
      </c>
      <c r="T190" s="51">
        <f t="shared" si="63"/>
        <v>0.88028169014084512</v>
      </c>
      <c r="U190" s="51">
        <f t="shared" si="63"/>
        <v>1.9561815336463224</v>
      </c>
      <c r="V190" s="51">
        <f t="shared" si="63"/>
        <v>0.11737089201877934</v>
      </c>
      <c r="W190" s="51">
        <f t="shared" si="63"/>
        <v>2.7386541471048513</v>
      </c>
      <c r="X190" s="55">
        <f t="shared" si="63"/>
        <v>23.474178403755868</v>
      </c>
      <c r="Y190" s="59">
        <f t="shared" si="54"/>
        <v>2630.9655172413791</v>
      </c>
      <c r="Z190" s="51">
        <f t="shared" si="55"/>
        <v>43.718745830472145</v>
      </c>
      <c r="AA190" s="51">
        <f t="shared" si="56"/>
        <v>2674.6842630718511</v>
      </c>
      <c r="AB190" s="97">
        <v>5200</v>
      </c>
      <c r="AC190" s="30" t="s">
        <v>60</v>
      </c>
      <c r="AD190" s="32" t="s">
        <v>13</v>
      </c>
      <c r="AE190" s="2"/>
      <c r="AH190" s="1">
        <f t="shared" si="57"/>
        <v>289.56228956228955</v>
      </c>
      <c r="AI190" s="1">
        <f t="shared" si="57"/>
        <v>150.29522275899092</v>
      </c>
      <c r="AJ190" s="1">
        <f t="shared" si="57"/>
        <v>29.26829268292683</v>
      </c>
      <c r="AK190" s="1">
        <f t="shared" si="57"/>
        <v>170.58823529411762</v>
      </c>
      <c r="AL190" s="1">
        <f t="shared" si="57"/>
        <v>136.76470588235296</v>
      </c>
      <c r="AM190" s="1">
        <f t="shared" si="57"/>
        <v>170.58823529411765</v>
      </c>
      <c r="AN190" s="52" t="str">
        <f t="shared" si="57"/>
        <v/>
      </c>
      <c r="AO190" s="1">
        <f t="shared" si="57"/>
        <v>2222.2222222222217</v>
      </c>
      <c r="AP190" s="1">
        <f t="shared" si="57"/>
        <v>5625</v>
      </c>
      <c r="AQ190" s="1">
        <f t="shared" si="57"/>
        <v>55555.555555555547</v>
      </c>
      <c r="AR190" s="1">
        <f t="shared" si="57"/>
        <v>427350.42735042737</v>
      </c>
      <c r="AS190" s="1">
        <f t="shared" si="57"/>
        <v>5222.2222222222226</v>
      </c>
      <c r="AT190" s="1">
        <f t="shared" si="57"/>
        <v>2366.6666666666665</v>
      </c>
      <c r="AU190" s="1" t="str">
        <f t="shared" si="57"/>
        <v/>
      </c>
      <c r="AV190" s="1">
        <f t="shared" si="57"/>
        <v>2366.6666666666665</v>
      </c>
      <c r="AW190" s="1">
        <f t="shared" si="57"/>
        <v>2366.6666666666665</v>
      </c>
      <c r="AX190" s="1">
        <f t="shared" si="58"/>
        <v>2366.6666666666665</v>
      </c>
      <c r="AY190" s="1">
        <f t="shared" si="58"/>
        <v>2366.6666666666665</v>
      </c>
      <c r="AZ190" s="1">
        <f t="shared" si="58"/>
        <v>2366.6666666666665</v>
      </c>
      <c r="BA190" s="1">
        <f t="shared" si="58"/>
        <v>65.310648974086305</v>
      </c>
      <c r="BB190" s="1">
        <f t="shared" si="58"/>
        <v>5244.874223159105</v>
      </c>
      <c r="BC190" s="1">
        <f t="shared" si="58"/>
        <v>149.9726132062674</v>
      </c>
    </row>
    <row r="191" spans="1:55" x14ac:dyDescent="0.25">
      <c r="A191" s="30" t="s">
        <v>60</v>
      </c>
      <c r="B191" s="31" t="s">
        <v>23</v>
      </c>
      <c r="C191" s="2"/>
      <c r="F191" s="51">
        <f>F204+F205+F206</f>
        <v>0</v>
      </c>
      <c r="G191" s="51">
        <f t="shared" ref="G191:X191" si="64">G204+G205+G206</f>
        <v>0</v>
      </c>
      <c r="H191" s="51">
        <f t="shared" si="64"/>
        <v>0</v>
      </c>
      <c r="I191" s="51">
        <f t="shared" si="64"/>
        <v>0</v>
      </c>
      <c r="J191" s="51">
        <f t="shared" si="64"/>
        <v>25.413333333333334</v>
      </c>
      <c r="K191" s="51">
        <f t="shared" si="64"/>
        <v>874.66136363636349</v>
      </c>
      <c r="L191" s="52">
        <f t="shared" si="64"/>
        <v>0</v>
      </c>
      <c r="M191" s="51">
        <f t="shared" si="64"/>
        <v>0</v>
      </c>
      <c r="N191" s="51">
        <f t="shared" si="64"/>
        <v>1.2</v>
      </c>
      <c r="O191" s="51">
        <f t="shared" si="64"/>
        <v>0</v>
      </c>
      <c r="P191" s="51">
        <f t="shared" si="64"/>
        <v>0</v>
      </c>
      <c r="Q191" s="51">
        <f t="shared" si="64"/>
        <v>0</v>
      </c>
      <c r="R191" s="51">
        <f t="shared" si="64"/>
        <v>0</v>
      </c>
      <c r="S191" s="51">
        <f t="shared" si="64"/>
        <v>2.4500000000000002</v>
      </c>
      <c r="T191" s="51">
        <f t="shared" si="64"/>
        <v>1.6009852216748768</v>
      </c>
      <c r="U191" s="51">
        <f t="shared" si="64"/>
        <v>0</v>
      </c>
      <c r="V191" s="51">
        <f t="shared" si="64"/>
        <v>0.24630541871921183</v>
      </c>
      <c r="W191" s="51">
        <f t="shared" si="64"/>
        <v>0</v>
      </c>
      <c r="X191" s="55">
        <f t="shared" si="64"/>
        <v>1</v>
      </c>
      <c r="Y191" s="59">
        <f t="shared" si="54"/>
        <v>900.07469696969679</v>
      </c>
      <c r="Z191" s="51">
        <f t="shared" si="55"/>
        <v>6.4972906403940893</v>
      </c>
      <c r="AA191" s="51">
        <f t="shared" si="56"/>
        <v>906.5719876100909</v>
      </c>
      <c r="AC191" s="30" t="s">
        <v>60</v>
      </c>
      <c r="AD191" s="31" t="s">
        <v>23</v>
      </c>
      <c r="AE191" s="2"/>
      <c r="AH191" s="1" t="str">
        <f t="shared" si="57"/>
        <v/>
      </c>
      <c r="AI191" s="1" t="str">
        <f t="shared" si="57"/>
        <v/>
      </c>
      <c r="AJ191" s="1" t="str">
        <f t="shared" si="57"/>
        <v/>
      </c>
      <c r="AK191" s="1" t="str">
        <f t="shared" si="57"/>
        <v/>
      </c>
      <c r="AL191" s="1">
        <f t="shared" si="57"/>
        <v>885.69160814701195</v>
      </c>
      <c r="AM191" s="1">
        <f t="shared" si="57"/>
        <v>42.236754335722516</v>
      </c>
      <c r="AN191" s="52" t="str">
        <f t="shared" si="57"/>
        <v/>
      </c>
      <c r="AO191" s="1" t="str">
        <f t="shared" si="57"/>
        <v/>
      </c>
      <c r="AP191" s="1">
        <f t="shared" si="57"/>
        <v>20512.820512820515</v>
      </c>
      <c r="AQ191" s="1" t="str">
        <f t="shared" si="57"/>
        <v/>
      </c>
      <c r="AR191" s="1" t="str">
        <f t="shared" si="57"/>
        <v/>
      </c>
      <c r="AS191" s="1" t="str">
        <f t="shared" si="57"/>
        <v/>
      </c>
      <c r="AT191" s="1" t="str">
        <f t="shared" si="57"/>
        <v/>
      </c>
      <c r="AU191" s="1">
        <f t="shared" si="57"/>
        <v>2222.2222222222222</v>
      </c>
      <c r="AV191" s="1">
        <f t="shared" si="57"/>
        <v>11600.000000000002</v>
      </c>
      <c r="AW191" s="1" t="str">
        <f t="shared" si="57"/>
        <v/>
      </c>
      <c r="AX191" s="1">
        <f t="shared" si="58"/>
        <v>9022.2222222222226</v>
      </c>
      <c r="AY191" s="1" t="str">
        <f t="shared" si="58"/>
        <v/>
      </c>
      <c r="AZ191" s="1">
        <f t="shared" si="58"/>
        <v>2222.2222222222222</v>
      </c>
      <c r="BA191" s="1">
        <f t="shared" si="58"/>
        <v>66.051443742823921</v>
      </c>
      <c r="BB191" s="1">
        <f t="shared" si="58"/>
        <v>8168.8976241461169</v>
      </c>
      <c r="BC191" s="1">
        <f t="shared" si="58"/>
        <v>124.12355204530344</v>
      </c>
    </row>
    <row r="192" spans="1:55" x14ac:dyDescent="0.25">
      <c r="A192" s="30" t="s">
        <v>60</v>
      </c>
      <c r="B192" s="31" t="s">
        <v>65</v>
      </c>
      <c r="C192" s="46"/>
      <c r="F192" s="51">
        <f>F207+F208+F209</f>
        <v>0</v>
      </c>
      <c r="G192" s="51">
        <f t="shared" ref="G192:X192" si="65">G207+G208+G209</f>
        <v>0</v>
      </c>
      <c r="H192" s="51">
        <f t="shared" si="65"/>
        <v>0</v>
      </c>
      <c r="I192" s="51">
        <f t="shared" si="65"/>
        <v>0</v>
      </c>
      <c r="J192" s="51">
        <f t="shared" si="65"/>
        <v>81.845238095238102</v>
      </c>
      <c r="K192" s="51">
        <f t="shared" si="65"/>
        <v>0</v>
      </c>
      <c r="L192" s="52">
        <f t="shared" si="65"/>
        <v>313.7254901960784</v>
      </c>
      <c r="M192" s="51">
        <f t="shared" si="65"/>
        <v>37.5</v>
      </c>
      <c r="N192" s="51">
        <f t="shared" si="65"/>
        <v>0</v>
      </c>
      <c r="O192" s="51">
        <f t="shared" si="65"/>
        <v>0</v>
      </c>
      <c r="P192" s="51">
        <f t="shared" si="65"/>
        <v>0</v>
      </c>
      <c r="Q192" s="51">
        <f t="shared" si="65"/>
        <v>26.24113475177305</v>
      </c>
      <c r="R192" s="51">
        <f t="shared" si="65"/>
        <v>36.515388628064684</v>
      </c>
      <c r="S192" s="51">
        <f t="shared" si="65"/>
        <v>0</v>
      </c>
      <c r="T192" s="51">
        <f t="shared" si="65"/>
        <v>31.950965049556601</v>
      </c>
      <c r="U192" s="51">
        <f t="shared" si="65"/>
        <v>10.670081092616304</v>
      </c>
      <c r="V192" s="51">
        <f t="shared" si="65"/>
        <v>9.7809076682316132</v>
      </c>
      <c r="W192" s="51">
        <f t="shared" si="65"/>
        <v>16.627543035993742</v>
      </c>
      <c r="X192" s="55">
        <f t="shared" si="65"/>
        <v>15.649452269170579</v>
      </c>
      <c r="Y192" s="59">
        <f t="shared" si="54"/>
        <v>81.845238095238102</v>
      </c>
      <c r="Z192" s="51">
        <f t="shared" si="55"/>
        <v>184.93547249540657</v>
      </c>
      <c r="AA192" s="51">
        <f t="shared" si="56"/>
        <v>580.50620078672307</v>
      </c>
      <c r="AC192" s="30" t="s">
        <v>60</v>
      </c>
      <c r="AD192" s="31" t="s">
        <v>65</v>
      </c>
      <c r="AE192" s="46"/>
      <c r="AH192" s="1" t="str">
        <f t="shared" si="57"/>
        <v/>
      </c>
      <c r="AI192" s="1" t="str">
        <f t="shared" si="57"/>
        <v/>
      </c>
      <c r="AJ192" s="1" t="str">
        <f t="shared" si="57"/>
        <v/>
      </c>
      <c r="AK192" s="1" t="str">
        <f t="shared" si="57"/>
        <v/>
      </c>
      <c r="AL192" s="1">
        <f t="shared" si="57"/>
        <v>1400</v>
      </c>
      <c r="AM192" s="1" t="str">
        <f t="shared" si="57"/>
        <v/>
      </c>
      <c r="AN192" s="52">
        <f t="shared" si="57"/>
        <v>18750</v>
      </c>
      <c r="AO192" s="1">
        <f t="shared" si="57"/>
        <v>7500</v>
      </c>
      <c r="AP192" s="1" t="str">
        <f t="shared" si="57"/>
        <v/>
      </c>
      <c r="AQ192" s="1" t="str">
        <f t="shared" si="57"/>
        <v/>
      </c>
      <c r="AR192" s="1" t="str">
        <f t="shared" si="57"/>
        <v/>
      </c>
      <c r="AS192" s="1">
        <f t="shared" si="57"/>
        <v>26857.142857142859</v>
      </c>
      <c r="AT192" s="1">
        <f t="shared" si="57"/>
        <v>12171.428571428572</v>
      </c>
      <c r="AU192" s="1" t="str">
        <f t="shared" si="57"/>
        <v/>
      </c>
      <c r="AV192" s="1">
        <f t="shared" si="57"/>
        <v>12171.428571428571</v>
      </c>
      <c r="AW192" s="1">
        <f t="shared" si="57"/>
        <v>12171.428571428571</v>
      </c>
      <c r="AX192" s="1">
        <f t="shared" si="58"/>
        <v>12171.428571428571</v>
      </c>
      <c r="AY192" s="1">
        <f t="shared" si="58"/>
        <v>12171.428571428571</v>
      </c>
      <c r="AZ192" s="1">
        <f t="shared" si="58"/>
        <v>12171.428571428571</v>
      </c>
      <c r="BA192" s="1">
        <f t="shared" si="58"/>
        <v>1400</v>
      </c>
      <c r="BB192" s="1">
        <f t="shared" si="58"/>
        <v>13307.993845968404</v>
      </c>
      <c r="BC192" s="1">
        <f t="shared" si="58"/>
        <v>14570.13963488636</v>
      </c>
    </row>
    <row r="193" spans="1:55" ht="15.75" thickBot="1" x14ac:dyDescent="0.3">
      <c r="A193" s="48" t="s">
        <v>60</v>
      </c>
      <c r="B193" s="49" t="s">
        <v>9</v>
      </c>
      <c r="C193" s="50"/>
      <c r="D193" s="50"/>
      <c r="E193" s="50"/>
      <c r="F193" s="53">
        <f>F210</f>
        <v>0</v>
      </c>
      <c r="G193" s="53">
        <f t="shared" ref="G193:X193" si="66">G210</f>
        <v>0</v>
      </c>
      <c r="H193" s="53">
        <f t="shared" si="66"/>
        <v>0</v>
      </c>
      <c r="I193" s="53">
        <f t="shared" si="66"/>
        <v>0</v>
      </c>
      <c r="J193" s="53">
        <f t="shared" si="66"/>
        <v>0</v>
      </c>
      <c r="K193" s="53">
        <f t="shared" si="66"/>
        <v>0</v>
      </c>
      <c r="L193" s="62">
        <f t="shared" si="66"/>
        <v>0</v>
      </c>
      <c r="M193" s="53">
        <f t="shared" si="66"/>
        <v>0</v>
      </c>
      <c r="N193" s="53">
        <f t="shared" si="66"/>
        <v>0</v>
      </c>
      <c r="O193" s="53">
        <f t="shared" si="66"/>
        <v>0</v>
      </c>
      <c r="P193" s="53">
        <f t="shared" si="66"/>
        <v>0</v>
      </c>
      <c r="Q193" s="53">
        <f t="shared" si="66"/>
        <v>0</v>
      </c>
      <c r="R193" s="53">
        <f t="shared" si="66"/>
        <v>0</v>
      </c>
      <c r="S193" s="53">
        <f t="shared" si="66"/>
        <v>0</v>
      </c>
      <c r="T193" s="53">
        <f t="shared" si="66"/>
        <v>0</v>
      </c>
      <c r="U193" s="53">
        <f t="shared" si="66"/>
        <v>0</v>
      </c>
      <c r="V193" s="53">
        <f t="shared" si="66"/>
        <v>0</v>
      </c>
      <c r="W193" s="53">
        <f t="shared" si="66"/>
        <v>0</v>
      </c>
      <c r="X193" s="56">
        <f t="shared" si="66"/>
        <v>3.4931813100827185</v>
      </c>
      <c r="Y193" s="60">
        <f t="shared" si="54"/>
        <v>0</v>
      </c>
      <c r="Z193" s="53">
        <f t="shared" si="55"/>
        <v>3.4931813100827185</v>
      </c>
      <c r="AA193" s="53">
        <f t="shared" si="56"/>
        <v>3.4931813100827185</v>
      </c>
      <c r="AC193" s="48" t="s">
        <v>60</v>
      </c>
      <c r="AD193" s="49" t="s">
        <v>9</v>
      </c>
      <c r="AE193" s="50"/>
      <c r="AF193" s="50"/>
      <c r="AG193" s="50"/>
      <c r="AH193" s="1" t="str">
        <f t="shared" si="57"/>
        <v/>
      </c>
      <c r="AI193" s="1" t="str">
        <f t="shared" si="57"/>
        <v/>
      </c>
      <c r="AJ193" s="1" t="str">
        <f t="shared" si="57"/>
        <v/>
      </c>
      <c r="AK193" s="1" t="str">
        <f t="shared" si="57"/>
        <v/>
      </c>
      <c r="AL193" s="1" t="str">
        <f t="shared" si="57"/>
        <v/>
      </c>
      <c r="AM193" s="1" t="str">
        <f t="shared" si="57"/>
        <v/>
      </c>
      <c r="AN193" s="52" t="str">
        <f t="shared" si="57"/>
        <v/>
      </c>
      <c r="AO193" s="1" t="str">
        <f t="shared" si="57"/>
        <v/>
      </c>
      <c r="AP193" s="1" t="str">
        <f t="shared" si="57"/>
        <v/>
      </c>
      <c r="AQ193" s="1" t="str">
        <f t="shared" si="57"/>
        <v/>
      </c>
      <c r="AR193" s="1" t="str">
        <f t="shared" si="57"/>
        <v/>
      </c>
      <c r="AS193" s="1" t="str">
        <f t="shared" si="57"/>
        <v/>
      </c>
      <c r="AT193" s="1" t="str">
        <f t="shared" si="57"/>
        <v/>
      </c>
      <c r="AU193" s="1" t="str">
        <f t="shared" si="57"/>
        <v/>
      </c>
      <c r="AV193" s="1" t="str">
        <f t="shared" si="57"/>
        <v/>
      </c>
      <c r="AW193" s="1" t="str">
        <f t="shared" si="57"/>
        <v/>
      </c>
      <c r="AX193" s="1" t="str">
        <f t="shared" si="58"/>
        <v/>
      </c>
      <c r="AY193" s="1" t="str">
        <f t="shared" si="58"/>
        <v/>
      </c>
      <c r="AZ193" s="1">
        <f t="shared" si="58"/>
        <v>7100</v>
      </c>
      <c r="BA193" s="1" t="str">
        <f t="shared" si="58"/>
        <v/>
      </c>
      <c r="BB193" s="1">
        <f t="shared" si="58"/>
        <v>7100</v>
      </c>
      <c r="BC193" s="1">
        <f t="shared" si="58"/>
        <v>7100</v>
      </c>
    </row>
    <row r="194" spans="1:55" ht="15.75" thickTop="1" x14ac:dyDescent="0.25">
      <c r="A194" s="15" t="s">
        <v>51</v>
      </c>
      <c r="B194" s="16" t="s">
        <v>52</v>
      </c>
      <c r="C194" s="16" t="s">
        <v>53</v>
      </c>
      <c r="D194" s="2"/>
      <c r="E194" s="2"/>
      <c r="F194" s="47">
        <v>0</v>
      </c>
      <c r="G194" s="47">
        <v>0</v>
      </c>
      <c r="H194" s="47">
        <v>0</v>
      </c>
      <c r="I194" s="47">
        <v>0</v>
      </c>
      <c r="J194" s="47">
        <v>0</v>
      </c>
      <c r="K194" s="47">
        <v>0</v>
      </c>
      <c r="L194" s="63">
        <v>0</v>
      </c>
      <c r="M194" s="47">
        <v>0</v>
      </c>
      <c r="N194" s="47">
        <v>0</v>
      </c>
      <c r="O194" s="47">
        <v>0</v>
      </c>
      <c r="P194" s="47">
        <v>0</v>
      </c>
      <c r="Q194" s="47">
        <v>0</v>
      </c>
      <c r="R194" s="47">
        <v>0</v>
      </c>
      <c r="S194" s="47">
        <v>0</v>
      </c>
      <c r="T194" s="47">
        <v>0</v>
      </c>
      <c r="U194" s="47">
        <v>0</v>
      </c>
      <c r="V194" s="47">
        <v>0</v>
      </c>
      <c r="W194" s="47">
        <v>0</v>
      </c>
      <c r="X194" s="57">
        <v>0</v>
      </c>
      <c r="Y194" s="61">
        <f t="shared" si="54"/>
        <v>0</v>
      </c>
      <c r="Z194" s="47">
        <f t="shared" si="55"/>
        <v>0</v>
      </c>
      <c r="AA194" s="47">
        <f t="shared" si="56"/>
        <v>0</v>
      </c>
      <c r="AC194" s="15" t="s">
        <v>51</v>
      </c>
      <c r="AD194" s="16" t="s">
        <v>52</v>
      </c>
      <c r="AE194" s="16" t="s">
        <v>53</v>
      </c>
      <c r="AF194" s="2"/>
      <c r="AG194" s="2"/>
      <c r="AH194" s="90" t="str">
        <f t="shared" si="57"/>
        <v/>
      </c>
      <c r="AI194" s="90" t="str">
        <f t="shared" si="57"/>
        <v/>
      </c>
      <c r="AJ194" s="90" t="str">
        <f t="shared" si="57"/>
        <v/>
      </c>
      <c r="AK194" s="90" t="str">
        <f t="shared" si="57"/>
        <v/>
      </c>
      <c r="AL194" s="90" t="str">
        <f t="shared" si="57"/>
        <v/>
      </c>
      <c r="AM194" s="90" t="str">
        <f t="shared" si="57"/>
        <v/>
      </c>
      <c r="AN194" s="90" t="str">
        <f t="shared" si="57"/>
        <v/>
      </c>
      <c r="AO194" s="90" t="str">
        <f t="shared" si="57"/>
        <v/>
      </c>
      <c r="AP194" s="90" t="str">
        <f t="shared" si="57"/>
        <v/>
      </c>
      <c r="AQ194" s="90" t="str">
        <f t="shared" si="57"/>
        <v/>
      </c>
      <c r="AR194" s="90" t="str">
        <f t="shared" si="57"/>
        <v/>
      </c>
      <c r="AS194" s="90" t="str">
        <f t="shared" si="57"/>
        <v/>
      </c>
      <c r="AT194" s="90" t="str">
        <f t="shared" si="57"/>
        <v/>
      </c>
      <c r="AU194" s="90" t="str">
        <f t="shared" si="57"/>
        <v/>
      </c>
      <c r="AV194" s="90" t="str">
        <f t="shared" si="57"/>
        <v/>
      </c>
      <c r="AW194" s="90" t="str">
        <f t="shared" si="57"/>
        <v/>
      </c>
      <c r="AX194" s="90" t="str">
        <f t="shared" si="58"/>
        <v/>
      </c>
      <c r="AY194" s="90" t="str">
        <f t="shared" si="58"/>
        <v/>
      </c>
      <c r="AZ194" s="90" t="str">
        <f t="shared" si="58"/>
        <v/>
      </c>
      <c r="BA194" s="90" t="str">
        <f t="shared" si="58"/>
        <v/>
      </c>
      <c r="BB194" s="90" t="str">
        <f t="shared" si="58"/>
        <v/>
      </c>
      <c r="BC194" s="90" t="str">
        <f t="shared" si="58"/>
        <v/>
      </c>
    </row>
    <row r="195" spans="1:55" x14ac:dyDescent="0.25">
      <c r="A195" s="15" t="s">
        <v>51</v>
      </c>
      <c r="B195" s="16" t="s">
        <v>52</v>
      </c>
      <c r="C195" s="16" t="s">
        <v>54</v>
      </c>
      <c r="D195" s="2"/>
      <c r="E195" s="2"/>
      <c r="F195" s="47">
        <v>0</v>
      </c>
      <c r="G195" s="47">
        <v>0</v>
      </c>
      <c r="H195" s="1">
        <v>0</v>
      </c>
      <c r="I195" s="1">
        <v>0</v>
      </c>
      <c r="J195" s="1">
        <v>0</v>
      </c>
      <c r="K195" s="1">
        <v>0</v>
      </c>
      <c r="L195" s="52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54">
        <v>0</v>
      </c>
      <c r="Y195" s="58">
        <f t="shared" si="54"/>
        <v>0</v>
      </c>
      <c r="Z195" s="1">
        <f t="shared" si="55"/>
        <v>0</v>
      </c>
      <c r="AA195" s="1">
        <f t="shared" si="56"/>
        <v>0</v>
      </c>
      <c r="AC195" s="15" t="s">
        <v>51</v>
      </c>
      <c r="AD195" s="16" t="s">
        <v>52</v>
      </c>
      <c r="AE195" s="16" t="s">
        <v>54</v>
      </c>
      <c r="AF195" s="2"/>
      <c r="AG195" s="2"/>
      <c r="AH195" s="90" t="str">
        <f t="shared" si="57"/>
        <v/>
      </c>
      <c r="AI195" s="90" t="str">
        <f t="shared" si="57"/>
        <v/>
      </c>
      <c r="AJ195" s="90" t="str">
        <f t="shared" si="57"/>
        <v/>
      </c>
      <c r="AK195" s="90" t="str">
        <f t="shared" si="57"/>
        <v/>
      </c>
      <c r="AL195" s="90" t="str">
        <f t="shared" si="57"/>
        <v/>
      </c>
      <c r="AM195" s="90" t="str">
        <f t="shared" si="57"/>
        <v/>
      </c>
      <c r="AN195" s="90" t="str">
        <f t="shared" si="57"/>
        <v/>
      </c>
      <c r="AO195" s="90" t="str">
        <f t="shared" si="57"/>
        <v/>
      </c>
      <c r="AP195" s="90" t="str">
        <f t="shared" si="57"/>
        <v/>
      </c>
      <c r="AQ195" s="90" t="str">
        <f t="shared" si="57"/>
        <v/>
      </c>
      <c r="AR195" s="90" t="str">
        <f t="shared" si="57"/>
        <v/>
      </c>
      <c r="AS195" s="90" t="str">
        <f t="shared" si="57"/>
        <v/>
      </c>
      <c r="AT195" s="90" t="str">
        <f t="shared" si="57"/>
        <v/>
      </c>
      <c r="AU195" s="90" t="str">
        <f t="shared" si="57"/>
        <v/>
      </c>
      <c r="AV195" s="90" t="str">
        <f t="shared" si="57"/>
        <v/>
      </c>
      <c r="AW195" s="90" t="str">
        <f t="shared" si="57"/>
        <v/>
      </c>
      <c r="AX195" s="90" t="str">
        <f t="shared" si="58"/>
        <v/>
      </c>
      <c r="AY195" s="90" t="str">
        <f t="shared" si="58"/>
        <v/>
      </c>
      <c r="AZ195" s="90" t="str">
        <f t="shared" si="58"/>
        <v/>
      </c>
      <c r="BA195" s="90" t="str">
        <f t="shared" si="58"/>
        <v/>
      </c>
      <c r="BB195" s="90" t="str">
        <f t="shared" si="58"/>
        <v/>
      </c>
      <c r="BC195" s="90" t="str">
        <f t="shared" si="58"/>
        <v/>
      </c>
    </row>
    <row r="196" spans="1:55" x14ac:dyDescent="0.25">
      <c r="A196" s="15" t="s">
        <v>51</v>
      </c>
      <c r="B196" s="16" t="s">
        <v>52</v>
      </c>
      <c r="C196" s="16" t="s">
        <v>55</v>
      </c>
      <c r="D196" s="2"/>
      <c r="E196" s="2"/>
      <c r="F196" s="47">
        <v>0</v>
      </c>
      <c r="G196" s="47">
        <v>0</v>
      </c>
      <c r="H196" s="1">
        <v>0</v>
      </c>
      <c r="I196" s="1">
        <v>0</v>
      </c>
      <c r="J196" s="1">
        <v>0</v>
      </c>
      <c r="K196" s="1">
        <v>0</v>
      </c>
      <c r="L196" s="52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54">
        <v>0</v>
      </c>
      <c r="Y196" s="58">
        <f t="shared" si="54"/>
        <v>0</v>
      </c>
      <c r="Z196" s="1">
        <f t="shared" si="55"/>
        <v>0</v>
      </c>
      <c r="AA196" s="1">
        <f t="shared" si="56"/>
        <v>0</v>
      </c>
      <c r="AC196" s="15" t="s">
        <v>51</v>
      </c>
      <c r="AD196" s="16" t="s">
        <v>52</v>
      </c>
      <c r="AE196" s="16" t="s">
        <v>55</v>
      </c>
      <c r="AF196" s="2"/>
      <c r="AG196" s="2"/>
      <c r="AH196" s="90" t="str">
        <f t="shared" si="57"/>
        <v/>
      </c>
      <c r="AI196" s="90" t="str">
        <f t="shared" si="57"/>
        <v/>
      </c>
      <c r="AJ196" s="90" t="str">
        <f t="shared" si="57"/>
        <v/>
      </c>
      <c r="AK196" s="90" t="str">
        <f t="shared" si="57"/>
        <v/>
      </c>
      <c r="AL196" s="90" t="str">
        <f t="shared" si="57"/>
        <v/>
      </c>
      <c r="AM196" s="90" t="str">
        <f t="shared" si="57"/>
        <v/>
      </c>
      <c r="AN196" s="90" t="str">
        <f t="shared" si="57"/>
        <v/>
      </c>
      <c r="AO196" s="90" t="str">
        <f t="shared" si="57"/>
        <v/>
      </c>
      <c r="AP196" s="90" t="str">
        <f t="shared" si="57"/>
        <v/>
      </c>
      <c r="AQ196" s="90" t="str">
        <f t="shared" si="57"/>
        <v/>
      </c>
      <c r="AR196" s="90" t="str">
        <f t="shared" si="57"/>
        <v/>
      </c>
      <c r="AS196" s="90" t="str">
        <f t="shared" si="57"/>
        <v/>
      </c>
      <c r="AT196" s="90" t="str">
        <f t="shared" si="57"/>
        <v/>
      </c>
      <c r="AU196" s="90" t="str">
        <f t="shared" si="57"/>
        <v/>
      </c>
      <c r="AV196" s="90" t="str">
        <f t="shared" si="57"/>
        <v/>
      </c>
      <c r="AW196" s="90" t="str">
        <f t="shared" si="57"/>
        <v/>
      </c>
      <c r="AX196" s="90" t="str">
        <f t="shared" si="58"/>
        <v/>
      </c>
      <c r="AY196" s="90" t="str">
        <f t="shared" si="58"/>
        <v/>
      </c>
      <c r="AZ196" s="90" t="str">
        <f t="shared" si="58"/>
        <v/>
      </c>
      <c r="BA196" s="90" t="str">
        <f t="shared" si="58"/>
        <v/>
      </c>
      <c r="BB196" s="90" t="str">
        <f t="shared" si="58"/>
        <v/>
      </c>
      <c r="BC196" s="90" t="str">
        <f t="shared" si="58"/>
        <v/>
      </c>
    </row>
    <row r="197" spans="1:55" x14ac:dyDescent="0.25">
      <c r="A197" s="25" t="s">
        <v>51</v>
      </c>
      <c r="B197" s="26" t="s">
        <v>56</v>
      </c>
      <c r="C197" s="26" t="s">
        <v>57</v>
      </c>
      <c r="D197" s="2"/>
      <c r="E197" s="2"/>
      <c r="F197" s="47">
        <v>0</v>
      </c>
      <c r="G197" s="47">
        <v>0</v>
      </c>
      <c r="H197" s="1">
        <v>0</v>
      </c>
      <c r="I197" s="1">
        <v>0</v>
      </c>
      <c r="J197" s="1">
        <v>0</v>
      </c>
      <c r="K197" s="1">
        <v>0</v>
      </c>
      <c r="L197" s="52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54">
        <v>0</v>
      </c>
      <c r="Y197" s="58">
        <f t="shared" si="54"/>
        <v>0</v>
      </c>
      <c r="Z197" s="1">
        <f t="shared" si="55"/>
        <v>0</v>
      </c>
      <c r="AA197" s="1">
        <f t="shared" si="56"/>
        <v>0</v>
      </c>
      <c r="AC197" s="25" t="s">
        <v>51</v>
      </c>
      <c r="AD197" s="26" t="s">
        <v>56</v>
      </c>
      <c r="AE197" s="26" t="s">
        <v>57</v>
      </c>
      <c r="AF197" s="2"/>
      <c r="AG197" s="2"/>
      <c r="AH197" s="90" t="str">
        <f t="shared" si="57"/>
        <v/>
      </c>
      <c r="AI197" s="90" t="str">
        <f t="shared" si="57"/>
        <v/>
      </c>
      <c r="AJ197" s="90" t="str">
        <f t="shared" si="57"/>
        <v/>
      </c>
      <c r="AK197" s="90" t="str">
        <f t="shared" si="57"/>
        <v/>
      </c>
      <c r="AL197" s="90" t="str">
        <f t="shared" si="57"/>
        <v/>
      </c>
      <c r="AM197" s="90" t="str">
        <f t="shared" si="57"/>
        <v/>
      </c>
      <c r="AN197" s="90" t="str">
        <f t="shared" si="57"/>
        <v/>
      </c>
      <c r="AO197" s="90" t="str">
        <f t="shared" si="57"/>
        <v/>
      </c>
      <c r="AP197" s="90" t="str">
        <f t="shared" si="57"/>
        <v/>
      </c>
      <c r="AQ197" s="90" t="str">
        <f t="shared" si="57"/>
        <v/>
      </c>
      <c r="AR197" s="90" t="str">
        <f t="shared" si="57"/>
        <v/>
      </c>
      <c r="AS197" s="90" t="str">
        <f t="shared" si="57"/>
        <v/>
      </c>
      <c r="AT197" s="90" t="str">
        <f t="shared" si="57"/>
        <v/>
      </c>
      <c r="AU197" s="90" t="str">
        <f t="shared" si="57"/>
        <v/>
      </c>
      <c r="AV197" s="90" t="str">
        <f t="shared" si="57"/>
        <v/>
      </c>
      <c r="AW197" s="90" t="str">
        <f t="shared" si="57"/>
        <v/>
      </c>
      <c r="AX197" s="90" t="str">
        <f t="shared" si="58"/>
        <v/>
      </c>
      <c r="AY197" s="90" t="str">
        <f t="shared" si="58"/>
        <v/>
      </c>
      <c r="AZ197" s="90" t="str">
        <f t="shared" si="58"/>
        <v/>
      </c>
      <c r="BA197" s="90" t="str">
        <f t="shared" si="58"/>
        <v/>
      </c>
      <c r="BB197" s="90" t="str">
        <f t="shared" si="58"/>
        <v/>
      </c>
      <c r="BC197" s="90" t="str">
        <f t="shared" si="58"/>
        <v/>
      </c>
    </row>
    <row r="198" spans="1:55" x14ac:dyDescent="0.25">
      <c r="A198" s="15" t="s">
        <v>51</v>
      </c>
      <c r="B198" s="16" t="s">
        <v>56</v>
      </c>
      <c r="C198" s="27" t="s">
        <v>58</v>
      </c>
      <c r="D198" s="2"/>
      <c r="E198" s="2"/>
      <c r="F198" s="47">
        <v>0</v>
      </c>
      <c r="G198" s="47">
        <v>0</v>
      </c>
      <c r="H198" s="1">
        <v>0</v>
      </c>
      <c r="I198" s="1">
        <v>0</v>
      </c>
      <c r="J198" s="1">
        <v>0</v>
      </c>
      <c r="K198" s="1">
        <v>0</v>
      </c>
      <c r="L198" s="52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54">
        <v>0</v>
      </c>
      <c r="Y198" s="58">
        <f t="shared" si="54"/>
        <v>0</v>
      </c>
      <c r="Z198" s="1">
        <f t="shared" si="55"/>
        <v>0</v>
      </c>
      <c r="AA198" s="1">
        <f t="shared" si="56"/>
        <v>0</v>
      </c>
      <c r="AC198" s="15" t="s">
        <v>51</v>
      </c>
      <c r="AD198" s="16" t="s">
        <v>56</v>
      </c>
      <c r="AE198" s="27" t="s">
        <v>58</v>
      </c>
      <c r="AF198" s="2"/>
      <c r="AG198" s="2"/>
      <c r="AH198" s="90" t="str">
        <f t="shared" si="57"/>
        <v/>
      </c>
      <c r="AI198" s="90" t="str">
        <f t="shared" si="57"/>
        <v/>
      </c>
      <c r="AJ198" s="90" t="str">
        <f t="shared" si="57"/>
        <v/>
      </c>
      <c r="AK198" s="90" t="str">
        <f t="shared" si="57"/>
        <v/>
      </c>
      <c r="AL198" s="90" t="str">
        <f t="shared" si="57"/>
        <v/>
      </c>
      <c r="AM198" s="90" t="str">
        <f t="shared" si="57"/>
        <v/>
      </c>
      <c r="AN198" s="90" t="str">
        <f t="shared" si="57"/>
        <v/>
      </c>
      <c r="AO198" s="90" t="str">
        <f t="shared" si="57"/>
        <v/>
      </c>
      <c r="AP198" s="90" t="str">
        <f t="shared" si="57"/>
        <v/>
      </c>
      <c r="AQ198" s="90" t="str">
        <f t="shared" si="57"/>
        <v/>
      </c>
      <c r="AR198" s="90" t="str">
        <f t="shared" si="57"/>
        <v/>
      </c>
      <c r="AS198" s="90" t="str">
        <f t="shared" si="57"/>
        <v/>
      </c>
      <c r="AT198" s="90" t="str">
        <f t="shared" si="57"/>
        <v/>
      </c>
      <c r="AU198" s="90" t="str">
        <f t="shared" si="57"/>
        <v/>
      </c>
      <c r="AV198" s="90" t="str">
        <f t="shared" si="57"/>
        <v/>
      </c>
      <c r="AW198" s="90" t="str">
        <f t="shared" si="57"/>
        <v/>
      </c>
      <c r="AX198" s="90" t="str">
        <f t="shared" si="58"/>
        <v/>
      </c>
      <c r="AY198" s="90" t="str">
        <f t="shared" si="58"/>
        <v/>
      </c>
      <c r="AZ198" s="90" t="str">
        <f t="shared" si="58"/>
        <v/>
      </c>
      <c r="BA198" s="90" t="str">
        <f t="shared" si="58"/>
        <v/>
      </c>
      <c r="BB198" s="90" t="str">
        <f t="shared" si="58"/>
        <v/>
      </c>
      <c r="BC198" s="90" t="str">
        <f t="shared" si="58"/>
        <v/>
      </c>
    </row>
    <row r="199" spans="1:55" x14ac:dyDescent="0.25">
      <c r="A199" s="15" t="s">
        <v>51</v>
      </c>
      <c r="B199" s="16" t="s">
        <v>9</v>
      </c>
      <c r="C199" s="27" t="s">
        <v>59</v>
      </c>
      <c r="D199" s="2"/>
      <c r="E199" s="2"/>
      <c r="F199" s="47">
        <v>0</v>
      </c>
      <c r="G199" s="47">
        <v>0</v>
      </c>
      <c r="H199" s="1">
        <v>0</v>
      </c>
      <c r="I199" s="1">
        <v>0</v>
      </c>
      <c r="J199" s="1">
        <v>0</v>
      </c>
      <c r="K199" s="1">
        <v>0</v>
      </c>
      <c r="L199" s="52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54">
        <v>0</v>
      </c>
      <c r="Y199" s="58">
        <f t="shared" si="54"/>
        <v>0</v>
      </c>
      <c r="Z199" s="1">
        <f t="shared" si="55"/>
        <v>0</v>
      </c>
      <c r="AA199" s="1">
        <f t="shared" si="56"/>
        <v>0</v>
      </c>
      <c r="AC199" s="15" t="s">
        <v>51</v>
      </c>
      <c r="AD199" s="16" t="s">
        <v>9</v>
      </c>
      <c r="AE199" s="27" t="s">
        <v>59</v>
      </c>
      <c r="AF199" s="2"/>
      <c r="AG199" s="2"/>
      <c r="AH199" s="90" t="str">
        <f t="shared" si="57"/>
        <v/>
      </c>
      <c r="AI199" s="90" t="str">
        <f t="shared" si="57"/>
        <v/>
      </c>
      <c r="AJ199" s="90" t="str">
        <f t="shared" si="57"/>
        <v/>
      </c>
      <c r="AK199" s="90" t="str">
        <f t="shared" si="57"/>
        <v/>
      </c>
      <c r="AL199" s="90" t="str">
        <f t="shared" si="57"/>
        <v/>
      </c>
      <c r="AM199" s="90" t="str">
        <f t="shared" si="57"/>
        <v/>
      </c>
      <c r="AN199" s="90" t="str">
        <f t="shared" si="57"/>
        <v/>
      </c>
      <c r="AO199" s="90" t="str">
        <f t="shared" si="57"/>
        <v/>
      </c>
      <c r="AP199" s="90" t="str">
        <f t="shared" si="57"/>
        <v/>
      </c>
      <c r="AQ199" s="90" t="str">
        <f t="shared" si="57"/>
        <v/>
      </c>
      <c r="AR199" s="90" t="str">
        <f t="shared" si="57"/>
        <v/>
      </c>
      <c r="AS199" s="90" t="str">
        <f t="shared" si="57"/>
        <v/>
      </c>
      <c r="AT199" s="90" t="str">
        <f t="shared" si="57"/>
        <v/>
      </c>
      <c r="AU199" s="90" t="str">
        <f t="shared" si="57"/>
        <v/>
      </c>
      <c r="AV199" s="90" t="str">
        <f t="shared" si="57"/>
        <v/>
      </c>
      <c r="AW199" s="90" t="str">
        <f t="shared" si="57"/>
        <v/>
      </c>
      <c r="AX199" s="90" t="str">
        <f t="shared" si="58"/>
        <v/>
      </c>
      <c r="AY199" s="90" t="str">
        <f t="shared" si="58"/>
        <v/>
      </c>
      <c r="AZ199" s="90" t="str">
        <f t="shared" si="58"/>
        <v/>
      </c>
      <c r="BA199" s="90" t="str">
        <f t="shared" si="58"/>
        <v/>
      </c>
      <c r="BB199" s="90" t="str">
        <f t="shared" si="58"/>
        <v/>
      </c>
      <c r="BC199" s="90" t="str">
        <f t="shared" si="58"/>
        <v/>
      </c>
    </row>
    <row r="200" spans="1:55" x14ac:dyDescent="0.25">
      <c r="A200" s="15" t="s">
        <v>51</v>
      </c>
      <c r="B200" s="16" t="s">
        <v>9</v>
      </c>
      <c r="C200" s="27" t="s">
        <v>9</v>
      </c>
      <c r="D200" s="2"/>
      <c r="E200" s="2"/>
      <c r="F200" s="47">
        <v>0</v>
      </c>
      <c r="G200" s="47">
        <v>0</v>
      </c>
      <c r="H200" s="1">
        <v>0</v>
      </c>
      <c r="I200" s="1">
        <v>0</v>
      </c>
      <c r="J200" s="1">
        <v>0</v>
      </c>
      <c r="K200" s="1">
        <v>0</v>
      </c>
      <c r="L200" s="52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54">
        <v>0</v>
      </c>
      <c r="Y200" s="58">
        <f t="shared" si="54"/>
        <v>0</v>
      </c>
      <c r="Z200" s="1">
        <f t="shared" si="55"/>
        <v>0</v>
      </c>
      <c r="AA200" s="1">
        <f t="shared" si="56"/>
        <v>0</v>
      </c>
      <c r="AC200" s="15" t="s">
        <v>51</v>
      </c>
      <c r="AD200" s="16" t="s">
        <v>9</v>
      </c>
      <c r="AE200" s="27" t="s">
        <v>9</v>
      </c>
      <c r="AF200" s="2"/>
      <c r="AG200" s="2"/>
      <c r="AH200" s="90" t="str">
        <f t="shared" si="57"/>
        <v/>
      </c>
      <c r="AI200" s="90" t="str">
        <f t="shared" si="57"/>
        <v/>
      </c>
      <c r="AJ200" s="90" t="str">
        <f t="shared" si="57"/>
        <v/>
      </c>
      <c r="AK200" s="90" t="str">
        <f t="shared" si="57"/>
        <v/>
      </c>
      <c r="AL200" s="90" t="str">
        <f t="shared" si="57"/>
        <v/>
      </c>
      <c r="AM200" s="90" t="str">
        <f t="shared" si="57"/>
        <v/>
      </c>
      <c r="AN200" s="90" t="str">
        <f t="shared" si="57"/>
        <v/>
      </c>
      <c r="AO200" s="90" t="str">
        <f t="shared" si="57"/>
        <v/>
      </c>
      <c r="AP200" s="90" t="str">
        <f t="shared" si="57"/>
        <v/>
      </c>
      <c r="AQ200" s="90" t="str">
        <f t="shared" si="57"/>
        <v/>
      </c>
      <c r="AR200" s="90" t="str">
        <f t="shared" si="57"/>
        <v/>
      </c>
      <c r="AS200" s="90" t="str">
        <f t="shared" si="57"/>
        <v/>
      </c>
      <c r="AT200" s="90" t="str">
        <f t="shared" si="57"/>
        <v/>
      </c>
      <c r="AU200" s="90" t="str">
        <f t="shared" si="57"/>
        <v/>
      </c>
      <c r="AV200" s="90" t="str">
        <f t="shared" si="57"/>
        <v/>
      </c>
      <c r="AW200" s="90" t="str">
        <f t="shared" ref="AW200:BC225" si="67">IF(U200&gt;0,U245/U200*1000,"")</f>
        <v/>
      </c>
      <c r="AX200" s="90" t="str">
        <f t="shared" si="58"/>
        <v/>
      </c>
      <c r="AY200" s="90" t="str">
        <f t="shared" si="58"/>
        <v/>
      </c>
      <c r="AZ200" s="90" t="str">
        <f t="shared" si="58"/>
        <v/>
      </c>
      <c r="BA200" s="90" t="str">
        <f t="shared" si="58"/>
        <v/>
      </c>
      <c r="BB200" s="90" t="str">
        <f t="shared" si="58"/>
        <v/>
      </c>
      <c r="BC200" s="90" t="str">
        <f t="shared" si="58"/>
        <v/>
      </c>
    </row>
    <row r="201" spans="1:55" x14ac:dyDescent="0.25">
      <c r="A201" s="28" t="s">
        <v>60</v>
      </c>
      <c r="B201" s="29" t="s">
        <v>13</v>
      </c>
      <c r="C201" s="29" t="s">
        <v>61</v>
      </c>
      <c r="D201" s="2"/>
      <c r="E201" s="2"/>
      <c r="F201" s="103">
        <f>165*0.8</f>
        <v>132</v>
      </c>
      <c r="G201" s="51">
        <v>0</v>
      </c>
      <c r="H201" s="91">
        <f>2050*0.5</f>
        <v>1025</v>
      </c>
      <c r="I201" s="77">
        <f>I21/I156</f>
        <v>101.37931034482759</v>
      </c>
      <c r="J201" s="83">
        <f>100*0.8</f>
        <v>80</v>
      </c>
      <c r="K201" s="77">
        <f>K21/K156</f>
        <v>27.586206896551722</v>
      </c>
      <c r="L201" s="52">
        <v>0</v>
      </c>
      <c r="M201" s="80">
        <f>M21/M156</f>
        <v>9.8765432098765427</v>
      </c>
      <c r="N201" s="107">
        <v>1.6</v>
      </c>
      <c r="O201" s="107">
        <v>0.2</v>
      </c>
      <c r="P201" s="107">
        <v>0.13</v>
      </c>
      <c r="Q201" s="84">
        <f t="shared" ref="Q201:X201" si="68">Q21/Q156</f>
        <v>0.31914893617021278</v>
      </c>
      <c r="R201" s="80">
        <f t="shared" si="68"/>
        <v>2.2963870177587262</v>
      </c>
      <c r="S201" s="51">
        <v>0</v>
      </c>
      <c r="T201" s="80">
        <f t="shared" si="68"/>
        <v>0.88028169014084512</v>
      </c>
      <c r="U201" s="80">
        <f t="shared" si="68"/>
        <v>1.9561815336463224</v>
      </c>
      <c r="V201" s="80">
        <f t="shared" si="68"/>
        <v>0.11737089201877934</v>
      </c>
      <c r="W201" s="80">
        <f t="shared" si="68"/>
        <v>2.7386541471048513</v>
      </c>
      <c r="X201" s="80">
        <f t="shared" si="68"/>
        <v>23.474178403755868</v>
      </c>
      <c r="Y201" s="59">
        <f t="shared" si="54"/>
        <v>1365.9655172413793</v>
      </c>
      <c r="Z201" s="51">
        <f t="shared" si="55"/>
        <v>43.588745830472149</v>
      </c>
      <c r="AA201" s="51">
        <f t="shared" si="56"/>
        <v>1409.5542630718514</v>
      </c>
      <c r="AB201" s="5" t="s">
        <v>124</v>
      </c>
      <c r="AC201" s="28" t="s">
        <v>60</v>
      </c>
      <c r="AD201" s="29" t="s">
        <v>13</v>
      </c>
      <c r="AE201" s="29" t="s">
        <v>61</v>
      </c>
      <c r="AF201" s="2"/>
      <c r="AG201" s="2"/>
      <c r="AH201" s="1">
        <f t="shared" ref="AH201:AV217" si="69">IF(F201&gt;0,F246/F201*1000,"")</f>
        <v>289.56228956228955</v>
      </c>
      <c r="AI201" s="1" t="str">
        <f t="shared" si="69"/>
        <v/>
      </c>
      <c r="AJ201" s="1">
        <f t="shared" si="69"/>
        <v>26.341463414634145</v>
      </c>
      <c r="AK201" s="1">
        <f t="shared" si="69"/>
        <v>170.58823529411762</v>
      </c>
      <c r="AL201" s="1">
        <f t="shared" si="69"/>
        <v>136.76470588235296</v>
      </c>
      <c r="AM201" s="1">
        <f t="shared" si="69"/>
        <v>170.58823529411765</v>
      </c>
      <c r="AN201" s="52" t="str">
        <f t="shared" si="69"/>
        <v/>
      </c>
      <c r="AO201" s="1">
        <f t="shared" si="69"/>
        <v>2222.2222222222217</v>
      </c>
      <c r="AP201" s="1">
        <f t="shared" si="69"/>
        <v>5625</v>
      </c>
      <c r="AQ201" s="1">
        <f t="shared" si="69"/>
        <v>55555.555555555547</v>
      </c>
      <c r="AR201" s="1">
        <f t="shared" si="69"/>
        <v>427350.42735042737</v>
      </c>
      <c r="AS201" s="1">
        <f t="shared" si="69"/>
        <v>5222.2222222222226</v>
      </c>
      <c r="AT201" s="1">
        <f t="shared" si="69"/>
        <v>2366.6666666666665</v>
      </c>
      <c r="AU201" s="1" t="str">
        <f t="shared" si="69"/>
        <v/>
      </c>
      <c r="AV201" s="1">
        <f t="shared" si="69"/>
        <v>2366.6666666666665</v>
      </c>
      <c r="AW201" s="1">
        <f t="shared" si="67"/>
        <v>2366.6666666666665</v>
      </c>
      <c r="AX201" s="1">
        <f t="shared" si="67"/>
        <v>2366.6666666666665</v>
      </c>
      <c r="AY201" s="1">
        <f t="shared" si="67"/>
        <v>2366.6666666666665</v>
      </c>
      <c r="AZ201" s="1">
        <f t="shared" si="67"/>
        <v>2366.6666666666665</v>
      </c>
      <c r="BA201" s="1">
        <f t="shared" si="67"/>
        <v>0</v>
      </c>
      <c r="BB201" s="1">
        <f t="shared" si="67"/>
        <v>0</v>
      </c>
      <c r="BC201" s="1">
        <f t="shared" si="67"/>
        <v>0</v>
      </c>
    </row>
    <row r="202" spans="1:55" x14ac:dyDescent="0.25">
      <c r="A202" s="36" t="s">
        <v>60</v>
      </c>
      <c r="B202" s="37" t="s">
        <v>13</v>
      </c>
      <c r="C202" s="29" t="s">
        <v>62</v>
      </c>
      <c r="D202" s="2"/>
      <c r="E202" s="2"/>
      <c r="F202" s="103">
        <f>165*0.2</f>
        <v>33</v>
      </c>
      <c r="G202" s="91">
        <f>207</f>
        <v>207</v>
      </c>
      <c r="H202" s="91">
        <f>2050*0.5</f>
        <v>1025</v>
      </c>
      <c r="I202" s="51">
        <v>0</v>
      </c>
      <c r="J202" s="51">
        <v>0</v>
      </c>
      <c r="K202" s="51">
        <v>0</v>
      </c>
      <c r="L202" s="52">
        <v>0</v>
      </c>
      <c r="M202" s="51">
        <v>0</v>
      </c>
      <c r="N202" s="51">
        <v>0</v>
      </c>
      <c r="O202" s="51">
        <v>0</v>
      </c>
      <c r="P202" s="107">
        <v>0.13</v>
      </c>
      <c r="Q202" s="51">
        <v>0</v>
      </c>
      <c r="R202" s="51">
        <v>0</v>
      </c>
      <c r="S202" s="51">
        <v>0</v>
      </c>
      <c r="T202" s="51">
        <v>0</v>
      </c>
      <c r="U202" s="51">
        <v>0</v>
      </c>
      <c r="V202" s="51">
        <v>0</v>
      </c>
      <c r="W202" s="51">
        <v>0</v>
      </c>
      <c r="X202" s="55">
        <v>0</v>
      </c>
      <c r="Y202" s="59">
        <f t="shared" si="54"/>
        <v>1265</v>
      </c>
      <c r="Z202" s="51">
        <f t="shared" si="55"/>
        <v>0.13</v>
      </c>
      <c r="AA202" s="51">
        <f t="shared" si="56"/>
        <v>1265.1300000000001</v>
      </c>
      <c r="AC202" s="36" t="s">
        <v>60</v>
      </c>
      <c r="AD202" s="37" t="s">
        <v>13</v>
      </c>
      <c r="AE202" s="29" t="s">
        <v>62</v>
      </c>
      <c r="AF202" s="2"/>
      <c r="AG202" s="2"/>
      <c r="AH202" s="1">
        <f t="shared" si="69"/>
        <v>289.56228956228955</v>
      </c>
      <c r="AI202" s="1">
        <f t="shared" si="69"/>
        <v>150.29522275899092</v>
      </c>
      <c r="AJ202" s="1">
        <f t="shared" si="69"/>
        <v>32.195121951219512</v>
      </c>
      <c r="AK202" s="1" t="str">
        <f t="shared" si="69"/>
        <v/>
      </c>
      <c r="AL202" s="1" t="str">
        <f t="shared" si="69"/>
        <v/>
      </c>
      <c r="AM202" s="1" t="str">
        <f t="shared" si="69"/>
        <v/>
      </c>
      <c r="AN202" s="52" t="str">
        <f t="shared" si="69"/>
        <v/>
      </c>
      <c r="AO202" s="1" t="str">
        <f t="shared" si="69"/>
        <v/>
      </c>
      <c r="AP202" s="1" t="str">
        <f t="shared" si="69"/>
        <v/>
      </c>
      <c r="AQ202" s="1" t="str">
        <f t="shared" si="69"/>
        <v/>
      </c>
      <c r="AR202" s="1">
        <f t="shared" si="69"/>
        <v>427350.42735042737</v>
      </c>
      <c r="AS202" s="1" t="str">
        <f t="shared" si="69"/>
        <v/>
      </c>
      <c r="AT202" s="1" t="str">
        <f t="shared" si="69"/>
        <v/>
      </c>
      <c r="AU202" s="1" t="str">
        <f t="shared" si="69"/>
        <v/>
      </c>
      <c r="AV202" s="1" t="str">
        <f t="shared" si="69"/>
        <v/>
      </c>
      <c r="AW202" s="1" t="str">
        <f t="shared" si="67"/>
        <v/>
      </c>
      <c r="AX202" s="1" t="str">
        <f t="shared" si="67"/>
        <v/>
      </c>
      <c r="AY202" s="1" t="str">
        <f t="shared" si="67"/>
        <v/>
      </c>
      <c r="AZ202" s="1" t="str">
        <f t="shared" si="67"/>
        <v/>
      </c>
      <c r="BA202" s="1">
        <f t="shared" si="67"/>
        <v>0</v>
      </c>
      <c r="BB202" s="1">
        <f t="shared" si="67"/>
        <v>0</v>
      </c>
      <c r="BC202" s="1">
        <f t="shared" si="67"/>
        <v>0</v>
      </c>
    </row>
    <row r="203" spans="1:55" x14ac:dyDescent="0.25">
      <c r="A203" s="30" t="s">
        <v>60</v>
      </c>
      <c r="B203" s="31" t="s">
        <v>13</v>
      </c>
      <c r="C203" s="32" t="s">
        <v>63</v>
      </c>
      <c r="D203" s="2"/>
      <c r="E203" s="2"/>
      <c r="F203" s="51">
        <v>0</v>
      </c>
      <c r="G203" s="51">
        <v>0</v>
      </c>
      <c r="H203" s="51">
        <v>0</v>
      </c>
      <c r="I203" s="51">
        <v>0</v>
      </c>
      <c r="J203" s="51">
        <v>0</v>
      </c>
      <c r="K203" s="51">
        <v>0</v>
      </c>
      <c r="L203" s="52">
        <v>0</v>
      </c>
      <c r="M203" s="51">
        <v>0</v>
      </c>
      <c r="N203" s="51">
        <v>0</v>
      </c>
      <c r="O203" s="51">
        <v>0</v>
      </c>
      <c r="P203" s="51">
        <v>0</v>
      </c>
      <c r="Q203" s="51">
        <v>0</v>
      </c>
      <c r="R203" s="51">
        <v>0</v>
      </c>
      <c r="S203" s="51">
        <v>0</v>
      </c>
      <c r="T203" s="51">
        <v>0</v>
      </c>
      <c r="U203" s="51">
        <v>0</v>
      </c>
      <c r="V203" s="51">
        <v>0</v>
      </c>
      <c r="W203" s="51">
        <v>0</v>
      </c>
      <c r="X203" s="55">
        <v>0</v>
      </c>
      <c r="Y203" s="59">
        <f t="shared" si="54"/>
        <v>0</v>
      </c>
      <c r="Z203" s="51">
        <f t="shared" si="55"/>
        <v>0</v>
      </c>
      <c r="AA203" s="51">
        <f t="shared" si="56"/>
        <v>0</v>
      </c>
      <c r="AC203" s="30" t="s">
        <v>60</v>
      </c>
      <c r="AD203" s="31" t="s">
        <v>13</v>
      </c>
      <c r="AE203" s="32" t="s">
        <v>63</v>
      </c>
      <c r="AF203" s="2"/>
      <c r="AG203" s="2"/>
      <c r="AH203" s="1" t="str">
        <f t="shared" si="69"/>
        <v/>
      </c>
      <c r="AI203" s="1" t="str">
        <f t="shared" si="69"/>
        <v/>
      </c>
      <c r="AJ203" s="1" t="str">
        <f t="shared" si="69"/>
        <v/>
      </c>
      <c r="AK203" s="1" t="str">
        <f t="shared" si="69"/>
        <v/>
      </c>
      <c r="AL203" s="1" t="str">
        <f t="shared" si="69"/>
        <v/>
      </c>
      <c r="AM203" s="1" t="str">
        <f t="shared" si="69"/>
        <v/>
      </c>
      <c r="AN203" s="52" t="str">
        <f t="shared" si="69"/>
        <v/>
      </c>
      <c r="AO203" s="1" t="str">
        <f t="shared" si="69"/>
        <v/>
      </c>
      <c r="AP203" s="1" t="str">
        <f t="shared" si="69"/>
        <v/>
      </c>
      <c r="AQ203" s="1" t="str">
        <f t="shared" si="69"/>
        <v/>
      </c>
      <c r="AR203" s="1" t="str">
        <f t="shared" si="69"/>
        <v/>
      </c>
      <c r="AS203" s="1" t="str">
        <f t="shared" si="69"/>
        <v/>
      </c>
      <c r="AT203" s="1" t="str">
        <f t="shared" si="69"/>
        <v/>
      </c>
      <c r="AU203" s="1" t="str">
        <f t="shared" si="69"/>
        <v/>
      </c>
      <c r="AV203" s="1" t="str">
        <f t="shared" si="69"/>
        <v/>
      </c>
      <c r="AW203" s="1" t="str">
        <f t="shared" si="67"/>
        <v/>
      </c>
      <c r="AX203" s="1" t="str">
        <f t="shared" si="67"/>
        <v/>
      </c>
      <c r="AY203" s="1" t="str">
        <f t="shared" si="67"/>
        <v/>
      </c>
      <c r="AZ203" s="1" t="str">
        <f t="shared" si="67"/>
        <v/>
      </c>
      <c r="BA203" s="1" t="str">
        <f t="shared" si="67"/>
        <v/>
      </c>
      <c r="BB203" s="1" t="str">
        <f t="shared" si="67"/>
        <v/>
      </c>
      <c r="BC203" s="1" t="str">
        <f t="shared" si="67"/>
        <v/>
      </c>
    </row>
    <row r="204" spans="1:55" x14ac:dyDescent="0.25">
      <c r="A204" s="30" t="s">
        <v>60</v>
      </c>
      <c r="B204" s="32" t="s">
        <v>23</v>
      </c>
      <c r="C204" s="31" t="s">
        <v>50</v>
      </c>
      <c r="D204" s="2"/>
      <c r="E204" s="2"/>
      <c r="F204" s="64">
        <v>0</v>
      </c>
      <c r="G204" s="51">
        <v>0</v>
      </c>
      <c r="H204" s="51">
        <v>0</v>
      </c>
      <c r="I204" s="51">
        <v>0</v>
      </c>
      <c r="J204" s="80">
        <f>J24/J159</f>
        <v>0.41333333333333339</v>
      </c>
      <c r="K204" s="77">
        <f>K24/K159</f>
        <v>863.63636363636351</v>
      </c>
      <c r="L204" s="52">
        <v>0</v>
      </c>
      <c r="M204" s="51">
        <v>0</v>
      </c>
      <c r="N204" s="107">
        <v>1.2</v>
      </c>
      <c r="O204" s="51">
        <v>0</v>
      </c>
      <c r="P204" s="51">
        <v>0</v>
      </c>
      <c r="Q204" s="51">
        <v>0</v>
      </c>
      <c r="R204" s="51">
        <v>0</v>
      </c>
      <c r="S204" s="51">
        <v>0</v>
      </c>
      <c r="T204" s="51">
        <v>0</v>
      </c>
      <c r="U204" s="51">
        <v>0</v>
      </c>
      <c r="V204" s="51">
        <v>0</v>
      </c>
      <c r="W204" s="51">
        <v>0</v>
      </c>
      <c r="X204" s="55">
        <v>0</v>
      </c>
      <c r="Y204" s="59">
        <f t="shared" si="54"/>
        <v>864.04969696969681</v>
      </c>
      <c r="Z204" s="51">
        <f t="shared" si="55"/>
        <v>1.2</v>
      </c>
      <c r="AA204" s="51">
        <f t="shared" si="56"/>
        <v>865.24969696969686</v>
      </c>
      <c r="AB204" s="64">
        <v>1200</v>
      </c>
      <c r="AC204" s="30" t="s">
        <v>60</v>
      </c>
      <c r="AD204" s="32" t="s">
        <v>23</v>
      </c>
      <c r="AE204" s="31" t="s">
        <v>50</v>
      </c>
      <c r="AF204" s="2"/>
      <c r="AG204" s="2"/>
      <c r="AH204" s="1" t="str">
        <f t="shared" si="69"/>
        <v/>
      </c>
      <c r="AI204" s="1" t="str">
        <f t="shared" si="69"/>
        <v/>
      </c>
      <c r="AJ204" s="1" t="str">
        <f t="shared" si="69"/>
        <v/>
      </c>
      <c r="AK204" s="1" t="str">
        <f t="shared" si="69"/>
        <v/>
      </c>
      <c r="AL204" s="1">
        <f t="shared" si="69"/>
        <v>692.30769230769226</v>
      </c>
      <c r="AM204" s="1">
        <f t="shared" si="69"/>
        <v>31.428571428571431</v>
      </c>
      <c r="AN204" s="52" t="str">
        <f t="shared" si="69"/>
        <v/>
      </c>
      <c r="AO204" s="1" t="str">
        <f t="shared" si="69"/>
        <v/>
      </c>
      <c r="AP204" s="1">
        <f t="shared" si="69"/>
        <v>20512.820512820515</v>
      </c>
      <c r="AQ204" s="1" t="str">
        <f t="shared" si="69"/>
        <v/>
      </c>
      <c r="AR204" s="1" t="str">
        <f t="shared" si="69"/>
        <v/>
      </c>
      <c r="AS204" s="1" t="str">
        <f t="shared" si="69"/>
        <v/>
      </c>
      <c r="AT204" s="1" t="str">
        <f t="shared" si="69"/>
        <v/>
      </c>
      <c r="AU204" s="1" t="str">
        <f t="shared" si="69"/>
        <v/>
      </c>
      <c r="AV204" s="1" t="str">
        <f t="shared" si="69"/>
        <v/>
      </c>
      <c r="AW204" s="1" t="str">
        <f t="shared" si="67"/>
        <v/>
      </c>
      <c r="AX204" s="1" t="str">
        <f t="shared" si="67"/>
        <v/>
      </c>
      <c r="AY204" s="1" t="str">
        <f t="shared" si="67"/>
        <v/>
      </c>
      <c r="AZ204" s="1" t="str">
        <f t="shared" si="67"/>
        <v/>
      </c>
      <c r="BA204" s="1">
        <f t="shared" si="67"/>
        <v>0</v>
      </c>
      <c r="BB204" s="1">
        <f t="shared" si="67"/>
        <v>0</v>
      </c>
      <c r="BC204" s="1">
        <f t="shared" si="67"/>
        <v>0</v>
      </c>
    </row>
    <row r="205" spans="1:55" x14ac:dyDescent="0.25">
      <c r="A205" s="30" t="s">
        <v>60</v>
      </c>
      <c r="B205" s="32" t="s">
        <v>23</v>
      </c>
      <c r="C205" s="31" t="s">
        <v>49</v>
      </c>
      <c r="D205" s="2"/>
      <c r="E205" s="2"/>
      <c r="F205" s="51">
        <v>0</v>
      </c>
      <c r="G205" s="51">
        <v>0</v>
      </c>
      <c r="H205" s="51">
        <v>0</v>
      </c>
      <c r="I205" s="51">
        <v>0</v>
      </c>
      <c r="J205" s="80">
        <f>J25/J160</f>
        <v>25</v>
      </c>
      <c r="K205" s="80">
        <f>K25/K160</f>
        <v>11.025</v>
      </c>
      <c r="L205" s="52">
        <v>0</v>
      </c>
      <c r="M205" s="51">
        <v>0</v>
      </c>
      <c r="N205" s="51">
        <v>0</v>
      </c>
      <c r="O205" s="51">
        <v>0</v>
      </c>
      <c r="P205" s="51">
        <v>0</v>
      </c>
      <c r="Q205" s="51">
        <v>0</v>
      </c>
      <c r="R205" s="51">
        <v>0</v>
      </c>
      <c r="S205" s="77">
        <f t="shared" ref="S205:X205" si="70">S25/S160</f>
        <v>2.4500000000000002</v>
      </c>
      <c r="T205" s="80">
        <f t="shared" si="70"/>
        <v>1.6009852216748768</v>
      </c>
      <c r="U205" s="86">
        <v>0</v>
      </c>
      <c r="V205" s="80">
        <f t="shared" si="70"/>
        <v>0.24630541871921183</v>
      </c>
      <c r="W205" s="86">
        <v>0</v>
      </c>
      <c r="X205" s="80">
        <f t="shared" si="70"/>
        <v>1</v>
      </c>
      <c r="Y205" s="59">
        <f t="shared" si="54"/>
        <v>36.024999999999999</v>
      </c>
      <c r="Z205" s="51">
        <f t="shared" si="55"/>
        <v>5.2972906403940883</v>
      </c>
      <c r="AA205" s="51">
        <f t="shared" si="56"/>
        <v>41.322290640394087</v>
      </c>
      <c r="AB205" s="97">
        <v>900</v>
      </c>
      <c r="AC205" s="30" t="s">
        <v>60</v>
      </c>
      <c r="AD205" s="32" t="s">
        <v>23</v>
      </c>
      <c r="AE205" s="31" t="s">
        <v>49</v>
      </c>
      <c r="AF205" s="2"/>
      <c r="AG205" s="2"/>
      <c r="AH205" s="1" t="str">
        <f t="shared" si="69"/>
        <v/>
      </c>
      <c r="AI205" s="1" t="str">
        <f t="shared" si="69"/>
        <v/>
      </c>
      <c r="AJ205" s="1" t="str">
        <f t="shared" si="69"/>
        <v/>
      </c>
      <c r="AK205" s="1" t="str">
        <f t="shared" si="69"/>
        <v/>
      </c>
      <c r="AL205" s="1">
        <f t="shared" si="69"/>
        <v>888.8888888888888</v>
      </c>
      <c r="AM205" s="1">
        <f t="shared" si="69"/>
        <v>888.88888888888891</v>
      </c>
      <c r="AN205" s="52" t="str">
        <f t="shared" si="69"/>
        <v/>
      </c>
      <c r="AO205" s="1" t="str">
        <f t="shared" si="69"/>
        <v/>
      </c>
      <c r="AP205" s="1" t="str">
        <f t="shared" si="69"/>
        <v/>
      </c>
      <c r="AQ205" s="1" t="str">
        <f t="shared" si="69"/>
        <v/>
      </c>
      <c r="AR205" s="1" t="str">
        <f t="shared" si="69"/>
        <v/>
      </c>
      <c r="AS205" s="1" t="str">
        <f t="shared" si="69"/>
        <v/>
      </c>
      <c r="AT205" s="1" t="str">
        <f t="shared" si="69"/>
        <v/>
      </c>
      <c r="AU205" s="1">
        <f t="shared" si="69"/>
        <v>2222.2222222222222</v>
      </c>
      <c r="AV205" s="1">
        <f t="shared" si="69"/>
        <v>11600.000000000002</v>
      </c>
      <c r="AW205" s="1" t="str">
        <f t="shared" si="67"/>
        <v/>
      </c>
      <c r="AX205" s="1">
        <f t="shared" si="67"/>
        <v>9022.2222222222226</v>
      </c>
      <c r="AY205" s="1" t="str">
        <f t="shared" si="67"/>
        <v/>
      </c>
      <c r="AZ205" s="1">
        <f t="shared" si="67"/>
        <v>2222.2222222222222</v>
      </c>
      <c r="BA205" s="1">
        <f t="shared" si="67"/>
        <v>0</v>
      </c>
      <c r="BB205" s="1">
        <f t="shared" si="67"/>
        <v>0</v>
      </c>
      <c r="BC205" s="1">
        <f t="shared" si="67"/>
        <v>0</v>
      </c>
    </row>
    <row r="206" spans="1:55" x14ac:dyDescent="0.25">
      <c r="A206" s="30" t="s">
        <v>60</v>
      </c>
      <c r="B206" s="32" t="s">
        <v>23</v>
      </c>
      <c r="C206" s="31" t="s">
        <v>64</v>
      </c>
      <c r="D206" s="2"/>
      <c r="E206" s="2"/>
      <c r="F206" s="51">
        <v>0</v>
      </c>
      <c r="G206" s="51">
        <v>0</v>
      </c>
      <c r="H206" s="51">
        <v>0</v>
      </c>
      <c r="I206" s="51">
        <v>0</v>
      </c>
      <c r="J206" s="51">
        <v>0</v>
      </c>
      <c r="K206" s="51">
        <v>0</v>
      </c>
      <c r="L206" s="52">
        <v>0</v>
      </c>
      <c r="M206" s="51">
        <v>0</v>
      </c>
      <c r="N206" s="51">
        <v>0</v>
      </c>
      <c r="O206" s="51">
        <v>0</v>
      </c>
      <c r="P206" s="51">
        <v>0</v>
      </c>
      <c r="Q206" s="51">
        <v>0</v>
      </c>
      <c r="R206" s="51">
        <v>0</v>
      </c>
      <c r="S206" s="51">
        <v>0</v>
      </c>
      <c r="T206" s="51">
        <v>0</v>
      </c>
      <c r="U206" s="51">
        <v>0</v>
      </c>
      <c r="V206" s="51">
        <v>0</v>
      </c>
      <c r="W206" s="51">
        <v>0</v>
      </c>
      <c r="X206" s="55">
        <v>0</v>
      </c>
      <c r="Y206" s="59">
        <f t="shared" si="54"/>
        <v>0</v>
      </c>
      <c r="Z206" s="51">
        <f t="shared" si="55"/>
        <v>0</v>
      </c>
      <c r="AA206" s="51">
        <f t="shared" si="56"/>
        <v>0</v>
      </c>
      <c r="AC206" s="30" t="s">
        <v>60</v>
      </c>
      <c r="AD206" s="32" t="s">
        <v>23</v>
      </c>
      <c r="AE206" s="31" t="s">
        <v>64</v>
      </c>
      <c r="AF206" s="2"/>
      <c r="AG206" s="2"/>
      <c r="AH206" s="1" t="str">
        <f t="shared" si="69"/>
        <v/>
      </c>
      <c r="AI206" s="1" t="str">
        <f t="shared" si="69"/>
        <v/>
      </c>
      <c r="AJ206" s="1" t="str">
        <f t="shared" si="69"/>
        <v/>
      </c>
      <c r="AK206" s="1" t="str">
        <f t="shared" si="69"/>
        <v/>
      </c>
      <c r="AL206" s="1" t="str">
        <f t="shared" si="69"/>
        <v/>
      </c>
      <c r="AM206" s="1" t="str">
        <f t="shared" si="69"/>
        <v/>
      </c>
      <c r="AN206" s="52" t="str">
        <f t="shared" si="69"/>
        <v/>
      </c>
      <c r="AO206" s="1" t="str">
        <f t="shared" si="69"/>
        <v/>
      </c>
      <c r="AP206" s="1" t="str">
        <f t="shared" si="69"/>
        <v/>
      </c>
      <c r="AQ206" s="1" t="str">
        <f t="shared" si="69"/>
        <v/>
      </c>
      <c r="AR206" s="1" t="str">
        <f t="shared" si="69"/>
        <v/>
      </c>
      <c r="AS206" s="1" t="str">
        <f t="shared" si="69"/>
        <v/>
      </c>
      <c r="AT206" s="1" t="str">
        <f t="shared" si="69"/>
        <v/>
      </c>
      <c r="AU206" s="1" t="str">
        <f t="shared" si="69"/>
        <v/>
      </c>
      <c r="AV206" s="1" t="str">
        <f t="shared" si="69"/>
        <v/>
      </c>
      <c r="AW206" s="1" t="str">
        <f t="shared" si="67"/>
        <v/>
      </c>
      <c r="AX206" s="1" t="str">
        <f t="shared" si="67"/>
        <v/>
      </c>
      <c r="AY206" s="1" t="str">
        <f t="shared" si="67"/>
        <v/>
      </c>
      <c r="AZ206" s="1" t="str">
        <f t="shared" si="67"/>
        <v/>
      </c>
      <c r="BA206" s="1" t="str">
        <f t="shared" si="67"/>
        <v/>
      </c>
      <c r="BB206" s="1" t="str">
        <f t="shared" si="67"/>
        <v/>
      </c>
      <c r="BC206" s="1" t="str">
        <f t="shared" si="67"/>
        <v/>
      </c>
    </row>
    <row r="207" spans="1:55" x14ac:dyDescent="0.25">
      <c r="A207" s="30" t="s">
        <v>60</v>
      </c>
      <c r="B207" s="32" t="s">
        <v>65</v>
      </c>
      <c r="C207" s="31" t="s">
        <v>66</v>
      </c>
      <c r="D207" s="2"/>
      <c r="E207" s="2"/>
      <c r="F207" s="51">
        <v>0</v>
      </c>
      <c r="G207" s="51">
        <v>0</v>
      </c>
      <c r="H207" s="51">
        <v>0</v>
      </c>
      <c r="I207" s="51">
        <v>0</v>
      </c>
      <c r="J207" s="80">
        <f>J27/J162</f>
        <v>81.845238095238102</v>
      </c>
      <c r="K207" s="51">
        <v>0</v>
      </c>
      <c r="L207" s="52">
        <v>0</v>
      </c>
      <c r="M207" s="81">
        <f>M27/M162</f>
        <v>37.5</v>
      </c>
      <c r="N207" s="51">
        <v>0</v>
      </c>
      <c r="O207" s="51">
        <v>0</v>
      </c>
      <c r="P207" s="51">
        <v>0</v>
      </c>
      <c r="Q207" s="51">
        <v>0</v>
      </c>
      <c r="R207" s="51">
        <v>0</v>
      </c>
      <c r="S207" s="51">
        <v>0</v>
      </c>
      <c r="T207" s="51">
        <v>0</v>
      </c>
      <c r="U207" s="51">
        <v>0</v>
      </c>
      <c r="V207" s="51">
        <v>0</v>
      </c>
      <c r="W207" s="51">
        <v>0</v>
      </c>
      <c r="X207" s="55">
        <v>0</v>
      </c>
      <c r="Y207" s="59">
        <f t="shared" si="54"/>
        <v>81.845238095238102</v>
      </c>
      <c r="Z207" s="51">
        <f t="shared" si="55"/>
        <v>37.5</v>
      </c>
      <c r="AA207" s="51">
        <f t="shared" si="56"/>
        <v>119.3452380952381</v>
      </c>
      <c r="AC207" s="30" t="s">
        <v>60</v>
      </c>
      <c r="AD207" s="32" t="s">
        <v>65</v>
      </c>
      <c r="AE207" s="31" t="s">
        <v>66</v>
      </c>
      <c r="AF207" s="2"/>
      <c r="AG207" s="2"/>
      <c r="AH207" s="1" t="str">
        <f t="shared" si="69"/>
        <v/>
      </c>
      <c r="AI207" s="1" t="str">
        <f t="shared" si="69"/>
        <v/>
      </c>
      <c r="AJ207" s="1" t="str">
        <f t="shared" si="69"/>
        <v/>
      </c>
      <c r="AK207" s="1" t="str">
        <f t="shared" si="69"/>
        <v/>
      </c>
      <c r="AL207" s="1">
        <f t="shared" si="69"/>
        <v>1400</v>
      </c>
      <c r="AM207" s="1" t="str">
        <f t="shared" si="69"/>
        <v/>
      </c>
      <c r="AN207" s="52" t="str">
        <f t="shared" si="69"/>
        <v/>
      </c>
      <c r="AO207" s="1">
        <f t="shared" si="69"/>
        <v>7500</v>
      </c>
      <c r="AP207" s="1" t="str">
        <f t="shared" si="69"/>
        <v/>
      </c>
      <c r="AQ207" s="1" t="str">
        <f t="shared" si="69"/>
        <v/>
      </c>
      <c r="AR207" s="1" t="str">
        <f t="shared" si="69"/>
        <v/>
      </c>
      <c r="AS207" s="1" t="str">
        <f t="shared" si="69"/>
        <v/>
      </c>
      <c r="AT207" s="1" t="str">
        <f t="shared" si="69"/>
        <v/>
      </c>
      <c r="AU207" s="1" t="str">
        <f t="shared" si="69"/>
        <v/>
      </c>
      <c r="AV207" s="1" t="str">
        <f t="shared" si="69"/>
        <v/>
      </c>
      <c r="AW207" s="1" t="str">
        <f t="shared" si="67"/>
        <v/>
      </c>
      <c r="AX207" s="1" t="str">
        <f t="shared" si="67"/>
        <v/>
      </c>
      <c r="AY207" s="1" t="str">
        <f t="shared" si="67"/>
        <v/>
      </c>
      <c r="AZ207" s="1" t="str">
        <f t="shared" si="67"/>
        <v/>
      </c>
      <c r="BA207" s="1">
        <f t="shared" si="67"/>
        <v>0</v>
      </c>
      <c r="BB207" s="1">
        <f t="shared" si="67"/>
        <v>0</v>
      </c>
      <c r="BC207" s="1">
        <f t="shared" si="67"/>
        <v>0</v>
      </c>
    </row>
    <row r="208" spans="1:55" x14ac:dyDescent="0.25">
      <c r="A208" s="30" t="s">
        <v>60</v>
      </c>
      <c r="B208" s="32" t="s">
        <v>65</v>
      </c>
      <c r="C208" s="31" t="s">
        <v>67</v>
      </c>
      <c r="D208" s="2"/>
      <c r="E208" s="2"/>
      <c r="F208" s="51">
        <v>0</v>
      </c>
      <c r="G208" s="51">
        <v>0</v>
      </c>
      <c r="H208" s="51">
        <v>0</v>
      </c>
      <c r="I208" s="51">
        <v>0</v>
      </c>
      <c r="J208" s="51">
        <v>0</v>
      </c>
      <c r="K208" s="51">
        <v>0</v>
      </c>
      <c r="L208" s="52">
        <v>0</v>
      </c>
      <c r="M208" s="51">
        <v>0</v>
      </c>
      <c r="N208" s="51">
        <v>0</v>
      </c>
      <c r="O208" s="51">
        <v>0</v>
      </c>
      <c r="P208" s="51">
        <v>0</v>
      </c>
      <c r="Q208" s="80">
        <f>Q28/Q163</f>
        <v>26.24113475177305</v>
      </c>
      <c r="R208" s="80">
        <f>R28/R163</f>
        <v>36.515388628064684</v>
      </c>
      <c r="S208" s="51">
        <v>0</v>
      </c>
      <c r="T208" s="80">
        <f>T28/T163</f>
        <v>31.950965049556601</v>
      </c>
      <c r="U208" s="80">
        <f>U28/U163</f>
        <v>10.670081092616304</v>
      </c>
      <c r="V208" s="80">
        <f>V28/V163</f>
        <v>9.7809076682316132</v>
      </c>
      <c r="W208" s="80">
        <f>W28/W163</f>
        <v>16.627543035993742</v>
      </c>
      <c r="X208" s="80">
        <f>X28/X163</f>
        <v>15.649452269170579</v>
      </c>
      <c r="Y208" s="59">
        <f t="shared" si="54"/>
        <v>0</v>
      </c>
      <c r="Z208" s="51">
        <f t="shared" si="55"/>
        <v>147.43547249540657</v>
      </c>
      <c r="AA208" s="51">
        <f t="shared" si="56"/>
        <v>147.43547249540657</v>
      </c>
      <c r="AC208" s="30" t="s">
        <v>60</v>
      </c>
      <c r="AD208" s="32" t="s">
        <v>65</v>
      </c>
      <c r="AE208" s="31" t="s">
        <v>67</v>
      </c>
      <c r="AF208" s="2"/>
      <c r="AG208" s="2"/>
      <c r="AH208" s="1" t="str">
        <f t="shared" si="69"/>
        <v/>
      </c>
      <c r="AI208" s="1" t="str">
        <f t="shared" si="69"/>
        <v/>
      </c>
      <c r="AJ208" s="1" t="str">
        <f t="shared" si="69"/>
        <v/>
      </c>
      <c r="AK208" s="1" t="str">
        <f t="shared" si="69"/>
        <v/>
      </c>
      <c r="AL208" s="1" t="str">
        <f t="shared" si="69"/>
        <v/>
      </c>
      <c r="AM208" s="1" t="str">
        <f t="shared" si="69"/>
        <v/>
      </c>
      <c r="AN208" s="52" t="str">
        <f t="shared" si="69"/>
        <v/>
      </c>
      <c r="AO208" s="1" t="str">
        <f t="shared" si="69"/>
        <v/>
      </c>
      <c r="AP208" s="1" t="str">
        <f t="shared" si="69"/>
        <v/>
      </c>
      <c r="AQ208" s="1" t="str">
        <f t="shared" si="69"/>
        <v/>
      </c>
      <c r="AR208" s="1" t="str">
        <f t="shared" si="69"/>
        <v/>
      </c>
      <c r="AS208" s="1">
        <f t="shared" si="69"/>
        <v>26857.142857142859</v>
      </c>
      <c r="AT208" s="1">
        <f t="shared" si="69"/>
        <v>12171.428571428572</v>
      </c>
      <c r="AU208" s="1" t="str">
        <f t="shared" si="69"/>
        <v/>
      </c>
      <c r="AV208" s="1">
        <f t="shared" si="69"/>
        <v>12171.428571428571</v>
      </c>
      <c r="AW208" s="1">
        <f t="shared" si="67"/>
        <v>12171.428571428571</v>
      </c>
      <c r="AX208" s="1">
        <f t="shared" si="67"/>
        <v>12171.428571428571</v>
      </c>
      <c r="AY208" s="1">
        <f t="shared" si="67"/>
        <v>12171.428571428571</v>
      </c>
      <c r="AZ208" s="1">
        <f t="shared" si="67"/>
        <v>12171.428571428571</v>
      </c>
      <c r="BA208" s="1" t="str">
        <f t="shared" si="67"/>
        <v/>
      </c>
      <c r="BB208" s="1">
        <f t="shared" si="67"/>
        <v>0</v>
      </c>
      <c r="BC208" s="1">
        <f t="shared" si="67"/>
        <v>0</v>
      </c>
    </row>
    <row r="209" spans="1:55" x14ac:dyDescent="0.25">
      <c r="A209" s="30" t="s">
        <v>60</v>
      </c>
      <c r="B209" s="32" t="s">
        <v>65</v>
      </c>
      <c r="C209" s="31" t="s">
        <v>68</v>
      </c>
      <c r="D209" s="2"/>
      <c r="E209" s="2"/>
      <c r="F209" s="51">
        <v>0</v>
      </c>
      <c r="G209" s="51">
        <v>0</v>
      </c>
      <c r="H209" s="51">
        <v>0</v>
      </c>
      <c r="I209" s="51">
        <v>0</v>
      </c>
      <c r="J209" s="51">
        <v>0</v>
      </c>
      <c r="K209" s="51">
        <v>0</v>
      </c>
      <c r="L209" s="80">
        <f>L29/L164</f>
        <v>313.7254901960784</v>
      </c>
      <c r="M209" s="51">
        <v>0</v>
      </c>
      <c r="N209" s="51">
        <v>0</v>
      </c>
      <c r="O209" s="51">
        <v>0</v>
      </c>
      <c r="P209" s="51">
        <v>0</v>
      </c>
      <c r="Q209" s="51">
        <v>0</v>
      </c>
      <c r="R209" s="51">
        <v>0</v>
      </c>
      <c r="S209" s="51">
        <v>0</v>
      </c>
      <c r="T209" s="51">
        <v>0</v>
      </c>
      <c r="U209" s="51">
        <v>0</v>
      </c>
      <c r="V209" s="51">
        <v>0</v>
      </c>
      <c r="W209" s="51">
        <v>0</v>
      </c>
      <c r="X209" s="55">
        <v>0</v>
      </c>
      <c r="Y209" s="59">
        <f t="shared" si="54"/>
        <v>0</v>
      </c>
      <c r="Z209" s="51">
        <f t="shared" si="55"/>
        <v>0</v>
      </c>
      <c r="AA209" s="51">
        <f t="shared" si="56"/>
        <v>313.7254901960784</v>
      </c>
      <c r="AC209" s="30" t="s">
        <v>60</v>
      </c>
      <c r="AD209" s="32" t="s">
        <v>65</v>
      </c>
      <c r="AE209" s="31" t="s">
        <v>68</v>
      </c>
      <c r="AF209" s="2"/>
      <c r="AG209" s="2"/>
      <c r="AH209" s="1" t="str">
        <f t="shared" si="69"/>
        <v/>
      </c>
      <c r="AI209" s="1" t="str">
        <f t="shared" si="69"/>
        <v/>
      </c>
      <c r="AJ209" s="1" t="str">
        <f t="shared" si="69"/>
        <v/>
      </c>
      <c r="AK209" s="1" t="str">
        <f t="shared" si="69"/>
        <v/>
      </c>
      <c r="AL209" s="1" t="str">
        <f t="shared" si="69"/>
        <v/>
      </c>
      <c r="AM209" s="1" t="str">
        <f t="shared" si="69"/>
        <v/>
      </c>
      <c r="AN209" s="52">
        <f t="shared" si="69"/>
        <v>18750</v>
      </c>
      <c r="AO209" s="1" t="str">
        <f t="shared" si="69"/>
        <v/>
      </c>
      <c r="AP209" s="1" t="str">
        <f t="shared" si="69"/>
        <v/>
      </c>
      <c r="AQ209" s="1" t="str">
        <f t="shared" si="69"/>
        <v/>
      </c>
      <c r="AR209" s="1" t="str">
        <f t="shared" si="69"/>
        <v/>
      </c>
      <c r="AS209" s="1" t="str">
        <f t="shared" si="69"/>
        <v/>
      </c>
      <c r="AT209" s="1" t="str">
        <f t="shared" si="69"/>
        <v/>
      </c>
      <c r="AU209" s="1" t="str">
        <f t="shared" si="69"/>
        <v/>
      </c>
      <c r="AV209" s="1" t="str">
        <f t="shared" si="69"/>
        <v/>
      </c>
      <c r="AW209" s="1" t="str">
        <f t="shared" si="67"/>
        <v/>
      </c>
      <c r="AX209" s="1" t="str">
        <f t="shared" si="67"/>
        <v/>
      </c>
      <c r="AY209" s="1" t="str">
        <f t="shared" si="67"/>
        <v/>
      </c>
      <c r="AZ209" s="1" t="str">
        <f t="shared" si="67"/>
        <v/>
      </c>
      <c r="BA209" s="1" t="str">
        <f t="shared" si="67"/>
        <v/>
      </c>
      <c r="BB209" s="1" t="str">
        <f t="shared" si="67"/>
        <v/>
      </c>
      <c r="BC209" s="1">
        <f t="shared" si="67"/>
        <v>0</v>
      </c>
    </row>
    <row r="210" spans="1:55" x14ac:dyDescent="0.25">
      <c r="A210" s="30" t="s">
        <v>60</v>
      </c>
      <c r="B210" s="32" t="s">
        <v>9</v>
      </c>
      <c r="C210" s="31" t="s">
        <v>69</v>
      </c>
      <c r="D210" s="2"/>
      <c r="E210" s="2"/>
      <c r="F210" s="51">
        <v>0</v>
      </c>
      <c r="G210" s="51">
        <v>0</v>
      </c>
      <c r="H210" s="51">
        <v>0</v>
      </c>
      <c r="I210" s="51">
        <v>0</v>
      </c>
      <c r="J210" s="51">
        <v>0</v>
      </c>
      <c r="K210" s="51">
        <v>0</v>
      </c>
      <c r="L210" s="52">
        <v>0</v>
      </c>
      <c r="M210" s="51">
        <v>0</v>
      </c>
      <c r="N210" s="51">
        <v>0</v>
      </c>
      <c r="O210" s="51">
        <v>0</v>
      </c>
      <c r="P210" s="51">
        <v>0</v>
      </c>
      <c r="Q210" s="51">
        <v>0</v>
      </c>
      <c r="R210" s="51">
        <v>0</v>
      </c>
      <c r="S210" s="51">
        <v>0</v>
      </c>
      <c r="T210" s="51">
        <v>0</v>
      </c>
      <c r="U210" s="51">
        <v>0</v>
      </c>
      <c r="V210" s="51">
        <v>0</v>
      </c>
      <c r="W210" s="51">
        <v>0</v>
      </c>
      <c r="X210" s="80">
        <f>X30/X165</f>
        <v>3.4931813100827185</v>
      </c>
      <c r="Y210" s="80">
        <f t="shared" si="54"/>
        <v>0</v>
      </c>
      <c r="Z210" s="80">
        <f t="shared" si="55"/>
        <v>3.4931813100827185</v>
      </c>
      <c r="AA210" s="51">
        <f t="shared" si="56"/>
        <v>3.4931813100827185</v>
      </c>
      <c r="AC210" s="30" t="s">
        <v>60</v>
      </c>
      <c r="AD210" s="32" t="s">
        <v>9</v>
      </c>
      <c r="AE210" s="31" t="s">
        <v>69</v>
      </c>
      <c r="AF210" s="2"/>
      <c r="AG210" s="2"/>
      <c r="AH210" s="1" t="str">
        <f t="shared" si="69"/>
        <v/>
      </c>
      <c r="AI210" s="1" t="str">
        <f t="shared" si="69"/>
        <v/>
      </c>
      <c r="AJ210" s="1" t="str">
        <f t="shared" si="69"/>
        <v/>
      </c>
      <c r="AK210" s="1" t="str">
        <f t="shared" si="69"/>
        <v/>
      </c>
      <c r="AL210" s="1" t="str">
        <f t="shared" si="69"/>
        <v/>
      </c>
      <c r="AM210" s="1" t="str">
        <f t="shared" si="69"/>
        <v/>
      </c>
      <c r="AN210" s="52" t="str">
        <f t="shared" si="69"/>
        <v/>
      </c>
      <c r="AO210" s="1" t="str">
        <f t="shared" si="69"/>
        <v/>
      </c>
      <c r="AP210" s="1" t="str">
        <f t="shared" si="69"/>
        <v/>
      </c>
      <c r="AQ210" s="1" t="str">
        <f t="shared" si="69"/>
        <v/>
      </c>
      <c r="AR210" s="1" t="str">
        <f t="shared" si="69"/>
        <v/>
      </c>
      <c r="AS210" s="1" t="str">
        <f t="shared" si="69"/>
        <v/>
      </c>
      <c r="AT210" s="1" t="str">
        <f t="shared" si="69"/>
        <v/>
      </c>
      <c r="AU210" s="1" t="str">
        <f t="shared" si="69"/>
        <v/>
      </c>
      <c r="AV210" s="1" t="str">
        <f t="shared" si="69"/>
        <v/>
      </c>
      <c r="AW210" s="1" t="str">
        <f t="shared" si="67"/>
        <v/>
      </c>
      <c r="AX210" s="1" t="str">
        <f t="shared" si="67"/>
        <v/>
      </c>
      <c r="AY210" s="1" t="str">
        <f t="shared" si="67"/>
        <v/>
      </c>
      <c r="AZ210" s="1">
        <f t="shared" si="67"/>
        <v>7100</v>
      </c>
      <c r="BA210" s="1" t="str">
        <f t="shared" si="67"/>
        <v/>
      </c>
      <c r="BB210" s="1">
        <f t="shared" si="67"/>
        <v>0</v>
      </c>
      <c r="BC210" s="1">
        <f t="shared" si="67"/>
        <v>0</v>
      </c>
    </row>
    <row r="211" spans="1:55" x14ac:dyDescent="0.25">
      <c r="A211" s="15" t="s">
        <v>51</v>
      </c>
      <c r="B211" s="16" t="s">
        <v>56</v>
      </c>
      <c r="C211" s="27" t="s">
        <v>57</v>
      </c>
      <c r="D211" s="16" t="s">
        <v>70</v>
      </c>
      <c r="E211" s="16"/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52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54">
        <v>0</v>
      </c>
      <c r="Y211" s="58">
        <f t="shared" si="54"/>
        <v>0</v>
      </c>
      <c r="Z211" s="1">
        <f t="shared" si="55"/>
        <v>0</v>
      </c>
      <c r="AA211" s="1">
        <f t="shared" si="56"/>
        <v>0</v>
      </c>
      <c r="AC211" s="15" t="s">
        <v>51</v>
      </c>
      <c r="AD211" s="16" t="s">
        <v>56</v>
      </c>
      <c r="AE211" s="27" t="s">
        <v>57</v>
      </c>
      <c r="AF211" s="16" t="s">
        <v>70</v>
      </c>
      <c r="AG211" s="16"/>
      <c r="AH211" s="90" t="str">
        <f t="shared" si="69"/>
        <v/>
      </c>
      <c r="AI211" s="90" t="str">
        <f t="shared" si="69"/>
        <v/>
      </c>
      <c r="AJ211" s="90" t="str">
        <f t="shared" si="69"/>
        <v/>
      </c>
      <c r="AK211" s="90" t="str">
        <f t="shared" si="69"/>
        <v/>
      </c>
      <c r="AL211" s="90" t="str">
        <f t="shared" si="69"/>
        <v/>
      </c>
      <c r="AM211" s="90" t="str">
        <f t="shared" si="69"/>
        <v/>
      </c>
      <c r="AN211" s="90" t="str">
        <f t="shared" si="69"/>
        <v/>
      </c>
      <c r="AO211" s="90" t="str">
        <f t="shared" si="69"/>
        <v/>
      </c>
      <c r="AP211" s="90" t="str">
        <f t="shared" si="69"/>
        <v/>
      </c>
      <c r="AQ211" s="90" t="str">
        <f t="shared" si="69"/>
        <v/>
      </c>
      <c r="AR211" s="90" t="str">
        <f t="shared" si="69"/>
        <v/>
      </c>
      <c r="AS211" s="90" t="str">
        <f t="shared" si="69"/>
        <v/>
      </c>
      <c r="AT211" s="90" t="str">
        <f t="shared" si="69"/>
        <v/>
      </c>
      <c r="AU211" s="90" t="str">
        <f t="shared" si="69"/>
        <v/>
      </c>
      <c r="AV211" s="90" t="str">
        <f t="shared" si="69"/>
        <v/>
      </c>
      <c r="AW211" s="90" t="str">
        <f t="shared" si="67"/>
        <v/>
      </c>
      <c r="AX211" s="90" t="str">
        <f t="shared" si="67"/>
        <v/>
      </c>
      <c r="AY211" s="90" t="str">
        <f t="shared" si="67"/>
        <v/>
      </c>
      <c r="AZ211" s="90" t="str">
        <f t="shared" si="67"/>
        <v/>
      </c>
      <c r="BA211" s="90" t="str">
        <f t="shared" si="67"/>
        <v/>
      </c>
      <c r="BB211" s="90" t="str">
        <f t="shared" si="67"/>
        <v/>
      </c>
      <c r="BC211" s="90" t="str">
        <f t="shared" si="67"/>
        <v/>
      </c>
    </row>
    <row r="212" spans="1:55" x14ac:dyDescent="0.25">
      <c r="A212" s="15" t="s">
        <v>51</v>
      </c>
      <c r="B212" s="16" t="s">
        <v>56</v>
      </c>
      <c r="C212" s="27" t="s">
        <v>57</v>
      </c>
      <c r="D212" s="16" t="s">
        <v>71</v>
      </c>
      <c r="E212" s="16"/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52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54">
        <v>0</v>
      </c>
      <c r="Y212" s="58">
        <f t="shared" si="54"/>
        <v>0</v>
      </c>
      <c r="Z212" s="1">
        <f t="shared" si="55"/>
        <v>0</v>
      </c>
      <c r="AA212" s="1">
        <f t="shared" si="56"/>
        <v>0</v>
      </c>
      <c r="AC212" s="15" t="s">
        <v>51</v>
      </c>
      <c r="AD212" s="16" t="s">
        <v>56</v>
      </c>
      <c r="AE212" s="27" t="s">
        <v>57</v>
      </c>
      <c r="AF212" s="16" t="s">
        <v>71</v>
      </c>
      <c r="AG212" s="16"/>
      <c r="AH212" s="90" t="str">
        <f t="shared" si="69"/>
        <v/>
      </c>
      <c r="AI212" s="90" t="str">
        <f t="shared" si="69"/>
        <v/>
      </c>
      <c r="AJ212" s="90" t="str">
        <f t="shared" si="69"/>
        <v/>
      </c>
      <c r="AK212" s="90" t="str">
        <f t="shared" si="69"/>
        <v/>
      </c>
      <c r="AL212" s="90" t="str">
        <f t="shared" si="69"/>
        <v/>
      </c>
      <c r="AM212" s="90" t="str">
        <f t="shared" si="69"/>
        <v/>
      </c>
      <c r="AN212" s="90" t="str">
        <f t="shared" si="69"/>
        <v/>
      </c>
      <c r="AO212" s="90" t="str">
        <f t="shared" si="69"/>
        <v/>
      </c>
      <c r="AP212" s="90" t="str">
        <f t="shared" si="69"/>
        <v/>
      </c>
      <c r="AQ212" s="90" t="str">
        <f t="shared" si="69"/>
        <v/>
      </c>
      <c r="AR212" s="90" t="str">
        <f t="shared" si="69"/>
        <v/>
      </c>
      <c r="AS212" s="90" t="str">
        <f t="shared" si="69"/>
        <v/>
      </c>
      <c r="AT212" s="90" t="str">
        <f t="shared" si="69"/>
        <v/>
      </c>
      <c r="AU212" s="90" t="str">
        <f t="shared" si="69"/>
        <v/>
      </c>
      <c r="AV212" s="90" t="str">
        <f t="shared" si="69"/>
        <v/>
      </c>
      <c r="AW212" s="90" t="str">
        <f t="shared" si="67"/>
        <v/>
      </c>
      <c r="AX212" s="90" t="str">
        <f t="shared" si="67"/>
        <v/>
      </c>
      <c r="AY212" s="90" t="str">
        <f t="shared" si="67"/>
        <v/>
      </c>
      <c r="AZ212" s="90" t="str">
        <f t="shared" si="67"/>
        <v/>
      </c>
      <c r="BA212" s="90" t="str">
        <f t="shared" si="67"/>
        <v/>
      </c>
      <c r="BB212" s="90" t="str">
        <f t="shared" si="67"/>
        <v/>
      </c>
      <c r="BC212" s="90" t="str">
        <f t="shared" si="67"/>
        <v/>
      </c>
    </row>
    <row r="213" spans="1:55" x14ac:dyDescent="0.25">
      <c r="A213" s="15" t="s">
        <v>51</v>
      </c>
      <c r="B213" s="16" t="s">
        <v>56</v>
      </c>
      <c r="C213" s="27" t="s">
        <v>27</v>
      </c>
      <c r="D213" s="16" t="s">
        <v>72</v>
      </c>
      <c r="E213" s="16"/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52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54">
        <v>0</v>
      </c>
      <c r="Y213" s="58">
        <f t="shared" si="54"/>
        <v>0</v>
      </c>
      <c r="Z213" s="1">
        <f t="shared" si="55"/>
        <v>0</v>
      </c>
      <c r="AA213" s="1">
        <f t="shared" si="56"/>
        <v>0</v>
      </c>
      <c r="AC213" s="15" t="s">
        <v>51</v>
      </c>
      <c r="AD213" s="16" t="s">
        <v>56</v>
      </c>
      <c r="AE213" s="27" t="s">
        <v>27</v>
      </c>
      <c r="AF213" s="16" t="s">
        <v>72</v>
      </c>
      <c r="AG213" s="16"/>
      <c r="AH213" s="90" t="str">
        <f t="shared" si="69"/>
        <v/>
      </c>
      <c r="AI213" s="90" t="str">
        <f t="shared" si="69"/>
        <v/>
      </c>
      <c r="AJ213" s="90" t="str">
        <f t="shared" si="69"/>
        <v/>
      </c>
      <c r="AK213" s="90" t="str">
        <f t="shared" si="69"/>
        <v/>
      </c>
      <c r="AL213" s="90" t="str">
        <f t="shared" si="69"/>
        <v/>
      </c>
      <c r="AM213" s="90" t="str">
        <f t="shared" si="69"/>
        <v/>
      </c>
      <c r="AN213" s="90" t="str">
        <f t="shared" si="69"/>
        <v/>
      </c>
      <c r="AO213" s="90" t="str">
        <f t="shared" si="69"/>
        <v/>
      </c>
      <c r="AP213" s="90" t="str">
        <f t="shared" si="69"/>
        <v/>
      </c>
      <c r="AQ213" s="90" t="str">
        <f t="shared" si="69"/>
        <v/>
      </c>
      <c r="AR213" s="90" t="str">
        <f t="shared" si="69"/>
        <v/>
      </c>
      <c r="AS213" s="90" t="str">
        <f t="shared" si="69"/>
        <v/>
      </c>
      <c r="AT213" s="90" t="str">
        <f t="shared" si="69"/>
        <v/>
      </c>
      <c r="AU213" s="90" t="str">
        <f t="shared" si="69"/>
        <v/>
      </c>
      <c r="AV213" s="90" t="str">
        <f t="shared" si="69"/>
        <v/>
      </c>
      <c r="AW213" s="90" t="str">
        <f t="shared" si="67"/>
        <v/>
      </c>
      <c r="AX213" s="90" t="str">
        <f t="shared" si="67"/>
        <v/>
      </c>
      <c r="AY213" s="90" t="str">
        <f t="shared" si="67"/>
        <v/>
      </c>
      <c r="AZ213" s="90" t="str">
        <f t="shared" si="67"/>
        <v/>
      </c>
      <c r="BA213" s="90" t="str">
        <f t="shared" si="67"/>
        <v/>
      </c>
      <c r="BB213" s="90" t="str">
        <f t="shared" si="67"/>
        <v/>
      </c>
      <c r="BC213" s="90" t="str">
        <f t="shared" si="67"/>
        <v/>
      </c>
    </row>
    <row r="214" spans="1:55" x14ac:dyDescent="0.25">
      <c r="A214" s="15" t="s">
        <v>51</v>
      </c>
      <c r="B214" s="16" t="s">
        <v>56</v>
      </c>
      <c r="C214" s="27" t="s">
        <v>57</v>
      </c>
      <c r="D214" s="16" t="s">
        <v>73</v>
      </c>
      <c r="E214" s="16"/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52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54">
        <v>0</v>
      </c>
      <c r="Y214" s="58">
        <f t="shared" si="54"/>
        <v>0</v>
      </c>
      <c r="Z214" s="1">
        <f t="shared" si="55"/>
        <v>0</v>
      </c>
      <c r="AA214" s="1">
        <f t="shared" si="56"/>
        <v>0</v>
      </c>
      <c r="AC214" s="15" t="s">
        <v>51</v>
      </c>
      <c r="AD214" s="16" t="s">
        <v>56</v>
      </c>
      <c r="AE214" s="27" t="s">
        <v>57</v>
      </c>
      <c r="AF214" s="16" t="s">
        <v>73</v>
      </c>
      <c r="AG214" s="16"/>
      <c r="AH214" s="90" t="str">
        <f t="shared" si="69"/>
        <v/>
      </c>
      <c r="AI214" s="90" t="str">
        <f t="shared" si="69"/>
        <v/>
      </c>
      <c r="AJ214" s="90" t="str">
        <f t="shared" si="69"/>
        <v/>
      </c>
      <c r="AK214" s="90" t="str">
        <f t="shared" si="69"/>
        <v/>
      </c>
      <c r="AL214" s="90" t="str">
        <f t="shared" si="69"/>
        <v/>
      </c>
      <c r="AM214" s="90" t="str">
        <f t="shared" si="69"/>
        <v/>
      </c>
      <c r="AN214" s="90" t="str">
        <f t="shared" si="69"/>
        <v/>
      </c>
      <c r="AO214" s="90" t="str">
        <f t="shared" si="69"/>
        <v/>
      </c>
      <c r="AP214" s="90" t="str">
        <f t="shared" si="69"/>
        <v/>
      </c>
      <c r="AQ214" s="90" t="str">
        <f t="shared" si="69"/>
        <v/>
      </c>
      <c r="AR214" s="90" t="str">
        <f t="shared" si="69"/>
        <v/>
      </c>
      <c r="AS214" s="90" t="str">
        <f t="shared" si="69"/>
        <v/>
      </c>
      <c r="AT214" s="90" t="str">
        <f t="shared" si="69"/>
        <v/>
      </c>
      <c r="AU214" s="90" t="str">
        <f t="shared" si="69"/>
        <v/>
      </c>
      <c r="AV214" s="90" t="str">
        <f t="shared" si="69"/>
        <v/>
      </c>
      <c r="AW214" s="90" t="str">
        <f t="shared" si="67"/>
        <v/>
      </c>
      <c r="AX214" s="90" t="str">
        <f t="shared" si="67"/>
        <v/>
      </c>
      <c r="AY214" s="90" t="str">
        <f t="shared" si="67"/>
        <v/>
      </c>
      <c r="AZ214" s="90" t="str">
        <f t="shared" si="67"/>
        <v/>
      </c>
      <c r="BA214" s="90" t="str">
        <f t="shared" si="67"/>
        <v/>
      </c>
      <c r="BB214" s="90" t="str">
        <f t="shared" si="67"/>
        <v/>
      </c>
      <c r="BC214" s="90" t="str">
        <f t="shared" si="67"/>
        <v/>
      </c>
    </row>
    <row r="215" spans="1:55" x14ac:dyDescent="0.25">
      <c r="A215" s="15" t="s">
        <v>51</v>
      </c>
      <c r="B215" s="16" t="s">
        <v>56</v>
      </c>
      <c r="C215" s="27" t="s">
        <v>57</v>
      </c>
      <c r="D215" s="16" t="s">
        <v>74</v>
      </c>
      <c r="E215" s="16"/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52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54">
        <v>0</v>
      </c>
      <c r="Y215" s="58">
        <f t="shared" si="54"/>
        <v>0</v>
      </c>
      <c r="Z215" s="1">
        <f t="shared" si="55"/>
        <v>0</v>
      </c>
      <c r="AA215" s="1">
        <f t="shared" si="56"/>
        <v>0</v>
      </c>
      <c r="AC215" s="15" t="s">
        <v>51</v>
      </c>
      <c r="AD215" s="16" t="s">
        <v>56</v>
      </c>
      <c r="AE215" s="27" t="s">
        <v>57</v>
      </c>
      <c r="AF215" s="16" t="s">
        <v>74</v>
      </c>
      <c r="AG215" s="16"/>
      <c r="AH215" s="90" t="str">
        <f t="shared" si="69"/>
        <v/>
      </c>
      <c r="AI215" s="90" t="str">
        <f t="shared" si="69"/>
        <v/>
      </c>
      <c r="AJ215" s="90" t="str">
        <f t="shared" si="69"/>
        <v/>
      </c>
      <c r="AK215" s="90" t="str">
        <f t="shared" si="69"/>
        <v/>
      </c>
      <c r="AL215" s="90" t="str">
        <f t="shared" si="69"/>
        <v/>
      </c>
      <c r="AM215" s="90" t="str">
        <f t="shared" si="69"/>
        <v/>
      </c>
      <c r="AN215" s="90" t="str">
        <f t="shared" si="69"/>
        <v/>
      </c>
      <c r="AO215" s="90" t="str">
        <f t="shared" si="69"/>
        <v/>
      </c>
      <c r="AP215" s="90" t="str">
        <f t="shared" si="69"/>
        <v/>
      </c>
      <c r="AQ215" s="90" t="str">
        <f t="shared" si="69"/>
        <v/>
      </c>
      <c r="AR215" s="90" t="str">
        <f t="shared" si="69"/>
        <v/>
      </c>
      <c r="AS215" s="90" t="str">
        <f t="shared" si="69"/>
        <v/>
      </c>
      <c r="AT215" s="90" t="str">
        <f t="shared" si="69"/>
        <v/>
      </c>
      <c r="AU215" s="90" t="str">
        <f t="shared" si="69"/>
        <v/>
      </c>
      <c r="AV215" s="90" t="str">
        <f t="shared" si="69"/>
        <v/>
      </c>
      <c r="AW215" s="90" t="str">
        <f t="shared" si="67"/>
        <v/>
      </c>
      <c r="AX215" s="90" t="str">
        <f t="shared" si="67"/>
        <v/>
      </c>
      <c r="AY215" s="90" t="str">
        <f t="shared" si="67"/>
        <v/>
      </c>
      <c r="AZ215" s="90" t="str">
        <f t="shared" si="67"/>
        <v/>
      </c>
      <c r="BA215" s="90" t="str">
        <f t="shared" si="67"/>
        <v/>
      </c>
      <c r="BB215" s="90" t="str">
        <f t="shared" si="67"/>
        <v/>
      </c>
      <c r="BC215" s="90" t="str">
        <f t="shared" si="67"/>
        <v/>
      </c>
    </row>
    <row r="216" spans="1:55" x14ac:dyDescent="0.25">
      <c r="A216" s="30" t="s">
        <v>60</v>
      </c>
      <c r="B216" s="31" t="s">
        <v>13</v>
      </c>
      <c r="C216" s="32" t="s">
        <v>61</v>
      </c>
      <c r="D216" s="31" t="s">
        <v>75</v>
      </c>
      <c r="E216" s="31"/>
      <c r="F216" s="51">
        <f>F201*0.5</f>
        <v>66</v>
      </c>
      <c r="G216" s="73"/>
      <c r="H216" s="51">
        <f>H201</f>
        <v>1025</v>
      </c>
      <c r="I216" s="51">
        <f>I201*0.7</f>
        <v>70.965517241379303</v>
      </c>
      <c r="J216" s="51">
        <f>J201*0.3</f>
        <v>24</v>
      </c>
      <c r="K216" s="51">
        <f>K201*0.8</f>
        <v>22.068965517241381</v>
      </c>
      <c r="L216" s="52">
        <v>0</v>
      </c>
      <c r="M216" s="73">
        <f>M201*0.1</f>
        <v>0.98765432098765427</v>
      </c>
      <c r="N216" s="73">
        <v>0</v>
      </c>
      <c r="O216" s="73">
        <v>0</v>
      </c>
      <c r="P216" s="73">
        <v>0</v>
      </c>
      <c r="Q216" s="73"/>
      <c r="R216" s="73"/>
      <c r="S216" s="51"/>
      <c r="T216" s="51"/>
      <c r="U216" s="51"/>
      <c r="V216" s="51"/>
      <c r="W216" s="51">
        <f>W201</f>
        <v>2.7386541471048513</v>
      </c>
      <c r="X216" s="55">
        <f>X201*0.1</f>
        <v>2.347417840375587</v>
      </c>
      <c r="Y216" s="59">
        <f t="shared" si="54"/>
        <v>1208.0344827586207</v>
      </c>
      <c r="Z216" s="51">
        <f t="shared" si="55"/>
        <v>6.0737263084680926</v>
      </c>
      <c r="AA216" s="51">
        <f t="shared" si="56"/>
        <v>1214.1082090670889</v>
      </c>
      <c r="AC216" s="30" t="s">
        <v>60</v>
      </c>
      <c r="AD216" s="31" t="s">
        <v>13</v>
      </c>
      <c r="AE216" s="32" t="s">
        <v>61</v>
      </c>
      <c r="AF216" s="31" t="s">
        <v>75</v>
      </c>
      <c r="AG216" s="31"/>
      <c r="AH216" s="1">
        <f t="shared" si="69"/>
        <v>289.56228956228955</v>
      </c>
      <c r="AI216" s="1" t="str">
        <f t="shared" si="69"/>
        <v/>
      </c>
      <c r="AJ216" s="1">
        <f t="shared" si="69"/>
        <v>26.341463414634145</v>
      </c>
      <c r="AK216" s="1">
        <f t="shared" si="69"/>
        <v>170.58823529411762</v>
      </c>
      <c r="AL216" s="1">
        <f t="shared" si="69"/>
        <v>136.76470588235293</v>
      </c>
      <c r="AM216" s="1">
        <f t="shared" si="69"/>
        <v>170.58823529411765</v>
      </c>
      <c r="AN216" s="52" t="str">
        <f t="shared" si="69"/>
        <v/>
      </c>
      <c r="AO216" s="1">
        <f t="shared" si="69"/>
        <v>2222.2222222222217</v>
      </c>
      <c r="AP216" s="1" t="str">
        <f t="shared" si="69"/>
        <v/>
      </c>
      <c r="AQ216" s="1" t="str">
        <f t="shared" si="69"/>
        <v/>
      </c>
      <c r="AR216" s="1" t="str">
        <f t="shared" si="69"/>
        <v/>
      </c>
      <c r="AS216" s="1" t="str">
        <f t="shared" si="69"/>
        <v/>
      </c>
      <c r="AT216" s="1" t="str">
        <f t="shared" si="69"/>
        <v/>
      </c>
      <c r="AU216" s="1" t="str">
        <f t="shared" si="69"/>
        <v/>
      </c>
      <c r="AV216" s="1" t="str">
        <f t="shared" si="69"/>
        <v/>
      </c>
      <c r="AW216" s="1" t="str">
        <f t="shared" si="67"/>
        <v/>
      </c>
      <c r="AX216" s="1" t="str">
        <f t="shared" si="67"/>
        <v/>
      </c>
      <c r="AY216" s="1">
        <f t="shared" si="67"/>
        <v>2366.6666666666665</v>
      </c>
      <c r="AZ216" s="1">
        <f t="shared" si="67"/>
        <v>2366.6666666666665</v>
      </c>
      <c r="BA216" s="1">
        <f t="shared" si="67"/>
        <v>0</v>
      </c>
      <c r="BB216" s="1">
        <f t="shared" si="67"/>
        <v>0</v>
      </c>
      <c r="BC216" s="1">
        <f t="shared" si="67"/>
        <v>0</v>
      </c>
    </row>
    <row r="217" spans="1:55" x14ac:dyDescent="0.25">
      <c r="A217" s="30" t="s">
        <v>60</v>
      </c>
      <c r="B217" s="31" t="s">
        <v>13</v>
      </c>
      <c r="C217" s="32" t="s">
        <v>61</v>
      </c>
      <c r="D217" s="31" t="s">
        <v>76</v>
      </c>
      <c r="E217" s="31"/>
      <c r="F217" s="51">
        <f>F201*0.5</f>
        <v>66</v>
      </c>
      <c r="G217" s="51">
        <v>0</v>
      </c>
      <c r="H217" s="51">
        <v>0</v>
      </c>
      <c r="I217" s="51">
        <f>I201*0.25</f>
        <v>25.344827586206897</v>
      </c>
      <c r="J217" s="51">
        <f>J201*0.7</f>
        <v>56</v>
      </c>
      <c r="K217" s="51">
        <f>K201*0.05</f>
        <v>1.3793103448275863</v>
      </c>
      <c r="L217" s="52">
        <v>0</v>
      </c>
      <c r="M217" s="73">
        <f>M201*0.4</f>
        <v>3.9506172839506171</v>
      </c>
      <c r="N217" s="73">
        <f>N201</f>
        <v>1.6</v>
      </c>
      <c r="O217" s="73">
        <f>O201*0.3</f>
        <v>0.06</v>
      </c>
      <c r="P217" s="73">
        <f>P201*0.2</f>
        <v>2.6000000000000002E-2</v>
      </c>
      <c r="Q217" s="73"/>
      <c r="R217" s="73">
        <f>R201</f>
        <v>2.2963870177587262</v>
      </c>
      <c r="S217" s="51"/>
      <c r="T217" s="51"/>
      <c r="U217" s="51"/>
      <c r="V217" s="51"/>
      <c r="W217" s="51"/>
      <c r="X217" s="55">
        <f>X201*0.1</f>
        <v>2.347417840375587</v>
      </c>
      <c r="Y217" s="59">
        <f t="shared" si="54"/>
        <v>148.72413793103448</v>
      </c>
      <c r="Z217" s="51">
        <f t="shared" si="55"/>
        <v>10.28042214208493</v>
      </c>
      <c r="AA217" s="51">
        <f t="shared" si="56"/>
        <v>159.00456007311942</v>
      </c>
      <c r="AC217" s="30" t="s">
        <v>60</v>
      </c>
      <c r="AD217" s="31" t="s">
        <v>13</v>
      </c>
      <c r="AE217" s="32" t="s">
        <v>61</v>
      </c>
      <c r="AF217" s="31" t="s">
        <v>76</v>
      </c>
      <c r="AG217" s="31"/>
      <c r="AH217" s="1">
        <f t="shared" si="69"/>
        <v>289.56228956228955</v>
      </c>
      <c r="AI217" s="1" t="str">
        <f t="shared" si="69"/>
        <v/>
      </c>
      <c r="AJ217" s="1" t="str">
        <f t="shared" si="69"/>
        <v/>
      </c>
      <c r="AK217" s="1">
        <f t="shared" si="69"/>
        <v>170.58823529411762</v>
      </c>
      <c r="AL217" s="1">
        <f t="shared" si="69"/>
        <v>136.76470588235293</v>
      </c>
      <c r="AM217" s="1">
        <f t="shared" si="69"/>
        <v>170.58823529411765</v>
      </c>
      <c r="AN217" s="52" t="str">
        <f t="shared" si="69"/>
        <v/>
      </c>
      <c r="AO217" s="1">
        <f t="shared" si="69"/>
        <v>2222.2222222222217</v>
      </c>
      <c r="AP217" s="1">
        <f t="shared" si="69"/>
        <v>5625</v>
      </c>
      <c r="AQ217" s="1">
        <f t="shared" si="69"/>
        <v>55555.555555555547</v>
      </c>
      <c r="AR217" s="1">
        <f t="shared" si="69"/>
        <v>427350.42735042737</v>
      </c>
      <c r="AS217" s="1" t="str">
        <f t="shared" si="69"/>
        <v/>
      </c>
      <c r="AT217" s="1">
        <f t="shared" si="69"/>
        <v>2366.6666666666665</v>
      </c>
      <c r="AU217" s="1" t="str">
        <f t="shared" si="69"/>
        <v/>
      </c>
      <c r="AV217" s="1" t="str">
        <f t="shared" si="69"/>
        <v/>
      </c>
      <c r="AW217" s="1" t="str">
        <f t="shared" si="67"/>
        <v/>
      </c>
      <c r="AX217" s="1" t="str">
        <f t="shared" si="67"/>
        <v/>
      </c>
      <c r="AY217" s="1" t="str">
        <f t="shared" si="67"/>
        <v/>
      </c>
      <c r="AZ217" s="1">
        <f t="shared" si="67"/>
        <v>2366.6666666666665</v>
      </c>
      <c r="BA217" s="1">
        <f t="shared" si="67"/>
        <v>0</v>
      </c>
      <c r="BB217" s="1">
        <f t="shared" si="67"/>
        <v>0</v>
      </c>
      <c r="BC217" s="1">
        <f t="shared" si="67"/>
        <v>0</v>
      </c>
    </row>
    <row r="218" spans="1:55" x14ac:dyDescent="0.25">
      <c r="A218" s="30" t="s">
        <v>60</v>
      </c>
      <c r="B218" s="31" t="s">
        <v>13</v>
      </c>
      <c r="C218" s="32" t="s">
        <v>61</v>
      </c>
      <c r="D218" s="31" t="s">
        <v>77</v>
      </c>
      <c r="E218" s="31"/>
      <c r="F218" s="51">
        <v>0</v>
      </c>
      <c r="G218" s="51">
        <v>0</v>
      </c>
      <c r="H218" s="51">
        <v>0</v>
      </c>
      <c r="I218" s="51">
        <v>0</v>
      </c>
      <c r="J218" s="51">
        <v>0</v>
      </c>
      <c r="K218" s="51">
        <f>K201*0.1</f>
        <v>2.7586206896551726</v>
      </c>
      <c r="L218" s="52">
        <v>0</v>
      </c>
      <c r="M218" s="73">
        <f>M201*0.5</f>
        <v>4.9382716049382713</v>
      </c>
      <c r="N218" s="73">
        <v>0</v>
      </c>
      <c r="O218" s="73">
        <f>O201*0.7</f>
        <v>0.13999999999999999</v>
      </c>
      <c r="P218" s="73">
        <f>P201*0.7</f>
        <v>9.0999999999999998E-2</v>
      </c>
      <c r="Q218" s="73"/>
      <c r="R218" s="73"/>
      <c r="S218" s="51"/>
      <c r="T218" s="51">
        <f>T201</f>
        <v>0.88028169014084512</v>
      </c>
      <c r="U218" s="51">
        <f>U201</f>
        <v>1.9561815336463224</v>
      </c>
      <c r="V218" s="51"/>
      <c r="W218" s="51"/>
      <c r="X218" s="55">
        <f>X201*0.7</f>
        <v>16.431924882629108</v>
      </c>
      <c r="Y218" s="59">
        <f t="shared" si="54"/>
        <v>2.7586206896551726</v>
      </c>
      <c r="Z218" s="51">
        <f t="shared" si="55"/>
        <v>24.437659711354549</v>
      </c>
      <c r="AA218" s="51">
        <f t="shared" si="56"/>
        <v>27.196280401009723</v>
      </c>
      <c r="AC218" s="30" t="s">
        <v>60</v>
      </c>
      <c r="AD218" s="31" t="s">
        <v>13</v>
      </c>
      <c r="AE218" s="32" t="s">
        <v>61</v>
      </c>
      <c r="AF218" s="31" t="s">
        <v>77</v>
      </c>
      <c r="AG218" s="31"/>
      <c r="AH218" s="1" t="str">
        <f t="shared" ref="AH218:AV225" si="71">IF(F218&gt;0,F263/F218*1000,"")</f>
        <v/>
      </c>
      <c r="AI218" s="1" t="str">
        <f t="shared" si="71"/>
        <v/>
      </c>
      <c r="AJ218" s="1" t="str">
        <f t="shared" si="71"/>
        <v/>
      </c>
      <c r="AK218" s="1" t="str">
        <f t="shared" si="71"/>
        <v/>
      </c>
      <c r="AL218" s="1" t="str">
        <f t="shared" si="71"/>
        <v/>
      </c>
      <c r="AM218" s="1">
        <f t="shared" si="71"/>
        <v>170.58823529411765</v>
      </c>
      <c r="AN218" s="52" t="str">
        <f t="shared" si="71"/>
        <v/>
      </c>
      <c r="AO218" s="1">
        <f t="shared" si="71"/>
        <v>2222.2222222222217</v>
      </c>
      <c r="AP218" s="1" t="str">
        <f t="shared" si="71"/>
        <v/>
      </c>
      <c r="AQ218" s="1">
        <f t="shared" si="71"/>
        <v>55555.555555555555</v>
      </c>
      <c r="AR218" s="1">
        <f t="shared" si="71"/>
        <v>427350.42735042732</v>
      </c>
      <c r="AS218" s="1" t="str">
        <f t="shared" si="71"/>
        <v/>
      </c>
      <c r="AT218" s="1" t="str">
        <f t="shared" si="71"/>
        <v/>
      </c>
      <c r="AU218" s="1" t="str">
        <f t="shared" si="71"/>
        <v/>
      </c>
      <c r="AV218" s="1">
        <f t="shared" si="71"/>
        <v>2366.6666666666665</v>
      </c>
      <c r="AW218" s="1">
        <f t="shared" si="67"/>
        <v>2366.6666666666665</v>
      </c>
      <c r="AX218" s="1" t="str">
        <f t="shared" si="67"/>
        <v/>
      </c>
      <c r="AY218" s="1" t="str">
        <f t="shared" si="67"/>
        <v/>
      </c>
      <c r="AZ218" s="1">
        <f t="shared" si="67"/>
        <v>2366.6666666666661</v>
      </c>
      <c r="BA218" s="1">
        <f t="shared" si="67"/>
        <v>0</v>
      </c>
      <c r="BB218" s="1">
        <f t="shared" si="67"/>
        <v>0</v>
      </c>
      <c r="BC218" s="1">
        <f t="shared" si="67"/>
        <v>0</v>
      </c>
    </row>
    <row r="219" spans="1:55" x14ac:dyDescent="0.25">
      <c r="A219" s="30" t="s">
        <v>60</v>
      </c>
      <c r="B219" s="31" t="s">
        <v>13</v>
      </c>
      <c r="C219" s="32" t="s">
        <v>61</v>
      </c>
      <c r="D219" s="31" t="s">
        <v>78</v>
      </c>
      <c r="E219" s="31"/>
      <c r="F219" s="51">
        <v>0</v>
      </c>
      <c r="G219" s="51">
        <v>0</v>
      </c>
      <c r="H219" s="51">
        <v>0</v>
      </c>
      <c r="I219" s="51">
        <f>I201*0.05</f>
        <v>5.0689655172413799</v>
      </c>
      <c r="J219" s="51">
        <v>0</v>
      </c>
      <c r="K219" s="51">
        <f>K201*0.05</f>
        <v>1.3793103448275863</v>
      </c>
      <c r="L219" s="52">
        <v>0</v>
      </c>
      <c r="M219" s="73">
        <f>M201*0</f>
        <v>0</v>
      </c>
      <c r="N219" s="73">
        <v>0</v>
      </c>
      <c r="O219" s="73">
        <f>O201*0</f>
        <v>0</v>
      </c>
      <c r="P219" s="73">
        <f>(P201)*0.1</f>
        <v>1.3000000000000001E-2</v>
      </c>
      <c r="Q219" s="73">
        <f>Q201</f>
        <v>0.31914893617021278</v>
      </c>
      <c r="R219" s="73"/>
      <c r="S219" s="51"/>
      <c r="T219" s="51"/>
      <c r="U219" s="51"/>
      <c r="V219" s="51"/>
      <c r="W219" s="51"/>
      <c r="X219" s="55">
        <f>X201*0.1</f>
        <v>2.347417840375587</v>
      </c>
      <c r="Y219" s="59">
        <f t="shared" si="54"/>
        <v>6.4482758620689662</v>
      </c>
      <c r="Z219" s="51">
        <f t="shared" si="55"/>
        <v>2.6795667765457996</v>
      </c>
      <c r="AA219" s="51">
        <f t="shared" si="56"/>
        <v>9.1278426386147657</v>
      </c>
      <c r="AC219" s="30" t="s">
        <v>60</v>
      </c>
      <c r="AD219" s="31" t="s">
        <v>13</v>
      </c>
      <c r="AE219" s="32" t="s">
        <v>61</v>
      </c>
      <c r="AF219" s="31" t="s">
        <v>78</v>
      </c>
      <c r="AG219" s="31"/>
      <c r="AH219" s="1" t="str">
        <f t="shared" si="71"/>
        <v/>
      </c>
      <c r="AI219" s="1" t="str">
        <f t="shared" si="71"/>
        <v/>
      </c>
      <c r="AJ219" s="1" t="str">
        <f t="shared" si="71"/>
        <v/>
      </c>
      <c r="AK219" s="1">
        <f t="shared" si="71"/>
        <v>170.58823529411762</v>
      </c>
      <c r="AL219" s="1" t="str">
        <f t="shared" si="71"/>
        <v/>
      </c>
      <c r="AM219" s="1">
        <f t="shared" si="71"/>
        <v>170.58823529411765</v>
      </c>
      <c r="AN219" s="52" t="str">
        <f t="shared" si="71"/>
        <v/>
      </c>
      <c r="AO219" s="1" t="str">
        <f t="shared" si="71"/>
        <v/>
      </c>
      <c r="AP219" s="1" t="str">
        <f t="shared" si="71"/>
        <v/>
      </c>
      <c r="AQ219" s="1" t="str">
        <f t="shared" si="71"/>
        <v/>
      </c>
      <c r="AR219" s="1">
        <f t="shared" si="71"/>
        <v>427350.42735042737</v>
      </c>
      <c r="AS219" s="1">
        <f t="shared" si="71"/>
        <v>5222.2222222222226</v>
      </c>
      <c r="AT219" s="1" t="str">
        <f t="shared" si="71"/>
        <v/>
      </c>
      <c r="AU219" s="1" t="str">
        <f t="shared" si="71"/>
        <v/>
      </c>
      <c r="AV219" s="1" t="str">
        <f t="shared" si="71"/>
        <v/>
      </c>
      <c r="AW219" s="1" t="str">
        <f t="shared" si="67"/>
        <v/>
      </c>
      <c r="AX219" s="1" t="str">
        <f t="shared" si="67"/>
        <v/>
      </c>
      <c r="AY219" s="1" t="str">
        <f t="shared" si="67"/>
        <v/>
      </c>
      <c r="AZ219" s="1">
        <f t="shared" si="67"/>
        <v>2366.6666666666665</v>
      </c>
      <c r="BA219" s="1">
        <f t="shared" si="67"/>
        <v>0</v>
      </c>
      <c r="BB219" s="1">
        <f t="shared" si="67"/>
        <v>0</v>
      </c>
      <c r="BC219" s="1">
        <f t="shared" si="67"/>
        <v>0</v>
      </c>
    </row>
    <row r="220" spans="1:55" ht="15.75" thickBot="1" x14ac:dyDescent="0.3">
      <c r="A220" s="33" t="s">
        <v>60</v>
      </c>
      <c r="B220" s="34" t="s">
        <v>13</v>
      </c>
      <c r="C220" s="35" t="s">
        <v>61</v>
      </c>
      <c r="D220" s="34" t="s">
        <v>79</v>
      </c>
      <c r="E220" s="31"/>
      <c r="F220" s="51">
        <v>0</v>
      </c>
      <c r="G220" s="51">
        <v>0</v>
      </c>
      <c r="H220" s="51">
        <v>0</v>
      </c>
      <c r="I220" s="51">
        <v>0</v>
      </c>
      <c r="J220" s="51">
        <v>0</v>
      </c>
      <c r="K220" s="51">
        <v>0</v>
      </c>
      <c r="L220" s="52">
        <v>0</v>
      </c>
      <c r="M220" s="51">
        <v>0</v>
      </c>
      <c r="N220" s="51">
        <v>0</v>
      </c>
      <c r="O220" s="51">
        <v>0</v>
      </c>
      <c r="P220" s="51">
        <v>0</v>
      </c>
      <c r="Q220" s="51">
        <v>0</v>
      </c>
      <c r="R220" s="51">
        <v>0</v>
      </c>
      <c r="S220" s="51">
        <v>0</v>
      </c>
      <c r="T220" s="51">
        <v>0</v>
      </c>
      <c r="U220" s="51">
        <v>0</v>
      </c>
      <c r="V220" s="51">
        <v>0</v>
      </c>
      <c r="W220" s="51">
        <v>0</v>
      </c>
      <c r="X220" s="55">
        <v>0</v>
      </c>
      <c r="Y220" s="59">
        <f t="shared" si="54"/>
        <v>0</v>
      </c>
      <c r="Z220" s="51">
        <f t="shared" si="55"/>
        <v>0</v>
      </c>
      <c r="AA220" s="51">
        <f t="shared" si="56"/>
        <v>0</v>
      </c>
      <c r="AC220" s="33" t="s">
        <v>60</v>
      </c>
      <c r="AD220" s="34" t="s">
        <v>13</v>
      </c>
      <c r="AE220" s="35" t="s">
        <v>61</v>
      </c>
      <c r="AF220" s="34" t="s">
        <v>79</v>
      </c>
      <c r="AG220" s="31"/>
      <c r="AH220" s="1" t="str">
        <f t="shared" si="71"/>
        <v/>
      </c>
      <c r="AI220" s="1" t="str">
        <f t="shared" si="71"/>
        <v/>
      </c>
      <c r="AJ220" s="1" t="str">
        <f t="shared" si="71"/>
        <v/>
      </c>
      <c r="AK220" s="1" t="str">
        <f t="shared" si="71"/>
        <v/>
      </c>
      <c r="AL220" s="1" t="str">
        <f t="shared" si="71"/>
        <v/>
      </c>
      <c r="AM220" s="1" t="str">
        <f t="shared" si="71"/>
        <v/>
      </c>
      <c r="AN220" s="52" t="str">
        <f t="shared" si="71"/>
        <v/>
      </c>
      <c r="AO220" s="1" t="str">
        <f t="shared" si="71"/>
        <v/>
      </c>
      <c r="AP220" s="1" t="str">
        <f t="shared" si="71"/>
        <v/>
      </c>
      <c r="AQ220" s="1" t="str">
        <f t="shared" si="71"/>
        <v/>
      </c>
      <c r="AR220" s="1" t="str">
        <f t="shared" si="71"/>
        <v/>
      </c>
      <c r="AS220" s="1" t="str">
        <f t="shared" si="71"/>
        <v/>
      </c>
      <c r="AT220" s="1" t="str">
        <f t="shared" si="71"/>
        <v/>
      </c>
      <c r="AU220" s="1" t="str">
        <f t="shared" si="71"/>
        <v/>
      </c>
      <c r="AV220" s="1" t="str">
        <f t="shared" si="71"/>
        <v/>
      </c>
      <c r="AW220" s="1" t="str">
        <f t="shared" si="67"/>
        <v/>
      </c>
      <c r="AX220" s="1" t="str">
        <f t="shared" si="67"/>
        <v/>
      </c>
      <c r="AY220" s="1" t="str">
        <f t="shared" si="67"/>
        <v/>
      </c>
      <c r="AZ220" s="1" t="str">
        <f t="shared" si="67"/>
        <v/>
      </c>
      <c r="BA220" s="1" t="str">
        <f t="shared" si="67"/>
        <v/>
      </c>
      <c r="BB220" s="1" t="str">
        <f t="shared" si="67"/>
        <v/>
      </c>
      <c r="BC220" s="1" t="str">
        <f t="shared" si="67"/>
        <v/>
      </c>
    </row>
    <row r="221" spans="1:55" x14ac:dyDescent="0.25">
      <c r="A221" s="30" t="s">
        <v>60</v>
      </c>
      <c r="B221" s="31" t="s">
        <v>13</v>
      </c>
      <c r="C221" s="32" t="s">
        <v>62</v>
      </c>
      <c r="D221" s="31" t="s">
        <v>75</v>
      </c>
      <c r="E221" s="31"/>
      <c r="F221" s="51"/>
      <c r="G221" s="73">
        <f>G202*0.5</f>
        <v>103.5</v>
      </c>
      <c r="H221" s="51">
        <f>H202*0.2</f>
        <v>205</v>
      </c>
      <c r="I221" s="51">
        <v>0</v>
      </c>
      <c r="J221" s="51">
        <v>0</v>
      </c>
      <c r="K221" s="51">
        <v>0</v>
      </c>
      <c r="L221" s="52">
        <v>0</v>
      </c>
      <c r="M221" s="51">
        <v>0</v>
      </c>
      <c r="N221" s="51">
        <v>0</v>
      </c>
      <c r="O221" s="51">
        <v>0</v>
      </c>
      <c r="P221" s="51">
        <v>0</v>
      </c>
      <c r="Q221" s="51">
        <v>0</v>
      </c>
      <c r="R221" s="51">
        <v>0</v>
      </c>
      <c r="S221" s="51">
        <v>0</v>
      </c>
      <c r="T221" s="51">
        <v>0</v>
      </c>
      <c r="U221" s="51">
        <v>0</v>
      </c>
      <c r="V221" s="51">
        <v>0</v>
      </c>
      <c r="W221" s="51">
        <v>0</v>
      </c>
      <c r="X221" s="55">
        <v>0</v>
      </c>
      <c r="Y221" s="59">
        <f t="shared" si="54"/>
        <v>308.5</v>
      </c>
      <c r="Z221" s="51">
        <f t="shared" si="55"/>
        <v>0</v>
      </c>
      <c r="AA221" s="51">
        <f t="shared" si="56"/>
        <v>308.5</v>
      </c>
      <c r="AC221" s="30" t="s">
        <v>60</v>
      </c>
      <c r="AD221" s="31" t="s">
        <v>13</v>
      </c>
      <c r="AE221" s="32" t="s">
        <v>62</v>
      </c>
      <c r="AF221" s="31" t="s">
        <v>75</v>
      </c>
      <c r="AG221" s="31"/>
      <c r="AH221" s="1" t="str">
        <f t="shared" si="71"/>
        <v/>
      </c>
      <c r="AI221" s="1">
        <f t="shared" si="71"/>
        <v>150.29522275899092</v>
      </c>
      <c r="AJ221" s="1">
        <f t="shared" si="71"/>
        <v>32.195121951219512</v>
      </c>
      <c r="AK221" s="1" t="str">
        <f t="shared" si="71"/>
        <v/>
      </c>
      <c r="AL221" s="1" t="str">
        <f t="shared" si="71"/>
        <v/>
      </c>
      <c r="AM221" s="1" t="str">
        <f t="shared" si="71"/>
        <v/>
      </c>
      <c r="AN221" s="52" t="str">
        <f t="shared" si="71"/>
        <v/>
      </c>
      <c r="AO221" s="1" t="str">
        <f t="shared" si="71"/>
        <v/>
      </c>
      <c r="AP221" s="1" t="str">
        <f t="shared" si="71"/>
        <v/>
      </c>
      <c r="AQ221" s="1" t="str">
        <f t="shared" si="71"/>
        <v/>
      </c>
      <c r="AR221" s="1" t="str">
        <f t="shared" si="71"/>
        <v/>
      </c>
      <c r="AS221" s="1" t="str">
        <f t="shared" si="71"/>
        <v/>
      </c>
      <c r="AT221" s="1" t="str">
        <f t="shared" si="71"/>
        <v/>
      </c>
      <c r="AU221" s="1" t="str">
        <f t="shared" si="71"/>
        <v/>
      </c>
      <c r="AV221" s="1" t="str">
        <f t="shared" si="71"/>
        <v/>
      </c>
      <c r="AW221" s="1" t="str">
        <f t="shared" si="67"/>
        <v/>
      </c>
      <c r="AX221" s="1" t="str">
        <f t="shared" si="67"/>
        <v/>
      </c>
      <c r="AY221" s="1" t="str">
        <f t="shared" si="67"/>
        <v/>
      </c>
      <c r="AZ221" s="1" t="str">
        <f t="shared" si="67"/>
        <v/>
      </c>
      <c r="BA221" s="1">
        <f t="shared" si="67"/>
        <v>0</v>
      </c>
      <c r="BB221" s="1" t="str">
        <f t="shared" si="67"/>
        <v/>
      </c>
      <c r="BC221" s="1">
        <f t="shared" si="67"/>
        <v>0</v>
      </c>
    </row>
    <row r="222" spans="1:55" x14ac:dyDescent="0.25">
      <c r="A222" s="30" t="s">
        <v>60</v>
      </c>
      <c r="B222" s="31" t="s">
        <v>13</v>
      </c>
      <c r="C222" s="32" t="s">
        <v>62</v>
      </c>
      <c r="D222" s="31" t="s">
        <v>76</v>
      </c>
      <c r="E222" s="31"/>
      <c r="F222" s="51">
        <f>F202</f>
        <v>33</v>
      </c>
      <c r="G222" s="51">
        <f>G202*0.5</f>
        <v>103.5</v>
      </c>
      <c r="H222" s="51">
        <f>H202*0.8</f>
        <v>820</v>
      </c>
      <c r="I222" s="51">
        <v>0</v>
      </c>
      <c r="J222" s="51">
        <v>0</v>
      </c>
      <c r="K222" s="51">
        <v>0</v>
      </c>
      <c r="L222" s="52">
        <v>0</v>
      </c>
      <c r="M222" s="51">
        <v>0</v>
      </c>
      <c r="N222" s="51">
        <v>0</v>
      </c>
      <c r="O222" s="51">
        <v>0</v>
      </c>
      <c r="P222" s="51">
        <f>P202</f>
        <v>0.13</v>
      </c>
      <c r="Q222" s="51">
        <v>0</v>
      </c>
      <c r="R222" s="51">
        <v>0</v>
      </c>
      <c r="S222" s="51">
        <v>0</v>
      </c>
      <c r="T222" s="51">
        <v>0</v>
      </c>
      <c r="U222" s="51">
        <v>0</v>
      </c>
      <c r="V222" s="51">
        <v>0</v>
      </c>
      <c r="W222" s="51">
        <v>0</v>
      </c>
      <c r="X222" s="55">
        <v>0</v>
      </c>
      <c r="Y222" s="59">
        <f t="shared" si="54"/>
        <v>956.5</v>
      </c>
      <c r="Z222" s="51">
        <f t="shared" si="55"/>
        <v>0.13</v>
      </c>
      <c r="AA222" s="51">
        <f t="shared" si="56"/>
        <v>956.63</v>
      </c>
      <c r="AC222" s="30" t="s">
        <v>60</v>
      </c>
      <c r="AD222" s="31" t="s">
        <v>13</v>
      </c>
      <c r="AE222" s="32" t="s">
        <v>62</v>
      </c>
      <c r="AF222" s="31" t="s">
        <v>76</v>
      </c>
      <c r="AG222" s="31"/>
      <c r="AH222" s="1">
        <f t="shared" si="71"/>
        <v>289.56228956228955</v>
      </c>
      <c r="AI222" s="1">
        <f t="shared" si="71"/>
        <v>150.29522275899092</v>
      </c>
      <c r="AJ222" s="1">
        <f t="shared" si="71"/>
        <v>32.195121951219512</v>
      </c>
      <c r="AK222" s="1" t="str">
        <f t="shared" si="71"/>
        <v/>
      </c>
      <c r="AL222" s="1" t="str">
        <f t="shared" si="71"/>
        <v/>
      </c>
      <c r="AM222" s="1" t="str">
        <f t="shared" si="71"/>
        <v/>
      </c>
      <c r="AN222" s="52" t="str">
        <f t="shared" si="71"/>
        <v/>
      </c>
      <c r="AO222" s="1" t="str">
        <f t="shared" si="71"/>
        <v/>
      </c>
      <c r="AP222" s="1" t="str">
        <f t="shared" si="71"/>
        <v/>
      </c>
      <c r="AQ222" s="1" t="str">
        <f t="shared" si="71"/>
        <v/>
      </c>
      <c r="AR222" s="1">
        <f t="shared" si="71"/>
        <v>427350.42735042737</v>
      </c>
      <c r="AS222" s="1" t="str">
        <f t="shared" si="71"/>
        <v/>
      </c>
      <c r="AT222" s="1" t="str">
        <f t="shared" si="71"/>
        <v/>
      </c>
      <c r="AU222" s="1" t="str">
        <f t="shared" si="71"/>
        <v/>
      </c>
      <c r="AV222" s="1" t="str">
        <f t="shared" si="71"/>
        <v/>
      </c>
      <c r="AW222" s="1" t="str">
        <f t="shared" si="67"/>
        <v/>
      </c>
      <c r="AX222" s="1" t="str">
        <f t="shared" si="67"/>
        <v/>
      </c>
      <c r="AY222" s="1" t="str">
        <f t="shared" si="67"/>
        <v/>
      </c>
      <c r="AZ222" s="1" t="str">
        <f t="shared" si="67"/>
        <v/>
      </c>
      <c r="BA222" s="1">
        <f t="shared" si="67"/>
        <v>0</v>
      </c>
      <c r="BB222" s="1">
        <f t="shared" si="67"/>
        <v>0</v>
      </c>
      <c r="BC222" s="1">
        <f t="shared" si="67"/>
        <v>0</v>
      </c>
    </row>
    <row r="223" spans="1:55" x14ac:dyDescent="0.25">
      <c r="A223" s="30" t="s">
        <v>60</v>
      </c>
      <c r="B223" s="31" t="s">
        <v>13</v>
      </c>
      <c r="C223" s="32" t="s">
        <v>62</v>
      </c>
      <c r="D223" s="31" t="s">
        <v>77</v>
      </c>
      <c r="E223" s="31"/>
      <c r="F223" s="51">
        <v>0</v>
      </c>
      <c r="G223" s="51">
        <v>0</v>
      </c>
      <c r="H223" s="51">
        <v>0</v>
      </c>
      <c r="I223" s="51">
        <v>0</v>
      </c>
      <c r="J223" s="51">
        <v>0</v>
      </c>
      <c r="K223" s="51">
        <v>0</v>
      </c>
      <c r="L223" s="52">
        <v>0</v>
      </c>
      <c r="M223" s="51">
        <v>0</v>
      </c>
      <c r="N223" s="51">
        <v>0</v>
      </c>
      <c r="O223" s="51">
        <v>0</v>
      </c>
      <c r="P223" s="51">
        <v>0</v>
      </c>
      <c r="Q223" s="51">
        <v>0</v>
      </c>
      <c r="R223" s="51">
        <v>0</v>
      </c>
      <c r="S223" s="51">
        <v>0</v>
      </c>
      <c r="T223" s="51">
        <v>0</v>
      </c>
      <c r="U223" s="51">
        <v>0</v>
      </c>
      <c r="V223" s="51">
        <v>0</v>
      </c>
      <c r="W223" s="51">
        <v>0</v>
      </c>
      <c r="X223" s="55">
        <v>0</v>
      </c>
      <c r="Y223" s="59">
        <f t="shared" si="54"/>
        <v>0</v>
      </c>
      <c r="Z223" s="51">
        <f t="shared" si="55"/>
        <v>0</v>
      </c>
      <c r="AA223" s="51">
        <f t="shared" si="56"/>
        <v>0</v>
      </c>
      <c r="AC223" s="30" t="s">
        <v>60</v>
      </c>
      <c r="AD223" s="31" t="s">
        <v>13</v>
      </c>
      <c r="AE223" s="32" t="s">
        <v>62</v>
      </c>
      <c r="AF223" s="31" t="s">
        <v>77</v>
      </c>
      <c r="AG223" s="31"/>
      <c r="AH223" s="1" t="str">
        <f t="shared" si="71"/>
        <v/>
      </c>
      <c r="AI223" s="1" t="str">
        <f t="shared" si="71"/>
        <v/>
      </c>
      <c r="AJ223" s="1" t="str">
        <f t="shared" si="71"/>
        <v/>
      </c>
      <c r="AK223" s="1" t="str">
        <f t="shared" si="71"/>
        <v/>
      </c>
      <c r="AL223" s="1" t="str">
        <f t="shared" si="71"/>
        <v/>
      </c>
      <c r="AM223" s="1" t="str">
        <f t="shared" si="71"/>
        <v/>
      </c>
      <c r="AN223" s="52" t="str">
        <f t="shared" si="71"/>
        <v/>
      </c>
      <c r="AO223" s="1" t="str">
        <f t="shared" si="71"/>
        <v/>
      </c>
      <c r="AP223" s="1" t="str">
        <f t="shared" si="71"/>
        <v/>
      </c>
      <c r="AQ223" s="1" t="str">
        <f t="shared" si="71"/>
        <v/>
      </c>
      <c r="AR223" s="1" t="str">
        <f t="shared" si="71"/>
        <v/>
      </c>
      <c r="AS223" s="1" t="str">
        <f t="shared" si="71"/>
        <v/>
      </c>
      <c r="AT223" s="1" t="str">
        <f t="shared" si="71"/>
        <v/>
      </c>
      <c r="AU223" s="1" t="str">
        <f t="shared" si="71"/>
        <v/>
      </c>
      <c r="AV223" s="1" t="str">
        <f t="shared" si="71"/>
        <v/>
      </c>
      <c r="AW223" s="1" t="str">
        <f t="shared" si="67"/>
        <v/>
      </c>
      <c r="AX223" s="1" t="str">
        <f t="shared" si="67"/>
        <v/>
      </c>
      <c r="AY223" s="1" t="str">
        <f t="shared" si="67"/>
        <v/>
      </c>
      <c r="AZ223" s="1" t="str">
        <f t="shared" si="67"/>
        <v/>
      </c>
      <c r="BA223" s="1" t="str">
        <f t="shared" si="67"/>
        <v/>
      </c>
      <c r="BB223" s="1" t="str">
        <f t="shared" si="67"/>
        <v/>
      </c>
      <c r="BC223" s="1" t="str">
        <f t="shared" si="67"/>
        <v/>
      </c>
    </row>
    <row r="224" spans="1:55" x14ac:dyDescent="0.25">
      <c r="A224" s="30" t="s">
        <v>60</v>
      </c>
      <c r="B224" s="31" t="s">
        <v>13</v>
      </c>
      <c r="C224" s="32" t="s">
        <v>62</v>
      </c>
      <c r="D224" s="31" t="s">
        <v>78</v>
      </c>
      <c r="E224" s="31"/>
      <c r="F224" s="51">
        <v>0</v>
      </c>
      <c r="G224" s="51">
        <v>0</v>
      </c>
      <c r="H224" s="51">
        <v>0</v>
      </c>
      <c r="I224" s="51">
        <v>0</v>
      </c>
      <c r="J224" s="51">
        <v>0</v>
      </c>
      <c r="K224" s="51">
        <v>0</v>
      </c>
      <c r="L224" s="52">
        <v>0</v>
      </c>
      <c r="M224" s="51">
        <v>0</v>
      </c>
      <c r="N224" s="51">
        <v>0</v>
      </c>
      <c r="O224" s="51">
        <v>0</v>
      </c>
      <c r="P224" s="51">
        <v>0</v>
      </c>
      <c r="Q224" s="51">
        <v>0</v>
      </c>
      <c r="R224" s="51">
        <v>0</v>
      </c>
      <c r="S224" s="51">
        <v>0</v>
      </c>
      <c r="T224" s="51">
        <v>0</v>
      </c>
      <c r="U224" s="51">
        <v>0</v>
      </c>
      <c r="V224" s="51">
        <v>0</v>
      </c>
      <c r="W224" s="51">
        <v>0</v>
      </c>
      <c r="X224" s="55">
        <v>0</v>
      </c>
      <c r="Y224" s="59">
        <f t="shared" si="54"/>
        <v>0</v>
      </c>
      <c r="Z224" s="51">
        <f t="shared" si="55"/>
        <v>0</v>
      </c>
      <c r="AA224" s="51">
        <f t="shared" si="56"/>
        <v>0</v>
      </c>
      <c r="AC224" s="30" t="s">
        <v>60</v>
      </c>
      <c r="AD224" s="31" t="s">
        <v>13</v>
      </c>
      <c r="AE224" s="32" t="s">
        <v>62</v>
      </c>
      <c r="AF224" s="31" t="s">
        <v>78</v>
      </c>
      <c r="AG224" s="31"/>
      <c r="AH224" s="1" t="str">
        <f t="shared" si="71"/>
        <v/>
      </c>
      <c r="AI224" s="1" t="str">
        <f t="shared" si="71"/>
        <v/>
      </c>
      <c r="AJ224" s="1" t="str">
        <f t="shared" si="71"/>
        <v/>
      </c>
      <c r="AK224" s="1" t="str">
        <f t="shared" si="71"/>
        <v/>
      </c>
      <c r="AL224" s="1" t="str">
        <f t="shared" si="71"/>
        <v/>
      </c>
      <c r="AM224" s="1" t="str">
        <f t="shared" si="71"/>
        <v/>
      </c>
      <c r="AN224" s="52" t="str">
        <f t="shared" si="71"/>
        <v/>
      </c>
      <c r="AO224" s="1" t="str">
        <f t="shared" si="71"/>
        <v/>
      </c>
      <c r="AP224" s="1" t="str">
        <f t="shared" si="71"/>
        <v/>
      </c>
      <c r="AQ224" s="1" t="str">
        <f t="shared" si="71"/>
        <v/>
      </c>
      <c r="AR224" s="1" t="str">
        <f t="shared" si="71"/>
        <v/>
      </c>
      <c r="AS224" s="1" t="str">
        <f t="shared" si="71"/>
        <v/>
      </c>
      <c r="AT224" s="1" t="str">
        <f t="shared" si="71"/>
        <v/>
      </c>
      <c r="AU224" s="1" t="str">
        <f t="shared" si="71"/>
        <v/>
      </c>
      <c r="AV224" s="1" t="str">
        <f t="shared" si="71"/>
        <v/>
      </c>
      <c r="AW224" s="1" t="str">
        <f t="shared" si="67"/>
        <v/>
      </c>
      <c r="AX224" s="1" t="str">
        <f t="shared" si="67"/>
        <v/>
      </c>
      <c r="AY224" s="1" t="str">
        <f t="shared" si="67"/>
        <v/>
      </c>
      <c r="AZ224" s="1" t="str">
        <f t="shared" si="67"/>
        <v/>
      </c>
      <c r="BA224" s="1" t="str">
        <f t="shared" si="67"/>
        <v/>
      </c>
      <c r="BB224" s="1" t="str">
        <f t="shared" si="67"/>
        <v/>
      </c>
      <c r="BC224" s="1" t="str">
        <f t="shared" si="67"/>
        <v/>
      </c>
    </row>
    <row r="225" spans="1:55" ht="15.75" thickBot="1" x14ac:dyDescent="0.3">
      <c r="A225" s="33" t="s">
        <v>60</v>
      </c>
      <c r="B225" s="34" t="s">
        <v>13</v>
      </c>
      <c r="C225" s="32" t="s">
        <v>62</v>
      </c>
      <c r="D225" s="34" t="s">
        <v>79</v>
      </c>
      <c r="E225" s="31"/>
      <c r="F225" s="51">
        <v>0</v>
      </c>
      <c r="G225" s="51">
        <v>0</v>
      </c>
      <c r="H225" s="51">
        <v>0</v>
      </c>
      <c r="I225" s="51">
        <v>0</v>
      </c>
      <c r="J225" s="51">
        <v>0</v>
      </c>
      <c r="K225" s="51">
        <v>0</v>
      </c>
      <c r="L225" s="52">
        <v>0</v>
      </c>
      <c r="M225" s="51">
        <v>0</v>
      </c>
      <c r="N225" s="51">
        <v>0</v>
      </c>
      <c r="O225" s="51">
        <v>0</v>
      </c>
      <c r="P225" s="51">
        <v>0</v>
      </c>
      <c r="Q225" s="51">
        <v>0</v>
      </c>
      <c r="R225" s="51">
        <v>0</v>
      </c>
      <c r="S225" s="51">
        <v>0</v>
      </c>
      <c r="T225" s="51">
        <v>0</v>
      </c>
      <c r="U225" s="51">
        <v>0</v>
      </c>
      <c r="V225" s="51">
        <v>0</v>
      </c>
      <c r="W225" s="51">
        <v>0</v>
      </c>
      <c r="X225" s="55">
        <v>0</v>
      </c>
      <c r="Y225" s="59">
        <f t="shared" si="54"/>
        <v>0</v>
      </c>
      <c r="Z225" s="51">
        <f t="shared" si="55"/>
        <v>0</v>
      </c>
      <c r="AA225" s="51">
        <f t="shared" si="56"/>
        <v>0</v>
      </c>
      <c r="AC225" s="33" t="s">
        <v>60</v>
      </c>
      <c r="AD225" s="34" t="s">
        <v>13</v>
      </c>
      <c r="AE225" s="32" t="s">
        <v>62</v>
      </c>
      <c r="AF225" s="34" t="s">
        <v>79</v>
      </c>
      <c r="AG225" s="31"/>
      <c r="AH225" s="1" t="str">
        <f t="shared" si="71"/>
        <v/>
      </c>
      <c r="AI225" s="1" t="str">
        <f t="shared" si="71"/>
        <v/>
      </c>
      <c r="AJ225" s="1" t="str">
        <f t="shared" si="71"/>
        <v/>
      </c>
      <c r="AK225" s="1" t="str">
        <f t="shared" si="71"/>
        <v/>
      </c>
      <c r="AL225" s="1" t="str">
        <f t="shared" si="71"/>
        <v/>
      </c>
      <c r="AM225" s="1" t="str">
        <f t="shared" si="71"/>
        <v/>
      </c>
      <c r="AN225" s="52" t="str">
        <f t="shared" si="71"/>
        <v/>
      </c>
      <c r="AO225" s="1" t="str">
        <f t="shared" si="71"/>
        <v/>
      </c>
      <c r="AP225" s="1" t="str">
        <f t="shared" si="71"/>
        <v/>
      </c>
      <c r="AQ225" s="1" t="str">
        <f t="shared" si="71"/>
        <v/>
      </c>
      <c r="AR225" s="1" t="str">
        <f t="shared" si="71"/>
        <v/>
      </c>
      <c r="AS225" s="1" t="str">
        <f t="shared" si="71"/>
        <v/>
      </c>
      <c r="AT225" s="1" t="str">
        <f t="shared" si="71"/>
        <v/>
      </c>
      <c r="AU225" s="1" t="str">
        <f t="shared" si="71"/>
        <v/>
      </c>
      <c r="AV225" s="1" t="str">
        <f t="shared" si="71"/>
        <v/>
      </c>
      <c r="AW225" s="1" t="str">
        <f t="shared" si="67"/>
        <v/>
      </c>
      <c r="AX225" s="1" t="str">
        <f t="shared" si="67"/>
        <v/>
      </c>
      <c r="AY225" s="1" t="str">
        <f t="shared" si="67"/>
        <v/>
      </c>
      <c r="AZ225" s="1" t="str">
        <f t="shared" si="67"/>
        <v/>
      </c>
      <c r="BA225" s="1" t="str">
        <f t="shared" si="67"/>
        <v/>
      </c>
      <c r="BB225" s="1" t="str">
        <f t="shared" si="67"/>
        <v/>
      </c>
      <c r="BC225" s="1" t="str">
        <f t="shared" si="67"/>
        <v/>
      </c>
    </row>
    <row r="227" spans="1:55" x14ac:dyDescent="0.25">
      <c r="D227" s="41" t="s">
        <v>33</v>
      </c>
      <c r="E227" s="41"/>
      <c r="M227" s="24" t="s">
        <v>81</v>
      </c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</row>
    <row r="228" spans="1:55" x14ac:dyDescent="0.25">
      <c r="F228" s="23" t="s">
        <v>44</v>
      </c>
      <c r="G228" s="23"/>
      <c r="H228" s="23"/>
      <c r="I228" s="23"/>
      <c r="J228" s="23"/>
      <c r="K228" s="23"/>
      <c r="L228" s="7" t="s">
        <v>30</v>
      </c>
      <c r="M228" s="24" t="s">
        <v>46</v>
      </c>
      <c r="N228" s="24"/>
      <c r="O228" s="24"/>
      <c r="P228" s="24"/>
      <c r="Q228" s="24"/>
      <c r="R228" s="24" t="s">
        <v>47</v>
      </c>
      <c r="S228" s="24"/>
      <c r="T228" s="24"/>
      <c r="U228" s="24"/>
      <c r="V228" s="24"/>
      <c r="W228" s="24"/>
      <c r="X228" s="24"/>
      <c r="Y228" s="44" t="s">
        <v>85</v>
      </c>
      <c r="Z228" s="44" t="s">
        <v>48</v>
      </c>
      <c r="AA228" s="44" t="s">
        <v>3</v>
      </c>
    </row>
    <row r="229" spans="1:55" ht="63" x14ac:dyDescent="0.25">
      <c r="F229" s="38" t="s">
        <v>36</v>
      </c>
      <c r="G229" s="38" t="s">
        <v>37</v>
      </c>
      <c r="H229" s="38" t="s">
        <v>38</v>
      </c>
      <c r="I229" s="38" t="s">
        <v>80</v>
      </c>
      <c r="J229" s="38" t="s">
        <v>39</v>
      </c>
      <c r="K229" s="38" t="s">
        <v>45</v>
      </c>
      <c r="L229" s="39" t="s">
        <v>16</v>
      </c>
      <c r="M229" s="40" t="s">
        <v>34</v>
      </c>
      <c r="N229" s="40" t="s">
        <v>5</v>
      </c>
      <c r="O229" s="40" t="s">
        <v>7</v>
      </c>
      <c r="P229" s="40" t="s">
        <v>8</v>
      </c>
      <c r="Q229" s="40" t="s">
        <v>40</v>
      </c>
      <c r="R229" s="40" t="s">
        <v>41</v>
      </c>
      <c r="S229" s="40" t="s">
        <v>42</v>
      </c>
      <c r="T229" s="40" t="s">
        <v>31</v>
      </c>
      <c r="U229" s="40" t="s">
        <v>43</v>
      </c>
      <c r="V229" s="40" t="s">
        <v>82</v>
      </c>
      <c r="W229" s="40" t="s">
        <v>87</v>
      </c>
      <c r="X229" s="40" t="s">
        <v>83</v>
      </c>
      <c r="Y229" s="45" t="s">
        <v>3</v>
      </c>
      <c r="Z229" s="45" t="s">
        <v>86</v>
      </c>
      <c r="AA229" s="45" t="s">
        <v>3</v>
      </c>
    </row>
    <row r="230" spans="1:55" x14ac:dyDescent="0.25">
      <c r="A230" s="15" t="s">
        <v>51</v>
      </c>
      <c r="B230" s="2"/>
      <c r="C230" s="2"/>
      <c r="F230" s="1">
        <f t="shared" ref="F230:X230" si="72">F232+F233+F234</f>
        <v>0</v>
      </c>
      <c r="G230" s="1">
        <f t="shared" si="72"/>
        <v>0</v>
      </c>
      <c r="H230" s="1">
        <f t="shared" si="72"/>
        <v>0</v>
      </c>
      <c r="I230" s="1">
        <f t="shared" si="72"/>
        <v>0</v>
      </c>
      <c r="J230" s="1">
        <f t="shared" si="72"/>
        <v>0</v>
      </c>
      <c r="K230" s="1">
        <f t="shared" si="72"/>
        <v>0</v>
      </c>
      <c r="L230" s="52">
        <f t="shared" si="72"/>
        <v>0</v>
      </c>
      <c r="M230" s="1">
        <f t="shared" si="72"/>
        <v>0</v>
      </c>
      <c r="N230" s="1">
        <f t="shared" si="72"/>
        <v>0</v>
      </c>
      <c r="O230" s="1">
        <f t="shared" si="72"/>
        <v>0</v>
      </c>
      <c r="P230" s="1">
        <f t="shared" si="72"/>
        <v>0</v>
      </c>
      <c r="Q230" s="1">
        <f t="shared" si="72"/>
        <v>0</v>
      </c>
      <c r="R230" s="1">
        <f t="shared" si="72"/>
        <v>0</v>
      </c>
      <c r="S230" s="1">
        <f t="shared" si="72"/>
        <v>0</v>
      </c>
      <c r="T230" s="1">
        <f t="shared" si="72"/>
        <v>0</v>
      </c>
      <c r="U230" s="1">
        <f t="shared" si="72"/>
        <v>0</v>
      </c>
      <c r="V230" s="1">
        <f t="shared" si="72"/>
        <v>0</v>
      </c>
      <c r="W230" s="1">
        <f t="shared" si="72"/>
        <v>0</v>
      </c>
      <c r="X230" s="1">
        <f t="shared" si="72"/>
        <v>0</v>
      </c>
      <c r="Y230" s="58">
        <f t="shared" ref="Y230:Y238" si="73">SUM(F230:K230)</f>
        <v>0</v>
      </c>
      <c r="Z230" s="1">
        <f t="shared" ref="Z230:Z238" si="74">SUM(M230:X230)</f>
        <v>0</v>
      </c>
      <c r="AA230" s="1">
        <f t="shared" ref="AA230:AA238" si="75">L230+Y230+Z230</f>
        <v>0</v>
      </c>
    </row>
    <row r="231" spans="1:55" x14ac:dyDescent="0.25">
      <c r="A231" s="30" t="s">
        <v>60</v>
      </c>
      <c r="B231" s="2"/>
      <c r="C231" s="2"/>
      <c r="F231" s="1">
        <f>F235+F236+F237+F238</f>
        <v>47.777777777777779</v>
      </c>
      <c r="G231" s="1">
        <f t="shared" ref="G231:X231" si="76">G235+G236+G237+G238</f>
        <v>31.111111111111118</v>
      </c>
      <c r="H231" s="1">
        <f t="shared" si="76"/>
        <v>60</v>
      </c>
      <c r="I231" s="1">
        <f t="shared" si="76"/>
        <v>17.294117647058822</v>
      </c>
      <c r="J231" s="1">
        <f t="shared" si="76"/>
        <v>148.03288587229764</v>
      </c>
      <c r="K231" s="1">
        <f t="shared" si="76"/>
        <v>41.648739495798317</v>
      </c>
      <c r="L231" s="52">
        <f t="shared" si="76"/>
        <v>5882.3529411764703</v>
      </c>
      <c r="M231" s="1">
        <f t="shared" si="76"/>
        <v>303.19787379972564</v>
      </c>
      <c r="N231" s="1">
        <f t="shared" si="76"/>
        <v>33.615384615384613</v>
      </c>
      <c r="O231" s="1">
        <f t="shared" si="76"/>
        <v>11.111111111111111</v>
      </c>
      <c r="P231" s="1">
        <f t="shared" si="76"/>
        <v>111.11111111111111</v>
      </c>
      <c r="Q231" s="1">
        <f t="shared" si="76"/>
        <v>706.42857142857144</v>
      </c>
      <c r="R231" s="1">
        <f t="shared" si="76"/>
        <v>449.87922705314008</v>
      </c>
      <c r="S231" s="1">
        <f t="shared" si="76"/>
        <v>5.4444444444444446</v>
      </c>
      <c r="T231" s="1">
        <f t="shared" si="76"/>
        <v>409.54365079365084</v>
      </c>
      <c r="U231" s="1">
        <f t="shared" si="76"/>
        <v>134.49975949975948</v>
      </c>
      <c r="V231" s="1">
        <f t="shared" si="76"/>
        <v>121.54761904761905</v>
      </c>
      <c r="W231" s="1">
        <f t="shared" si="76"/>
        <v>208.8624338624339</v>
      </c>
      <c r="X231" s="54">
        <f t="shared" si="76"/>
        <v>273.05555555555554</v>
      </c>
      <c r="Y231" s="58">
        <f t="shared" si="73"/>
        <v>345.86463190404373</v>
      </c>
      <c r="Z231" s="1">
        <f t="shared" si="74"/>
        <v>2768.2967423225077</v>
      </c>
      <c r="AA231" s="1">
        <f t="shared" si="75"/>
        <v>8996.5143154030211</v>
      </c>
    </row>
    <row r="232" spans="1:55" x14ac:dyDescent="0.25">
      <c r="A232" s="15" t="s">
        <v>51</v>
      </c>
      <c r="B232" s="16" t="s">
        <v>52</v>
      </c>
      <c r="C232" s="2"/>
      <c r="F232" s="1">
        <f>F239+F240+F241</f>
        <v>0</v>
      </c>
      <c r="G232" s="1">
        <f t="shared" ref="G232:X232" si="77">G239+G240+G241</f>
        <v>0</v>
      </c>
      <c r="H232" s="1">
        <f t="shared" si="77"/>
        <v>0</v>
      </c>
      <c r="I232" s="1">
        <f t="shared" si="77"/>
        <v>0</v>
      </c>
      <c r="J232" s="1">
        <f t="shared" si="77"/>
        <v>0</v>
      </c>
      <c r="K232" s="1">
        <f t="shared" si="77"/>
        <v>0</v>
      </c>
      <c r="L232" s="52">
        <f t="shared" si="77"/>
        <v>0</v>
      </c>
      <c r="M232" s="1">
        <f t="shared" si="77"/>
        <v>0</v>
      </c>
      <c r="N232" s="1">
        <f t="shared" si="77"/>
        <v>0</v>
      </c>
      <c r="O232" s="1">
        <f t="shared" si="77"/>
        <v>0</v>
      </c>
      <c r="P232" s="1">
        <f t="shared" si="77"/>
        <v>0</v>
      </c>
      <c r="Q232" s="1">
        <f t="shared" si="77"/>
        <v>0</v>
      </c>
      <c r="R232" s="1">
        <f t="shared" si="77"/>
        <v>0</v>
      </c>
      <c r="S232" s="1">
        <f t="shared" si="77"/>
        <v>0</v>
      </c>
      <c r="T232" s="1">
        <f t="shared" si="77"/>
        <v>0</v>
      </c>
      <c r="U232" s="1">
        <f t="shared" si="77"/>
        <v>0</v>
      </c>
      <c r="V232" s="1">
        <f t="shared" si="77"/>
        <v>0</v>
      </c>
      <c r="W232" s="1">
        <f t="shared" si="77"/>
        <v>0</v>
      </c>
      <c r="X232" s="54">
        <f t="shared" si="77"/>
        <v>0</v>
      </c>
      <c r="Y232" s="58">
        <f t="shared" si="73"/>
        <v>0</v>
      </c>
      <c r="Z232" s="1">
        <f t="shared" si="74"/>
        <v>0</v>
      </c>
      <c r="AA232" s="1">
        <f t="shared" si="75"/>
        <v>0</v>
      </c>
    </row>
    <row r="233" spans="1:55" x14ac:dyDescent="0.25">
      <c r="A233" s="15" t="s">
        <v>51</v>
      </c>
      <c r="B233" s="16" t="s">
        <v>56</v>
      </c>
      <c r="C233" s="2"/>
      <c r="F233" s="1">
        <f>F242+F243+F244</f>
        <v>0</v>
      </c>
      <c r="G233" s="1">
        <f t="shared" ref="G233:X233" si="78">G242+G243+G244</f>
        <v>0</v>
      </c>
      <c r="H233" s="1">
        <f t="shared" si="78"/>
        <v>0</v>
      </c>
      <c r="I233" s="1">
        <f t="shared" si="78"/>
        <v>0</v>
      </c>
      <c r="J233" s="1">
        <f t="shared" si="78"/>
        <v>0</v>
      </c>
      <c r="K233" s="1">
        <f t="shared" si="78"/>
        <v>0</v>
      </c>
      <c r="L233" s="52">
        <f t="shared" si="78"/>
        <v>0</v>
      </c>
      <c r="M233" s="1">
        <f t="shared" si="78"/>
        <v>0</v>
      </c>
      <c r="N233" s="1">
        <f t="shared" si="78"/>
        <v>0</v>
      </c>
      <c r="O233" s="1">
        <f t="shared" si="78"/>
        <v>0</v>
      </c>
      <c r="P233" s="1">
        <f t="shared" si="78"/>
        <v>0</v>
      </c>
      <c r="Q233" s="1">
        <f t="shared" si="78"/>
        <v>0</v>
      </c>
      <c r="R233" s="1">
        <f t="shared" si="78"/>
        <v>0</v>
      </c>
      <c r="S233" s="1">
        <f t="shared" si="78"/>
        <v>0</v>
      </c>
      <c r="T233" s="1">
        <f t="shared" si="78"/>
        <v>0</v>
      </c>
      <c r="U233" s="1">
        <f t="shared" si="78"/>
        <v>0</v>
      </c>
      <c r="V233" s="1">
        <f t="shared" si="78"/>
        <v>0</v>
      </c>
      <c r="W233" s="1">
        <f t="shared" si="78"/>
        <v>0</v>
      </c>
      <c r="X233" s="54">
        <f t="shared" si="78"/>
        <v>0</v>
      </c>
      <c r="Y233" s="58">
        <f t="shared" si="73"/>
        <v>0</v>
      </c>
      <c r="Z233" s="1">
        <f t="shared" si="74"/>
        <v>0</v>
      </c>
      <c r="AA233" s="1">
        <f t="shared" si="75"/>
        <v>0</v>
      </c>
    </row>
    <row r="234" spans="1:55" x14ac:dyDescent="0.25">
      <c r="A234" s="15" t="s">
        <v>51</v>
      </c>
      <c r="B234" s="16" t="s">
        <v>9</v>
      </c>
      <c r="C234" s="2"/>
      <c r="F234" s="1">
        <f>F245</f>
        <v>0</v>
      </c>
      <c r="G234" s="1">
        <f t="shared" ref="G234:X234" si="79">G245</f>
        <v>0</v>
      </c>
      <c r="H234" s="1">
        <f t="shared" si="79"/>
        <v>0</v>
      </c>
      <c r="I234" s="1">
        <f t="shared" si="79"/>
        <v>0</v>
      </c>
      <c r="J234" s="1">
        <f t="shared" si="79"/>
        <v>0</v>
      </c>
      <c r="K234" s="1">
        <f t="shared" si="79"/>
        <v>0</v>
      </c>
      <c r="L234" s="52">
        <f t="shared" si="79"/>
        <v>0</v>
      </c>
      <c r="M234" s="1">
        <f t="shared" si="79"/>
        <v>0</v>
      </c>
      <c r="N234" s="1">
        <f t="shared" si="79"/>
        <v>0</v>
      </c>
      <c r="O234" s="1">
        <f t="shared" si="79"/>
        <v>0</v>
      </c>
      <c r="P234" s="1">
        <f t="shared" si="79"/>
        <v>0</v>
      </c>
      <c r="Q234" s="1">
        <f t="shared" si="79"/>
        <v>0</v>
      </c>
      <c r="R234" s="1">
        <f t="shared" si="79"/>
        <v>0</v>
      </c>
      <c r="S234" s="1">
        <f t="shared" si="79"/>
        <v>0</v>
      </c>
      <c r="T234" s="1">
        <f t="shared" si="79"/>
        <v>0</v>
      </c>
      <c r="U234" s="1">
        <f t="shared" si="79"/>
        <v>0</v>
      </c>
      <c r="V234" s="1">
        <f t="shared" si="79"/>
        <v>0</v>
      </c>
      <c r="W234" s="1">
        <f t="shared" si="79"/>
        <v>0</v>
      </c>
      <c r="X234" s="54">
        <f t="shared" si="79"/>
        <v>0</v>
      </c>
      <c r="Y234" s="58">
        <f t="shared" si="73"/>
        <v>0</v>
      </c>
      <c r="Z234" s="1">
        <f t="shared" si="74"/>
        <v>0</v>
      </c>
      <c r="AA234" s="1">
        <f t="shared" si="75"/>
        <v>0</v>
      </c>
    </row>
    <row r="235" spans="1:55" x14ac:dyDescent="0.25">
      <c r="A235" s="30" t="s">
        <v>60</v>
      </c>
      <c r="B235" s="32" t="s">
        <v>13</v>
      </c>
      <c r="C235" s="2"/>
      <c r="F235" s="51">
        <f>F246+F247+F248</f>
        <v>47.777777777777779</v>
      </c>
      <c r="G235" s="51">
        <f t="shared" ref="G235:X235" si="80">G246+G247+G248</f>
        <v>31.111111111111118</v>
      </c>
      <c r="H235" s="51">
        <f t="shared" si="80"/>
        <v>60</v>
      </c>
      <c r="I235" s="51">
        <f t="shared" si="80"/>
        <v>17.294117647058822</v>
      </c>
      <c r="J235" s="51">
        <f t="shared" si="80"/>
        <v>10.941176470588236</v>
      </c>
      <c r="K235" s="51">
        <f t="shared" si="80"/>
        <v>4.7058823529411766</v>
      </c>
      <c r="L235" s="52">
        <f t="shared" si="80"/>
        <v>0</v>
      </c>
      <c r="M235" s="51">
        <f t="shared" si="80"/>
        <v>21.947873799725649</v>
      </c>
      <c r="N235" s="51">
        <f t="shared" si="80"/>
        <v>9</v>
      </c>
      <c r="O235" s="51">
        <f t="shared" si="80"/>
        <v>11.111111111111111</v>
      </c>
      <c r="P235" s="51">
        <f t="shared" si="80"/>
        <v>111.11111111111111</v>
      </c>
      <c r="Q235" s="51">
        <f t="shared" si="80"/>
        <v>1.6666666666666667</v>
      </c>
      <c r="R235" s="51">
        <f t="shared" si="80"/>
        <v>5.4347826086956523</v>
      </c>
      <c r="S235" s="51">
        <f t="shared" si="80"/>
        <v>0</v>
      </c>
      <c r="T235" s="51">
        <f t="shared" si="80"/>
        <v>2.0833333333333335</v>
      </c>
      <c r="U235" s="51">
        <f t="shared" si="80"/>
        <v>4.6296296296296298</v>
      </c>
      <c r="V235" s="51">
        <f t="shared" si="80"/>
        <v>0.27777777777777779</v>
      </c>
      <c r="W235" s="51">
        <f t="shared" si="80"/>
        <v>6.4814814814814818</v>
      </c>
      <c r="X235" s="55">
        <f t="shared" si="80"/>
        <v>55.555555555555557</v>
      </c>
      <c r="Y235" s="59">
        <f t="shared" si="73"/>
        <v>171.83006535947715</v>
      </c>
      <c r="Z235" s="51">
        <f t="shared" si="74"/>
        <v>229.29932307508795</v>
      </c>
      <c r="AA235" s="51">
        <f t="shared" si="75"/>
        <v>401.1293884345651</v>
      </c>
    </row>
    <row r="236" spans="1:55" x14ac:dyDescent="0.25">
      <c r="A236" s="30" t="s">
        <v>60</v>
      </c>
      <c r="B236" s="31" t="s">
        <v>23</v>
      </c>
      <c r="C236" s="2"/>
      <c r="F236" s="51">
        <f>F249+F250+F251</f>
        <v>0</v>
      </c>
      <c r="G236" s="51">
        <f t="shared" ref="G236:X236" si="81">G249+G250+G251</f>
        <v>0</v>
      </c>
      <c r="H236" s="51">
        <f t="shared" si="81"/>
        <v>0</v>
      </c>
      <c r="I236" s="51">
        <f t="shared" si="81"/>
        <v>0</v>
      </c>
      <c r="J236" s="51">
        <f t="shared" si="81"/>
        <v>22.508376068376066</v>
      </c>
      <c r="K236" s="51">
        <f t="shared" si="81"/>
        <v>36.942857142857143</v>
      </c>
      <c r="L236" s="52">
        <f t="shared" si="81"/>
        <v>0</v>
      </c>
      <c r="M236" s="51">
        <f t="shared" si="81"/>
        <v>0</v>
      </c>
      <c r="N236" s="51">
        <f t="shared" si="81"/>
        <v>24.615384615384617</v>
      </c>
      <c r="O236" s="51">
        <f t="shared" si="81"/>
        <v>0</v>
      </c>
      <c r="P236" s="51">
        <f t="shared" si="81"/>
        <v>0</v>
      </c>
      <c r="Q236" s="51">
        <f t="shared" si="81"/>
        <v>0</v>
      </c>
      <c r="R236" s="51">
        <f t="shared" si="81"/>
        <v>0</v>
      </c>
      <c r="S236" s="51">
        <f t="shared" si="81"/>
        <v>5.4444444444444446</v>
      </c>
      <c r="T236" s="51">
        <f t="shared" si="81"/>
        <v>18.571428571428573</v>
      </c>
      <c r="U236" s="51">
        <f t="shared" si="81"/>
        <v>0</v>
      </c>
      <c r="V236" s="51">
        <f t="shared" si="81"/>
        <v>2.2222222222222223</v>
      </c>
      <c r="W236" s="51">
        <f t="shared" si="81"/>
        <v>0</v>
      </c>
      <c r="X236" s="55">
        <f t="shared" si="81"/>
        <v>2.2222222222222223</v>
      </c>
      <c r="Y236" s="59">
        <f t="shared" si="73"/>
        <v>59.451233211233209</v>
      </c>
      <c r="Z236" s="51">
        <f t="shared" si="74"/>
        <v>53.075702075702083</v>
      </c>
      <c r="AA236" s="51">
        <f t="shared" si="75"/>
        <v>112.5269352869353</v>
      </c>
    </row>
    <row r="237" spans="1:55" x14ac:dyDescent="0.25">
      <c r="A237" s="30" t="s">
        <v>60</v>
      </c>
      <c r="B237" s="31" t="s">
        <v>65</v>
      </c>
      <c r="C237" s="46"/>
      <c r="F237" s="51">
        <f>F252+F253+F254</f>
        <v>0</v>
      </c>
      <c r="G237" s="51">
        <f t="shared" ref="G237:X237" si="82">G252+G253+G254</f>
        <v>0</v>
      </c>
      <c r="H237" s="51">
        <f t="shared" si="82"/>
        <v>0</v>
      </c>
      <c r="I237" s="51">
        <f t="shared" si="82"/>
        <v>0</v>
      </c>
      <c r="J237" s="51">
        <f t="shared" si="82"/>
        <v>114.58333333333334</v>
      </c>
      <c r="K237" s="51">
        <f t="shared" si="82"/>
        <v>0</v>
      </c>
      <c r="L237" s="52">
        <f t="shared" si="82"/>
        <v>5882.3529411764703</v>
      </c>
      <c r="M237" s="51">
        <f t="shared" si="82"/>
        <v>281.25</v>
      </c>
      <c r="N237" s="51">
        <f t="shared" si="82"/>
        <v>0</v>
      </c>
      <c r="O237" s="51">
        <f t="shared" si="82"/>
        <v>0</v>
      </c>
      <c r="P237" s="51">
        <f t="shared" si="82"/>
        <v>0</v>
      </c>
      <c r="Q237" s="51">
        <f t="shared" si="82"/>
        <v>704.76190476190482</v>
      </c>
      <c r="R237" s="51">
        <f t="shared" si="82"/>
        <v>444.44444444444446</v>
      </c>
      <c r="S237" s="51">
        <f t="shared" si="82"/>
        <v>0</v>
      </c>
      <c r="T237" s="51">
        <f t="shared" si="82"/>
        <v>388.88888888888891</v>
      </c>
      <c r="U237" s="51">
        <f t="shared" si="82"/>
        <v>129.87012987012986</v>
      </c>
      <c r="V237" s="51">
        <f t="shared" si="82"/>
        <v>119.04761904761905</v>
      </c>
      <c r="W237" s="51">
        <f t="shared" si="82"/>
        <v>202.38095238095241</v>
      </c>
      <c r="X237" s="55">
        <f t="shared" si="82"/>
        <v>190.47619047619048</v>
      </c>
      <c r="Y237" s="59">
        <f t="shared" si="73"/>
        <v>114.58333333333334</v>
      </c>
      <c r="Z237" s="51">
        <f t="shared" si="74"/>
        <v>2461.1201298701299</v>
      </c>
      <c r="AA237" s="51">
        <f t="shared" si="75"/>
        <v>8458.0564043799332</v>
      </c>
    </row>
    <row r="238" spans="1:55" ht="15.75" thickBot="1" x14ac:dyDescent="0.3">
      <c r="A238" s="48" t="s">
        <v>60</v>
      </c>
      <c r="B238" s="49" t="s">
        <v>9</v>
      </c>
      <c r="C238" s="50"/>
      <c r="D238" s="50"/>
      <c r="E238" s="50"/>
      <c r="F238" s="53">
        <f>F255</f>
        <v>0</v>
      </c>
      <c r="G238" s="53">
        <f t="shared" ref="G238:X238" si="83">G255</f>
        <v>0</v>
      </c>
      <c r="H238" s="53">
        <f t="shared" si="83"/>
        <v>0</v>
      </c>
      <c r="I238" s="53">
        <f t="shared" si="83"/>
        <v>0</v>
      </c>
      <c r="J238" s="53">
        <f t="shared" si="83"/>
        <v>0</v>
      </c>
      <c r="K238" s="53">
        <f t="shared" si="83"/>
        <v>0</v>
      </c>
      <c r="L238" s="62">
        <f t="shared" si="83"/>
        <v>0</v>
      </c>
      <c r="M238" s="53">
        <f t="shared" si="83"/>
        <v>0</v>
      </c>
      <c r="N238" s="53">
        <f t="shared" si="83"/>
        <v>0</v>
      </c>
      <c r="O238" s="53">
        <f t="shared" si="83"/>
        <v>0</v>
      </c>
      <c r="P238" s="53">
        <f t="shared" si="83"/>
        <v>0</v>
      </c>
      <c r="Q238" s="53">
        <f t="shared" si="83"/>
        <v>0</v>
      </c>
      <c r="R238" s="53">
        <f t="shared" si="83"/>
        <v>0</v>
      </c>
      <c r="S238" s="53">
        <f t="shared" si="83"/>
        <v>0</v>
      </c>
      <c r="T238" s="53">
        <f t="shared" si="83"/>
        <v>0</v>
      </c>
      <c r="U238" s="53">
        <f t="shared" si="83"/>
        <v>0</v>
      </c>
      <c r="V238" s="53">
        <f t="shared" si="83"/>
        <v>0</v>
      </c>
      <c r="W238" s="53">
        <f t="shared" si="83"/>
        <v>0</v>
      </c>
      <c r="X238" s="56">
        <f t="shared" si="83"/>
        <v>24.801587301587301</v>
      </c>
      <c r="Y238" s="60">
        <f t="shared" si="73"/>
        <v>0</v>
      </c>
      <c r="Z238" s="53">
        <f t="shared" si="74"/>
        <v>24.801587301587301</v>
      </c>
      <c r="AA238" s="53">
        <f t="shared" si="75"/>
        <v>24.801587301587301</v>
      </c>
    </row>
    <row r="239" spans="1:55" ht="15.75" thickTop="1" x14ac:dyDescent="0.25">
      <c r="A239" s="15" t="s">
        <v>51</v>
      </c>
      <c r="B239" s="16" t="s">
        <v>52</v>
      </c>
      <c r="C239" s="16" t="s">
        <v>53</v>
      </c>
      <c r="D239" s="2"/>
      <c r="E239" s="2"/>
      <c r="F239" s="47">
        <f t="shared" ref="F239:AA250" si="84">IF(F284&gt;0,F14/F284,0)</f>
        <v>0</v>
      </c>
      <c r="G239" s="47">
        <f t="shared" si="84"/>
        <v>0</v>
      </c>
      <c r="H239" s="47">
        <f t="shared" si="84"/>
        <v>0</v>
      </c>
      <c r="I239" s="47">
        <f t="shared" si="84"/>
        <v>0</v>
      </c>
      <c r="J239" s="47">
        <f t="shared" si="84"/>
        <v>0</v>
      </c>
      <c r="K239" s="47">
        <f t="shared" si="84"/>
        <v>0</v>
      </c>
      <c r="L239" s="63">
        <f t="shared" si="84"/>
        <v>0</v>
      </c>
      <c r="M239" s="47">
        <f t="shared" si="84"/>
        <v>0</v>
      </c>
      <c r="N239" s="47">
        <f t="shared" si="84"/>
        <v>0</v>
      </c>
      <c r="O239" s="47">
        <f t="shared" si="84"/>
        <v>0</v>
      </c>
      <c r="P239" s="47">
        <f t="shared" si="84"/>
        <v>0</v>
      </c>
      <c r="Q239" s="47">
        <f t="shared" si="84"/>
        <v>0</v>
      </c>
      <c r="R239" s="47">
        <f t="shared" si="84"/>
        <v>0</v>
      </c>
      <c r="S239" s="47">
        <f t="shared" si="84"/>
        <v>0</v>
      </c>
      <c r="T239" s="47">
        <f t="shared" si="84"/>
        <v>0</v>
      </c>
      <c r="U239" s="47">
        <f t="shared" si="84"/>
        <v>0</v>
      </c>
      <c r="V239" s="47">
        <f t="shared" si="84"/>
        <v>0</v>
      </c>
      <c r="W239" s="47">
        <f t="shared" si="84"/>
        <v>0</v>
      </c>
      <c r="X239" s="57">
        <f t="shared" si="84"/>
        <v>0</v>
      </c>
      <c r="Y239" s="61">
        <f t="shared" si="84"/>
        <v>0</v>
      </c>
      <c r="Z239" s="47">
        <f t="shared" si="84"/>
        <v>0</v>
      </c>
      <c r="AA239" s="47">
        <f t="shared" si="84"/>
        <v>0</v>
      </c>
    </row>
    <row r="240" spans="1:55" x14ac:dyDescent="0.25">
      <c r="A240" s="15" t="s">
        <v>51</v>
      </c>
      <c r="B240" s="16" t="s">
        <v>52</v>
      </c>
      <c r="C240" s="16" t="s">
        <v>54</v>
      </c>
      <c r="D240" s="2"/>
      <c r="E240" s="2"/>
      <c r="F240" s="1">
        <f t="shared" si="84"/>
        <v>0</v>
      </c>
      <c r="G240" s="1">
        <f t="shared" si="84"/>
        <v>0</v>
      </c>
      <c r="H240" s="1">
        <f t="shared" si="84"/>
        <v>0</v>
      </c>
      <c r="I240" s="1">
        <f t="shared" si="84"/>
        <v>0</v>
      </c>
      <c r="J240" s="1">
        <f t="shared" si="84"/>
        <v>0</v>
      </c>
      <c r="K240" s="1">
        <f t="shared" si="84"/>
        <v>0</v>
      </c>
      <c r="L240" s="52">
        <f t="shared" si="84"/>
        <v>0</v>
      </c>
      <c r="M240" s="1">
        <f t="shared" si="84"/>
        <v>0</v>
      </c>
      <c r="N240" s="1">
        <f t="shared" si="84"/>
        <v>0</v>
      </c>
      <c r="O240" s="1">
        <f t="shared" si="84"/>
        <v>0</v>
      </c>
      <c r="P240" s="1">
        <f t="shared" si="84"/>
        <v>0</v>
      </c>
      <c r="Q240" s="1">
        <f t="shared" si="84"/>
        <v>0</v>
      </c>
      <c r="R240" s="1">
        <f t="shared" si="84"/>
        <v>0</v>
      </c>
      <c r="S240" s="1">
        <f t="shared" si="84"/>
        <v>0</v>
      </c>
      <c r="T240" s="1">
        <f t="shared" si="84"/>
        <v>0</v>
      </c>
      <c r="U240" s="1">
        <f t="shared" si="84"/>
        <v>0</v>
      </c>
      <c r="V240" s="1">
        <f t="shared" si="84"/>
        <v>0</v>
      </c>
      <c r="W240" s="1">
        <f t="shared" si="84"/>
        <v>0</v>
      </c>
      <c r="X240" s="54">
        <f t="shared" si="84"/>
        <v>0</v>
      </c>
      <c r="Y240" s="58">
        <f t="shared" si="84"/>
        <v>0</v>
      </c>
      <c r="Z240" s="1">
        <f t="shared" si="84"/>
        <v>0</v>
      </c>
      <c r="AA240" s="1">
        <f t="shared" si="84"/>
        <v>0</v>
      </c>
    </row>
    <row r="241" spans="1:29" x14ac:dyDescent="0.25">
      <c r="A241" s="15" t="s">
        <v>51</v>
      </c>
      <c r="B241" s="16" t="s">
        <v>52</v>
      </c>
      <c r="C241" s="16" t="s">
        <v>55</v>
      </c>
      <c r="D241" s="2"/>
      <c r="E241" s="2"/>
      <c r="F241" s="1">
        <f t="shared" si="84"/>
        <v>0</v>
      </c>
      <c r="G241" s="1">
        <f t="shared" si="84"/>
        <v>0</v>
      </c>
      <c r="H241" s="1">
        <f t="shared" si="84"/>
        <v>0</v>
      </c>
      <c r="I241" s="1">
        <f t="shared" si="84"/>
        <v>0</v>
      </c>
      <c r="J241" s="1">
        <f t="shared" si="84"/>
        <v>0</v>
      </c>
      <c r="K241" s="1">
        <f t="shared" si="84"/>
        <v>0</v>
      </c>
      <c r="L241" s="52">
        <f t="shared" si="84"/>
        <v>0</v>
      </c>
      <c r="M241" s="1">
        <f t="shared" si="84"/>
        <v>0</v>
      </c>
      <c r="N241" s="1">
        <f t="shared" si="84"/>
        <v>0</v>
      </c>
      <c r="O241" s="1">
        <f t="shared" si="84"/>
        <v>0</v>
      </c>
      <c r="P241" s="1">
        <f t="shared" si="84"/>
        <v>0</v>
      </c>
      <c r="Q241" s="1">
        <f t="shared" si="84"/>
        <v>0</v>
      </c>
      <c r="R241" s="1">
        <f t="shared" si="84"/>
        <v>0</v>
      </c>
      <c r="S241" s="1">
        <f t="shared" si="84"/>
        <v>0</v>
      </c>
      <c r="T241" s="1">
        <f t="shared" si="84"/>
        <v>0</v>
      </c>
      <c r="U241" s="1">
        <f t="shared" si="84"/>
        <v>0</v>
      </c>
      <c r="V241" s="1">
        <f t="shared" si="84"/>
        <v>0</v>
      </c>
      <c r="W241" s="1">
        <f t="shared" si="84"/>
        <v>0</v>
      </c>
      <c r="X241" s="54">
        <f t="shared" si="84"/>
        <v>0</v>
      </c>
      <c r="Y241" s="58">
        <f t="shared" si="84"/>
        <v>0</v>
      </c>
      <c r="Z241" s="1">
        <f t="shared" si="84"/>
        <v>0</v>
      </c>
      <c r="AA241" s="1">
        <f t="shared" si="84"/>
        <v>0</v>
      </c>
    </row>
    <row r="242" spans="1:29" x14ac:dyDescent="0.25">
      <c r="A242" s="25" t="s">
        <v>51</v>
      </c>
      <c r="B242" s="26" t="s">
        <v>56</v>
      </c>
      <c r="C242" s="26" t="s">
        <v>57</v>
      </c>
      <c r="D242" s="2"/>
      <c r="E242" s="2"/>
      <c r="F242" s="1">
        <f t="shared" si="84"/>
        <v>0</v>
      </c>
      <c r="G242" s="1">
        <f t="shared" si="84"/>
        <v>0</v>
      </c>
      <c r="H242" s="1">
        <f t="shared" si="84"/>
        <v>0</v>
      </c>
      <c r="I242" s="1">
        <f t="shared" si="84"/>
        <v>0</v>
      </c>
      <c r="J242" s="1">
        <f t="shared" si="84"/>
        <v>0</v>
      </c>
      <c r="K242" s="1">
        <f t="shared" si="84"/>
        <v>0</v>
      </c>
      <c r="L242" s="52">
        <f t="shared" si="84"/>
        <v>0</v>
      </c>
      <c r="M242" s="1">
        <f t="shared" si="84"/>
        <v>0</v>
      </c>
      <c r="N242" s="1">
        <f t="shared" si="84"/>
        <v>0</v>
      </c>
      <c r="O242" s="1">
        <f t="shared" si="84"/>
        <v>0</v>
      </c>
      <c r="P242" s="1">
        <f t="shared" si="84"/>
        <v>0</v>
      </c>
      <c r="Q242" s="1">
        <f t="shared" si="84"/>
        <v>0</v>
      </c>
      <c r="R242" s="1">
        <f t="shared" si="84"/>
        <v>0</v>
      </c>
      <c r="S242" s="1">
        <f t="shared" si="84"/>
        <v>0</v>
      </c>
      <c r="T242" s="1">
        <f t="shared" si="84"/>
        <v>0</v>
      </c>
      <c r="U242" s="1">
        <f t="shared" si="84"/>
        <v>0</v>
      </c>
      <c r="V242" s="1">
        <f t="shared" si="84"/>
        <v>0</v>
      </c>
      <c r="W242" s="1">
        <f t="shared" si="84"/>
        <v>0</v>
      </c>
      <c r="X242" s="54">
        <f t="shared" si="84"/>
        <v>0</v>
      </c>
      <c r="Y242" s="58">
        <f t="shared" si="84"/>
        <v>0</v>
      </c>
      <c r="Z242" s="1">
        <f t="shared" si="84"/>
        <v>0</v>
      </c>
      <c r="AA242" s="1">
        <f t="shared" si="84"/>
        <v>0</v>
      </c>
    </row>
    <row r="243" spans="1:29" x14ac:dyDescent="0.25">
      <c r="A243" s="15" t="s">
        <v>51</v>
      </c>
      <c r="B243" s="16" t="s">
        <v>56</v>
      </c>
      <c r="C243" s="27" t="s">
        <v>58</v>
      </c>
      <c r="D243" s="2"/>
      <c r="E243" s="2"/>
      <c r="F243" s="1">
        <f t="shared" si="84"/>
        <v>0</v>
      </c>
      <c r="G243" s="1">
        <f t="shared" si="84"/>
        <v>0</v>
      </c>
      <c r="H243" s="1">
        <f t="shared" si="84"/>
        <v>0</v>
      </c>
      <c r="I243" s="1">
        <f t="shared" si="84"/>
        <v>0</v>
      </c>
      <c r="J243" s="1">
        <f t="shared" si="84"/>
        <v>0</v>
      </c>
      <c r="K243" s="1">
        <f t="shared" si="84"/>
        <v>0</v>
      </c>
      <c r="L243" s="52">
        <f t="shared" si="84"/>
        <v>0</v>
      </c>
      <c r="M243" s="1">
        <f t="shared" si="84"/>
        <v>0</v>
      </c>
      <c r="N243" s="1">
        <f t="shared" si="84"/>
        <v>0</v>
      </c>
      <c r="O243" s="1">
        <f t="shared" si="84"/>
        <v>0</v>
      </c>
      <c r="P243" s="1">
        <f t="shared" si="84"/>
        <v>0</v>
      </c>
      <c r="Q243" s="1">
        <f t="shared" si="84"/>
        <v>0</v>
      </c>
      <c r="R243" s="1">
        <f t="shared" si="84"/>
        <v>0</v>
      </c>
      <c r="S243" s="1">
        <f t="shared" si="84"/>
        <v>0</v>
      </c>
      <c r="T243" s="1">
        <f t="shared" si="84"/>
        <v>0</v>
      </c>
      <c r="U243" s="1">
        <f t="shared" si="84"/>
        <v>0</v>
      </c>
      <c r="V243" s="1">
        <f t="shared" si="84"/>
        <v>0</v>
      </c>
      <c r="W243" s="1">
        <f t="shared" si="84"/>
        <v>0</v>
      </c>
      <c r="X243" s="54">
        <f t="shared" si="84"/>
        <v>0</v>
      </c>
      <c r="Y243" s="58">
        <f t="shared" si="84"/>
        <v>0</v>
      </c>
      <c r="Z243" s="1">
        <f t="shared" si="84"/>
        <v>0</v>
      </c>
      <c r="AA243" s="1">
        <f t="shared" si="84"/>
        <v>0</v>
      </c>
    </row>
    <row r="244" spans="1:29" x14ac:dyDescent="0.25">
      <c r="A244" s="15" t="s">
        <v>51</v>
      </c>
      <c r="B244" s="16" t="s">
        <v>9</v>
      </c>
      <c r="C244" s="27" t="s">
        <v>59</v>
      </c>
      <c r="D244" s="2"/>
      <c r="E244" s="2"/>
      <c r="F244" s="1">
        <f t="shared" si="84"/>
        <v>0</v>
      </c>
      <c r="G244" s="1">
        <f t="shared" si="84"/>
        <v>0</v>
      </c>
      <c r="H244" s="1">
        <f t="shared" si="84"/>
        <v>0</v>
      </c>
      <c r="I244" s="1">
        <f t="shared" si="84"/>
        <v>0</v>
      </c>
      <c r="J244" s="1">
        <f t="shared" si="84"/>
        <v>0</v>
      </c>
      <c r="K244" s="1">
        <f t="shared" si="84"/>
        <v>0</v>
      </c>
      <c r="L244" s="52">
        <f t="shared" si="84"/>
        <v>0</v>
      </c>
      <c r="M244" s="1">
        <f t="shared" si="84"/>
        <v>0</v>
      </c>
      <c r="N244" s="1">
        <f t="shared" si="84"/>
        <v>0</v>
      </c>
      <c r="O244" s="1">
        <f t="shared" si="84"/>
        <v>0</v>
      </c>
      <c r="P244" s="1">
        <f t="shared" si="84"/>
        <v>0</v>
      </c>
      <c r="Q244" s="1">
        <f t="shared" si="84"/>
        <v>0</v>
      </c>
      <c r="R244" s="1">
        <f t="shared" si="84"/>
        <v>0</v>
      </c>
      <c r="S244" s="1">
        <f t="shared" si="84"/>
        <v>0</v>
      </c>
      <c r="T244" s="1">
        <f t="shared" si="84"/>
        <v>0</v>
      </c>
      <c r="U244" s="1">
        <f t="shared" si="84"/>
        <v>0</v>
      </c>
      <c r="V244" s="1">
        <f t="shared" si="84"/>
        <v>0</v>
      </c>
      <c r="W244" s="1">
        <f t="shared" si="84"/>
        <v>0</v>
      </c>
      <c r="X244" s="54">
        <f t="shared" si="84"/>
        <v>0</v>
      </c>
      <c r="Y244" s="58">
        <f t="shared" si="84"/>
        <v>0</v>
      </c>
      <c r="Z244" s="1">
        <f t="shared" si="84"/>
        <v>0</v>
      </c>
      <c r="AA244" s="1">
        <f t="shared" si="84"/>
        <v>0</v>
      </c>
    </row>
    <row r="245" spans="1:29" x14ac:dyDescent="0.25">
      <c r="A245" s="15" t="s">
        <v>51</v>
      </c>
      <c r="B245" s="16" t="s">
        <v>9</v>
      </c>
      <c r="C245" s="27" t="s">
        <v>9</v>
      </c>
      <c r="D245" s="2"/>
      <c r="E245" s="2"/>
      <c r="F245" s="1">
        <f t="shared" si="84"/>
        <v>0</v>
      </c>
      <c r="G245" s="1">
        <f t="shared" si="84"/>
        <v>0</v>
      </c>
      <c r="H245" s="1">
        <f t="shared" si="84"/>
        <v>0</v>
      </c>
      <c r="I245" s="1">
        <f t="shared" si="84"/>
        <v>0</v>
      </c>
      <c r="J245" s="1">
        <f t="shared" si="84"/>
        <v>0</v>
      </c>
      <c r="K245" s="1">
        <f t="shared" si="84"/>
        <v>0</v>
      </c>
      <c r="L245" s="52">
        <f t="shared" si="84"/>
        <v>0</v>
      </c>
      <c r="M245" s="1">
        <f t="shared" si="84"/>
        <v>0</v>
      </c>
      <c r="N245" s="1">
        <f t="shared" si="84"/>
        <v>0</v>
      </c>
      <c r="O245" s="1">
        <f t="shared" si="84"/>
        <v>0</v>
      </c>
      <c r="P245" s="1">
        <f t="shared" si="84"/>
        <v>0</v>
      </c>
      <c r="Q245" s="1">
        <f t="shared" si="84"/>
        <v>0</v>
      </c>
      <c r="R245" s="1">
        <f t="shared" si="84"/>
        <v>0</v>
      </c>
      <c r="S245" s="1">
        <f t="shared" si="84"/>
        <v>0</v>
      </c>
      <c r="T245" s="1">
        <f t="shared" si="84"/>
        <v>0</v>
      </c>
      <c r="U245" s="1">
        <f t="shared" si="84"/>
        <v>0</v>
      </c>
      <c r="V245" s="1">
        <f t="shared" si="84"/>
        <v>0</v>
      </c>
      <c r="W245" s="1">
        <f t="shared" si="84"/>
        <v>0</v>
      </c>
      <c r="X245" s="54">
        <f t="shared" si="84"/>
        <v>0</v>
      </c>
      <c r="Y245" s="58">
        <f t="shared" si="84"/>
        <v>0</v>
      </c>
      <c r="Z245" s="1">
        <f t="shared" si="84"/>
        <v>0</v>
      </c>
      <c r="AA245" s="1">
        <f t="shared" si="84"/>
        <v>0</v>
      </c>
    </row>
    <row r="246" spans="1:29" x14ac:dyDescent="0.25">
      <c r="A246" s="28" t="s">
        <v>60</v>
      </c>
      <c r="B246" s="29" t="s">
        <v>13</v>
      </c>
      <c r="C246" s="29" t="s">
        <v>61</v>
      </c>
      <c r="D246" s="2"/>
      <c r="E246" s="2"/>
      <c r="F246" s="86">
        <f t="shared" si="84"/>
        <v>38.222222222222221</v>
      </c>
      <c r="G246" s="86">
        <f t="shared" si="84"/>
        <v>0</v>
      </c>
      <c r="H246" s="86">
        <f t="shared" si="84"/>
        <v>27</v>
      </c>
      <c r="I246" s="86">
        <f t="shared" si="84"/>
        <v>17.294117647058822</v>
      </c>
      <c r="J246" s="86">
        <f t="shared" si="84"/>
        <v>10.941176470588236</v>
      </c>
      <c r="K246" s="51">
        <f t="shared" si="84"/>
        <v>4.7058823529411766</v>
      </c>
      <c r="L246" s="52">
        <f t="shared" si="84"/>
        <v>0</v>
      </c>
      <c r="M246" s="85">
        <f t="shared" si="84"/>
        <v>21.947873799725649</v>
      </c>
      <c r="N246" s="85">
        <f t="shared" si="84"/>
        <v>9</v>
      </c>
      <c r="O246" s="85">
        <f t="shared" si="84"/>
        <v>11.111111111111111</v>
      </c>
      <c r="P246" s="85">
        <f t="shared" si="84"/>
        <v>55.555555555555557</v>
      </c>
      <c r="Q246" s="85">
        <f t="shared" si="84"/>
        <v>1.6666666666666667</v>
      </c>
      <c r="R246" s="85">
        <f t="shared" si="84"/>
        <v>5.4347826086956523</v>
      </c>
      <c r="S246" s="85">
        <f t="shared" si="84"/>
        <v>0</v>
      </c>
      <c r="T246" s="85">
        <f t="shared" si="84"/>
        <v>2.0833333333333335</v>
      </c>
      <c r="U246" s="85">
        <f t="shared" si="84"/>
        <v>4.6296296296296298</v>
      </c>
      <c r="V246" s="85">
        <f t="shared" si="84"/>
        <v>0.27777777777777779</v>
      </c>
      <c r="W246" s="85">
        <f t="shared" si="84"/>
        <v>6.4814814814814818</v>
      </c>
      <c r="X246" s="87">
        <f t="shared" si="84"/>
        <v>55.555555555555557</v>
      </c>
      <c r="Y246" s="59">
        <f t="shared" si="84"/>
        <v>0</v>
      </c>
      <c r="Z246" s="51">
        <f t="shared" si="84"/>
        <v>0</v>
      </c>
      <c r="AA246" s="51">
        <f t="shared" si="84"/>
        <v>0</v>
      </c>
    </row>
    <row r="247" spans="1:29" x14ac:dyDescent="0.25">
      <c r="A247" s="36" t="s">
        <v>60</v>
      </c>
      <c r="B247" s="37" t="s">
        <v>13</v>
      </c>
      <c r="C247" s="29" t="s">
        <v>62</v>
      </c>
      <c r="D247" s="2"/>
      <c r="E247" s="2"/>
      <c r="F247" s="86">
        <f t="shared" si="84"/>
        <v>9.5555555555555554</v>
      </c>
      <c r="G247" s="86">
        <f t="shared" si="84"/>
        <v>31.111111111111118</v>
      </c>
      <c r="H247" s="86">
        <f t="shared" si="84"/>
        <v>33</v>
      </c>
      <c r="I247" s="51">
        <f t="shared" si="84"/>
        <v>0</v>
      </c>
      <c r="J247" s="51">
        <f t="shared" si="84"/>
        <v>0</v>
      </c>
      <c r="K247" s="51">
        <f t="shared" si="84"/>
        <v>0</v>
      </c>
      <c r="L247" s="52">
        <f t="shared" si="84"/>
        <v>0</v>
      </c>
      <c r="M247" s="51">
        <f t="shared" si="84"/>
        <v>0</v>
      </c>
      <c r="N247" s="51">
        <f t="shared" si="84"/>
        <v>0</v>
      </c>
      <c r="O247" s="51">
        <f t="shared" si="84"/>
        <v>0</v>
      </c>
      <c r="P247" s="85">
        <f>IF(P292&gt;0,P22/P292,0)</f>
        <v>55.555555555555557</v>
      </c>
      <c r="Q247" s="51">
        <f t="shared" si="84"/>
        <v>0</v>
      </c>
      <c r="R247" s="51">
        <f t="shared" si="84"/>
        <v>0</v>
      </c>
      <c r="S247" s="51">
        <f t="shared" si="84"/>
        <v>0</v>
      </c>
      <c r="T247" s="51">
        <f t="shared" si="84"/>
        <v>0</v>
      </c>
      <c r="U247" s="51">
        <f t="shared" si="84"/>
        <v>0</v>
      </c>
      <c r="V247" s="51">
        <f t="shared" si="84"/>
        <v>0</v>
      </c>
      <c r="W247" s="51">
        <f t="shared" si="84"/>
        <v>0</v>
      </c>
      <c r="X247" s="55">
        <f t="shared" si="84"/>
        <v>0</v>
      </c>
      <c r="Y247" s="59">
        <f t="shared" si="84"/>
        <v>0</v>
      </c>
      <c r="Z247" s="51">
        <f t="shared" si="84"/>
        <v>0</v>
      </c>
      <c r="AA247" s="51">
        <f t="shared" si="84"/>
        <v>0</v>
      </c>
    </row>
    <row r="248" spans="1:29" x14ac:dyDescent="0.25">
      <c r="A248" s="30" t="s">
        <v>60</v>
      </c>
      <c r="B248" s="31" t="s">
        <v>13</v>
      </c>
      <c r="C248" s="32" t="s">
        <v>63</v>
      </c>
      <c r="D248" s="2"/>
      <c r="E248" s="2"/>
      <c r="F248" s="51">
        <f t="shared" si="84"/>
        <v>0</v>
      </c>
      <c r="G248" s="51">
        <f t="shared" si="84"/>
        <v>0</v>
      </c>
      <c r="H248" s="51">
        <f t="shared" si="84"/>
        <v>0</v>
      </c>
      <c r="I248" s="51">
        <f t="shared" si="84"/>
        <v>0</v>
      </c>
      <c r="J248" s="51">
        <f t="shared" si="84"/>
        <v>0</v>
      </c>
      <c r="K248" s="51">
        <f t="shared" si="84"/>
        <v>0</v>
      </c>
      <c r="L248" s="52">
        <f t="shared" si="84"/>
        <v>0</v>
      </c>
      <c r="M248" s="51">
        <f t="shared" si="84"/>
        <v>0</v>
      </c>
      <c r="N248" s="51">
        <f t="shared" si="84"/>
        <v>0</v>
      </c>
      <c r="O248" s="51">
        <f t="shared" si="84"/>
        <v>0</v>
      </c>
      <c r="P248" s="51">
        <f t="shared" si="84"/>
        <v>0</v>
      </c>
      <c r="Q248" s="51">
        <f t="shared" si="84"/>
        <v>0</v>
      </c>
      <c r="R248" s="51">
        <f t="shared" si="84"/>
        <v>0</v>
      </c>
      <c r="S248" s="51">
        <f t="shared" si="84"/>
        <v>0</v>
      </c>
      <c r="T248" s="51">
        <f t="shared" si="84"/>
        <v>0</v>
      </c>
      <c r="U248" s="51">
        <f t="shared" si="84"/>
        <v>0</v>
      </c>
      <c r="V248" s="51">
        <f t="shared" si="84"/>
        <v>0</v>
      </c>
      <c r="W248" s="51">
        <f t="shared" si="84"/>
        <v>0</v>
      </c>
      <c r="X248" s="55">
        <f t="shared" si="84"/>
        <v>0</v>
      </c>
      <c r="Y248" s="59">
        <f t="shared" si="84"/>
        <v>0</v>
      </c>
      <c r="Z248" s="51">
        <f t="shared" si="84"/>
        <v>0</v>
      </c>
      <c r="AA248" s="51">
        <f t="shared" si="84"/>
        <v>0</v>
      </c>
    </row>
    <row r="249" spans="1:29" x14ac:dyDescent="0.25">
      <c r="A249" s="30" t="s">
        <v>60</v>
      </c>
      <c r="B249" s="32" t="s">
        <v>23</v>
      </c>
      <c r="C249" s="31" t="s">
        <v>50</v>
      </c>
      <c r="D249" s="2"/>
      <c r="E249" s="2"/>
      <c r="F249" s="51">
        <f t="shared" si="84"/>
        <v>0</v>
      </c>
      <c r="G249" s="51">
        <f t="shared" si="84"/>
        <v>0</v>
      </c>
      <c r="H249" s="51">
        <f t="shared" si="84"/>
        <v>0</v>
      </c>
      <c r="I249" s="51">
        <f t="shared" si="84"/>
        <v>0</v>
      </c>
      <c r="J249" s="86">
        <f t="shared" si="84"/>
        <v>0.2861538461538462</v>
      </c>
      <c r="K249" s="51">
        <f t="shared" si="84"/>
        <v>27.142857142857142</v>
      </c>
      <c r="L249" s="52">
        <f t="shared" si="84"/>
        <v>0</v>
      </c>
      <c r="M249" s="51">
        <f t="shared" si="84"/>
        <v>0</v>
      </c>
      <c r="N249" s="86">
        <f t="shared" si="84"/>
        <v>24.615384615384617</v>
      </c>
      <c r="O249" s="51">
        <f t="shared" si="84"/>
        <v>0</v>
      </c>
      <c r="P249" s="51">
        <f t="shared" si="84"/>
        <v>0</v>
      </c>
      <c r="Q249" s="51">
        <f t="shared" si="84"/>
        <v>0</v>
      </c>
      <c r="R249" s="51">
        <f t="shared" si="84"/>
        <v>0</v>
      </c>
      <c r="S249" s="51">
        <f t="shared" si="84"/>
        <v>0</v>
      </c>
      <c r="T249" s="51">
        <f t="shared" si="84"/>
        <v>0</v>
      </c>
      <c r="U249" s="51">
        <f t="shared" si="84"/>
        <v>0</v>
      </c>
      <c r="V249" s="51">
        <f t="shared" si="84"/>
        <v>0</v>
      </c>
      <c r="W249" s="51">
        <f t="shared" si="84"/>
        <v>0</v>
      </c>
      <c r="X249" s="55">
        <f t="shared" si="84"/>
        <v>0</v>
      </c>
      <c r="Y249" s="59">
        <f t="shared" si="84"/>
        <v>0</v>
      </c>
      <c r="Z249" s="51">
        <f t="shared" si="84"/>
        <v>0</v>
      </c>
      <c r="AA249" s="51">
        <f t="shared" si="84"/>
        <v>0</v>
      </c>
    </row>
    <row r="250" spans="1:29" x14ac:dyDescent="0.25">
      <c r="A250" s="30" t="s">
        <v>60</v>
      </c>
      <c r="B250" s="32" t="s">
        <v>23</v>
      </c>
      <c r="C250" s="31" t="s">
        <v>49</v>
      </c>
      <c r="D250" s="2"/>
      <c r="E250" s="2"/>
      <c r="F250" s="51">
        <f t="shared" si="84"/>
        <v>0</v>
      </c>
      <c r="G250" s="51">
        <f t="shared" si="84"/>
        <v>0</v>
      </c>
      <c r="H250" s="51">
        <f t="shared" si="84"/>
        <v>0</v>
      </c>
      <c r="I250" s="51">
        <f t="shared" si="84"/>
        <v>0</v>
      </c>
      <c r="J250" s="86">
        <f t="shared" si="84"/>
        <v>22.222222222222221</v>
      </c>
      <c r="K250" s="51">
        <f t="shared" si="84"/>
        <v>9.8000000000000007</v>
      </c>
      <c r="L250" s="52">
        <f t="shared" si="84"/>
        <v>0</v>
      </c>
      <c r="M250" s="51">
        <f t="shared" si="84"/>
        <v>0</v>
      </c>
      <c r="N250" s="51">
        <f t="shared" si="84"/>
        <v>0</v>
      </c>
      <c r="O250" s="51">
        <f t="shared" si="84"/>
        <v>0</v>
      </c>
      <c r="P250" s="51">
        <f t="shared" si="84"/>
        <v>0</v>
      </c>
      <c r="Q250" s="51">
        <f t="shared" si="84"/>
        <v>0</v>
      </c>
      <c r="R250" s="51">
        <f t="shared" si="84"/>
        <v>0</v>
      </c>
      <c r="S250" s="51">
        <f t="shared" si="84"/>
        <v>5.4444444444444446</v>
      </c>
      <c r="T250" s="51">
        <f t="shared" ref="G250:AA265" si="85">IF(T295&gt;0,T25/T295,0)</f>
        <v>18.571428571428573</v>
      </c>
      <c r="U250" s="51">
        <f t="shared" si="85"/>
        <v>0</v>
      </c>
      <c r="V250" s="51">
        <f t="shared" si="85"/>
        <v>2.2222222222222223</v>
      </c>
      <c r="W250" s="51">
        <f t="shared" si="85"/>
        <v>0</v>
      </c>
      <c r="X250" s="95">
        <f t="shared" si="85"/>
        <v>2.2222222222222223</v>
      </c>
      <c r="Y250" s="59">
        <f t="shared" si="85"/>
        <v>0</v>
      </c>
      <c r="Z250" s="51">
        <f t="shared" si="85"/>
        <v>0</v>
      </c>
      <c r="AA250" s="51">
        <f t="shared" si="85"/>
        <v>0</v>
      </c>
      <c r="AC250" s="14">
        <f>28.5*0.26</f>
        <v>7.41</v>
      </c>
    </row>
    <row r="251" spans="1:29" x14ac:dyDescent="0.25">
      <c r="A251" s="30" t="s">
        <v>60</v>
      </c>
      <c r="B251" s="32" t="s">
        <v>23</v>
      </c>
      <c r="C251" s="31" t="s">
        <v>64</v>
      </c>
      <c r="D251" s="2"/>
      <c r="E251" s="2"/>
      <c r="F251" s="51">
        <f t="shared" ref="F251:F260" si="86">IF(F296&gt;0,F26/F296,0)</f>
        <v>0</v>
      </c>
      <c r="G251" s="51">
        <f t="shared" si="85"/>
        <v>0</v>
      </c>
      <c r="H251" s="51">
        <f t="shared" si="85"/>
        <v>0</v>
      </c>
      <c r="I251" s="51">
        <f t="shared" si="85"/>
        <v>0</v>
      </c>
      <c r="J251" s="86">
        <f t="shared" si="85"/>
        <v>0</v>
      </c>
      <c r="K251" s="51">
        <f t="shared" si="85"/>
        <v>0</v>
      </c>
      <c r="L251" s="52">
        <f t="shared" si="85"/>
        <v>0</v>
      </c>
      <c r="M251" s="51">
        <f t="shared" si="85"/>
        <v>0</v>
      </c>
      <c r="N251" s="51">
        <f t="shared" si="85"/>
        <v>0</v>
      </c>
      <c r="O251" s="51">
        <f t="shared" si="85"/>
        <v>0</v>
      </c>
      <c r="P251" s="51">
        <f t="shared" si="85"/>
        <v>0</v>
      </c>
      <c r="Q251" s="51">
        <f t="shared" si="85"/>
        <v>0</v>
      </c>
      <c r="R251" s="51">
        <f t="shared" si="85"/>
        <v>0</v>
      </c>
      <c r="S251" s="51">
        <f t="shared" si="85"/>
        <v>0</v>
      </c>
      <c r="T251" s="51">
        <f t="shared" si="85"/>
        <v>0</v>
      </c>
      <c r="U251" s="51">
        <f t="shared" si="85"/>
        <v>0</v>
      </c>
      <c r="V251" s="51">
        <f t="shared" si="85"/>
        <v>0</v>
      </c>
      <c r="W251" s="51">
        <f t="shared" si="85"/>
        <v>0</v>
      </c>
      <c r="X251" s="55">
        <f t="shared" si="85"/>
        <v>0</v>
      </c>
      <c r="Y251" s="59">
        <f t="shared" si="85"/>
        <v>0</v>
      </c>
      <c r="Z251" s="51">
        <f t="shared" si="85"/>
        <v>0</v>
      </c>
      <c r="AA251" s="51">
        <f t="shared" si="85"/>
        <v>0</v>
      </c>
    </row>
    <row r="252" spans="1:29" x14ac:dyDescent="0.25">
      <c r="A252" s="30" t="s">
        <v>60</v>
      </c>
      <c r="B252" s="32" t="s">
        <v>65</v>
      </c>
      <c r="C252" s="31" t="s">
        <v>66</v>
      </c>
      <c r="D252" s="2"/>
      <c r="E252" s="2"/>
      <c r="F252" s="51">
        <f t="shared" si="86"/>
        <v>0</v>
      </c>
      <c r="G252" s="51">
        <f t="shared" si="85"/>
        <v>0</v>
      </c>
      <c r="H252" s="51">
        <f t="shared" si="85"/>
        <v>0</v>
      </c>
      <c r="I252" s="51">
        <f t="shared" si="85"/>
        <v>0</v>
      </c>
      <c r="J252" s="86">
        <f t="shared" si="85"/>
        <v>114.58333333333334</v>
      </c>
      <c r="K252" s="51">
        <f t="shared" si="85"/>
        <v>0</v>
      </c>
      <c r="L252" s="52">
        <f t="shared" si="85"/>
        <v>0</v>
      </c>
      <c r="M252" s="73">
        <f t="shared" si="85"/>
        <v>281.25</v>
      </c>
      <c r="N252" s="51">
        <f t="shared" si="85"/>
        <v>0</v>
      </c>
      <c r="O252" s="51">
        <f t="shared" si="85"/>
        <v>0</v>
      </c>
      <c r="P252" s="51">
        <f t="shared" si="85"/>
        <v>0</v>
      </c>
      <c r="Q252" s="51">
        <f t="shared" si="85"/>
        <v>0</v>
      </c>
      <c r="R252" s="51">
        <f t="shared" si="85"/>
        <v>0</v>
      </c>
      <c r="S252" s="51">
        <f t="shared" si="85"/>
        <v>0</v>
      </c>
      <c r="T252" s="51">
        <f t="shared" si="85"/>
        <v>0</v>
      </c>
      <c r="U252" s="51">
        <f t="shared" si="85"/>
        <v>0</v>
      </c>
      <c r="V252" s="51">
        <f t="shared" si="85"/>
        <v>0</v>
      </c>
      <c r="W252" s="51">
        <f t="shared" si="85"/>
        <v>0</v>
      </c>
      <c r="X252" s="55">
        <f t="shared" si="85"/>
        <v>0</v>
      </c>
      <c r="Y252" s="59">
        <f t="shared" si="85"/>
        <v>0</v>
      </c>
      <c r="Z252" s="51">
        <f t="shared" si="85"/>
        <v>0</v>
      </c>
      <c r="AA252" s="51">
        <f t="shared" si="85"/>
        <v>0</v>
      </c>
    </row>
    <row r="253" spans="1:29" x14ac:dyDescent="0.25">
      <c r="A253" s="30" t="s">
        <v>60</v>
      </c>
      <c r="B253" s="32" t="s">
        <v>65</v>
      </c>
      <c r="C253" s="31" t="s">
        <v>67</v>
      </c>
      <c r="D253" s="2"/>
      <c r="E253" s="2"/>
      <c r="F253" s="51">
        <f t="shared" si="86"/>
        <v>0</v>
      </c>
      <c r="G253" s="51">
        <f t="shared" si="85"/>
        <v>0</v>
      </c>
      <c r="H253" s="51">
        <f t="shared" si="85"/>
        <v>0</v>
      </c>
      <c r="I253" s="51">
        <f t="shared" si="85"/>
        <v>0</v>
      </c>
      <c r="J253" s="51">
        <f t="shared" si="85"/>
        <v>0</v>
      </c>
      <c r="K253" s="51">
        <f t="shared" si="85"/>
        <v>0</v>
      </c>
      <c r="L253" s="52">
        <f t="shared" si="85"/>
        <v>0</v>
      </c>
      <c r="M253" s="51">
        <f t="shared" si="85"/>
        <v>0</v>
      </c>
      <c r="N253" s="51">
        <f t="shared" si="85"/>
        <v>0</v>
      </c>
      <c r="O253" s="51">
        <f t="shared" si="85"/>
        <v>0</v>
      </c>
      <c r="P253" s="51">
        <f t="shared" si="85"/>
        <v>0</v>
      </c>
      <c r="Q253" s="73">
        <f t="shared" si="85"/>
        <v>704.76190476190482</v>
      </c>
      <c r="R253" s="73">
        <f t="shared" si="85"/>
        <v>444.44444444444446</v>
      </c>
      <c r="S253" s="73">
        <f t="shared" si="85"/>
        <v>0</v>
      </c>
      <c r="T253" s="73">
        <f t="shared" si="85"/>
        <v>388.88888888888891</v>
      </c>
      <c r="U253" s="73">
        <f t="shared" si="85"/>
        <v>129.87012987012986</v>
      </c>
      <c r="V253" s="73">
        <f t="shared" si="85"/>
        <v>119.04761904761905</v>
      </c>
      <c r="W253" s="73">
        <f t="shared" si="85"/>
        <v>202.38095238095241</v>
      </c>
      <c r="X253" s="89">
        <f t="shared" si="85"/>
        <v>190.47619047619048</v>
      </c>
      <c r="Y253" s="59">
        <f t="shared" si="85"/>
        <v>0</v>
      </c>
      <c r="Z253" s="51">
        <f t="shared" si="85"/>
        <v>0</v>
      </c>
      <c r="AA253" s="51">
        <f t="shared" si="85"/>
        <v>0</v>
      </c>
    </row>
    <row r="254" spans="1:29" x14ac:dyDescent="0.25">
      <c r="A254" s="30" t="s">
        <v>60</v>
      </c>
      <c r="B254" s="32" t="s">
        <v>65</v>
      </c>
      <c r="C254" s="31" t="s">
        <v>68</v>
      </c>
      <c r="D254" s="2"/>
      <c r="E254" s="2"/>
      <c r="F254" s="51">
        <f t="shared" si="86"/>
        <v>0</v>
      </c>
      <c r="G254" s="51">
        <f t="shared" si="85"/>
        <v>0</v>
      </c>
      <c r="H254" s="51">
        <f t="shared" si="85"/>
        <v>0</v>
      </c>
      <c r="I254" s="51">
        <f t="shared" si="85"/>
        <v>0</v>
      </c>
      <c r="J254" s="51">
        <f t="shared" si="85"/>
        <v>0</v>
      </c>
      <c r="K254" s="51">
        <f t="shared" si="85"/>
        <v>0</v>
      </c>
      <c r="L254" s="88">
        <f t="shared" si="85"/>
        <v>5882.3529411764703</v>
      </c>
      <c r="M254" s="51">
        <f t="shared" si="85"/>
        <v>0</v>
      </c>
      <c r="N254" s="51">
        <f t="shared" si="85"/>
        <v>0</v>
      </c>
      <c r="O254" s="51">
        <f t="shared" si="85"/>
        <v>0</v>
      </c>
      <c r="P254" s="51">
        <f t="shared" si="85"/>
        <v>0</v>
      </c>
      <c r="Q254" s="51">
        <f t="shared" si="85"/>
        <v>0</v>
      </c>
      <c r="R254" s="51">
        <f t="shared" si="85"/>
        <v>0</v>
      </c>
      <c r="S254" s="51">
        <f t="shared" si="85"/>
        <v>0</v>
      </c>
      <c r="T254" s="51">
        <f t="shared" si="85"/>
        <v>0</v>
      </c>
      <c r="U254" s="51">
        <f t="shared" si="85"/>
        <v>0</v>
      </c>
      <c r="V254" s="51">
        <f t="shared" si="85"/>
        <v>0</v>
      </c>
      <c r="W254" s="51">
        <f t="shared" si="85"/>
        <v>0</v>
      </c>
      <c r="X254" s="55">
        <f t="shared" si="85"/>
        <v>0</v>
      </c>
      <c r="Y254" s="59">
        <f t="shared" si="85"/>
        <v>0</v>
      </c>
      <c r="Z254" s="51">
        <f t="shared" si="85"/>
        <v>0</v>
      </c>
      <c r="AA254" s="51">
        <f t="shared" si="85"/>
        <v>0</v>
      </c>
    </row>
    <row r="255" spans="1:29" x14ac:dyDescent="0.25">
      <c r="A255" s="30" t="s">
        <v>60</v>
      </c>
      <c r="B255" s="32" t="s">
        <v>9</v>
      </c>
      <c r="C255" s="31" t="s">
        <v>69</v>
      </c>
      <c r="D255" s="2"/>
      <c r="E255" s="2"/>
      <c r="F255" s="51">
        <f t="shared" si="86"/>
        <v>0</v>
      </c>
      <c r="G255" s="51">
        <f t="shared" si="85"/>
        <v>0</v>
      </c>
      <c r="H255" s="51">
        <f t="shared" si="85"/>
        <v>0</v>
      </c>
      <c r="I255" s="51">
        <f t="shared" si="85"/>
        <v>0</v>
      </c>
      <c r="J255" s="51">
        <f t="shared" si="85"/>
        <v>0</v>
      </c>
      <c r="K255" s="51">
        <f t="shared" si="85"/>
        <v>0</v>
      </c>
      <c r="L255" s="52">
        <f t="shared" si="85"/>
        <v>0</v>
      </c>
      <c r="M255" s="51">
        <f t="shared" si="85"/>
        <v>0</v>
      </c>
      <c r="N255" s="51">
        <f t="shared" si="85"/>
        <v>0</v>
      </c>
      <c r="O255" s="51">
        <f t="shared" si="85"/>
        <v>0</v>
      </c>
      <c r="P255" s="51">
        <f t="shared" si="85"/>
        <v>0</v>
      </c>
      <c r="Q255" s="51">
        <f t="shared" si="85"/>
        <v>0</v>
      </c>
      <c r="R255" s="51">
        <f t="shared" si="85"/>
        <v>0</v>
      </c>
      <c r="S255" s="51">
        <f t="shared" si="85"/>
        <v>0</v>
      </c>
      <c r="T255" s="51">
        <f t="shared" si="85"/>
        <v>0</v>
      </c>
      <c r="U255" s="51">
        <f t="shared" si="85"/>
        <v>0</v>
      </c>
      <c r="V255" s="51">
        <f t="shared" si="85"/>
        <v>0</v>
      </c>
      <c r="W255" s="51">
        <f t="shared" si="85"/>
        <v>0</v>
      </c>
      <c r="X255" s="89">
        <f t="shared" si="85"/>
        <v>24.801587301587301</v>
      </c>
      <c r="Y255" s="59">
        <f t="shared" si="85"/>
        <v>0</v>
      </c>
      <c r="Z255" s="51">
        <f t="shared" si="85"/>
        <v>0</v>
      </c>
      <c r="AA255" s="51">
        <f t="shared" si="85"/>
        <v>0</v>
      </c>
    </row>
    <row r="256" spans="1:29" x14ac:dyDescent="0.25">
      <c r="A256" s="15" t="s">
        <v>51</v>
      </c>
      <c r="B256" s="16" t="s">
        <v>56</v>
      </c>
      <c r="C256" s="27" t="s">
        <v>57</v>
      </c>
      <c r="D256" s="16" t="s">
        <v>70</v>
      </c>
      <c r="E256" s="16"/>
      <c r="F256" s="1">
        <f t="shared" si="86"/>
        <v>0</v>
      </c>
      <c r="G256" s="1">
        <f t="shared" si="85"/>
        <v>0</v>
      </c>
      <c r="H256" s="1">
        <f t="shared" si="85"/>
        <v>0</v>
      </c>
      <c r="I256" s="1">
        <f t="shared" si="85"/>
        <v>0</v>
      </c>
      <c r="J256" s="1">
        <f t="shared" si="85"/>
        <v>0</v>
      </c>
      <c r="K256" s="1">
        <f t="shared" si="85"/>
        <v>0</v>
      </c>
      <c r="L256" s="52">
        <f t="shared" si="85"/>
        <v>0</v>
      </c>
      <c r="M256" s="1">
        <f t="shared" si="85"/>
        <v>0</v>
      </c>
      <c r="N256" s="1">
        <f t="shared" si="85"/>
        <v>0</v>
      </c>
      <c r="O256" s="1">
        <f t="shared" si="85"/>
        <v>0</v>
      </c>
      <c r="P256" s="1">
        <f t="shared" si="85"/>
        <v>0</v>
      </c>
      <c r="Q256" s="1">
        <f t="shared" si="85"/>
        <v>0</v>
      </c>
      <c r="R256" s="1">
        <f t="shared" si="85"/>
        <v>0</v>
      </c>
      <c r="S256" s="1">
        <f t="shared" si="85"/>
        <v>0</v>
      </c>
      <c r="T256" s="1">
        <f t="shared" si="85"/>
        <v>0</v>
      </c>
      <c r="U256" s="1">
        <f t="shared" si="85"/>
        <v>0</v>
      </c>
      <c r="V256" s="1">
        <f t="shared" si="85"/>
        <v>0</v>
      </c>
      <c r="W256" s="1">
        <f t="shared" si="85"/>
        <v>0</v>
      </c>
      <c r="X256" s="54">
        <f t="shared" si="85"/>
        <v>0</v>
      </c>
      <c r="Y256" s="58">
        <f t="shared" si="85"/>
        <v>0</v>
      </c>
      <c r="Z256" s="1">
        <f t="shared" si="85"/>
        <v>0</v>
      </c>
      <c r="AA256" s="1">
        <f t="shared" si="85"/>
        <v>0</v>
      </c>
    </row>
    <row r="257" spans="1:27" x14ac:dyDescent="0.25">
      <c r="A257" s="15" t="s">
        <v>51</v>
      </c>
      <c r="B257" s="16" t="s">
        <v>56</v>
      </c>
      <c r="C257" s="27" t="s">
        <v>57</v>
      </c>
      <c r="D257" s="16" t="s">
        <v>71</v>
      </c>
      <c r="E257" s="16"/>
      <c r="F257" s="1">
        <f t="shared" si="86"/>
        <v>0</v>
      </c>
      <c r="G257" s="1">
        <f t="shared" si="85"/>
        <v>0</v>
      </c>
      <c r="H257" s="1">
        <f t="shared" si="85"/>
        <v>0</v>
      </c>
      <c r="I257" s="1">
        <f t="shared" si="85"/>
        <v>0</v>
      </c>
      <c r="J257" s="1">
        <f t="shared" si="85"/>
        <v>0</v>
      </c>
      <c r="K257" s="1">
        <f t="shared" si="85"/>
        <v>0</v>
      </c>
      <c r="L257" s="52">
        <f t="shared" si="85"/>
        <v>0</v>
      </c>
      <c r="M257" s="1">
        <f t="shared" si="85"/>
        <v>0</v>
      </c>
      <c r="N257" s="1">
        <f t="shared" si="85"/>
        <v>0</v>
      </c>
      <c r="O257" s="1">
        <f t="shared" si="85"/>
        <v>0</v>
      </c>
      <c r="P257" s="1">
        <f t="shared" si="85"/>
        <v>0</v>
      </c>
      <c r="Q257" s="1">
        <f t="shared" si="85"/>
        <v>0</v>
      </c>
      <c r="R257" s="1">
        <f t="shared" si="85"/>
        <v>0</v>
      </c>
      <c r="S257" s="1">
        <f t="shared" si="85"/>
        <v>0</v>
      </c>
      <c r="T257" s="1">
        <f t="shared" si="85"/>
        <v>0</v>
      </c>
      <c r="U257" s="1">
        <f t="shared" si="85"/>
        <v>0</v>
      </c>
      <c r="V257" s="1">
        <f t="shared" si="85"/>
        <v>0</v>
      </c>
      <c r="W257" s="1">
        <f t="shared" si="85"/>
        <v>0</v>
      </c>
      <c r="X257" s="54">
        <f t="shared" si="85"/>
        <v>0</v>
      </c>
      <c r="Y257" s="58">
        <f t="shared" si="85"/>
        <v>0</v>
      </c>
      <c r="Z257" s="1">
        <f t="shared" si="85"/>
        <v>0</v>
      </c>
      <c r="AA257" s="1">
        <f t="shared" si="85"/>
        <v>0</v>
      </c>
    </row>
    <row r="258" spans="1:27" x14ac:dyDescent="0.25">
      <c r="A258" s="15" t="s">
        <v>51</v>
      </c>
      <c r="B258" s="16" t="s">
        <v>56</v>
      </c>
      <c r="C258" s="27" t="s">
        <v>27</v>
      </c>
      <c r="D258" s="16" t="s">
        <v>72</v>
      </c>
      <c r="E258" s="16"/>
      <c r="F258" s="1">
        <f t="shared" si="86"/>
        <v>0</v>
      </c>
      <c r="G258" s="1">
        <f t="shared" si="85"/>
        <v>0</v>
      </c>
      <c r="H258" s="1">
        <f t="shared" si="85"/>
        <v>0</v>
      </c>
      <c r="I258" s="1">
        <f t="shared" si="85"/>
        <v>0</v>
      </c>
      <c r="J258" s="1">
        <f t="shared" si="85"/>
        <v>0</v>
      </c>
      <c r="K258" s="1">
        <f t="shared" si="85"/>
        <v>0</v>
      </c>
      <c r="L258" s="52">
        <f t="shared" si="85"/>
        <v>0</v>
      </c>
      <c r="M258" s="1">
        <f t="shared" si="85"/>
        <v>0</v>
      </c>
      <c r="N258" s="1">
        <f t="shared" si="85"/>
        <v>0</v>
      </c>
      <c r="O258" s="1">
        <f t="shared" si="85"/>
        <v>0</v>
      </c>
      <c r="P258" s="1">
        <f t="shared" si="85"/>
        <v>0</v>
      </c>
      <c r="Q258" s="1">
        <f t="shared" si="85"/>
        <v>0</v>
      </c>
      <c r="R258" s="1">
        <f t="shared" si="85"/>
        <v>0</v>
      </c>
      <c r="S258" s="1">
        <f t="shared" si="85"/>
        <v>0</v>
      </c>
      <c r="T258" s="1">
        <f t="shared" si="85"/>
        <v>0</v>
      </c>
      <c r="U258" s="1">
        <f t="shared" si="85"/>
        <v>0</v>
      </c>
      <c r="V258" s="1">
        <f t="shared" si="85"/>
        <v>0</v>
      </c>
      <c r="W258" s="1">
        <f t="shared" si="85"/>
        <v>0</v>
      </c>
      <c r="X258" s="54">
        <f t="shared" si="85"/>
        <v>0</v>
      </c>
      <c r="Y258" s="58">
        <f t="shared" si="85"/>
        <v>0</v>
      </c>
      <c r="Z258" s="1">
        <f t="shared" si="85"/>
        <v>0</v>
      </c>
      <c r="AA258" s="1">
        <f t="shared" si="85"/>
        <v>0</v>
      </c>
    </row>
    <row r="259" spans="1:27" x14ac:dyDescent="0.25">
      <c r="A259" s="15" t="s">
        <v>51</v>
      </c>
      <c r="B259" s="16" t="s">
        <v>56</v>
      </c>
      <c r="C259" s="27" t="s">
        <v>57</v>
      </c>
      <c r="D259" s="16" t="s">
        <v>73</v>
      </c>
      <c r="E259" s="16"/>
      <c r="F259" s="1">
        <f t="shared" si="86"/>
        <v>0</v>
      </c>
      <c r="G259" s="1">
        <f t="shared" si="85"/>
        <v>0</v>
      </c>
      <c r="H259" s="1">
        <f t="shared" si="85"/>
        <v>0</v>
      </c>
      <c r="I259" s="1">
        <f t="shared" si="85"/>
        <v>0</v>
      </c>
      <c r="J259" s="1">
        <f t="shared" si="85"/>
        <v>0</v>
      </c>
      <c r="K259" s="1">
        <f t="shared" si="85"/>
        <v>0</v>
      </c>
      <c r="L259" s="52">
        <f t="shared" si="85"/>
        <v>0</v>
      </c>
      <c r="M259" s="1">
        <f t="shared" si="85"/>
        <v>0</v>
      </c>
      <c r="N259" s="1">
        <f t="shared" si="85"/>
        <v>0</v>
      </c>
      <c r="O259" s="1">
        <f t="shared" si="85"/>
        <v>0</v>
      </c>
      <c r="P259" s="1">
        <f t="shared" si="85"/>
        <v>0</v>
      </c>
      <c r="Q259" s="1">
        <f t="shared" si="85"/>
        <v>0</v>
      </c>
      <c r="R259" s="1">
        <f t="shared" si="85"/>
        <v>0</v>
      </c>
      <c r="S259" s="1">
        <f t="shared" si="85"/>
        <v>0</v>
      </c>
      <c r="T259" s="1">
        <f t="shared" si="85"/>
        <v>0</v>
      </c>
      <c r="U259" s="1">
        <f t="shared" si="85"/>
        <v>0</v>
      </c>
      <c r="V259" s="1">
        <f t="shared" si="85"/>
        <v>0</v>
      </c>
      <c r="W259" s="1">
        <f t="shared" si="85"/>
        <v>0</v>
      </c>
      <c r="X259" s="54">
        <f t="shared" si="85"/>
        <v>0</v>
      </c>
      <c r="Y259" s="58">
        <f t="shared" si="85"/>
        <v>0</v>
      </c>
      <c r="Z259" s="1">
        <f t="shared" si="85"/>
        <v>0</v>
      </c>
      <c r="AA259" s="1">
        <f t="shared" si="85"/>
        <v>0</v>
      </c>
    </row>
    <row r="260" spans="1:27" x14ac:dyDescent="0.25">
      <c r="A260" s="15" t="s">
        <v>51</v>
      </c>
      <c r="B260" s="16" t="s">
        <v>56</v>
      </c>
      <c r="C260" s="27" t="s">
        <v>57</v>
      </c>
      <c r="D260" s="16" t="s">
        <v>74</v>
      </c>
      <c r="E260" s="16"/>
      <c r="F260" s="1">
        <f t="shared" si="86"/>
        <v>0</v>
      </c>
      <c r="G260" s="1">
        <f t="shared" si="85"/>
        <v>0</v>
      </c>
      <c r="H260" s="1">
        <f t="shared" si="85"/>
        <v>0</v>
      </c>
      <c r="I260" s="1">
        <f t="shared" si="85"/>
        <v>0</v>
      </c>
      <c r="J260" s="1">
        <f t="shared" si="85"/>
        <v>0</v>
      </c>
      <c r="K260" s="1">
        <f t="shared" si="85"/>
        <v>0</v>
      </c>
      <c r="L260" s="52">
        <f t="shared" si="85"/>
        <v>0</v>
      </c>
      <c r="M260" s="1">
        <f t="shared" si="85"/>
        <v>0</v>
      </c>
      <c r="N260" s="1">
        <f t="shared" si="85"/>
        <v>0</v>
      </c>
      <c r="O260" s="1">
        <f t="shared" si="85"/>
        <v>0</v>
      </c>
      <c r="P260" s="1">
        <f t="shared" si="85"/>
        <v>0</v>
      </c>
      <c r="Q260" s="1">
        <f t="shared" si="85"/>
        <v>0</v>
      </c>
      <c r="R260" s="1">
        <f t="shared" si="85"/>
        <v>0</v>
      </c>
      <c r="S260" s="1">
        <f t="shared" si="85"/>
        <v>0</v>
      </c>
      <c r="T260" s="1">
        <f t="shared" si="85"/>
        <v>0</v>
      </c>
      <c r="U260" s="1">
        <f t="shared" si="85"/>
        <v>0</v>
      </c>
      <c r="V260" s="1">
        <f t="shared" si="85"/>
        <v>0</v>
      </c>
      <c r="W260" s="1">
        <f t="shared" si="85"/>
        <v>0</v>
      </c>
      <c r="X260" s="54">
        <f t="shared" si="85"/>
        <v>0</v>
      </c>
      <c r="Y260" s="58">
        <f t="shared" si="85"/>
        <v>0</v>
      </c>
      <c r="Z260" s="1">
        <f t="shared" si="85"/>
        <v>0</v>
      </c>
      <c r="AA260" s="1">
        <f t="shared" si="85"/>
        <v>0</v>
      </c>
    </row>
    <row r="261" spans="1:27" x14ac:dyDescent="0.25">
      <c r="A261" s="30" t="s">
        <v>60</v>
      </c>
      <c r="B261" s="31" t="s">
        <v>13</v>
      </c>
      <c r="C261" s="32" t="s">
        <v>61</v>
      </c>
      <c r="D261" s="31" t="s">
        <v>75</v>
      </c>
      <c r="E261" s="31"/>
      <c r="F261" s="51">
        <f>F246*0.5</f>
        <v>19.111111111111111</v>
      </c>
      <c r="G261" s="73"/>
      <c r="H261" s="51">
        <f>H246</f>
        <v>27</v>
      </c>
      <c r="I261" s="51">
        <f>I246*0.7</f>
        <v>12.105882352941174</v>
      </c>
      <c r="J261" s="51">
        <f>J246*0.3</f>
        <v>3.2823529411764705</v>
      </c>
      <c r="K261" s="51">
        <f>K246*0.8</f>
        <v>3.7647058823529416</v>
      </c>
      <c r="L261" s="52">
        <v>0</v>
      </c>
      <c r="M261" s="73">
        <f>M246*0.1</f>
        <v>2.1947873799725648</v>
      </c>
      <c r="N261" s="73">
        <v>0</v>
      </c>
      <c r="O261" s="73">
        <v>0</v>
      </c>
      <c r="P261" s="73">
        <v>0</v>
      </c>
      <c r="Q261" s="73"/>
      <c r="R261" s="73"/>
      <c r="S261" s="51"/>
      <c r="T261" s="51"/>
      <c r="U261" s="51"/>
      <c r="V261" s="51"/>
      <c r="W261" s="51">
        <f>W246</f>
        <v>6.4814814814814818</v>
      </c>
      <c r="X261" s="55">
        <f>X246*0.1</f>
        <v>5.5555555555555562</v>
      </c>
      <c r="Y261" s="59">
        <f t="shared" si="85"/>
        <v>0</v>
      </c>
      <c r="Z261" s="51">
        <f t="shared" si="85"/>
        <v>0</v>
      </c>
      <c r="AA261" s="51">
        <f t="shared" si="85"/>
        <v>0</v>
      </c>
    </row>
    <row r="262" spans="1:27" x14ac:dyDescent="0.25">
      <c r="A262" s="30" t="s">
        <v>60</v>
      </c>
      <c r="B262" s="31" t="s">
        <v>13</v>
      </c>
      <c r="C262" s="32" t="s">
        <v>61</v>
      </c>
      <c r="D262" s="31" t="s">
        <v>76</v>
      </c>
      <c r="E262" s="31"/>
      <c r="F262" s="51">
        <f>F246*0.5</f>
        <v>19.111111111111111</v>
      </c>
      <c r="G262" s="51">
        <v>0</v>
      </c>
      <c r="H262" s="51">
        <v>0</v>
      </c>
      <c r="I262" s="51">
        <f>I246*0.25</f>
        <v>4.3235294117647056</v>
      </c>
      <c r="J262" s="51">
        <f>J246*0.7</f>
        <v>7.6588235294117641</v>
      </c>
      <c r="K262" s="51">
        <f>K246*0.05</f>
        <v>0.23529411764705885</v>
      </c>
      <c r="L262" s="52">
        <v>0</v>
      </c>
      <c r="M262" s="73">
        <f>M246*0.4</f>
        <v>8.7791495198902592</v>
      </c>
      <c r="N262" s="73">
        <f>N246</f>
        <v>9</v>
      </c>
      <c r="O262" s="73">
        <f>O246*0.3</f>
        <v>3.333333333333333</v>
      </c>
      <c r="P262" s="73">
        <f>P246*0.2</f>
        <v>11.111111111111112</v>
      </c>
      <c r="Q262" s="73"/>
      <c r="R262" s="73">
        <f>R246</f>
        <v>5.4347826086956523</v>
      </c>
      <c r="S262" s="51"/>
      <c r="T262" s="51"/>
      <c r="U262" s="51"/>
      <c r="V262" s="51"/>
      <c r="W262" s="51"/>
      <c r="X262" s="55">
        <f>X246*0.1</f>
        <v>5.5555555555555562</v>
      </c>
      <c r="Y262" s="59">
        <f t="shared" si="85"/>
        <v>0</v>
      </c>
      <c r="Z262" s="51">
        <f t="shared" si="85"/>
        <v>0</v>
      </c>
      <c r="AA262" s="51">
        <f t="shared" si="85"/>
        <v>0</v>
      </c>
    </row>
    <row r="263" spans="1:27" x14ac:dyDescent="0.25">
      <c r="A263" s="30" t="s">
        <v>60</v>
      </c>
      <c r="B263" s="31" t="s">
        <v>13</v>
      </c>
      <c r="C263" s="32" t="s">
        <v>61</v>
      </c>
      <c r="D263" s="31" t="s">
        <v>77</v>
      </c>
      <c r="E263" s="31"/>
      <c r="F263" s="51">
        <v>0</v>
      </c>
      <c r="G263" s="51">
        <v>0</v>
      </c>
      <c r="H263" s="51">
        <v>0</v>
      </c>
      <c r="I263" s="51">
        <v>0</v>
      </c>
      <c r="J263" s="51">
        <v>0</v>
      </c>
      <c r="K263" s="51">
        <f>K246*0.1</f>
        <v>0.4705882352941177</v>
      </c>
      <c r="L263" s="52">
        <v>0</v>
      </c>
      <c r="M263" s="73">
        <f>M246*0.5</f>
        <v>10.973936899862824</v>
      </c>
      <c r="N263" s="73">
        <v>0</v>
      </c>
      <c r="O263" s="73">
        <f>O246*0.7</f>
        <v>7.7777777777777768</v>
      </c>
      <c r="P263" s="73">
        <f>P246*0.7</f>
        <v>38.888888888888886</v>
      </c>
      <c r="Q263" s="73"/>
      <c r="R263" s="73"/>
      <c r="S263" s="51"/>
      <c r="T263" s="51">
        <f>T246</f>
        <v>2.0833333333333335</v>
      </c>
      <c r="U263" s="51">
        <f>U246</f>
        <v>4.6296296296296298</v>
      </c>
      <c r="V263" s="51"/>
      <c r="W263" s="51"/>
      <c r="X263" s="55">
        <f>X246*0.7</f>
        <v>38.888888888888886</v>
      </c>
      <c r="Y263" s="59">
        <f t="shared" si="85"/>
        <v>0</v>
      </c>
      <c r="Z263" s="51">
        <f t="shared" si="85"/>
        <v>0</v>
      </c>
      <c r="AA263" s="51">
        <f t="shared" si="85"/>
        <v>0</v>
      </c>
    </row>
    <row r="264" spans="1:27" x14ac:dyDescent="0.25">
      <c r="A264" s="30" t="s">
        <v>60</v>
      </c>
      <c r="B264" s="31" t="s">
        <v>13</v>
      </c>
      <c r="C264" s="32" t="s">
        <v>61</v>
      </c>
      <c r="D264" s="31" t="s">
        <v>78</v>
      </c>
      <c r="E264" s="31"/>
      <c r="F264" s="51">
        <v>0</v>
      </c>
      <c r="G264" s="51">
        <v>0</v>
      </c>
      <c r="H264" s="51">
        <v>0</v>
      </c>
      <c r="I264" s="51">
        <f>I246*0.05</f>
        <v>0.86470588235294121</v>
      </c>
      <c r="J264" s="51">
        <v>0</v>
      </c>
      <c r="K264" s="51">
        <f>K246*0.05</f>
        <v>0.23529411764705885</v>
      </c>
      <c r="L264" s="52">
        <v>0</v>
      </c>
      <c r="M264" s="73">
        <f>M246*0</f>
        <v>0</v>
      </c>
      <c r="N264" s="73">
        <v>0</v>
      </c>
      <c r="O264" s="73">
        <f>O246*0</f>
        <v>0</v>
      </c>
      <c r="P264" s="73">
        <f>(P246)*0.1</f>
        <v>5.5555555555555562</v>
      </c>
      <c r="Q264" s="73">
        <f>Q246</f>
        <v>1.6666666666666667</v>
      </c>
      <c r="R264" s="73"/>
      <c r="S264" s="51"/>
      <c r="T264" s="51"/>
      <c r="U264" s="51"/>
      <c r="V264" s="51"/>
      <c r="W264" s="51"/>
      <c r="X264" s="55">
        <f>X246*0.1</f>
        <v>5.5555555555555562</v>
      </c>
      <c r="Y264" s="59">
        <f t="shared" si="85"/>
        <v>0</v>
      </c>
      <c r="Z264" s="51">
        <f t="shared" si="85"/>
        <v>0</v>
      </c>
      <c r="AA264" s="51">
        <f t="shared" si="85"/>
        <v>0</v>
      </c>
    </row>
    <row r="265" spans="1:27" ht="15.75" thickBot="1" x14ac:dyDescent="0.3">
      <c r="A265" s="33" t="s">
        <v>60</v>
      </c>
      <c r="B265" s="34" t="s">
        <v>13</v>
      </c>
      <c r="C265" s="35" t="s">
        <v>61</v>
      </c>
      <c r="D265" s="34" t="s">
        <v>79</v>
      </c>
      <c r="E265" s="31"/>
      <c r="F265" s="51">
        <v>0</v>
      </c>
      <c r="G265" s="51">
        <v>0</v>
      </c>
      <c r="H265" s="51">
        <v>0</v>
      </c>
      <c r="I265" s="51">
        <v>0</v>
      </c>
      <c r="J265" s="51">
        <v>0</v>
      </c>
      <c r="K265" s="51">
        <v>0</v>
      </c>
      <c r="L265" s="52">
        <v>0</v>
      </c>
      <c r="M265" s="51">
        <v>0</v>
      </c>
      <c r="N265" s="51">
        <v>0</v>
      </c>
      <c r="O265" s="51">
        <v>0</v>
      </c>
      <c r="P265" s="51">
        <v>0</v>
      </c>
      <c r="Q265" s="51">
        <v>0</v>
      </c>
      <c r="R265" s="51">
        <v>0</v>
      </c>
      <c r="S265" s="51">
        <v>0</v>
      </c>
      <c r="T265" s="51">
        <v>0</v>
      </c>
      <c r="U265" s="51">
        <v>0</v>
      </c>
      <c r="V265" s="51">
        <v>0</v>
      </c>
      <c r="W265" s="51">
        <v>0</v>
      </c>
      <c r="X265" s="55">
        <v>0</v>
      </c>
      <c r="Y265" s="59">
        <f t="shared" si="85"/>
        <v>0</v>
      </c>
      <c r="Z265" s="51">
        <f t="shared" si="85"/>
        <v>0</v>
      </c>
      <c r="AA265" s="51">
        <f t="shared" si="85"/>
        <v>0</v>
      </c>
    </row>
    <row r="266" spans="1:27" x14ac:dyDescent="0.25">
      <c r="A266" s="30" t="s">
        <v>60</v>
      </c>
      <c r="B266" s="31" t="s">
        <v>13</v>
      </c>
      <c r="C266" s="32" t="s">
        <v>62</v>
      </c>
      <c r="D266" s="31" t="s">
        <v>75</v>
      </c>
      <c r="E266" s="31"/>
      <c r="F266" s="51"/>
      <c r="G266" s="73">
        <f>G247*0.5</f>
        <v>15.555555555555559</v>
      </c>
      <c r="H266" s="51">
        <f>H247*0.2</f>
        <v>6.6000000000000005</v>
      </c>
      <c r="I266" s="51">
        <v>0</v>
      </c>
      <c r="J266" s="51">
        <v>0</v>
      </c>
      <c r="K266" s="51">
        <v>0</v>
      </c>
      <c r="L266" s="52">
        <v>0</v>
      </c>
      <c r="M266" s="51">
        <v>0</v>
      </c>
      <c r="N266" s="51">
        <v>0</v>
      </c>
      <c r="O266" s="51">
        <v>0</v>
      </c>
      <c r="P266" s="51">
        <v>0</v>
      </c>
      <c r="Q266" s="51">
        <v>0</v>
      </c>
      <c r="R266" s="51">
        <v>0</v>
      </c>
      <c r="S266" s="51">
        <v>0</v>
      </c>
      <c r="T266" s="51">
        <v>0</v>
      </c>
      <c r="U266" s="51">
        <v>0</v>
      </c>
      <c r="V266" s="51">
        <v>0</v>
      </c>
      <c r="W266" s="51">
        <v>0</v>
      </c>
      <c r="X266" s="55">
        <v>0</v>
      </c>
      <c r="Y266" s="59">
        <f t="shared" ref="Y266:AA270" si="87">IF(Y311&gt;0,Y41/Y311,0)</f>
        <v>0</v>
      </c>
      <c r="Z266" s="51">
        <f t="shared" si="87"/>
        <v>0</v>
      </c>
      <c r="AA266" s="51">
        <f t="shared" si="87"/>
        <v>0</v>
      </c>
    </row>
    <row r="267" spans="1:27" x14ac:dyDescent="0.25">
      <c r="A267" s="30" t="s">
        <v>60</v>
      </c>
      <c r="B267" s="31" t="s">
        <v>13</v>
      </c>
      <c r="C267" s="32" t="s">
        <v>62</v>
      </c>
      <c r="D267" s="31" t="s">
        <v>76</v>
      </c>
      <c r="E267" s="31"/>
      <c r="F267" s="51">
        <f>F247</f>
        <v>9.5555555555555554</v>
      </c>
      <c r="G267" s="51">
        <f>G247*0.5</f>
        <v>15.555555555555559</v>
      </c>
      <c r="H267" s="51">
        <f>H247*0.8</f>
        <v>26.400000000000002</v>
      </c>
      <c r="I267" s="51">
        <v>0</v>
      </c>
      <c r="J267" s="51">
        <v>0</v>
      </c>
      <c r="K267" s="51">
        <v>0</v>
      </c>
      <c r="L267" s="52">
        <v>0</v>
      </c>
      <c r="M267" s="51">
        <v>0</v>
      </c>
      <c r="N267" s="51">
        <v>0</v>
      </c>
      <c r="O267" s="51">
        <v>0</v>
      </c>
      <c r="P267" s="51">
        <f>P247</f>
        <v>55.555555555555557</v>
      </c>
      <c r="Q267" s="51">
        <v>0</v>
      </c>
      <c r="R267" s="51">
        <v>0</v>
      </c>
      <c r="S267" s="51">
        <v>0</v>
      </c>
      <c r="T267" s="51">
        <v>0</v>
      </c>
      <c r="U267" s="51">
        <v>0</v>
      </c>
      <c r="V267" s="51">
        <v>0</v>
      </c>
      <c r="W267" s="51">
        <v>0</v>
      </c>
      <c r="X267" s="55">
        <v>0</v>
      </c>
      <c r="Y267" s="59">
        <f t="shared" si="87"/>
        <v>0</v>
      </c>
      <c r="Z267" s="51">
        <f t="shared" si="87"/>
        <v>0</v>
      </c>
      <c r="AA267" s="51">
        <f t="shared" si="87"/>
        <v>0</v>
      </c>
    </row>
    <row r="268" spans="1:27" x14ac:dyDescent="0.25">
      <c r="A268" s="30" t="s">
        <v>60</v>
      </c>
      <c r="B268" s="31" t="s">
        <v>13</v>
      </c>
      <c r="C268" s="32" t="s">
        <v>62</v>
      </c>
      <c r="D268" s="31" t="s">
        <v>77</v>
      </c>
      <c r="E268" s="31"/>
      <c r="F268" s="51">
        <v>0</v>
      </c>
      <c r="G268" s="51">
        <v>0</v>
      </c>
      <c r="H268" s="51">
        <v>0</v>
      </c>
      <c r="I268" s="51">
        <v>0</v>
      </c>
      <c r="J268" s="51">
        <v>0</v>
      </c>
      <c r="K268" s="51">
        <v>0</v>
      </c>
      <c r="L268" s="52">
        <v>0</v>
      </c>
      <c r="M268" s="51">
        <v>0</v>
      </c>
      <c r="N268" s="51">
        <v>0</v>
      </c>
      <c r="O268" s="51">
        <v>0</v>
      </c>
      <c r="P268" s="51">
        <v>0</v>
      </c>
      <c r="Q268" s="51">
        <v>0</v>
      </c>
      <c r="R268" s="51">
        <v>0</v>
      </c>
      <c r="S268" s="51">
        <v>0</v>
      </c>
      <c r="T268" s="51">
        <v>0</v>
      </c>
      <c r="U268" s="51">
        <v>0</v>
      </c>
      <c r="V268" s="51">
        <v>0</v>
      </c>
      <c r="W268" s="51">
        <v>0</v>
      </c>
      <c r="X268" s="55">
        <v>0</v>
      </c>
      <c r="Y268" s="59">
        <f t="shared" si="87"/>
        <v>0</v>
      </c>
      <c r="Z268" s="51">
        <f t="shared" si="87"/>
        <v>0</v>
      </c>
      <c r="AA268" s="51">
        <f t="shared" si="87"/>
        <v>0</v>
      </c>
    </row>
    <row r="269" spans="1:27" x14ac:dyDescent="0.25">
      <c r="A269" s="30" t="s">
        <v>60</v>
      </c>
      <c r="B269" s="31" t="s">
        <v>13</v>
      </c>
      <c r="C269" s="32" t="s">
        <v>62</v>
      </c>
      <c r="D269" s="31" t="s">
        <v>78</v>
      </c>
      <c r="E269" s="31"/>
      <c r="F269" s="51">
        <v>0</v>
      </c>
      <c r="G269" s="51">
        <v>0</v>
      </c>
      <c r="H269" s="51">
        <v>0</v>
      </c>
      <c r="I269" s="51">
        <v>0</v>
      </c>
      <c r="J269" s="51">
        <v>0</v>
      </c>
      <c r="K269" s="51">
        <v>0</v>
      </c>
      <c r="L269" s="52">
        <v>0</v>
      </c>
      <c r="M269" s="51">
        <v>0</v>
      </c>
      <c r="N269" s="51">
        <v>0</v>
      </c>
      <c r="O269" s="51">
        <v>0</v>
      </c>
      <c r="P269" s="51">
        <v>0</v>
      </c>
      <c r="Q269" s="51">
        <v>0</v>
      </c>
      <c r="R269" s="51">
        <v>0</v>
      </c>
      <c r="S269" s="51">
        <v>0</v>
      </c>
      <c r="T269" s="51">
        <v>0</v>
      </c>
      <c r="U269" s="51">
        <v>0</v>
      </c>
      <c r="V269" s="51">
        <v>0</v>
      </c>
      <c r="W269" s="51">
        <v>0</v>
      </c>
      <c r="X269" s="55">
        <v>0</v>
      </c>
      <c r="Y269" s="59">
        <f t="shared" si="87"/>
        <v>0</v>
      </c>
      <c r="Z269" s="51">
        <f t="shared" si="87"/>
        <v>0</v>
      </c>
      <c r="AA269" s="51">
        <f t="shared" si="87"/>
        <v>0</v>
      </c>
    </row>
    <row r="270" spans="1:27" ht="15.75" thickBot="1" x14ac:dyDescent="0.3">
      <c r="A270" s="33" t="s">
        <v>60</v>
      </c>
      <c r="B270" s="34" t="s">
        <v>13</v>
      </c>
      <c r="C270" s="32" t="s">
        <v>62</v>
      </c>
      <c r="D270" s="34" t="s">
        <v>79</v>
      </c>
      <c r="E270" s="31"/>
      <c r="F270" s="51">
        <v>0</v>
      </c>
      <c r="G270" s="51">
        <v>0</v>
      </c>
      <c r="H270" s="51">
        <v>0</v>
      </c>
      <c r="I270" s="51">
        <v>0</v>
      </c>
      <c r="J270" s="51">
        <v>0</v>
      </c>
      <c r="K270" s="51">
        <v>0</v>
      </c>
      <c r="L270" s="52">
        <v>0</v>
      </c>
      <c r="M270" s="51">
        <v>0</v>
      </c>
      <c r="N270" s="51">
        <v>0</v>
      </c>
      <c r="O270" s="51">
        <v>0</v>
      </c>
      <c r="P270" s="51">
        <v>0</v>
      </c>
      <c r="Q270" s="51">
        <v>0</v>
      </c>
      <c r="R270" s="51">
        <v>0</v>
      </c>
      <c r="S270" s="51">
        <v>0</v>
      </c>
      <c r="T270" s="51">
        <v>0</v>
      </c>
      <c r="U270" s="51">
        <v>0</v>
      </c>
      <c r="V270" s="51">
        <v>0</v>
      </c>
      <c r="W270" s="51">
        <v>0</v>
      </c>
      <c r="X270" s="55">
        <v>0</v>
      </c>
      <c r="Y270" s="59">
        <f t="shared" si="87"/>
        <v>0</v>
      </c>
      <c r="Z270" s="51">
        <f t="shared" si="87"/>
        <v>0</v>
      </c>
      <c r="AA270" s="51">
        <f t="shared" si="87"/>
        <v>0</v>
      </c>
    </row>
    <row r="272" spans="1:27" x14ac:dyDescent="0.25">
      <c r="D272" s="41" t="s">
        <v>84</v>
      </c>
      <c r="E272" s="41"/>
      <c r="M272" s="24" t="s">
        <v>81</v>
      </c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</row>
    <row r="273" spans="1:27" x14ac:dyDescent="0.25">
      <c r="F273" s="23" t="s">
        <v>44</v>
      </c>
      <c r="G273" s="23"/>
      <c r="H273" s="23"/>
      <c r="I273" s="23"/>
      <c r="J273" s="23"/>
      <c r="K273" s="23"/>
      <c r="L273" s="7" t="s">
        <v>30</v>
      </c>
      <c r="M273" s="24" t="s">
        <v>46</v>
      </c>
      <c r="N273" s="24"/>
      <c r="O273" s="24"/>
      <c r="P273" s="24"/>
      <c r="Q273" s="24"/>
      <c r="R273" s="24" t="s">
        <v>47</v>
      </c>
      <c r="S273" s="24"/>
      <c r="T273" s="24"/>
      <c r="U273" s="24"/>
      <c r="V273" s="24"/>
      <c r="W273" s="24"/>
      <c r="X273" s="24"/>
      <c r="Y273" s="44" t="s">
        <v>85</v>
      </c>
      <c r="Z273" s="44" t="s">
        <v>48</v>
      </c>
      <c r="AA273" s="44" t="s">
        <v>3</v>
      </c>
    </row>
    <row r="274" spans="1:27" ht="63" x14ac:dyDescent="0.25">
      <c r="F274" s="38" t="s">
        <v>36</v>
      </c>
      <c r="G274" s="38" t="s">
        <v>37</v>
      </c>
      <c r="H274" s="38" t="s">
        <v>38</v>
      </c>
      <c r="I274" s="38" t="s">
        <v>80</v>
      </c>
      <c r="J274" s="38" t="s">
        <v>39</v>
      </c>
      <c r="K274" s="38" t="s">
        <v>45</v>
      </c>
      <c r="L274" s="39" t="s">
        <v>16</v>
      </c>
      <c r="M274" s="40" t="s">
        <v>34</v>
      </c>
      <c r="N274" s="40" t="s">
        <v>5</v>
      </c>
      <c r="O274" s="40" t="s">
        <v>7</v>
      </c>
      <c r="P274" s="40" t="s">
        <v>8</v>
      </c>
      <c r="Q274" s="40" t="s">
        <v>40</v>
      </c>
      <c r="R274" s="40" t="s">
        <v>41</v>
      </c>
      <c r="S274" s="40" t="s">
        <v>42</v>
      </c>
      <c r="T274" s="40" t="s">
        <v>31</v>
      </c>
      <c r="U274" s="40" t="s">
        <v>43</v>
      </c>
      <c r="V274" s="40" t="s">
        <v>82</v>
      </c>
      <c r="W274" s="40" t="s">
        <v>87</v>
      </c>
      <c r="X274" s="40" t="s">
        <v>83</v>
      </c>
      <c r="Y274" s="45" t="s">
        <v>3</v>
      </c>
      <c r="Z274" s="45" t="s">
        <v>86</v>
      </c>
      <c r="AA274" s="45" t="s">
        <v>3</v>
      </c>
    </row>
    <row r="275" spans="1:27" x14ac:dyDescent="0.25">
      <c r="A275" s="15" t="s">
        <v>51</v>
      </c>
      <c r="B275" s="2"/>
      <c r="C275" s="2"/>
      <c r="F275" s="1"/>
      <c r="G275" s="1"/>
      <c r="H275" s="1"/>
      <c r="I275" s="1"/>
      <c r="J275" s="1"/>
      <c r="K275" s="1"/>
      <c r="L275" s="5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54"/>
      <c r="Y275" s="58"/>
      <c r="Z275" s="1"/>
      <c r="AA275" s="1"/>
    </row>
    <row r="276" spans="1:27" x14ac:dyDescent="0.25">
      <c r="A276" s="30" t="s">
        <v>60</v>
      </c>
      <c r="B276" s="2"/>
      <c r="C276" s="2"/>
      <c r="F276" s="1"/>
      <c r="G276" s="1"/>
      <c r="H276" s="1"/>
      <c r="I276" s="1"/>
      <c r="J276" s="1"/>
      <c r="K276" s="1"/>
      <c r="L276" s="5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54"/>
      <c r="Y276" s="58"/>
      <c r="Z276" s="1"/>
      <c r="AA276" s="1"/>
    </row>
    <row r="277" spans="1:27" x14ac:dyDescent="0.25">
      <c r="A277" s="15" t="s">
        <v>51</v>
      </c>
      <c r="B277" s="16" t="s">
        <v>52</v>
      </c>
      <c r="C277" s="2"/>
      <c r="F277" s="1"/>
      <c r="G277" s="1"/>
      <c r="H277" s="1"/>
      <c r="I277" s="1"/>
      <c r="J277" s="1"/>
      <c r="K277" s="1"/>
      <c r="L277" s="5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54"/>
      <c r="Y277" s="58"/>
      <c r="Z277" s="1"/>
      <c r="AA277" s="1"/>
    </row>
    <row r="278" spans="1:27" x14ac:dyDescent="0.25">
      <c r="A278" s="15" t="s">
        <v>51</v>
      </c>
      <c r="B278" s="16" t="s">
        <v>56</v>
      </c>
      <c r="C278" s="2"/>
      <c r="F278" s="1"/>
      <c r="G278" s="1"/>
      <c r="H278" s="1"/>
      <c r="I278" s="1"/>
      <c r="J278" s="1"/>
      <c r="K278" s="1"/>
      <c r="L278" s="5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54"/>
      <c r="Y278" s="58"/>
      <c r="Z278" s="1"/>
      <c r="AA278" s="1"/>
    </row>
    <row r="279" spans="1:27" x14ac:dyDescent="0.25">
      <c r="A279" s="15" t="s">
        <v>51</v>
      </c>
      <c r="B279" s="16" t="s">
        <v>9</v>
      </c>
      <c r="C279" s="2"/>
      <c r="F279" s="1"/>
      <c r="G279" s="1"/>
      <c r="H279" s="1"/>
      <c r="I279" s="1"/>
      <c r="J279" s="1"/>
      <c r="K279" s="1"/>
      <c r="L279" s="5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54"/>
      <c r="Y279" s="58"/>
      <c r="Z279" s="1"/>
      <c r="AA279" s="1"/>
    </row>
    <row r="280" spans="1:27" x14ac:dyDescent="0.25">
      <c r="A280" s="30" t="s">
        <v>60</v>
      </c>
      <c r="B280" s="32" t="s">
        <v>13</v>
      </c>
      <c r="C280" s="2"/>
      <c r="F280" s="51"/>
      <c r="G280" s="51"/>
      <c r="H280" s="51"/>
      <c r="I280" s="51"/>
      <c r="J280" s="51"/>
      <c r="K280" s="51"/>
      <c r="L280" s="52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5"/>
      <c r="Y280" s="59"/>
      <c r="Z280" s="51"/>
      <c r="AA280" s="51"/>
    </row>
    <row r="281" spans="1:27" x14ac:dyDescent="0.25">
      <c r="A281" s="30" t="s">
        <v>60</v>
      </c>
      <c r="B281" s="31" t="s">
        <v>23</v>
      </c>
      <c r="C281" s="2"/>
      <c r="F281" s="51"/>
      <c r="G281" s="51"/>
      <c r="H281" s="51"/>
      <c r="I281" s="51"/>
      <c r="J281" s="51"/>
      <c r="K281" s="51"/>
      <c r="L281" s="52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5"/>
      <c r="Y281" s="59"/>
      <c r="Z281" s="51"/>
      <c r="AA281" s="51"/>
    </row>
    <row r="282" spans="1:27" x14ac:dyDescent="0.25">
      <c r="A282" s="30" t="s">
        <v>60</v>
      </c>
      <c r="B282" s="31" t="s">
        <v>65</v>
      </c>
      <c r="C282" s="46"/>
      <c r="F282" s="51"/>
      <c r="G282" s="51"/>
      <c r="H282" s="51"/>
      <c r="I282" s="51"/>
      <c r="J282" s="51"/>
      <c r="K282" s="51"/>
      <c r="L282" s="52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5"/>
      <c r="Y282" s="59"/>
      <c r="Z282" s="51"/>
      <c r="AA282" s="51"/>
    </row>
    <row r="283" spans="1:27" ht="15.75" thickBot="1" x14ac:dyDescent="0.3">
      <c r="A283" s="48" t="s">
        <v>60</v>
      </c>
      <c r="B283" s="49" t="s">
        <v>9</v>
      </c>
      <c r="C283" s="50"/>
      <c r="D283" s="50"/>
      <c r="E283" s="50"/>
      <c r="F283" s="53"/>
      <c r="G283" s="53"/>
      <c r="H283" s="53"/>
      <c r="I283" s="53"/>
      <c r="J283" s="53"/>
      <c r="K283" s="53"/>
      <c r="L283" s="62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6"/>
      <c r="Y283" s="60"/>
      <c r="Z283" s="53"/>
      <c r="AA283" s="53"/>
    </row>
    <row r="284" spans="1:27" ht="15.75" thickTop="1" x14ac:dyDescent="0.25">
      <c r="A284" s="15" t="s">
        <v>51</v>
      </c>
      <c r="B284" s="16" t="s">
        <v>52</v>
      </c>
      <c r="C284" s="16" t="s">
        <v>53</v>
      </c>
      <c r="D284" s="2"/>
      <c r="E284" s="2"/>
      <c r="F284" s="47"/>
      <c r="G284" s="47"/>
      <c r="H284" s="47"/>
      <c r="I284" s="47"/>
      <c r="J284" s="47"/>
      <c r="K284" s="47"/>
      <c r="L284" s="6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57"/>
      <c r="Y284" s="61"/>
      <c r="Z284" s="47"/>
      <c r="AA284" s="47"/>
    </row>
    <row r="285" spans="1:27" x14ac:dyDescent="0.25">
      <c r="A285" s="15" t="s">
        <v>51</v>
      </c>
      <c r="B285" s="16" t="s">
        <v>52</v>
      </c>
      <c r="C285" s="16" t="s">
        <v>54</v>
      </c>
      <c r="D285" s="2"/>
      <c r="E285" s="2"/>
      <c r="F285" s="1"/>
      <c r="G285" s="1"/>
      <c r="H285" s="1"/>
      <c r="I285" s="1"/>
      <c r="J285" s="1"/>
      <c r="K285" s="1"/>
      <c r="L285" s="5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54"/>
      <c r="Y285" s="58"/>
      <c r="Z285" s="1"/>
      <c r="AA285" s="1"/>
    </row>
    <row r="286" spans="1:27" x14ac:dyDescent="0.25">
      <c r="A286" s="15" t="s">
        <v>51</v>
      </c>
      <c r="B286" s="16" t="s">
        <v>52</v>
      </c>
      <c r="C286" s="16" t="s">
        <v>55</v>
      </c>
      <c r="D286" s="2"/>
      <c r="E286" s="2"/>
      <c r="F286" s="1"/>
      <c r="G286" s="1"/>
      <c r="H286" s="1"/>
      <c r="I286" s="1"/>
      <c r="J286" s="1"/>
      <c r="K286" s="1"/>
      <c r="L286" s="5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54"/>
      <c r="Y286" s="58"/>
      <c r="Z286" s="1"/>
      <c r="AA286" s="1"/>
    </row>
    <row r="287" spans="1:27" x14ac:dyDescent="0.25">
      <c r="A287" s="25" t="s">
        <v>51</v>
      </c>
      <c r="B287" s="26" t="s">
        <v>56</v>
      </c>
      <c r="C287" s="26" t="s">
        <v>57</v>
      </c>
      <c r="D287" s="2"/>
      <c r="E287" s="2"/>
      <c r="F287" s="1"/>
      <c r="G287" s="1"/>
      <c r="H287" s="1"/>
      <c r="I287" s="1"/>
      <c r="J287" s="1"/>
      <c r="K287" s="1"/>
      <c r="L287" s="5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54"/>
      <c r="Y287" s="58"/>
      <c r="Z287" s="1"/>
      <c r="AA287" s="1"/>
    </row>
    <row r="288" spans="1:27" x14ac:dyDescent="0.25">
      <c r="A288" s="15" t="s">
        <v>51</v>
      </c>
      <c r="B288" s="16" t="s">
        <v>56</v>
      </c>
      <c r="C288" s="27" t="s">
        <v>58</v>
      </c>
      <c r="D288" s="2"/>
      <c r="E288" s="2"/>
      <c r="F288" s="1"/>
      <c r="G288" s="1"/>
      <c r="H288" s="1"/>
      <c r="I288" s="1"/>
      <c r="J288" s="1"/>
      <c r="K288" s="1"/>
      <c r="L288" s="5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54"/>
      <c r="Y288" s="58"/>
      <c r="Z288" s="1"/>
      <c r="AA288" s="1"/>
    </row>
    <row r="289" spans="1:31" x14ac:dyDescent="0.25">
      <c r="A289" s="15" t="s">
        <v>51</v>
      </c>
      <c r="B289" s="16" t="s">
        <v>9</v>
      </c>
      <c r="C289" s="27" t="s">
        <v>59</v>
      </c>
      <c r="D289" s="2"/>
      <c r="E289" s="2"/>
      <c r="F289" s="1"/>
      <c r="G289" s="1"/>
      <c r="H289" s="1"/>
      <c r="I289" s="1"/>
      <c r="J289" s="1"/>
      <c r="K289" s="1"/>
      <c r="L289" s="5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54"/>
      <c r="Y289" s="58"/>
      <c r="Z289" s="1"/>
      <c r="AA289" s="1"/>
    </row>
    <row r="290" spans="1:31" x14ac:dyDescent="0.25">
      <c r="A290" s="15" t="s">
        <v>51</v>
      </c>
      <c r="B290" s="16" t="s">
        <v>9</v>
      </c>
      <c r="C290" s="27" t="s">
        <v>9</v>
      </c>
      <c r="D290" s="2"/>
      <c r="E290" s="2"/>
      <c r="F290" s="1"/>
      <c r="G290" s="1"/>
      <c r="H290" s="1"/>
      <c r="I290" s="1"/>
      <c r="J290" s="1"/>
      <c r="K290" s="1"/>
      <c r="L290" s="5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54"/>
      <c r="Y290" s="58"/>
      <c r="Z290" s="1"/>
      <c r="AA290" s="1"/>
    </row>
    <row r="291" spans="1:31" x14ac:dyDescent="0.25">
      <c r="A291" s="28" t="s">
        <v>60</v>
      </c>
      <c r="B291" s="29" t="s">
        <v>13</v>
      </c>
      <c r="C291" s="29" t="s">
        <v>61</v>
      </c>
      <c r="D291" s="2"/>
      <c r="E291" s="2"/>
      <c r="F291" s="51">
        <v>180</v>
      </c>
      <c r="G291" s="51"/>
      <c r="H291" s="51">
        <v>170</v>
      </c>
      <c r="I291" s="51">
        <v>170</v>
      </c>
      <c r="J291" s="51">
        <v>170</v>
      </c>
      <c r="K291" s="51">
        <v>170</v>
      </c>
      <c r="L291" s="52"/>
      <c r="M291" s="51">
        <v>180</v>
      </c>
      <c r="N291" s="51">
        <v>160</v>
      </c>
      <c r="O291" s="51">
        <v>180</v>
      </c>
      <c r="P291" s="51">
        <v>180</v>
      </c>
      <c r="Q291" s="51">
        <v>180</v>
      </c>
      <c r="R291" s="51">
        <v>180</v>
      </c>
      <c r="S291" s="51"/>
      <c r="T291" s="51">
        <v>180</v>
      </c>
      <c r="U291" s="51">
        <v>180</v>
      </c>
      <c r="V291" s="51">
        <v>180</v>
      </c>
      <c r="W291" s="51">
        <v>180</v>
      </c>
      <c r="X291" s="55">
        <v>180</v>
      </c>
      <c r="Y291" s="59"/>
      <c r="Z291" s="51"/>
      <c r="AA291" s="51"/>
    </row>
    <row r="292" spans="1:31" x14ac:dyDescent="0.25">
      <c r="A292" s="36" t="s">
        <v>60</v>
      </c>
      <c r="B292" s="37" t="s">
        <v>13</v>
      </c>
      <c r="C292" s="29" t="s">
        <v>62</v>
      </c>
      <c r="D292" s="2"/>
      <c r="E292" s="2"/>
      <c r="F292" s="51">
        <v>180</v>
      </c>
      <c r="G292" s="51">
        <v>180</v>
      </c>
      <c r="H292" s="51">
        <v>170</v>
      </c>
      <c r="I292" s="51"/>
      <c r="J292" s="51"/>
      <c r="K292" s="51"/>
      <c r="L292" s="52"/>
      <c r="M292" s="51"/>
      <c r="N292" s="51"/>
      <c r="O292" s="51"/>
      <c r="P292" s="51">
        <v>180</v>
      </c>
      <c r="Q292" s="51"/>
      <c r="R292" s="51"/>
      <c r="S292" s="51"/>
      <c r="T292" s="51"/>
      <c r="U292" s="51"/>
      <c r="V292" s="51"/>
      <c r="W292" s="51"/>
      <c r="X292" s="55"/>
      <c r="Y292" s="59"/>
      <c r="Z292" s="51"/>
      <c r="AA292" s="51"/>
    </row>
    <row r="293" spans="1:31" x14ac:dyDescent="0.25">
      <c r="A293" s="30" t="s">
        <v>60</v>
      </c>
      <c r="B293" s="31" t="s">
        <v>13</v>
      </c>
      <c r="C293" s="32" t="s">
        <v>63</v>
      </c>
      <c r="D293" s="2"/>
      <c r="E293" s="2"/>
      <c r="F293" s="51"/>
      <c r="G293" s="51"/>
      <c r="H293" s="51"/>
      <c r="I293" s="51"/>
      <c r="J293" s="51"/>
      <c r="K293" s="51"/>
      <c r="L293" s="52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5"/>
      <c r="Y293" s="59"/>
      <c r="Z293" s="51"/>
      <c r="AA293" s="51"/>
    </row>
    <row r="294" spans="1:31" x14ac:dyDescent="0.25">
      <c r="A294" s="30" t="s">
        <v>60</v>
      </c>
      <c r="B294" s="32" t="s">
        <v>23</v>
      </c>
      <c r="C294" s="31" t="s">
        <v>50</v>
      </c>
      <c r="D294" s="2"/>
      <c r="E294" s="2"/>
      <c r="F294" s="51">
        <v>65</v>
      </c>
      <c r="G294" s="51"/>
      <c r="H294" s="51"/>
      <c r="I294" s="51"/>
      <c r="J294" s="51">
        <v>65</v>
      </c>
      <c r="K294" s="51">
        <v>70</v>
      </c>
      <c r="L294" s="52"/>
      <c r="M294" s="51">
        <v>65</v>
      </c>
      <c r="N294" s="51">
        <v>65</v>
      </c>
      <c r="O294" s="51"/>
      <c r="P294" s="51"/>
      <c r="Q294" s="51"/>
      <c r="R294" s="51"/>
      <c r="S294" s="51"/>
      <c r="T294" s="51"/>
      <c r="U294" s="51"/>
      <c r="V294" s="51"/>
      <c r="W294" s="51"/>
      <c r="X294" s="55"/>
      <c r="Y294" s="59"/>
      <c r="Z294" s="51"/>
      <c r="AA294" s="51"/>
      <c r="AB294" t="s">
        <v>13</v>
      </c>
      <c r="AC294" t="s">
        <v>111</v>
      </c>
      <c r="AD294" t="s">
        <v>106</v>
      </c>
    </row>
    <row r="295" spans="1:31" x14ac:dyDescent="0.25">
      <c r="A295" s="30" t="s">
        <v>60</v>
      </c>
      <c r="B295" s="32" t="s">
        <v>23</v>
      </c>
      <c r="C295" s="31" t="s">
        <v>49</v>
      </c>
      <c r="D295" s="2"/>
      <c r="E295" s="2"/>
      <c r="F295" s="51"/>
      <c r="G295" s="51"/>
      <c r="H295" s="51"/>
      <c r="I295" s="51"/>
      <c r="J295" s="51">
        <v>45</v>
      </c>
      <c r="K295" s="51">
        <v>45</v>
      </c>
      <c r="L295" s="52"/>
      <c r="M295" s="51"/>
      <c r="N295" s="51"/>
      <c r="O295" s="51"/>
      <c r="P295" s="51"/>
      <c r="Q295" s="51"/>
      <c r="R295" s="51"/>
      <c r="S295" s="51">
        <v>45</v>
      </c>
      <c r="T295" s="51">
        <v>35</v>
      </c>
      <c r="U295" s="51"/>
      <c r="V295" s="51">
        <v>45</v>
      </c>
      <c r="W295" s="51"/>
      <c r="X295" s="55">
        <v>45</v>
      </c>
      <c r="Y295" s="59"/>
      <c r="Z295" s="51"/>
      <c r="AA295" s="51"/>
      <c r="AB295">
        <v>2.9</v>
      </c>
      <c r="AC295">
        <v>3.2</v>
      </c>
      <c r="AD295">
        <v>1.8</v>
      </c>
      <c r="AE295" t="s">
        <v>107</v>
      </c>
    </row>
    <row r="296" spans="1:31" x14ac:dyDescent="0.25">
      <c r="A296" s="30" t="s">
        <v>60</v>
      </c>
      <c r="B296" s="32" t="s">
        <v>23</v>
      </c>
      <c r="C296" s="31" t="s">
        <v>64</v>
      </c>
      <c r="D296" s="2"/>
      <c r="E296" s="2"/>
      <c r="F296" s="51"/>
      <c r="G296" s="51"/>
      <c r="H296" s="51"/>
      <c r="I296" s="51"/>
      <c r="J296" s="51"/>
      <c r="K296" s="51"/>
      <c r="L296" s="52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5"/>
      <c r="Y296" s="59"/>
      <c r="Z296" s="51"/>
      <c r="AA296" s="51"/>
      <c r="AB296">
        <v>3.6</v>
      </c>
      <c r="AC296">
        <v>1.2</v>
      </c>
      <c r="AD296">
        <v>1.2</v>
      </c>
      <c r="AE296" t="s">
        <v>108</v>
      </c>
    </row>
    <row r="297" spans="1:31" x14ac:dyDescent="0.25">
      <c r="A297" s="30" t="s">
        <v>60</v>
      </c>
      <c r="B297" s="32" t="s">
        <v>65</v>
      </c>
      <c r="C297" s="31" t="s">
        <v>66</v>
      </c>
      <c r="D297" s="2"/>
      <c r="E297" s="2"/>
      <c r="F297" s="51"/>
      <c r="G297" s="51"/>
      <c r="H297" s="51"/>
      <c r="I297" s="51"/>
      <c r="J297" s="51">
        <v>40</v>
      </c>
      <c r="K297" s="51"/>
      <c r="L297" s="52"/>
      <c r="M297" s="51">
        <v>40</v>
      </c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5"/>
      <c r="Y297" s="59"/>
      <c r="Z297" s="51"/>
      <c r="AA297" s="51"/>
      <c r="AB297">
        <v>65.099999999999994</v>
      </c>
      <c r="AC297">
        <v>42.7</v>
      </c>
      <c r="AD297">
        <v>42.2</v>
      </c>
      <c r="AE297" t="s">
        <v>109</v>
      </c>
    </row>
    <row r="298" spans="1:31" x14ac:dyDescent="0.25">
      <c r="A298" s="30" t="s">
        <v>60</v>
      </c>
      <c r="B298" s="32" t="s">
        <v>65</v>
      </c>
      <c r="C298" s="31" t="s">
        <v>67</v>
      </c>
      <c r="D298" s="2"/>
      <c r="E298" s="2"/>
      <c r="F298" s="51"/>
      <c r="G298" s="51"/>
      <c r="H298" s="51"/>
      <c r="I298" s="51"/>
      <c r="J298" s="51"/>
      <c r="K298" s="51"/>
      <c r="L298" s="52"/>
      <c r="M298" s="51"/>
      <c r="N298" s="51"/>
      <c r="O298" s="51"/>
      <c r="P298" s="51"/>
      <c r="Q298" s="51">
        <v>35</v>
      </c>
      <c r="R298" s="51">
        <v>35</v>
      </c>
      <c r="S298" s="51"/>
      <c r="T298" s="51">
        <v>35</v>
      </c>
      <c r="U298" s="51">
        <v>35</v>
      </c>
      <c r="V298" s="51">
        <v>35</v>
      </c>
      <c r="W298" s="51">
        <v>35</v>
      </c>
      <c r="X298" s="55">
        <v>35</v>
      </c>
      <c r="Y298" s="59"/>
      <c r="Z298" s="51"/>
      <c r="AA298" s="51"/>
      <c r="AB298">
        <v>18.2</v>
      </c>
      <c r="AC298">
        <v>22</v>
      </c>
      <c r="AD298">
        <v>22.2</v>
      </c>
      <c r="AE298" t="s">
        <v>110</v>
      </c>
    </row>
    <row r="299" spans="1:31" x14ac:dyDescent="0.25">
      <c r="A299" s="30" t="s">
        <v>60</v>
      </c>
      <c r="B299" s="32" t="s">
        <v>65</v>
      </c>
      <c r="C299" s="31" t="s">
        <v>68</v>
      </c>
      <c r="D299" s="2"/>
      <c r="E299" s="2"/>
      <c r="F299" s="51"/>
      <c r="G299" s="51"/>
      <c r="H299" s="51"/>
      <c r="I299" s="51"/>
      <c r="J299" s="51"/>
      <c r="K299" s="51"/>
      <c r="L299" s="52">
        <v>40</v>
      </c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5"/>
      <c r="Y299" s="59"/>
      <c r="Z299" s="51"/>
      <c r="AA299" s="51"/>
      <c r="AB299">
        <v>47</v>
      </c>
      <c r="AC299">
        <v>58</v>
      </c>
      <c r="AD299">
        <v>49</v>
      </c>
      <c r="AE299" t="s">
        <v>102</v>
      </c>
    </row>
    <row r="300" spans="1:31" x14ac:dyDescent="0.25">
      <c r="A300" s="30" t="s">
        <v>60</v>
      </c>
      <c r="B300" s="32" t="s">
        <v>9</v>
      </c>
      <c r="C300" s="31" t="s">
        <v>69</v>
      </c>
      <c r="D300" s="2"/>
      <c r="E300" s="2"/>
      <c r="F300" s="51"/>
      <c r="G300" s="51"/>
      <c r="H300" s="51"/>
      <c r="I300" s="51"/>
      <c r="J300" s="51"/>
      <c r="K300" s="51"/>
      <c r="L300" s="52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5">
        <v>60</v>
      </c>
      <c r="Y300" s="59"/>
      <c r="Z300" s="51"/>
      <c r="AA300" s="51"/>
      <c r="AB300">
        <f>AB295*AB296</f>
        <v>10.44</v>
      </c>
      <c r="AC300">
        <f>AC295*AC296</f>
        <v>3.84</v>
      </c>
      <c r="AD300">
        <f>AD295*AD296</f>
        <v>2.16</v>
      </c>
      <c r="AE300" t="s">
        <v>91</v>
      </c>
    </row>
    <row r="301" spans="1:31" x14ac:dyDescent="0.25">
      <c r="A301" s="15" t="s">
        <v>51</v>
      </c>
      <c r="B301" s="16" t="s">
        <v>56</v>
      </c>
      <c r="C301" s="27" t="s">
        <v>57</v>
      </c>
      <c r="D301" s="16" t="s">
        <v>70</v>
      </c>
      <c r="E301" s="16"/>
      <c r="F301" s="1"/>
      <c r="G301" s="1"/>
      <c r="H301" s="1"/>
      <c r="I301" s="1"/>
      <c r="J301" s="1"/>
      <c r="K301" s="1"/>
      <c r="L301" s="5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54"/>
      <c r="Y301" s="58"/>
      <c r="Z301" s="1"/>
      <c r="AA301" s="1"/>
      <c r="AB301">
        <f>(AB298/100)^2*AB297/100</f>
        <v>2.1563723999999999E-2</v>
      </c>
      <c r="AC301">
        <f>(AC298/100)^2*AC297/100</f>
        <v>2.0666800000000003E-2</v>
      </c>
      <c r="AD301">
        <f>(AD298/100)^2*AD297/100</f>
        <v>2.0797848000000001E-2</v>
      </c>
      <c r="AE301" t="s">
        <v>112</v>
      </c>
    </row>
    <row r="302" spans="1:31" x14ac:dyDescent="0.25">
      <c r="A302" s="15" t="s">
        <v>51</v>
      </c>
      <c r="B302" s="16" t="s">
        <v>56</v>
      </c>
      <c r="C302" s="27" t="s">
        <v>57</v>
      </c>
      <c r="D302" s="16" t="s">
        <v>71</v>
      </c>
      <c r="E302" s="16"/>
      <c r="F302" s="1"/>
      <c r="G302" s="1"/>
      <c r="H302" s="1"/>
      <c r="I302" s="1"/>
      <c r="J302" s="1"/>
      <c r="K302" s="1"/>
      <c r="L302" s="5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54"/>
      <c r="Y302" s="58"/>
      <c r="Z302" s="1"/>
      <c r="AA302" s="1"/>
      <c r="AB302">
        <f>AB300/AB299</f>
        <v>0.22212765957446806</v>
      </c>
      <c r="AC302">
        <f>AC300/AC299</f>
        <v>6.620689655172414E-2</v>
      </c>
      <c r="AD302">
        <f>AD300/AD299</f>
        <v>4.4081632653061226E-2</v>
      </c>
      <c r="AE302" t="s">
        <v>104</v>
      </c>
    </row>
    <row r="303" spans="1:31" x14ac:dyDescent="0.25">
      <c r="A303" s="15" t="s">
        <v>51</v>
      </c>
      <c r="B303" s="16" t="s">
        <v>56</v>
      </c>
      <c r="C303" s="27" t="s">
        <v>27</v>
      </c>
      <c r="D303" s="16" t="s">
        <v>72</v>
      </c>
      <c r="E303" s="16"/>
      <c r="F303" s="1"/>
      <c r="G303" s="1"/>
      <c r="H303" s="1"/>
      <c r="I303" s="1"/>
      <c r="J303" s="1"/>
      <c r="K303" s="1"/>
      <c r="L303" s="5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54"/>
      <c r="Y303" s="58"/>
      <c r="Z303" s="1"/>
      <c r="AA303" s="1"/>
      <c r="AB303">
        <f>AB300/AB301</f>
        <v>484.14643036610931</v>
      </c>
      <c r="AC303">
        <f>AC300/AC301</f>
        <v>185.8052528693363</v>
      </c>
      <c r="AD303">
        <f>AD300/AD301</f>
        <v>103.85689904070844</v>
      </c>
      <c r="AE303" t="s">
        <v>113</v>
      </c>
    </row>
    <row r="304" spans="1:31" x14ac:dyDescent="0.25">
      <c r="A304" s="15" t="s">
        <v>51</v>
      </c>
      <c r="B304" s="16" t="s">
        <v>56</v>
      </c>
      <c r="C304" s="27" t="s">
        <v>57</v>
      </c>
      <c r="D304" s="16" t="s">
        <v>73</v>
      </c>
      <c r="E304" s="16"/>
      <c r="F304" s="1"/>
      <c r="G304" s="1"/>
      <c r="H304" s="1"/>
      <c r="I304" s="1"/>
      <c r="J304" s="1"/>
      <c r="K304" s="1"/>
      <c r="L304" s="5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54"/>
      <c r="Y304" s="58"/>
      <c r="Z304" s="1"/>
      <c r="AA304" s="1"/>
    </row>
    <row r="305" spans="1:27" x14ac:dyDescent="0.25">
      <c r="A305" s="15" t="s">
        <v>51</v>
      </c>
      <c r="B305" s="16" t="s">
        <v>56</v>
      </c>
      <c r="C305" s="27" t="s">
        <v>57</v>
      </c>
      <c r="D305" s="16" t="s">
        <v>74</v>
      </c>
      <c r="E305" s="16"/>
      <c r="F305" s="1"/>
      <c r="G305" s="1"/>
      <c r="H305" s="1"/>
      <c r="I305" s="1"/>
      <c r="J305" s="1"/>
      <c r="K305" s="1"/>
      <c r="L305" s="5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54"/>
      <c r="Y305" s="58"/>
      <c r="Z305" s="1"/>
      <c r="AA305" s="1"/>
    </row>
    <row r="306" spans="1:27" x14ac:dyDescent="0.25">
      <c r="A306" s="30" t="s">
        <v>60</v>
      </c>
      <c r="B306" s="31" t="s">
        <v>13</v>
      </c>
      <c r="C306" s="32" t="s">
        <v>61</v>
      </c>
      <c r="D306" s="31" t="s">
        <v>75</v>
      </c>
      <c r="E306" s="31"/>
      <c r="F306" s="51"/>
      <c r="G306" s="51"/>
      <c r="H306" s="51"/>
      <c r="I306" s="51"/>
      <c r="J306" s="51"/>
      <c r="K306" s="51"/>
      <c r="L306" s="52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5"/>
      <c r="Y306" s="59"/>
      <c r="Z306" s="51"/>
      <c r="AA306" s="51"/>
    </row>
    <row r="307" spans="1:27" x14ac:dyDescent="0.25">
      <c r="A307" s="30" t="s">
        <v>60</v>
      </c>
      <c r="B307" s="31" t="s">
        <v>13</v>
      </c>
      <c r="C307" s="32" t="s">
        <v>61</v>
      </c>
      <c r="D307" s="31" t="s">
        <v>76</v>
      </c>
      <c r="E307" s="31"/>
      <c r="F307" s="51"/>
      <c r="G307" s="51"/>
      <c r="H307" s="51"/>
      <c r="I307" s="51"/>
      <c r="J307" s="51"/>
      <c r="K307" s="51"/>
      <c r="L307" s="52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5"/>
      <c r="Y307" s="59"/>
      <c r="Z307" s="51"/>
      <c r="AA307" s="51"/>
    </row>
    <row r="308" spans="1:27" x14ac:dyDescent="0.25">
      <c r="A308" s="30" t="s">
        <v>60</v>
      </c>
      <c r="B308" s="31" t="s">
        <v>13</v>
      </c>
      <c r="C308" s="32" t="s">
        <v>61</v>
      </c>
      <c r="D308" s="31" t="s">
        <v>77</v>
      </c>
      <c r="E308" s="31"/>
      <c r="F308" s="51"/>
      <c r="G308" s="51"/>
      <c r="H308" s="51"/>
      <c r="I308" s="51"/>
      <c r="J308" s="51"/>
      <c r="K308" s="51"/>
      <c r="L308" s="52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5"/>
      <c r="Y308" s="59"/>
      <c r="Z308" s="51"/>
      <c r="AA308" s="51"/>
    </row>
    <row r="309" spans="1:27" x14ac:dyDescent="0.25">
      <c r="A309" s="30" t="s">
        <v>60</v>
      </c>
      <c r="B309" s="31" t="s">
        <v>13</v>
      </c>
      <c r="C309" s="32" t="s">
        <v>61</v>
      </c>
      <c r="D309" s="31" t="s">
        <v>78</v>
      </c>
      <c r="E309" s="31"/>
      <c r="F309" s="51"/>
      <c r="G309" s="51"/>
      <c r="H309" s="51"/>
      <c r="I309" s="51"/>
      <c r="J309" s="51"/>
      <c r="K309" s="51"/>
      <c r="L309" s="52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5"/>
      <c r="Y309" s="59"/>
      <c r="Z309" s="51"/>
      <c r="AA309" s="51"/>
    </row>
    <row r="310" spans="1:27" ht="15.75" thickBot="1" x14ac:dyDescent="0.3">
      <c r="A310" s="33" t="s">
        <v>60</v>
      </c>
      <c r="B310" s="34" t="s">
        <v>13</v>
      </c>
      <c r="C310" s="35" t="s">
        <v>61</v>
      </c>
      <c r="D310" s="34" t="s">
        <v>79</v>
      </c>
      <c r="E310" s="31"/>
      <c r="F310" s="51"/>
      <c r="G310" s="51"/>
      <c r="H310" s="51"/>
      <c r="I310" s="51"/>
      <c r="J310" s="51"/>
      <c r="K310" s="51"/>
      <c r="L310" s="52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5"/>
      <c r="Y310" s="59"/>
      <c r="Z310" s="51"/>
      <c r="AA310" s="51"/>
    </row>
    <row r="311" spans="1:27" x14ac:dyDescent="0.25">
      <c r="A311" s="30" t="s">
        <v>60</v>
      </c>
      <c r="B311" s="31" t="s">
        <v>13</v>
      </c>
      <c r="C311" s="32" t="s">
        <v>62</v>
      </c>
      <c r="D311" s="31" t="s">
        <v>75</v>
      </c>
      <c r="E311" s="31"/>
      <c r="F311" s="51"/>
      <c r="G311" s="51"/>
      <c r="H311" s="51"/>
      <c r="I311" s="51"/>
      <c r="J311" s="51"/>
      <c r="K311" s="51"/>
      <c r="L311" s="52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5"/>
      <c r="Y311" s="59"/>
      <c r="Z311" s="51"/>
      <c r="AA311" s="51"/>
    </row>
    <row r="312" spans="1:27" x14ac:dyDescent="0.25">
      <c r="A312" s="30" t="s">
        <v>60</v>
      </c>
      <c r="B312" s="31" t="s">
        <v>13</v>
      </c>
      <c r="C312" s="32" t="s">
        <v>62</v>
      </c>
      <c r="D312" s="31" t="s">
        <v>76</v>
      </c>
      <c r="E312" s="31"/>
      <c r="F312" s="51"/>
      <c r="G312" s="51"/>
      <c r="H312" s="51"/>
      <c r="I312" s="51"/>
      <c r="J312" s="51"/>
      <c r="K312" s="51"/>
      <c r="L312" s="52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5"/>
      <c r="Y312" s="59"/>
      <c r="Z312" s="51"/>
      <c r="AA312" s="51"/>
    </row>
    <row r="313" spans="1:27" x14ac:dyDescent="0.25">
      <c r="A313" s="30" t="s">
        <v>60</v>
      </c>
      <c r="B313" s="31" t="s">
        <v>13</v>
      </c>
      <c r="C313" s="32" t="s">
        <v>62</v>
      </c>
      <c r="D313" s="31" t="s">
        <v>77</v>
      </c>
      <c r="E313" s="31"/>
      <c r="F313" s="51"/>
      <c r="G313" s="51"/>
      <c r="H313" s="51"/>
      <c r="I313" s="51"/>
      <c r="J313" s="51"/>
      <c r="K313" s="51"/>
      <c r="L313" s="52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5"/>
      <c r="Y313" s="59"/>
      <c r="Z313" s="51"/>
      <c r="AA313" s="51"/>
    </row>
    <row r="314" spans="1:27" x14ac:dyDescent="0.25">
      <c r="A314" s="30" t="s">
        <v>60</v>
      </c>
      <c r="B314" s="31" t="s">
        <v>13</v>
      </c>
      <c r="C314" s="32" t="s">
        <v>62</v>
      </c>
      <c r="D314" s="31" t="s">
        <v>78</v>
      </c>
      <c r="E314" s="31"/>
      <c r="F314" s="51"/>
      <c r="G314" s="51"/>
      <c r="H314" s="51"/>
      <c r="I314" s="51"/>
      <c r="J314" s="51"/>
      <c r="K314" s="51"/>
      <c r="L314" s="52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5"/>
      <c r="Y314" s="59"/>
      <c r="Z314" s="51"/>
      <c r="AA314" s="51"/>
    </row>
    <row r="315" spans="1:27" ht="15.75" thickBot="1" x14ac:dyDescent="0.3">
      <c r="A315" s="33" t="s">
        <v>60</v>
      </c>
      <c r="B315" s="34" t="s">
        <v>13</v>
      </c>
      <c r="C315" s="32" t="s">
        <v>62</v>
      </c>
      <c r="D315" s="34" t="s">
        <v>79</v>
      </c>
      <c r="E315" s="31"/>
      <c r="F315" s="51"/>
      <c r="G315" s="51"/>
      <c r="H315" s="51"/>
      <c r="I315" s="51"/>
      <c r="J315" s="51"/>
      <c r="K315" s="51"/>
      <c r="L315" s="52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5"/>
      <c r="Y315" s="59"/>
      <c r="Z315" s="51"/>
      <c r="AA315" s="51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15"/>
  <sheetViews>
    <sheetView workbookViewId="0"/>
  </sheetViews>
  <sheetFormatPr baseColWidth="10" defaultColWidth="8.85546875" defaultRowHeight="15" x14ac:dyDescent="0.25"/>
  <cols>
    <col min="5" max="5" width="9.140625" customWidth="1"/>
    <col min="25" max="25" width="9.140625" bestFit="1" customWidth="1"/>
    <col min="26" max="26" width="8.85546875" bestFit="1" customWidth="1"/>
    <col min="27" max="27" width="9.42578125" customWidth="1"/>
  </cols>
  <sheetData>
    <row r="1" spans="1:33" ht="18.75" x14ac:dyDescent="0.3">
      <c r="A1" s="42" t="s">
        <v>14</v>
      </c>
      <c r="B1" s="42"/>
      <c r="C1" s="247">
        <v>2016</v>
      </c>
    </row>
    <row r="2" spans="1:33" x14ac:dyDescent="0.25">
      <c r="D2" s="41" t="s">
        <v>1</v>
      </c>
      <c r="E2" s="41"/>
      <c r="M2" s="24" t="s">
        <v>81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33" x14ac:dyDescent="0.25">
      <c r="F3" s="23" t="s">
        <v>44</v>
      </c>
      <c r="G3" s="23"/>
      <c r="H3" s="23"/>
      <c r="I3" s="23"/>
      <c r="J3" s="23"/>
      <c r="K3" s="23"/>
      <c r="L3" s="7" t="s">
        <v>30</v>
      </c>
      <c r="M3" s="24" t="s">
        <v>46</v>
      </c>
      <c r="N3" s="24"/>
      <c r="O3" s="24"/>
      <c r="P3" s="24"/>
      <c r="Q3" s="24"/>
      <c r="R3" s="24" t="s">
        <v>47</v>
      </c>
      <c r="S3" s="24"/>
      <c r="T3" s="24"/>
      <c r="U3" s="24"/>
      <c r="V3" s="24"/>
      <c r="W3" s="24"/>
      <c r="X3" s="24"/>
      <c r="Y3" s="44" t="s">
        <v>85</v>
      </c>
      <c r="Z3" s="44" t="s">
        <v>48</v>
      </c>
      <c r="AA3" s="44" t="s">
        <v>3</v>
      </c>
    </row>
    <row r="4" spans="1:33" ht="63" x14ac:dyDescent="0.25">
      <c r="F4" s="38" t="s">
        <v>36</v>
      </c>
      <c r="G4" s="38" t="s">
        <v>37</v>
      </c>
      <c r="H4" s="38" t="s">
        <v>38</v>
      </c>
      <c r="I4" s="38" t="s">
        <v>80</v>
      </c>
      <c r="J4" s="38" t="s">
        <v>39</v>
      </c>
      <c r="K4" s="38" t="s">
        <v>45</v>
      </c>
      <c r="L4" s="39" t="s">
        <v>16</v>
      </c>
      <c r="M4" s="40" t="s">
        <v>34</v>
      </c>
      <c r="N4" s="40" t="s">
        <v>5</v>
      </c>
      <c r="O4" s="40" t="s">
        <v>7</v>
      </c>
      <c r="P4" s="40" t="s">
        <v>8</v>
      </c>
      <c r="Q4" s="40" t="s">
        <v>40</v>
      </c>
      <c r="R4" s="40" t="s">
        <v>41</v>
      </c>
      <c r="S4" s="40" t="s">
        <v>42</v>
      </c>
      <c r="T4" s="40" t="s">
        <v>31</v>
      </c>
      <c r="U4" s="40" t="s">
        <v>43</v>
      </c>
      <c r="V4" s="40" t="s">
        <v>82</v>
      </c>
      <c r="W4" s="40" t="s">
        <v>87</v>
      </c>
      <c r="X4" s="40" t="s">
        <v>83</v>
      </c>
      <c r="Y4" s="45" t="s">
        <v>3</v>
      </c>
      <c r="Z4" s="45" t="s">
        <v>3</v>
      </c>
      <c r="AA4" s="45" t="s">
        <v>3</v>
      </c>
    </row>
    <row r="5" spans="1:33" x14ac:dyDescent="0.25">
      <c r="A5" s="15" t="s">
        <v>51</v>
      </c>
      <c r="B5" s="2"/>
      <c r="C5" s="2"/>
      <c r="D5">
        <f>6000*0.045</f>
        <v>270</v>
      </c>
      <c r="F5" s="1">
        <f t="shared" ref="F5:X5" si="0">F7+F8+F9</f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52">
        <f t="shared" si="0"/>
        <v>0</v>
      </c>
      <c r="M5" s="1">
        <f t="shared" si="0"/>
        <v>0</v>
      </c>
      <c r="N5" s="1">
        <f t="shared" si="0"/>
        <v>0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1">
        <f t="shared" si="0"/>
        <v>0</v>
      </c>
      <c r="V5" s="1">
        <f t="shared" si="0"/>
        <v>0</v>
      </c>
      <c r="W5" s="1">
        <f t="shared" si="0"/>
        <v>0</v>
      </c>
      <c r="X5" s="1">
        <f t="shared" si="0"/>
        <v>0</v>
      </c>
      <c r="Y5" s="58">
        <f t="shared" ref="Y5:Y45" si="1">SUM(F5:K5)</f>
        <v>0</v>
      </c>
      <c r="Z5" s="1">
        <f t="shared" ref="Z5:Z45" si="2">SUM(M5:X5)</f>
        <v>0</v>
      </c>
      <c r="AA5" s="1">
        <f t="shared" ref="AA5:AA12" si="3">L5+Y5+Z5</f>
        <v>0</v>
      </c>
    </row>
    <row r="6" spans="1:33" x14ac:dyDescent="0.25">
      <c r="A6" s="30" t="s">
        <v>60</v>
      </c>
      <c r="B6" s="2"/>
      <c r="C6" s="2"/>
      <c r="F6" s="1">
        <f>F10+F11+F12+F13</f>
        <v>8600</v>
      </c>
      <c r="G6" s="1">
        <f t="shared" ref="G6:X6" si="4">G10+G11+G12+G13</f>
        <v>5000</v>
      </c>
      <c r="H6" s="1">
        <f t="shared" si="4"/>
        <v>10700</v>
      </c>
      <c r="I6" s="1">
        <f t="shared" si="4"/>
        <v>2940</v>
      </c>
      <c r="J6" s="1">
        <f t="shared" si="4"/>
        <v>8253.3333333333339</v>
      </c>
      <c r="K6" s="1">
        <f t="shared" si="4"/>
        <v>3041</v>
      </c>
      <c r="L6" s="52">
        <f t="shared" si="4"/>
        <v>262500</v>
      </c>
      <c r="M6" s="1">
        <f t="shared" si="4"/>
        <v>18358.674463937619</v>
      </c>
      <c r="N6" s="1">
        <f t="shared" si="4"/>
        <v>2600</v>
      </c>
      <c r="O6" s="1">
        <f t="shared" si="4"/>
        <v>3000</v>
      </c>
      <c r="P6" s="1">
        <f t="shared" si="4"/>
        <v>34000</v>
      </c>
      <c r="Q6" s="1">
        <f t="shared" si="4"/>
        <v>34877.777777777774</v>
      </c>
      <c r="R6" s="1">
        <f t="shared" si="4"/>
        <v>16701.388888888891</v>
      </c>
      <c r="S6" s="1">
        <f t="shared" si="4"/>
        <v>245</v>
      </c>
      <c r="T6" s="1">
        <f t="shared" si="4"/>
        <v>17650</v>
      </c>
      <c r="U6" s="1">
        <f t="shared" si="4"/>
        <v>5587.121212121212</v>
      </c>
      <c r="V6" s="1">
        <f t="shared" si="4"/>
        <v>5076.666666666667</v>
      </c>
      <c r="W6" s="1">
        <f t="shared" si="4"/>
        <v>8250</v>
      </c>
      <c r="X6" s="54">
        <f t="shared" si="4"/>
        <v>13254.761904761906</v>
      </c>
      <c r="Y6" s="58">
        <f t="shared" si="1"/>
        <v>38534.333333333336</v>
      </c>
      <c r="Z6" s="1">
        <f t="shared" si="2"/>
        <v>159601.39091415404</v>
      </c>
      <c r="AA6" s="1">
        <f t="shared" si="3"/>
        <v>460635.72424748738</v>
      </c>
    </row>
    <row r="7" spans="1:33" x14ac:dyDescent="0.25">
      <c r="A7" s="15" t="s">
        <v>51</v>
      </c>
      <c r="B7" s="16" t="s">
        <v>52</v>
      </c>
      <c r="C7" s="2"/>
      <c r="F7" s="1">
        <f>F14+F15+F16</f>
        <v>0</v>
      </c>
      <c r="G7" s="1">
        <f t="shared" ref="G7:X7" si="5">G14+G15+G16</f>
        <v>0</v>
      </c>
      <c r="H7" s="1">
        <f t="shared" si="5"/>
        <v>0</v>
      </c>
      <c r="I7" s="1">
        <f t="shared" si="5"/>
        <v>0</v>
      </c>
      <c r="J7" s="1">
        <f t="shared" si="5"/>
        <v>0</v>
      </c>
      <c r="K7" s="1">
        <f t="shared" si="5"/>
        <v>0</v>
      </c>
      <c r="L7" s="52">
        <f t="shared" si="5"/>
        <v>0</v>
      </c>
      <c r="M7" s="1">
        <f t="shared" si="5"/>
        <v>0</v>
      </c>
      <c r="N7" s="1">
        <f t="shared" si="5"/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  <c r="R7" s="1">
        <f t="shared" si="5"/>
        <v>0</v>
      </c>
      <c r="S7" s="1">
        <f t="shared" si="5"/>
        <v>0</v>
      </c>
      <c r="T7" s="1">
        <f t="shared" si="5"/>
        <v>0</v>
      </c>
      <c r="U7" s="1">
        <f t="shared" si="5"/>
        <v>0</v>
      </c>
      <c r="V7" s="1">
        <f t="shared" si="5"/>
        <v>0</v>
      </c>
      <c r="W7" s="1">
        <f t="shared" si="5"/>
        <v>0</v>
      </c>
      <c r="X7" s="54">
        <f t="shared" si="5"/>
        <v>0</v>
      </c>
      <c r="Y7" s="58">
        <f t="shared" si="1"/>
        <v>0</v>
      </c>
      <c r="Z7" s="1">
        <f t="shared" si="2"/>
        <v>0</v>
      </c>
      <c r="AA7" s="1">
        <f t="shared" si="3"/>
        <v>0</v>
      </c>
    </row>
    <row r="8" spans="1:33" x14ac:dyDescent="0.25">
      <c r="A8" s="15" t="s">
        <v>51</v>
      </c>
      <c r="B8" s="16" t="s">
        <v>56</v>
      </c>
      <c r="C8" s="2"/>
      <c r="F8" s="1">
        <f>F17+F18+F19</f>
        <v>0</v>
      </c>
      <c r="G8" s="1">
        <f t="shared" ref="G8:X8" si="6">G17+G18+G19</f>
        <v>0</v>
      </c>
      <c r="H8" s="1">
        <f t="shared" si="6"/>
        <v>0</v>
      </c>
      <c r="I8" s="1">
        <f t="shared" si="6"/>
        <v>0</v>
      </c>
      <c r="J8" s="1">
        <f t="shared" si="6"/>
        <v>0</v>
      </c>
      <c r="K8" s="1">
        <f t="shared" si="6"/>
        <v>0</v>
      </c>
      <c r="L8" s="52">
        <f t="shared" si="6"/>
        <v>0</v>
      </c>
      <c r="M8" s="1">
        <f t="shared" si="6"/>
        <v>0</v>
      </c>
      <c r="N8" s="1">
        <f t="shared" si="6"/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  <c r="R8" s="1">
        <f t="shared" si="6"/>
        <v>0</v>
      </c>
      <c r="S8" s="1">
        <f t="shared" si="6"/>
        <v>0</v>
      </c>
      <c r="T8" s="1">
        <f t="shared" si="6"/>
        <v>0</v>
      </c>
      <c r="U8" s="1">
        <f t="shared" si="6"/>
        <v>0</v>
      </c>
      <c r="V8" s="1">
        <f t="shared" si="6"/>
        <v>0</v>
      </c>
      <c r="W8" s="1">
        <f t="shared" si="6"/>
        <v>0</v>
      </c>
      <c r="X8" s="54">
        <f t="shared" si="6"/>
        <v>0</v>
      </c>
      <c r="Y8" s="58">
        <f t="shared" si="1"/>
        <v>0</v>
      </c>
      <c r="Z8" s="1">
        <f t="shared" si="2"/>
        <v>0</v>
      </c>
      <c r="AA8" s="1">
        <f t="shared" si="3"/>
        <v>0</v>
      </c>
      <c r="AE8" s="98"/>
      <c r="AF8" s="98"/>
      <c r="AG8" s="98"/>
    </row>
    <row r="9" spans="1:33" x14ac:dyDescent="0.25">
      <c r="A9" s="15" t="s">
        <v>51</v>
      </c>
      <c r="B9" s="16" t="s">
        <v>9</v>
      </c>
      <c r="C9" s="2"/>
      <c r="F9" s="1">
        <f>F20</f>
        <v>0</v>
      </c>
      <c r="G9" s="1">
        <f t="shared" ref="G9:X9" si="7">G20</f>
        <v>0</v>
      </c>
      <c r="H9" s="1">
        <f t="shared" si="7"/>
        <v>0</v>
      </c>
      <c r="I9" s="1">
        <f t="shared" si="7"/>
        <v>0</v>
      </c>
      <c r="J9" s="1">
        <f t="shared" si="7"/>
        <v>0</v>
      </c>
      <c r="K9" s="1">
        <f t="shared" si="7"/>
        <v>0</v>
      </c>
      <c r="L9" s="52">
        <f t="shared" si="7"/>
        <v>0</v>
      </c>
      <c r="M9" s="1">
        <f t="shared" si="7"/>
        <v>0</v>
      </c>
      <c r="N9" s="1">
        <f t="shared" si="7"/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  <c r="R9" s="1">
        <f t="shared" si="7"/>
        <v>0</v>
      </c>
      <c r="S9" s="1">
        <f t="shared" si="7"/>
        <v>0</v>
      </c>
      <c r="T9" s="1">
        <f t="shared" si="7"/>
        <v>0</v>
      </c>
      <c r="U9" s="1">
        <f t="shared" si="7"/>
        <v>0</v>
      </c>
      <c r="V9" s="1">
        <f t="shared" si="7"/>
        <v>0</v>
      </c>
      <c r="W9" s="1">
        <f t="shared" si="7"/>
        <v>0</v>
      </c>
      <c r="X9" s="54">
        <f t="shared" si="7"/>
        <v>0</v>
      </c>
      <c r="Y9" s="58">
        <f t="shared" si="1"/>
        <v>0</v>
      </c>
      <c r="Z9" s="1">
        <f t="shared" si="2"/>
        <v>0</v>
      </c>
      <c r="AA9" s="1">
        <f t="shared" si="3"/>
        <v>0</v>
      </c>
      <c r="AE9" s="98"/>
      <c r="AF9" s="98"/>
      <c r="AG9" s="98"/>
    </row>
    <row r="10" spans="1:33" x14ac:dyDescent="0.25">
      <c r="A10" s="30" t="s">
        <v>60</v>
      </c>
      <c r="B10" s="32" t="s">
        <v>13</v>
      </c>
      <c r="C10" s="2"/>
      <c r="F10" s="51">
        <f>F21+F22+F23</f>
        <v>8600</v>
      </c>
      <c r="G10" s="51">
        <f t="shared" ref="G10:X10" si="8">G21+G22+G23</f>
        <v>5000</v>
      </c>
      <c r="H10" s="91">
        <v>10700</v>
      </c>
      <c r="I10" s="51">
        <f t="shared" si="8"/>
        <v>2940</v>
      </c>
      <c r="J10" s="51">
        <f t="shared" si="8"/>
        <v>2000</v>
      </c>
      <c r="K10" s="51">
        <f t="shared" si="8"/>
        <v>800</v>
      </c>
      <c r="L10" s="52">
        <f t="shared" si="8"/>
        <v>0</v>
      </c>
      <c r="M10" s="51">
        <f t="shared" si="8"/>
        <v>4148.1481481481478</v>
      </c>
      <c r="N10" s="51">
        <f t="shared" si="8"/>
        <v>1500</v>
      </c>
      <c r="O10" s="51">
        <f t="shared" si="8"/>
        <v>3000</v>
      </c>
      <c r="P10" s="51">
        <f t="shared" si="8"/>
        <v>34000</v>
      </c>
      <c r="Q10" s="51">
        <f t="shared" si="8"/>
        <v>1100</v>
      </c>
      <c r="R10" s="51">
        <f t="shared" si="8"/>
        <v>1145.8333333333335</v>
      </c>
      <c r="S10" s="51">
        <f t="shared" si="8"/>
        <v>0</v>
      </c>
      <c r="T10" s="51">
        <f t="shared" si="8"/>
        <v>666.66666666666674</v>
      </c>
      <c r="U10" s="51">
        <f t="shared" si="8"/>
        <v>1041.6666666666667</v>
      </c>
      <c r="V10" s="51">
        <f t="shared" si="8"/>
        <v>50</v>
      </c>
      <c r="W10" s="51">
        <f t="shared" si="8"/>
        <v>1166.6666666666667</v>
      </c>
      <c r="X10" s="55">
        <f t="shared" si="8"/>
        <v>5000</v>
      </c>
      <c r="Y10" s="59">
        <f t="shared" si="1"/>
        <v>30040</v>
      </c>
      <c r="Z10" s="73">
        <f t="shared" si="2"/>
        <v>52818.981481481474</v>
      </c>
      <c r="AA10" s="73">
        <f t="shared" si="3"/>
        <v>82858.981481481474</v>
      </c>
      <c r="AB10" s="103">
        <v>90000</v>
      </c>
      <c r="AC10" t="s">
        <v>138</v>
      </c>
      <c r="AE10" s="98"/>
      <c r="AF10" s="98"/>
      <c r="AG10" s="98"/>
    </row>
    <row r="11" spans="1:33" x14ac:dyDescent="0.25">
      <c r="A11" s="30" t="s">
        <v>60</v>
      </c>
      <c r="B11" s="31" t="s">
        <v>23</v>
      </c>
      <c r="C11" s="2"/>
      <c r="F11" s="51">
        <f>F24+F25+F26</f>
        <v>0</v>
      </c>
      <c r="G11" s="51">
        <f t="shared" ref="G11:X11" si="9">G24+G25+G26</f>
        <v>0</v>
      </c>
      <c r="H11" s="51">
        <f t="shared" si="9"/>
        <v>0</v>
      </c>
      <c r="I11" s="51">
        <f t="shared" si="9"/>
        <v>0</v>
      </c>
      <c r="J11" s="51">
        <f t="shared" si="9"/>
        <v>1670</v>
      </c>
      <c r="K11" s="51">
        <f t="shared" si="9"/>
        <v>2241</v>
      </c>
      <c r="L11" s="52">
        <f t="shared" si="9"/>
        <v>0</v>
      </c>
      <c r="M11" s="51">
        <f t="shared" si="9"/>
        <v>0</v>
      </c>
      <c r="N11" s="51">
        <f t="shared" si="9"/>
        <v>1100</v>
      </c>
      <c r="O11" s="51">
        <f t="shared" si="9"/>
        <v>0</v>
      </c>
      <c r="P11" s="51">
        <f t="shared" si="9"/>
        <v>0</v>
      </c>
      <c r="Q11" s="51">
        <f t="shared" si="9"/>
        <v>0</v>
      </c>
      <c r="R11" s="51">
        <f t="shared" si="9"/>
        <v>0</v>
      </c>
      <c r="S11" s="51">
        <f t="shared" si="9"/>
        <v>245</v>
      </c>
      <c r="T11" s="51">
        <f t="shared" si="9"/>
        <v>650</v>
      </c>
      <c r="U11" s="51">
        <f t="shared" si="9"/>
        <v>0</v>
      </c>
      <c r="V11" s="51">
        <f t="shared" si="9"/>
        <v>100</v>
      </c>
      <c r="W11" s="51">
        <f t="shared" si="9"/>
        <v>0</v>
      </c>
      <c r="X11" s="55">
        <f t="shared" si="9"/>
        <v>100</v>
      </c>
      <c r="Y11" s="59">
        <f t="shared" si="1"/>
        <v>3911</v>
      </c>
      <c r="Z11" s="73">
        <f t="shared" si="2"/>
        <v>2195</v>
      </c>
      <c r="AA11" s="73">
        <f t="shared" si="3"/>
        <v>6106</v>
      </c>
      <c r="AC11" t="s">
        <v>14</v>
      </c>
      <c r="AD11" s="113">
        <f>AA10+AG22</f>
        <v>106858.98148148147</v>
      </c>
    </row>
    <row r="12" spans="1:33" x14ac:dyDescent="0.25">
      <c r="A12" s="30" t="s">
        <v>60</v>
      </c>
      <c r="B12" s="31" t="s">
        <v>65</v>
      </c>
      <c r="C12" s="46"/>
      <c r="F12" s="51">
        <f>F27+F28+F29</f>
        <v>0</v>
      </c>
      <c r="G12" s="51">
        <f t="shared" ref="G12:X12" si="10">G27+G28+G29</f>
        <v>0</v>
      </c>
      <c r="H12" s="51">
        <f t="shared" si="10"/>
        <v>0</v>
      </c>
      <c r="I12" s="51">
        <f t="shared" si="10"/>
        <v>0</v>
      </c>
      <c r="J12" s="51">
        <f t="shared" si="10"/>
        <v>4583.3333333333339</v>
      </c>
      <c r="K12" s="51">
        <f t="shared" si="10"/>
        <v>0</v>
      </c>
      <c r="L12" s="52">
        <f t="shared" si="10"/>
        <v>262500</v>
      </c>
      <c r="M12" s="51">
        <f t="shared" si="10"/>
        <v>14210.526315789473</v>
      </c>
      <c r="N12" s="51">
        <f t="shared" si="10"/>
        <v>0</v>
      </c>
      <c r="O12" s="51">
        <f t="shared" si="10"/>
        <v>0</v>
      </c>
      <c r="P12" s="51">
        <f t="shared" si="10"/>
        <v>0</v>
      </c>
      <c r="Q12" s="51">
        <f t="shared" si="10"/>
        <v>33777.777777777774</v>
      </c>
      <c r="R12" s="51">
        <f t="shared" si="10"/>
        <v>15555.555555555557</v>
      </c>
      <c r="S12" s="51">
        <f t="shared" si="10"/>
        <v>0</v>
      </c>
      <c r="T12" s="51">
        <f t="shared" si="10"/>
        <v>16333.333333333334</v>
      </c>
      <c r="U12" s="51">
        <f t="shared" si="10"/>
        <v>4545.454545454545</v>
      </c>
      <c r="V12" s="51">
        <f t="shared" si="10"/>
        <v>4166.666666666667</v>
      </c>
      <c r="W12" s="51">
        <f t="shared" si="10"/>
        <v>7083.3333333333339</v>
      </c>
      <c r="X12" s="55">
        <f t="shared" si="10"/>
        <v>6666.666666666667</v>
      </c>
      <c r="Y12" s="59">
        <f t="shared" si="1"/>
        <v>4583.3333333333339</v>
      </c>
      <c r="Z12" s="73">
        <f t="shared" si="2"/>
        <v>102339.31419457735</v>
      </c>
      <c r="AA12" s="81">
        <f t="shared" si="3"/>
        <v>369422.64752791065</v>
      </c>
      <c r="AB12" s="91">
        <v>360000</v>
      </c>
      <c r="AC12">
        <f>32/330</f>
        <v>9.696969696969697E-2</v>
      </c>
      <c r="AD12" t="s">
        <v>100</v>
      </c>
    </row>
    <row r="13" spans="1:33" ht="15.75" thickBot="1" x14ac:dyDescent="0.3">
      <c r="A13" s="48" t="s">
        <v>60</v>
      </c>
      <c r="B13" s="49" t="s">
        <v>9</v>
      </c>
      <c r="C13" s="50"/>
      <c r="D13" s="50"/>
      <c r="E13" s="50"/>
      <c r="F13" s="53">
        <f>F30</f>
        <v>0</v>
      </c>
      <c r="G13" s="53">
        <f t="shared" ref="G13:X13" si="11">G30</f>
        <v>0</v>
      </c>
      <c r="H13" s="53">
        <f t="shared" si="11"/>
        <v>0</v>
      </c>
      <c r="I13" s="53">
        <f t="shared" si="11"/>
        <v>0</v>
      </c>
      <c r="J13" s="53">
        <f t="shared" si="11"/>
        <v>0</v>
      </c>
      <c r="K13" s="53">
        <f t="shared" si="11"/>
        <v>0</v>
      </c>
      <c r="L13" s="62">
        <f t="shared" si="11"/>
        <v>0</v>
      </c>
      <c r="M13" s="53">
        <f t="shared" si="11"/>
        <v>0</v>
      </c>
      <c r="N13" s="53">
        <f t="shared" si="11"/>
        <v>0</v>
      </c>
      <c r="O13" s="53">
        <f t="shared" si="11"/>
        <v>0</v>
      </c>
      <c r="P13" s="53">
        <f t="shared" si="11"/>
        <v>0</v>
      </c>
      <c r="Q13" s="53">
        <f t="shared" si="11"/>
        <v>0</v>
      </c>
      <c r="R13" s="53">
        <f t="shared" si="11"/>
        <v>0</v>
      </c>
      <c r="S13" s="53">
        <f t="shared" si="11"/>
        <v>0</v>
      </c>
      <c r="T13" s="53">
        <f t="shared" si="11"/>
        <v>0</v>
      </c>
      <c r="U13" s="53">
        <f t="shared" si="11"/>
        <v>0</v>
      </c>
      <c r="V13" s="53">
        <f t="shared" si="11"/>
        <v>760</v>
      </c>
      <c r="W13" s="53">
        <f t="shared" si="11"/>
        <v>0</v>
      </c>
      <c r="X13" s="75">
        <f t="shared" si="11"/>
        <v>1488.0952380952381</v>
      </c>
      <c r="Y13" s="60">
        <f t="shared" si="1"/>
        <v>0</v>
      </c>
      <c r="Z13" s="74">
        <f t="shared" si="2"/>
        <v>2248.0952380952381</v>
      </c>
      <c r="AA13" s="104">
        <v>2200</v>
      </c>
    </row>
    <row r="14" spans="1:33" ht="15.75" thickTop="1" x14ac:dyDescent="0.25">
      <c r="A14" s="15" t="s">
        <v>51</v>
      </c>
      <c r="B14" s="16" t="s">
        <v>52</v>
      </c>
      <c r="C14" s="16" t="s">
        <v>53</v>
      </c>
      <c r="D14" s="2"/>
      <c r="E14" s="2"/>
      <c r="F14" s="47">
        <v>0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63">
        <v>0</v>
      </c>
      <c r="M14" s="47">
        <v>0</v>
      </c>
      <c r="N14" s="47">
        <v>0</v>
      </c>
      <c r="O14" s="47">
        <v>0</v>
      </c>
      <c r="P14" s="47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57">
        <v>0</v>
      </c>
      <c r="Y14" s="61">
        <f t="shared" si="1"/>
        <v>0</v>
      </c>
      <c r="Z14" s="47">
        <f t="shared" si="2"/>
        <v>0</v>
      </c>
      <c r="AA14" s="47">
        <f t="shared" ref="AA14:AA45" si="12">L14+Y14+Z14</f>
        <v>0</v>
      </c>
    </row>
    <row r="15" spans="1:33" x14ac:dyDescent="0.25">
      <c r="A15" s="15" t="s">
        <v>51</v>
      </c>
      <c r="B15" s="16" t="s">
        <v>52</v>
      </c>
      <c r="C15" s="16" t="s">
        <v>54</v>
      </c>
      <c r="D15" s="2"/>
      <c r="E15" s="2"/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52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54">
        <v>0</v>
      </c>
      <c r="Y15" s="58">
        <f t="shared" si="1"/>
        <v>0</v>
      </c>
      <c r="Z15" s="1">
        <f t="shared" si="2"/>
        <v>0</v>
      </c>
      <c r="AA15" s="1">
        <f t="shared" si="12"/>
        <v>0</v>
      </c>
    </row>
    <row r="16" spans="1:33" x14ac:dyDescent="0.25">
      <c r="A16" s="15" t="s">
        <v>51</v>
      </c>
      <c r="B16" s="16" t="s">
        <v>52</v>
      </c>
      <c r="C16" s="16" t="s">
        <v>55</v>
      </c>
      <c r="D16" s="2"/>
      <c r="E16" s="2"/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52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54">
        <v>0</v>
      </c>
      <c r="Y16" s="58">
        <f t="shared" si="1"/>
        <v>0</v>
      </c>
      <c r="Z16" s="1">
        <f t="shared" si="2"/>
        <v>0</v>
      </c>
      <c r="AA16" s="1">
        <f t="shared" si="12"/>
        <v>0</v>
      </c>
    </row>
    <row r="17" spans="1:34" x14ac:dyDescent="0.25">
      <c r="A17" s="25" t="s">
        <v>51</v>
      </c>
      <c r="B17" s="26" t="s">
        <v>56</v>
      </c>
      <c r="C17" s="26" t="s">
        <v>57</v>
      </c>
      <c r="D17" s="2"/>
      <c r="E17" s="2"/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52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54">
        <v>0</v>
      </c>
      <c r="Y17" s="58">
        <f t="shared" si="1"/>
        <v>0</v>
      </c>
      <c r="Z17" s="1">
        <f t="shared" si="2"/>
        <v>0</v>
      </c>
      <c r="AA17" s="1">
        <f t="shared" si="12"/>
        <v>0</v>
      </c>
    </row>
    <row r="18" spans="1:34" x14ac:dyDescent="0.25">
      <c r="A18" s="15" t="s">
        <v>51</v>
      </c>
      <c r="B18" s="16" t="s">
        <v>56</v>
      </c>
      <c r="C18" s="27" t="s">
        <v>58</v>
      </c>
      <c r="D18" s="2"/>
      <c r="E18" s="2"/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52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54">
        <v>0</v>
      </c>
      <c r="Y18" s="58">
        <f t="shared" si="1"/>
        <v>0</v>
      </c>
      <c r="Z18" s="1">
        <f t="shared" si="2"/>
        <v>0</v>
      </c>
      <c r="AA18" s="1">
        <f t="shared" si="12"/>
        <v>0</v>
      </c>
    </row>
    <row r="19" spans="1:34" x14ac:dyDescent="0.25">
      <c r="A19" s="15" t="s">
        <v>51</v>
      </c>
      <c r="B19" s="16" t="s">
        <v>9</v>
      </c>
      <c r="C19" s="27" t="s">
        <v>59</v>
      </c>
      <c r="D19" s="2"/>
      <c r="E19" s="2"/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52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54">
        <v>0</v>
      </c>
      <c r="Y19" s="58">
        <f t="shared" si="1"/>
        <v>0</v>
      </c>
      <c r="Z19" s="1">
        <f t="shared" si="2"/>
        <v>0</v>
      </c>
      <c r="AA19" s="1">
        <f t="shared" si="12"/>
        <v>0</v>
      </c>
    </row>
    <row r="20" spans="1:34" x14ac:dyDescent="0.25">
      <c r="A20" s="15" t="s">
        <v>51</v>
      </c>
      <c r="B20" s="16" t="s">
        <v>9</v>
      </c>
      <c r="C20" s="27" t="s">
        <v>9</v>
      </c>
      <c r="D20" s="2"/>
      <c r="E20" s="2"/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52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54">
        <v>0</v>
      </c>
      <c r="Y20" s="58">
        <f t="shared" si="1"/>
        <v>0</v>
      </c>
      <c r="Z20" s="1">
        <f t="shared" si="2"/>
        <v>0</v>
      </c>
      <c r="AA20" s="1">
        <f t="shared" si="12"/>
        <v>0</v>
      </c>
    </row>
    <row r="21" spans="1:34" x14ac:dyDescent="0.25">
      <c r="A21" s="28" t="s">
        <v>60</v>
      </c>
      <c r="B21" s="29" t="s">
        <v>13</v>
      </c>
      <c r="C21" s="29" t="s">
        <v>61</v>
      </c>
      <c r="D21" s="2"/>
      <c r="E21" s="2"/>
      <c r="F21" s="91">
        <f>8600*0.8</f>
        <v>6880</v>
      </c>
      <c r="G21" s="51">
        <v>0</v>
      </c>
      <c r="H21" s="91">
        <f>H10*0.45</f>
        <v>4815</v>
      </c>
      <c r="I21" s="91">
        <v>2940</v>
      </c>
      <c r="J21" s="91">
        <v>2000</v>
      </c>
      <c r="K21" s="91">
        <v>800</v>
      </c>
      <c r="L21" s="52">
        <v>0</v>
      </c>
      <c r="M21" s="103">
        <f>2000*1600/900/0.9*1.05</f>
        <v>4148.1481481481478</v>
      </c>
      <c r="N21" s="91">
        <v>1500</v>
      </c>
      <c r="O21" s="91">
        <v>3000</v>
      </c>
      <c r="P21" s="91">
        <v>15000</v>
      </c>
      <c r="Q21" s="69">
        <f>Q66/Q111</f>
        <v>1100</v>
      </c>
      <c r="R21" s="69">
        <f>R66/R111</f>
        <v>1145.8333333333335</v>
      </c>
      <c r="S21" s="51">
        <v>0</v>
      </c>
      <c r="T21" s="69">
        <f>T66/T111</f>
        <v>666.66666666666674</v>
      </c>
      <c r="U21" s="69">
        <f>U66/U111</f>
        <v>1041.6666666666667</v>
      </c>
      <c r="V21" s="77">
        <v>50</v>
      </c>
      <c r="W21" s="69">
        <f>W66/W111</f>
        <v>1166.6666666666667</v>
      </c>
      <c r="X21" s="69">
        <f>X66/X111</f>
        <v>5000</v>
      </c>
      <c r="Y21" s="59">
        <f t="shared" si="1"/>
        <v>17435</v>
      </c>
      <c r="Z21" s="51">
        <f t="shared" si="2"/>
        <v>33818.981481481482</v>
      </c>
      <c r="AA21" s="51">
        <f t="shared" si="12"/>
        <v>51253.981481481482</v>
      </c>
      <c r="AD21" s="99" t="s">
        <v>135</v>
      </c>
      <c r="AE21" s="99" t="s">
        <v>136</v>
      </c>
      <c r="AF21" s="99" t="s">
        <v>137</v>
      </c>
      <c r="AG21" s="99"/>
    </row>
    <row r="22" spans="1:34" x14ac:dyDescent="0.25">
      <c r="A22" s="36" t="s">
        <v>60</v>
      </c>
      <c r="B22" s="37" t="s">
        <v>13</v>
      </c>
      <c r="C22" s="29" t="s">
        <v>62</v>
      </c>
      <c r="D22" s="2"/>
      <c r="E22" s="2"/>
      <c r="F22" s="91">
        <f>8600*0.2</f>
        <v>1720</v>
      </c>
      <c r="G22" s="103">
        <f>0.5*10000</f>
        <v>5000</v>
      </c>
      <c r="H22" s="91">
        <f>H10*0.55</f>
        <v>5885.0000000000009</v>
      </c>
      <c r="I22" s="51">
        <v>0</v>
      </c>
      <c r="J22" s="51">
        <v>0</v>
      </c>
      <c r="K22" s="51">
        <v>0</v>
      </c>
      <c r="L22" s="52">
        <v>0</v>
      </c>
      <c r="M22" s="51">
        <v>0</v>
      </c>
      <c r="N22" s="51">
        <v>0</v>
      </c>
      <c r="O22" s="91">
        <v>0</v>
      </c>
      <c r="P22" s="91">
        <v>19000</v>
      </c>
      <c r="Q22" s="51">
        <v>0</v>
      </c>
      <c r="R22" s="51">
        <v>0</v>
      </c>
      <c r="S22" s="51">
        <v>0</v>
      </c>
      <c r="T22" s="51">
        <v>0</v>
      </c>
      <c r="U22" s="51">
        <v>0</v>
      </c>
      <c r="V22" s="51">
        <v>0</v>
      </c>
      <c r="W22" s="51">
        <v>0</v>
      </c>
      <c r="X22" s="55">
        <v>0</v>
      </c>
      <c r="Y22" s="59">
        <f t="shared" si="1"/>
        <v>12605</v>
      </c>
      <c r="Z22" s="51">
        <f t="shared" si="2"/>
        <v>19000</v>
      </c>
      <c r="AA22" s="51">
        <f t="shared" si="12"/>
        <v>31605</v>
      </c>
      <c r="AD22" s="99" t="s">
        <v>1</v>
      </c>
      <c r="AE22" s="99">
        <v>12000</v>
      </c>
      <c r="AF22" s="99">
        <v>12000</v>
      </c>
      <c r="AG22" s="99">
        <f>SUM(AE22:AF22)</f>
        <v>24000</v>
      </c>
    </row>
    <row r="23" spans="1:34" x14ac:dyDescent="0.25">
      <c r="A23" s="30" t="s">
        <v>60</v>
      </c>
      <c r="B23" s="31" t="s">
        <v>13</v>
      </c>
      <c r="C23" s="32" t="s">
        <v>63</v>
      </c>
      <c r="D23" s="2"/>
      <c r="E23" s="2"/>
      <c r="F23" s="51">
        <v>0</v>
      </c>
      <c r="G23" s="51">
        <v>0</v>
      </c>
      <c r="H23" s="51"/>
      <c r="I23" s="51">
        <v>0</v>
      </c>
      <c r="J23" s="51">
        <v>0</v>
      </c>
      <c r="K23" s="51">
        <v>0</v>
      </c>
      <c r="L23" s="52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55">
        <v>0</v>
      </c>
      <c r="Y23" s="59">
        <f t="shared" si="1"/>
        <v>0</v>
      </c>
      <c r="Z23" s="51">
        <f t="shared" si="2"/>
        <v>0</v>
      </c>
      <c r="AA23" s="51">
        <f t="shared" si="12"/>
        <v>0</v>
      </c>
      <c r="AD23" s="99" t="s">
        <v>18</v>
      </c>
      <c r="AE23" s="99"/>
      <c r="AF23" s="99"/>
      <c r="AG23" s="99">
        <v>2300</v>
      </c>
    </row>
    <row r="24" spans="1:34" x14ac:dyDescent="0.25">
      <c r="A24" s="30" t="s">
        <v>60</v>
      </c>
      <c r="B24" s="32" t="s">
        <v>23</v>
      </c>
      <c r="C24" s="31" t="s">
        <v>50</v>
      </c>
      <c r="D24" s="2"/>
      <c r="E24" s="2"/>
      <c r="F24" s="77">
        <f>F204*F159</f>
        <v>0</v>
      </c>
      <c r="G24" s="51">
        <v>0</v>
      </c>
      <c r="H24" s="51">
        <v>0</v>
      </c>
      <c r="I24" s="51">
        <v>0</v>
      </c>
      <c r="J24" s="77">
        <f>J21*0.01</f>
        <v>20</v>
      </c>
      <c r="K24" s="64">
        <f>1800</f>
        <v>1800</v>
      </c>
      <c r="L24" s="52">
        <v>0</v>
      </c>
      <c r="M24" s="51">
        <v>0</v>
      </c>
      <c r="N24" s="91">
        <f>1100</f>
        <v>1100</v>
      </c>
      <c r="O24" s="51">
        <v>0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51">
        <v>0</v>
      </c>
      <c r="X24" s="55">
        <v>0</v>
      </c>
      <c r="Y24" s="59">
        <f t="shared" si="1"/>
        <v>1820</v>
      </c>
      <c r="Z24" s="51">
        <f t="shared" si="2"/>
        <v>1100</v>
      </c>
      <c r="AA24" s="103">
        <v>3700</v>
      </c>
      <c r="AD24" s="99" t="s">
        <v>35</v>
      </c>
      <c r="AE24" s="99"/>
      <c r="AF24" s="99">
        <v>0.04</v>
      </c>
      <c r="AG24" s="99">
        <v>0.15</v>
      </c>
    </row>
    <row r="25" spans="1:34" x14ac:dyDescent="0.25">
      <c r="A25" s="30" t="s">
        <v>60</v>
      </c>
      <c r="B25" s="32" t="s">
        <v>23</v>
      </c>
      <c r="C25" s="31" t="s">
        <v>49</v>
      </c>
      <c r="D25" s="2"/>
      <c r="E25" s="2"/>
      <c r="F25" s="51">
        <v>0</v>
      </c>
      <c r="G25" s="51">
        <v>0</v>
      </c>
      <c r="H25" s="51">
        <v>0</v>
      </c>
      <c r="I25" s="51">
        <v>0</v>
      </c>
      <c r="J25" s="83">
        <f>1650</f>
        <v>1650</v>
      </c>
      <c r="K25" s="64">
        <f>2450*0.18</f>
        <v>441</v>
      </c>
      <c r="L25" s="52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51">
        <v>0</v>
      </c>
      <c r="S25" s="64">
        <v>245</v>
      </c>
      <c r="T25" s="77">
        <v>650</v>
      </c>
      <c r="U25" s="51">
        <v>0</v>
      </c>
      <c r="V25" s="77">
        <v>100</v>
      </c>
      <c r="W25" s="51">
        <v>0</v>
      </c>
      <c r="X25" s="77">
        <v>100</v>
      </c>
      <c r="Y25" s="59">
        <f t="shared" si="1"/>
        <v>2091</v>
      </c>
      <c r="Z25" s="51">
        <f t="shared" si="2"/>
        <v>1095</v>
      </c>
      <c r="AA25" s="51">
        <f t="shared" si="12"/>
        <v>3186</v>
      </c>
      <c r="AB25" s="103">
        <v>2450</v>
      </c>
      <c r="AC25" t="s">
        <v>129</v>
      </c>
      <c r="AE25" s="99" t="s">
        <v>17</v>
      </c>
      <c r="AF25" s="99">
        <f>AF22/AF24</f>
        <v>300000</v>
      </c>
      <c r="AG25" s="99">
        <f>AG22/AG24</f>
        <v>160000</v>
      </c>
    </row>
    <row r="26" spans="1:34" x14ac:dyDescent="0.25">
      <c r="A26" s="30" t="s">
        <v>60</v>
      </c>
      <c r="B26" s="32" t="s">
        <v>23</v>
      </c>
      <c r="C26" s="31" t="s">
        <v>64</v>
      </c>
      <c r="D26" s="2"/>
      <c r="E26" s="2"/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2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  <c r="V26" s="51">
        <v>0</v>
      </c>
      <c r="W26" s="51">
        <v>0</v>
      </c>
      <c r="X26" s="55">
        <v>0</v>
      </c>
      <c r="Y26" s="59">
        <f t="shared" si="1"/>
        <v>0</v>
      </c>
      <c r="Z26" s="51">
        <f t="shared" si="2"/>
        <v>0</v>
      </c>
      <c r="AA26" s="51">
        <f t="shared" si="12"/>
        <v>0</v>
      </c>
    </row>
    <row r="27" spans="1:34" x14ac:dyDescent="0.25">
      <c r="A27" s="30" t="s">
        <v>60</v>
      </c>
      <c r="B27" s="32" t="s">
        <v>65</v>
      </c>
      <c r="C27" s="31" t="s">
        <v>66</v>
      </c>
      <c r="D27" s="2"/>
      <c r="E27" s="2">
        <f>4/18</f>
        <v>0.22222222222222221</v>
      </c>
      <c r="F27" s="51">
        <v>0</v>
      </c>
      <c r="G27" s="51">
        <v>0</v>
      </c>
      <c r="H27" s="51">
        <v>0</v>
      </c>
      <c r="I27" s="51">
        <v>0</v>
      </c>
      <c r="J27" s="81">
        <f>J72/J117</f>
        <v>4583.3333333333339</v>
      </c>
      <c r="K27" s="51">
        <v>0</v>
      </c>
      <c r="L27" s="52">
        <v>0</v>
      </c>
      <c r="M27" s="81">
        <f>M72/M117</f>
        <v>14210.526315789473</v>
      </c>
      <c r="N27" s="51">
        <v>0</v>
      </c>
      <c r="O27" s="51">
        <v>0</v>
      </c>
      <c r="P27" s="51">
        <v>0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51">
        <v>0</v>
      </c>
      <c r="X27" s="55">
        <v>0</v>
      </c>
      <c r="Y27" s="59">
        <f t="shared" si="1"/>
        <v>4583.3333333333339</v>
      </c>
      <c r="Z27" s="51">
        <f t="shared" si="2"/>
        <v>14210.526315789473</v>
      </c>
      <c r="AA27" s="51">
        <f t="shared" si="12"/>
        <v>18793.859649122809</v>
      </c>
    </row>
    <row r="28" spans="1:34" x14ac:dyDescent="0.25">
      <c r="A28" s="30" t="s">
        <v>60</v>
      </c>
      <c r="B28" s="32" t="s">
        <v>65</v>
      </c>
      <c r="C28" s="31" t="s">
        <v>67</v>
      </c>
      <c r="D28" s="2"/>
      <c r="E28" s="2"/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2">
        <v>0</v>
      </c>
      <c r="M28" s="51">
        <v>0</v>
      </c>
      <c r="N28" s="51">
        <v>0</v>
      </c>
      <c r="O28" s="51">
        <v>0</v>
      </c>
      <c r="P28" s="51">
        <v>0</v>
      </c>
      <c r="Q28" s="81">
        <f>Q73/Q118</f>
        <v>33777.777777777774</v>
      </c>
      <c r="R28" s="81">
        <f>R73/R118</f>
        <v>15555.555555555557</v>
      </c>
      <c r="S28" s="51">
        <v>0</v>
      </c>
      <c r="T28" s="81">
        <f>T73/T118</f>
        <v>16333.333333333334</v>
      </c>
      <c r="U28" s="81">
        <f>U73/U118</f>
        <v>4545.454545454545</v>
      </c>
      <c r="V28" s="81">
        <f>V73/V118</f>
        <v>4166.666666666667</v>
      </c>
      <c r="W28" s="81">
        <f>W73/W118</f>
        <v>7083.3333333333339</v>
      </c>
      <c r="X28" s="81">
        <f>X73/X118</f>
        <v>6666.666666666667</v>
      </c>
      <c r="Y28" s="59">
        <f t="shared" si="1"/>
        <v>0</v>
      </c>
      <c r="Z28" s="51">
        <f t="shared" si="2"/>
        <v>88128.787878787873</v>
      </c>
      <c r="AA28" s="51">
        <f t="shared" si="12"/>
        <v>88128.787878787873</v>
      </c>
    </row>
    <row r="29" spans="1:34" x14ac:dyDescent="0.25">
      <c r="A29" s="30" t="s">
        <v>60</v>
      </c>
      <c r="B29" s="32" t="s">
        <v>65</v>
      </c>
      <c r="C29" s="31" t="s">
        <v>68</v>
      </c>
      <c r="D29" s="2"/>
      <c r="E29" s="2"/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81">
        <f>L74/L119</f>
        <v>262500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  <c r="R29" s="51">
        <v>0</v>
      </c>
      <c r="S29" s="51">
        <v>0</v>
      </c>
      <c r="T29" s="51">
        <v>0</v>
      </c>
      <c r="U29" s="51">
        <v>0</v>
      </c>
      <c r="V29" s="51">
        <v>0</v>
      </c>
      <c r="W29" s="51">
        <v>0</v>
      </c>
      <c r="X29" s="55">
        <v>0</v>
      </c>
      <c r="Y29" s="59">
        <f t="shared" si="1"/>
        <v>0</v>
      </c>
      <c r="Z29" s="51">
        <f t="shared" si="2"/>
        <v>0</v>
      </c>
      <c r="AA29" s="51">
        <f t="shared" si="12"/>
        <v>262500</v>
      </c>
    </row>
    <row r="30" spans="1:34" x14ac:dyDescent="0.25">
      <c r="A30" s="30" t="s">
        <v>60</v>
      </c>
      <c r="B30" s="32" t="s">
        <v>9</v>
      </c>
      <c r="C30" s="31" t="s">
        <v>69</v>
      </c>
      <c r="D30" s="2"/>
      <c r="E30" s="2"/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2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  <c r="R30" s="51">
        <v>0</v>
      </c>
      <c r="S30" s="51">
        <v>0</v>
      </c>
      <c r="T30" s="51">
        <v>0</v>
      </c>
      <c r="U30" s="51">
        <v>0</v>
      </c>
      <c r="V30" s="96">
        <v>760</v>
      </c>
      <c r="W30" s="51">
        <v>0</v>
      </c>
      <c r="X30" s="81">
        <f>X75/X120</f>
        <v>1488.0952380952381</v>
      </c>
      <c r="Y30" s="59">
        <f t="shared" si="1"/>
        <v>0</v>
      </c>
      <c r="Z30" s="51">
        <f t="shared" si="2"/>
        <v>2248.0952380952381</v>
      </c>
      <c r="AA30" s="51">
        <f t="shared" si="12"/>
        <v>2248.0952380952381</v>
      </c>
    </row>
    <row r="31" spans="1:34" x14ac:dyDescent="0.25">
      <c r="A31" s="15" t="s">
        <v>51</v>
      </c>
      <c r="B31" s="16" t="s">
        <v>56</v>
      </c>
      <c r="C31" s="27" t="s">
        <v>57</v>
      </c>
      <c r="D31" s="16" t="s">
        <v>70</v>
      </c>
      <c r="E31" s="43"/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52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54">
        <v>0</v>
      </c>
      <c r="Y31" s="58">
        <f t="shared" si="1"/>
        <v>0</v>
      </c>
      <c r="Z31" s="1">
        <f t="shared" si="2"/>
        <v>0</v>
      </c>
      <c r="AA31" s="1">
        <f t="shared" si="12"/>
        <v>0</v>
      </c>
      <c r="AH31">
        <f>52/128*2000</f>
        <v>812.5</v>
      </c>
    </row>
    <row r="32" spans="1:34" x14ac:dyDescent="0.25">
      <c r="A32" s="15" t="s">
        <v>51</v>
      </c>
      <c r="B32" s="16" t="s">
        <v>56</v>
      </c>
      <c r="C32" s="27" t="s">
        <v>57</v>
      </c>
      <c r="D32" s="16" t="s">
        <v>71</v>
      </c>
      <c r="E32" s="43"/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52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54">
        <v>0</v>
      </c>
      <c r="Y32" s="58">
        <f t="shared" si="1"/>
        <v>0</v>
      </c>
      <c r="Z32" s="1">
        <f t="shared" si="2"/>
        <v>0</v>
      </c>
      <c r="AA32" s="1">
        <f t="shared" si="12"/>
        <v>0</v>
      </c>
    </row>
    <row r="33" spans="1:34" x14ac:dyDescent="0.25">
      <c r="A33" s="15" t="s">
        <v>51</v>
      </c>
      <c r="B33" s="16" t="s">
        <v>56</v>
      </c>
      <c r="C33" s="27" t="s">
        <v>27</v>
      </c>
      <c r="D33" s="16" t="s">
        <v>72</v>
      </c>
      <c r="E33" s="43"/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52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54">
        <v>0</v>
      </c>
      <c r="Y33" s="58">
        <f t="shared" si="1"/>
        <v>0</v>
      </c>
      <c r="Z33" s="1">
        <f t="shared" si="2"/>
        <v>0</v>
      </c>
      <c r="AA33" s="1">
        <f t="shared" si="12"/>
        <v>0</v>
      </c>
    </row>
    <row r="34" spans="1:34" x14ac:dyDescent="0.25">
      <c r="A34" s="15" t="s">
        <v>51</v>
      </c>
      <c r="B34" s="16" t="s">
        <v>56</v>
      </c>
      <c r="C34" s="27" t="s">
        <v>57</v>
      </c>
      <c r="D34" s="16" t="s">
        <v>73</v>
      </c>
      <c r="E34" s="43"/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52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54">
        <v>0</v>
      </c>
      <c r="Y34" s="58">
        <f t="shared" si="1"/>
        <v>0</v>
      </c>
      <c r="Z34" s="1">
        <f t="shared" si="2"/>
        <v>0</v>
      </c>
      <c r="AA34" s="1">
        <f t="shared" si="12"/>
        <v>0</v>
      </c>
    </row>
    <row r="35" spans="1:34" x14ac:dyDescent="0.25">
      <c r="A35" s="15" t="s">
        <v>51</v>
      </c>
      <c r="B35" s="16" t="s">
        <v>56</v>
      </c>
      <c r="C35" s="27" t="s">
        <v>57</v>
      </c>
      <c r="D35" s="16" t="s">
        <v>74</v>
      </c>
      <c r="E35" s="43"/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52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54">
        <v>0</v>
      </c>
      <c r="Y35" s="58">
        <f t="shared" si="1"/>
        <v>0</v>
      </c>
      <c r="Z35" s="1">
        <f t="shared" si="2"/>
        <v>0</v>
      </c>
      <c r="AA35" s="1">
        <f t="shared" si="12"/>
        <v>0</v>
      </c>
      <c r="AC35" t="s">
        <v>105</v>
      </c>
    </row>
    <row r="36" spans="1:34" x14ac:dyDescent="0.25">
      <c r="A36" s="30" t="s">
        <v>60</v>
      </c>
      <c r="B36" s="31" t="s">
        <v>13</v>
      </c>
      <c r="C36" s="32" t="s">
        <v>61</v>
      </c>
      <c r="D36" s="31" t="s">
        <v>75</v>
      </c>
      <c r="E36" s="72">
        <v>0.18</v>
      </c>
      <c r="F36" s="51">
        <f>F21*0.5</f>
        <v>3440</v>
      </c>
      <c r="G36" s="73"/>
      <c r="H36" s="51">
        <f>H21</f>
        <v>4815</v>
      </c>
      <c r="I36" s="51">
        <f>I21*0.7</f>
        <v>2058</v>
      </c>
      <c r="J36" s="51">
        <f>J21*0.3</f>
        <v>600</v>
      </c>
      <c r="K36" s="51">
        <f>K21*0.8</f>
        <v>640</v>
      </c>
      <c r="L36" s="52">
        <v>0</v>
      </c>
      <c r="M36" s="73">
        <f>M21*0.1</f>
        <v>414.81481481481478</v>
      </c>
      <c r="N36" s="73">
        <v>0</v>
      </c>
      <c r="O36" s="73">
        <v>0</v>
      </c>
      <c r="P36" s="73">
        <v>0</v>
      </c>
      <c r="Q36" s="73"/>
      <c r="R36" s="73"/>
      <c r="S36" s="51"/>
      <c r="T36" s="51"/>
      <c r="U36" s="51"/>
      <c r="V36" s="51"/>
      <c r="W36" s="51">
        <f>W21</f>
        <v>1166.6666666666667</v>
      </c>
      <c r="X36" s="55">
        <f>X21*0.1</f>
        <v>500</v>
      </c>
      <c r="Y36" s="108">
        <f t="shared" si="1"/>
        <v>11553</v>
      </c>
      <c r="Z36" s="73">
        <f t="shared" si="2"/>
        <v>2081.4814814814818</v>
      </c>
      <c r="AA36" s="73">
        <f t="shared" si="12"/>
        <v>13634.481481481482</v>
      </c>
      <c r="AB36">
        <f>AA36/AA$10</f>
        <v>0.16455043542296877</v>
      </c>
      <c r="AC36" s="71"/>
    </row>
    <row r="37" spans="1:34" x14ac:dyDescent="0.25">
      <c r="A37" s="30" t="s">
        <v>60</v>
      </c>
      <c r="B37" s="31" t="s">
        <v>13</v>
      </c>
      <c r="C37" s="32" t="s">
        <v>61</v>
      </c>
      <c r="D37" s="31" t="s">
        <v>76</v>
      </c>
      <c r="E37" s="72">
        <v>0.38</v>
      </c>
      <c r="F37" s="51">
        <f>F21*0.5</f>
        <v>3440</v>
      </c>
      <c r="G37" s="51">
        <v>0</v>
      </c>
      <c r="H37" s="51">
        <v>0</v>
      </c>
      <c r="I37" s="51">
        <f>I21*0.25</f>
        <v>735</v>
      </c>
      <c r="J37" s="51">
        <f>J21*0.7</f>
        <v>1400</v>
      </c>
      <c r="K37" s="51">
        <f>K21*0.05</f>
        <v>40</v>
      </c>
      <c r="L37" s="52">
        <v>0</v>
      </c>
      <c r="M37" s="73">
        <f>M21*0.4</f>
        <v>1659.2592592592591</v>
      </c>
      <c r="N37" s="73">
        <f>N21</f>
        <v>1500</v>
      </c>
      <c r="O37" s="73">
        <f>O21*0.3</f>
        <v>900</v>
      </c>
      <c r="P37" s="73">
        <f>P21*0.2</f>
        <v>3000</v>
      </c>
      <c r="Q37" s="73"/>
      <c r="R37" s="73">
        <f>R21</f>
        <v>1145.8333333333335</v>
      </c>
      <c r="S37" s="51"/>
      <c r="T37" s="51"/>
      <c r="U37" s="51"/>
      <c r="V37" s="51"/>
      <c r="W37" s="51"/>
      <c r="X37" s="55">
        <f>X21*0.1</f>
        <v>500</v>
      </c>
      <c r="Y37" s="108">
        <f t="shared" si="1"/>
        <v>5615</v>
      </c>
      <c r="Z37" s="73">
        <f t="shared" si="2"/>
        <v>8705.0925925925931</v>
      </c>
      <c r="AA37" s="73">
        <f t="shared" si="12"/>
        <v>14320.092592592593</v>
      </c>
      <c r="AB37">
        <f t="shared" ref="AB37:AB44" si="13">AA37/AA$10</f>
        <v>0.17282486866910204</v>
      </c>
      <c r="AC37" s="71"/>
    </row>
    <row r="38" spans="1:34" x14ac:dyDescent="0.25">
      <c r="A38" s="30" t="s">
        <v>60</v>
      </c>
      <c r="B38" s="31" t="s">
        <v>13</v>
      </c>
      <c r="C38" s="32" t="s">
        <v>61</v>
      </c>
      <c r="D38" s="31" t="s">
        <v>77</v>
      </c>
      <c r="E38" s="72">
        <v>0.36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f>K21*0.1</f>
        <v>80</v>
      </c>
      <c r="L38" s="52">
        <v>0</v>
      </c>
      <c r="M38" s="73">
        <f>M21*0.5</f>
        <v>2074.0740740740739</v>
      </c>
      <c r="N38" s="73">
        <v>0</v>
      </c>
      <c r="O38" s="73">
        <f>O21*0.7</f>
        <v>2100</v>
      </c>
      <c r="P38" s="73">
        <f>P21*0.7</f>
        <v>10500</v>
      </c>
      <c r="Q38" s="73"/>
      <c r="R38" s="73"/>
      <c r="S38" s="51"/>
      <c r="T38" s="51">
        <f>T21</f>
        <v>666.66666666666674</v>
      </c>
      <c r="U38" s="51">
        <f>U21</f>
        <v>1041.6666666666667</v>
      </c>
      <c r="V38" s="51"/>
      <c r="W38" s="51"/>
      <c r="X38" s="55">
        <f>X21*0.7</f>
        <v>3500</v>
      </c>
      <c r="Y38" s="108">
        <f t="shared" si="1"/>
        <v>80</v>
      </c>
      <c r="Z38" s="73">
        <f t="shared" si="2"/>
        <v>19882.407407407405</v>
      </c>
      <c r="AA38" s="73">
        <f t="shared" si="12"/>
        <v>19962.407407407405</v>
      </c>
      <c r="AB38">
        <f t="shared" si="13"/>
        <v>0.24092026054977386</v>
      </c>
      <c r="AC38" s="71"/>
      <c r="AG38" s="70"/>
      <c r="AH38" s="70"/>
    </row>
    <row r="39" spans="1:34" x14ac:dyDescent="0.25">
      <c r="A39" s="30" t="s">
        <v>60</v>
      </c>
      <c r="B39" s="31" t="s">
        <v>13</v>
      </c>
      <c r="C39" s="32" t="s">
        <v>61</v>
      </c>
      <c r="D39" s="31" t="s">
        <v>78</v>
      </c>
      <c r="E39" s="72">
        <v>0.08</v>
      </c>
      <c r="F39" s="51">
        <v>0</v>
      </c>
      <c r="G39" s="51">
        <v>0</v>
      </c>
      <c r="H39" s="51">
        <v>0</v>
      </c>
      <c r="I39" s="51">
        <f>I21*0.05</f>
        <v>147</v>
      </c>
      <c r="J39" s="51">
        <v>0</v>
      </c>
      <c r="K39" s="51">
        <f>K21*0.05</f>
        <v>40</v>
      </c>
      <c r="L39" s="52">
        <v>0</v>
      </c>
      <c r="M39" s="73">
        <f>M21*0</f>
        <v>0</v>
      </c>
      <c r="N39" s="73">
        <v>0</v>
      </c>
      <c r="O39" s="73">
        <f>O21*0</f>
        <v>0</v>
      </c>
      <c r="P39" s="73">
        <f>(P21)*0.1</f>
        <v>1500</v>
      </c>
      <c r="Q39" s="73">
        <f>Q21</f>
        <v>1100</v>
      </c>
      <c r="R39" s="73"/>
      <c r="S39" s="51"/>
      <c r="T39" s="51"/>
      <c r="U39" s="51"/>
      <c r="V39" s="51"/>
      <c r="W39" s="51"/>
      <c r="X39" s="55">
        <f>X21*0.1</f>
        <v>500</v>
      </c>
      <c r="Y39" s="108">
        <f t="shared" si="1"/>
        <v>187</v>
      </c>
      <c r="Z39" s="73">
        <f t="shared" si="2"/>
        <v>3100</v>
      </c>
      <c r="AA39" s="73">
        <f t="shared" si="12"/>
        <v>3287</v>
      </c>
      <c r="AB39">
        <f t="shared" si="13"/>
        <v>3.9669809370449796E-2</v>
      </c>
      <c r="AC39" s="71"/>
      <c r="AG39" s="70"/>
      <c r="AH39" s="70"/>
    </row>
    <row r="40" spans="1:34" ht="15.75" thickBot="1" x14ac:dyDescent="0.3">
      <c r="A40" s="33" t="s">
        <v>60</v>
      </c>
      <c r="B40" s="34" t="s">
        <v>13</v>
      </c>
      <c r="C40" s="35" t="s">
        <v>61</v>
      </c>
      <c r="D40" s="34" t="s">
        <v>79</v>
      </c>
      <c r="E40" s="43"/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2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  <c r="V40" s="51">
        <v>0</v>
      </c>
      <c r="W40" s="51">
        <v>0</v>
      </c>
      <c r="X40" s="55">
        <v>0</v>
      </c>
      <c r="Y40" s="108">
        <f t="shared" si="1"/>
        <v>0</v>
      </c>
      <c r="Z40" s="73">
        <f t="shared" si="2"/>
        <v>0</v>
      </c>
      <c r="AA40" s="73">
        <f t="shared" si="12"/>
        <v>0</v>
      </c>
      <c r="AB40">
        <f t="shared" si="13"/>
        <v>0</v>
      </c>
      <c r="AF40" s="70"/>
      <c r="AG40" s="70"/>
      <c r="AH40" s="70"/>
    </row>
    <row r="41" spans="1:34" x14ac:dyDescent="0.25">
      <c r="A41" s="30" t="s">
        <v>60</v>
      </c>
      <c r="B41" s="31" t="s">
        <v>13</v>
      </c>
      <c r="C41" s="32" t="s">
        <v>62</v>
      </c>
      <c r="D41" s="31" t="s">
        <v>75</v>
      </c>
      <c r="E41" s="43"/>
      <c r="F41" s="51"/>
      <c r="G41" s="73">
        <f>G22*0.5</f>
        <v>2500</v>
      </c>
      <c r="H41" s="51">
        <f>H22*0.2</f>
        <v>1177.0000000000002</v>
      </c>
      <c r="I41" s="51">
        <v>0</v>
      </c>
      <c r="J41" s="51">
        <v>0</v>
      </c>
      <c r="K41" s="51">
        <v>0</v>
      </c>
      <c r="L41" s="52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  <c r="R41" s="51">
        <v>0</v>
      </c>
      <c r="S41" s="51">
        <v>0</v>
      </c>
      <c r="T41" s="51">
        <v>0</v>
      </c>
      <c r="U41" s="51">
        <v>0</v>
      </c>
      <c r="V41" s="51">
        <v>0</v>
      </c>
      <c r="W41" s="51">
        <v>0</v>
      </c>
      <c r="X41" s="55">
        <v>0</v>
      </c>
      <c r="Y41" s="108">
        <f t="shared" si="1"/>
        <v>3677</v>
      </c>
      <c r="Z41" s="73">
        <f t="shared" si="2"/>
        <v>0</v>
      </c>
      <c r="AA41" s="73">
        <f t="shared" si="12"/>
        <v>3677</v>
      </c>
      <c r="AB41">
        <f t="shared" si="13"/>
        <v>4.4376601477074507E-2</v>
      </c>
      <c r="AF41" s="70"/>
      <c r="AG41" s="70"/>
      <c r="AH41" s="70"/>
    </row>
    <row r="42" spans="1:34" x14ac:dyDescent="0.25">
      <c r="A42" s="30" t="s">
        <v>60</v>
      </c>
      <c r="B42" s="31" t="s">
        <v>13</v>
      </c>
      <c r="C42" s="32" t="s">
        <v>62</v>
      </c>
      <c r="D42" s="31" t="s">
        <v>76</v>
      </c>
      <c r="E42" s="43"/>
      <c r="F42" s="51">
        <f>F22</f>
        <v>1720</v>
      </c>
      <c r="G42" s="51">
        <f>G22*0.5</f>
        <v>2500</v>
      </c>
      <c r="H42" s="51">
        <f>H22*0.8</f>
        <v>4708.0000000000009</v>
      </c>
      <c r="I42" s="51">
        <v>0</v>
      </c>
      <c r="J42" s="51">
        <v>0</v>
      </c>
      <c r="K42" s="51">
        <v>0</v>
      </c>
      <c r="L42" s="52">
        <v>0</v>
      </c>
      <c r="M42" s="51">
        <v>0</v>
      </c>
      <c r="N42" s="51">
        <v>0</v>
      </c>
      <c r="O42" s="51">
        <v>0</v>
      </c>
      <c r="P42" s="51">
        <f>P22</f>
        <v>19000</v>
      </c>
      <c r="Q42" s="51">
        <v>0</v>
      </c>
      <c r="R42" s="51">
        <v>0</v>
      </c>
      <c r="S42" s="51">
        <v>0</v>
      </c>
      <c r="T42" s="51">
        <v>0</v>
      </c>
      <c r="U42" s="51">
        <v>0</v>
      </c>
      <c r="V42" s="51">
        <v>0</v>
      </c>
      <c r="W42" s="51">
        <v>0</v>
      </c>
      <c r="X42" s="55">
        <v>0</v>
      </c>
      <c r="Y42" s="108">
        <f t="shared" si="1"/>
        <v>8928</v>
      </c>
      <c r="Z42" s="73">
        <f t="shared" si="2"/>
        <v>19000</v>
      </c>
      <c r="AA42" s="73">
        <f t="shared" si="12"/>
        <v>27928</v>
      </c>
      <c r="AB42">
        <f t="shared" si="13"/>
        <v>0.33705458962516638</v>
      </c>
      <c r="AF42" s="70"/>
      <c r="AG42" s="70"/>
      <c r="AH42" s="70"/>
    </row>
    <row r="43" spans="1:34" x14ac:dyDescent="0.25">
      <c r="A43" s="30" t="s">
        <v>60</v>
      </c>
      <c r="B43" s="31" t="s">
        <v>13</v>
      </c>
      <c r="C43" s="32" t="s">
        <v>62</v>
      </c>
      <c r="D43" s="31" t="s">
        <v>77</v>
      </c>
      <c r="E43" s="43"/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2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  <c r="R43" s="51">
        <v>0</v>
      </c>
      <c r="S43" s="51">
        <v>0</v>
      </c>
      <c r="T43" s="51">
        <v>0</v>
      </c>
      <c r="U43" s="51">
        <v>0</v>
      </c>
      <c r="V43" s="51">
        <v>0</v>
      </c>
      <c r="W43" s="51">
        <v>0</v>
      </c>
      <c r="X43" s="55">
        <v>0</v>
      </c>
      <c r="Y43" s="59">
        <f t="shared" si="1"/>
        <v>0</v>
      </c>
      <c r="Z43" s="51">
        <f t="shared" si="2"/>
        <v>0</v>
      </c>
      <c r="AA43" s="51">
        <f t="shared" si="12"/>
        <v>0</v>
      </c>
      <c r="AB43">
        <f t="shared" si="13"/>
        <v>0</v>
      </c>
      <c r="AF43" s="70"/>
      <c r="AG43" s="70"/>
      <c r="AH43" s="70"/>
    </row>
    <row r="44" spans="1:34" x14ac:dyDescent="0.25">
      <c r="A44" s="30" t="s">
        <v>60</v>
      </c>
      <c r="B44" s="31" t="s">
        <v>13</v>
      </c>
      <c r="C44" s="32" t="s">
        <v>62</v>
      </c>
      <c r="D44" s="31" t="s">
        <v>78</v>
      </c>
      <c r="E44" s="43"/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2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  <c r="R44" s="51">
        <v>0</v>
      </c>
      <c r="S44" s="51">
        <v>0</v>
      </c>
      <c r="T44" s="51">
        <v>0</v>
      </c>
      <c r="U44" s="51">
        <v>0</v>
      </c>
      <c r="V44" s="51">
        <v>0</v>
      </c>
      <c r="W44" s="51">
        <v>0</v>
      </c>
      <c r="X44" s="55">
        <v>0</v>
      </c>
      <c r="Y44" s="59">
        <f t="shared" si="1"/>
        <v>0</v>
      </c>
      <c r="Z44" s="51">
        <f t="shared" si="2"/>
        <v>0</v>
      </c>
      <c r="AA44" s="51">
        <f t="shared" si="12"/>
        <v>0</v>
      </c>
      <c r="AB44">
        <f t="shared" si="13"/>
        <v>0</v>
      </c>
      <c r="AF44" s="70"/>
      <c r="AG44" s="70"/>
    </row>
    <row r="45" spans="1:34" ht="15.75" thickBot="1" x14ac:dyDescent="0.3">
      <c r="A45" s="33" t="s">
        <v>60</v>
      </c>
      <c r="B45" s="34" t="s">
        <v>13</v>
      </c>
      <c r="C45" s="32" t="s">
        <v>62</v>
      </c>
      <c r="D45" s="34" t="s">
        <v>79</v>
      </c>
      <c r="E45" s="43"/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2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  <c r="R45" s="51">
        <v>0</v>
      </c>
      <c r="S45" s="51">
        <v>0</v>
      </c>
      <c r="T45" s="51">
        <v>0</v>
      </c>
      <c r="U45" s="51">
        <v>0</v>
      </c>
      <c r="V45" s="51">
        <v>0</v>
      </c>
      <c r="W45" s="51">
        <v>0</v>
      </c>
      <c r="X45" s="55">
        <v>0</v>
      </c>
      <c r="Y45" s="59">
        <f t="shared" si="1"/>
        <v>0</v>
      </c>
      <c r="Z45" s="51">
        <f t="shared" si="2"/>
        <v>0</v>
      </c>
      <c r="AA45" s="51">
        <f t="shared" si="12"/>
        <v>0</v>
      </c>
      <c r="AF45" s="70"/>
      <c r="AG45" s="70"/>
    </row>
    <row r="47" spans="1:34" x14ac:dyDescent="0.25">
      <c r="D47" s="41" t="s">
        <v>18</v>
      </c>
      <c r="E47" s="41"/>
      <c r="M47" s="24" t="s">
        <v>81</v>
      </c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  <row r="48" spans="1:34" x14ac:dyDescent="0.25">
      <c r="F48" s="23" t="s">
        <v>44</v>
      </c>
      <c r="G48" s="23"/>
      <c r="H48" s="23"/>
      <c r="I48" s="23"/>
      <c r="J48" s="23"/>
      <c r="K48" s="23"/>
      <c r="L48" s="7" t="s">
        <v>30</v>
      </c>
      <c r="M48" s="24" t="s">
        <v>46</v>
      </c>
      <c r="N48" s="24"/>
      <c r="O48" s="24"/>
      <c r="P48" s="24"/>
      <c r="Q48" s="24"/>
      <c r="R48" s="24" t="s">
        <v>47</v>
      </c>
      <c r="S48" s="24"/>
      <c r="T48" s="24"/>
      <c r="U48" s="24"/>
      <c r="V48" s="24"/>
      <c r="W48" s="24"/>
      <c r="X48" s="24"/>
      <c r="Y48" s="44" t="s">
        <v>85</v>
      </c>
      <c r="Z48" s="44" t="s">
        <v>48</v>
      </c>
      <c r="AA48" s="44" t="s">
        <v>3</v>
      </c>
    </row>
    <row r="49" spans="1:34" ht="63" x14ac:dyDescent="0.25">
      <c r="F49" s="38" t="s">
        <v>36</v>
      </c>
      <c r="G49" s="38" t="s">
        <v>37</v>
      </c>
      <c r="H49" s="38" t="s">
        <v>38</v>
      </c>
      <c r="I49" s="38" t="s">
        <v>80</v>
      </c>
      <c r="J49" s="38" t="s">
        <v>39</v>
      </c>
      <c r="K49" s="38" t="s">
        <v>45</v>
      </c>
      <c r="L49" s="39" t="s">
        <v>16</v>
      </c>
      <c r="M49" s="40" t="s">
        <v>34</v>
      </c>
      <c r="N49" s="40" t="s">
        <v>5</v>
      </c>
      <c r="O49" s="40" t="s">
        <v>7</v>
      </c>
      <c r="P49" s="40" t="s">
        <v>8</v>
      </c>
      <c r="Q49" s="40" t="s">
        <v>40</v>
      </c>
      <c r="R49" s="40" t="s">
        <v>41</v>
      </c>
      <c r="S49" s="40" t="s">
        <v>42</v>
      </c>
      <c r="T49" s="40" t="s">
        <v>31</v>
      </c>
      <c r="U49" s="40" t="s">
        <v>125</v>
      </c>
      <c r="V49" s="40" t="s">
        <v>82</v>
      </c>
      <c r="W49" s="40" t="s">
        <v>87</v>
      </c>
      <c r="X49" s="40" t="s">
        <v>83</v>
      </c>
      <c r="Y49" s="45" t="s">
        <v>3</v>
      </c>
      <c r="Z49" s="45" t="s">
        <v>3</v>
      </c>
      <c r="AA49" s="45" t="s">
        <v>3</v>
      </c>
    </row>
    <row r="50" spans="1:34" x14ac:dyDescent="0.25">
      <c r="A50" s="15" t="s">
        <v>51</v>
      </c>
      <c r="B50" s="2"/>
      <c r="C50" s="2"/>
      <c r="F50" s="1">
        <f t="shared" ref="F50:X50" si="14">F52+F53+F54</f>
        <v>0</v>
      </c>
      <c r="G50" s="1">
        <f t="shared" si="14"/>
        <v>0</v>
      </c>
      <c r="H50" s="1">
        <f t="shared" si="14"/>
        <v>0</v>
      </c>
      <c r="I50" s="1">
        <f t="shared" si="14"/>
        <v>0</v>
      </c>
      <c r="J50" s="1">
        <f t="shared" si="14"/>
        <v>0</v>
      </c>
      <c r="K50" s="1">
        <f t="shared" si="14"/>
        <v>0</v>
      </c>
      <c r="L50" s="52">
        <f t="shared" si="14"/>
        <v>0</v>
      </c>
      <c r="M50" s="1">
        <f t="shared" si="14"/>
        <v>0</v>
      </c>
      <c r="N50" s="1">
        <f t="shared" si="14"/>
        <v>0</v>
      </c>
      <c r="O50" s="1">
        <f t="shared" si="14"/>
        <v>0</v>
      </c>
      <c r="P50" s="1">
        <f t="shared" si="14"/>
        <v>0</v>
      </c>
      <c r="Q50" s="1">
        <f t="shared" si="14"/>
        <v>0</v>
      </c>
      <c r="R50" s="1">
        <f t="shared" si="14"/>
        <v>0</v>
      </c>
      <c r="S50" s="1">
        <f t="shared" si="14"/>
        <v>0</v>
      </c>
      <c r="T50" s="1">
        <f t="shared" si="14"/>
        <v>0</v>
      </c>
      <c r="U50" s="1">
        <f t="shared" si="14"/>
        <v>0</v>
      </c>
      <c r="V50" s="1">
        <f t="shared" si="14"/>
        <v>0</v>
      </c>
      <c r="W50" s="1">
        <f t="shared" si="14"/>
        <v>0</v>
      </c>
      <c r="X50" s="1">
        <f t="shared" si="14"/>
        <v>0</v>
      </c>
      <c r="Y50" s="58">
        <f t="shared" ref="Y50:Y90" si="15">SUM(F50:K50)</f>
        <v>0</v>
      </c>
      <c r="Z50" s="1">
        <f t="shared" ref="Z50:Z90" si="16">SUM(M50:X50)</f>
        <v>0</v>
      </c>
      <c r="AA50" s="1">
        <f t="shared" ref="AA50:AA56" si="17">L50+Y50+Z50</f>
        <v>0</v>
      </c>
      <c r="AB50" s="44" t="s">
        <v>85</v>
      </c>
      <c r="AC50" s="44" t="s">
        <v>48</v>
      </c>
      <c r="AD50" t="s">
        <v>30</v>
      </c>
    </row>
    <row r="51" spans="1:34" x14ac:dyDescent="0.25">
      <c r="A51" s="30" t="s">
        <v>60</v>
      </c>
      <c r="B51" s="2"/>
      <c r="C51" s="2"/>
      <c r="F51" s="1">
        <f>F55+F56+F57+F58</f>
        <v>1495.4322000000002</v>
      </c>
      <c r="G51" s="1">
        <f t="shared" ref="G51:X51" si="18">G55+G56+G57+G58</f>
        <v>1395.9938893981057</v>
      </c>
      <c r="H51" s="1">
        <f t="shared" si="18"/>
        <v>3300</v>
      </c>
      <c r="I51" s="1">
        <f t="shared" si="18"/>
        <v>776</v>
      </c>
      <c r="J51" s="1">
        <f t="shared" si="18"/>
        <v>2076</v>
      </c>
      <c r="K51" s="1">
        <f t="shared" si="18"/>
        <v>2032</v>
      </c>
      <c r="L51" s="52">
        <f t="shared" si="18"/>
        <v>21000</v>
      </c>
      <c r="M51" s="91">
        <v>3100</v>
      </c>
      <c r="N51" s="1">
        <f t="shared" si="18"/>
        <v>900</v>
      </c>
      <c r="O51" s="1">
        <f t="shared" si="18"/>
        <v>1000</v>
      </c>
      <c r="P51" s="1">
        <f t="shared" si="18"/>
        <v>7000</v>
      </c>
      <c r="Q51" s="1">
        <f>Q55+Q56+Q57+Q58</f>
        <v>4350</v>
      </c>
      <c r="R51" s="1">
        <f t="shared" si="18"/>
        <v>3350</v>
      </c>
      <c r="S51" s="1">
        <f t="shared" si="18"/>
        <v>60</v>
      </c>
      <c r="T51" s="1">
        <f t="shared" si="18"/>
        <v>3030</v>
      </c>
      <c r="U51" s="1">
        <f t="shared" si="18"/>
        <v>1500</v>
      </c>
      <c r="V51" s="1">
        <f t="shared" si="18"/>
        <v>1410</v>
      </c>
      <c r="W51" s="1">
        <f t="shared" si="18"/>
        <v>1550</v>
      </c>
      <c r="X51" s="54">
        <f t="shared" si="18"/>
        <v>3515</v>
      </c>
      <c r="Y51" s="58">
        <f t="shared" si="15"/>
        <v>11075.426089398106</v>
      </c>
      <c r="Z51" s="1">
        <f t="shared" si="16"/>
        <v>30765</v>
      </c>
      <c r="AA51" s="1">
        <f t="shared" si="17"/>
        <v>62840.426089398105</v>
      </c>
      <c r="AB51" s="105">
        <f>11250+M50</f>
        <v>11250</v>
      </c>
      <c r="AC51" s="91">
        <v>1600</v>
      </c>
      <c r="AD51" s="99">
        <v>14000</v>
      </c>
      <c r="AG51">
        <f>5000/225</f>
        <v>22.222222222222221</v>
      </c>
      <c r="AH51">
        <f>0.6/1.8</f>
        <v>0.33333333333333331</v>
      </c>
    </row>
    <row r="52" spans="1:34" x14ac:dyDescent="0.25">
      <c r="A52" s="15" t="s">
        <v>51</v>
      </c>
      <c r="B52" s="16" t="s">
        <v>52</v>
      </c>
      <c r="C52" s="2"/>
      <c r="F52" s="1">
        <f>F59+F60+F61</f>
        <v>0</v>
      </c>
      <c r="G52" s="1">
        <f t="shared" ref="G52:X52" si="19">G59+G60+G61</f>
        <v>0</v>
      </c>
      <c r="H52" s="1">
        <f t="shared" si="19"/>
        <v>0</v>
      </c>
      <c r="I52" s="1">
        <f t="shared" si="19"/>
        <v>0</v>
      </c>
      <c r="J52" s="1">
        <f t="shared" si="19"/>
        <v>0</v>
      </c>
      <c r="K52" s="1">
        <f t="shared" si="19"/>
        <v>0</v>
      </c>
      <c r="L52" s="52">
        <f t="shared" si="19"/>
        <v>0</v>
      </c>
      <c r="M52" s="1">
        <f t="shared" si="19"/>
        <v>0</v>
      </c>
      <c r="N52" s="1">
        <f t="shared" si="19"/>
        <v>0</v>
      </c>
      <c r="O52" s="1">
        <f t="shared" si="19"/>
        <v>0</v>
      </c>
      <c r="P52" s="1">
        <f t="shared" si="19"/>
        <v>0</v>
      </c>
      <c r="Q52" s="1">
        <f t="shared" si="19"/>
        <v>0</v>
      </c>
      <c r="R52" s="1">
        <f t="shared" si="19"/>
        <v>0</v>
      </c>
      <c r="S52" s="1">
        <f t="shared" si="19"/>
        <v>0</v>
      </c>
      <c r="T52" s="1">
        <f t="shared" si="19"/>
        <v>0</v>
      </c>
      <c r="U52" s="1">
        <f t="shared" si="19"/>
        <v>0</v>
      </c>
      <c r="V52" s="1">
        <f t="shared" si="19"/>
        <v>0</v>
      </c>
      <c r="W52" s="1">
        <f t="shared" si="19"/>
        <v>0</v>
      </c>
      <c r="X52" s="54">
        <f t="shared" si="19"/>
        <v>0</v>
      </c>
      <c r="Y52" s="58">
        <f t="shared" si="15"/>
        <v>0</v>
      </c>
      <c r="Z52" s="1">
        <f t="shared" si="16"/>
        <v>0</v>
      </c>
      <c r="AA52" s="1">
        <f t="shared" si="17"/>
        <v>0</v>
      </c>
      <c r="AB52" s="10" t="s">
        <v>88</v>
      </c>
    </row>
    <row r="53" spans="1:34" x14ac:dyDescent="0.25">
      <c r="A53" s="15" t="s">
        <v>51</v>
      </c>
      <c r="B53" s="16" t="s">
        <v>56</v>
      </c>
      <c r="C53" s="2"/>
      <c r="F53" s="1">
        <f>F62+F63+F64</f>
        <v>0</v>
      </c>
      <c r="G53" s="1">
        <f t="shared" ref="G53:X53" si="20">G62+G63+G64</f>
        <v>0</v>
      </c>
      <c r="H53" s="1">
        <f t="shared" si="20"/>
        <v>0</v>
      </c>
      <c r="I53" s="1">
        <f t="shared" si="20"/>
        <v>0</v>
      </c>
      <c r="J53" s="1">
        <f t="shared" si="20"/>
        <v>0</v>
      </c>
      <c r="K53" s="1">
        <f t="shared" si="20"/>
        <v>0</v>
      </c>
      <c r="L53" s="52">
        <f t="shared" si="20"/>
        <v>0</v>
      </c>
      <c r="M53" s="1">
        <f t="shared" si="20"/>
        <v>0</v>
      </c>
      <c r="N53" s="1">
        <f t="shared" si="20"/>
        <v>0</v>
      </c>
      <c r="O53" s="1">
        <f t="shared" si="20"/>
        <v>0</v>
      </c>
      <c r="P53" s="1">
        <f t="shared" si="20"/>
        <v>0</v>
      </c>
      <c r="Q53" s="1">
        <f t="shared" si="20"/>
        <v>0</v>
      </c>
      <c r="R53" s="1">
        <f t="shared" si="20"/>
        <v>0</v>
      </c>
      <c r="S53" s="1">
        <f t="shared" si="20"/>
        <v>0</v>
      </c>
      <c r="T53" s="1">
        <f t="shared" si="20"/>
        <v>0</v>
      </c>
      <c r="U53" s="1">
        <f t="shared" si="20"/>
        <v>0</v>
      </c>
      <c r="V53" s="1">
        <f t="shared" si="20"/>
        <v>0</v>
      </c>
      <c r="W53" s="1">
        <f t="shared" si="20"/>
        <v>0</v>
      </c>
      <c r="X53" s="54">
        <f t="shared" si="20"/>
        <v>0</v>
      </c>
      <c r="Y53" s="58">
        <f t="shared" si="15"/>
        <v>0</v>
      </c>
      <c r="Z53" s="1">
        <f t="shared" si="16"/>
        <v>0</v>
      </c>
      <c r="AA53" s="1">
        <f t="shared" si="17"/>
        <v>0</v>
      </c>
      <c r="AB53" t="s">
        <v>97</v>
      </c>
      <c r="AG53">
        <f>105*AG51</f>
        <v>2333.333333333333</v>
      </c>
    </row>
    <row r="54" spans="1:34" x14ac:dyDescent="0.25">
      <c r="A54" s="15" t="s">
        <v>51</v>
      </c>
      <c r="B54" s="16" t="s">
        <v>9</v>
      </c>
      <c r="C54" s="2"/>
      <c r="F54" s="1">
        <f>F65</f>
        <v>0</v>
      </c>
      <c r="G54" s="1">
        <f t="shared" ref="G54:X54" si="21">G65</f>
        <v>0</v>
      </c>
      <c r="H54" s="1">
        <f t="shared" si="21"/>
        <v>0</v>
      </c>
      <c r="I54" s="1">
        <f t="shared" si="21"/>
        <v>0</v>
      </c>
      <c r="J54" s="1">
        <f t="shared" si="21"/>
        <v>0</v>
      </c>
      <c r="K54" s="1">
        <f t="shared" si="21"/>
        <v>0</v>
      </c>
      <c r="L54" s="52">
        <f t="shared" si="21"/>
        <v>0</v>
      </c>
      <c r="M54" s="1">
        <f t="shared" si="21"/>
        <v>0</v>
      </c>
      <c r="N54" s="1">
        <f t="shared" si="21"/>
        <v>0</v>
      </c>
      <c r="O54" s="1">
        <f t="shared" si="21"/>
        <v>0</v>
      </c>
      <c r="P54" s="1">
        <f t="shared" si="21"/>
        <v>0</v>
      </c>
      <c r="Q54" s="1">
        <f t="shared" si="21"/>
        <v>0</v>
      </c>
      <c r="R54" s="1">
        <f t="shared" si="21"/>
        <v>0</v>
      </c>
      <c r="S54" s="1">
        <f t="shared" si="21"/>
        <v>0</v>
      </c>
      <c r="T54" s="1">
        <f t="shared" si="21"/>
        <v>0</v>
      </c>
      <c r="U54" s="1">
        <f t="shared" si="21"/>
        <v>0</v>
      </c>
      <c r="V54" s="1">
        <f t="shared" si="21"/>
        <v>0</v>
      </c>
      <c r="W54" s="1">
        <f t="shared" si="21"/>
        <v>0</v>
      </c>
      <c r="X54" s="54">
        <f t="shared" si="21"/>
        <v>0</v>
      </c>
      <c r="Y54" s="58">
        <f t="shared" si="15"/>
        <v>0</v>
      </c>
      <c r="Z54" s="1">
        <f t="shared" si="16"/>
        <v>0</v>
      </c>
      <c r="AA54" s="1">
        <f t="shared" si="17"/>
        <v>0</v>
      </c>
    </row>
    <row r="55" spans="1:34" x14ac:dyDescent="0.25">
      <c r="A55" s="30" t="s">
        <v>60</v>
      </c>
      <c r="B55" s="32" t="s">
        <v>13</v>
      </c>
      <c r="C55" s="2"/>
      <c r="F55" s="51">
        <f>F66+F67+F68</f>
        <v>1495.4322000000002</v>
      </c>
      <c r="G55" s="51">
        <f t="shared" ref="G55:X55" si="22">G66+G67+G68</f>
        <v>1395.9938893981057</v>
      </c>
      <c r="H55" s="51">
        <f t="shared" si="22"/>
        <v>3300</v>
      </c>
      <c r="I55" s="51">
        <f t="shared" si="22"/>
        <v>776</v>
      </c>
      <c r="J55" s="51">
        <f t="shared" si="22"/>
        <v>1100</v>
      </c>
      <c r="K55" s="51">
        <f t="shared" si="22"/>
        <v>230</v>
      </c>
      <c r="L55" s="52">
        <f t="shared" si="22"/>
        <v>0</v>
      </c>
      <c r="M55" s="51">
        <f t="shared" si="22"/>
        <v>1728</v>
      </c>
      <c r="N55" s="51">
        <f t="shared" si="22"/>
        <v>500</v>
      </c>
      <c r="O55" s="51">
        <f t="shared" si="22"/>
        <v>1000</v>
      </c>
      <c r="P55" s="51">
        <f t="shared" si="22"/>
        <v>7000</v>
      </c>
      <c r="Q55" s="51">
        <f t="shared" si="22"/>
        <v>550</v>
      </c>
      <c r="R55" s="51">
        <f t="shared" si="22"/>
        <v>550</v>
      </c>
      <c r="S55" s="51">
        <f t="shared" si="22"/>
        <v>0</v>
      </c>
      <c r="T55" s="51">
        <f t="shared" si="22"/>
        <v>320</v>
      </c>
      <c r="U55" s="51">
        <f t="shared" si="22"/>
        <v>500</v>
      </c>
      <c r="V55" s="51">
        <f t="shared" si="22"/>
        <v>60</v>
      </c>
      <c r="W55" s="51">
        <f t="shared" si="22"/>
        <v>700</v>
      </c>
      <c r="X55" s="55">
        <f t="shared" si="22"/>
        <v>2000</v>
      </c>
      <c r="Y55" s="59">
        <f t="shared" si="15"/>
        <v>8297.4260893981063</v>
      </c>
      <c r="Z55" s="51">
        <f t="shared" si="16"/>
        <v>14908</v>
      </c>
      <c r="AA55" s="1">
        <f t="shared" si="17"/>
        <v>23205.426089398105</v>
      </c>
      <c r="AB55" s="91">
        <v>24000</v>
      </c>
      <c r="AC55" t="s">
        <v>127</v>
      </c>
      <c r="AD55" t="s">
        <v>128</v>
      </c>
    </row>
    <row r="56" spans="1:34" x14ac:dyDescent="0.25">
      <c r="A56" s="30" t="s">
        <v>60</v>
      </c>
      <c r="B56" s="31" t="s">
        <v>23</v>
      </c>
      <c r="C56" s="2"/>
      <c r="F56" s="51">
        <f>F69+F70+F71</f>
        <v>0</v>
      </c>
      <c r="G56" s="51">
        <f t="shared" ref="G56:X56" si="23">G69+G70+G71</f>
        <v>0</v>
      </c>
      <c r="H56" s="51">
        <f t="shared" si="23"/>
        <v>0</v>
      </c>
      <c r="I56" s="51">
        <f t="shared" si="23"/>
        <v>0</v>
      </c>
      <c r="J56" s="51">
        <f t="shared" si="23"/>
        <v>426</v>
      </c>
      <c r="K56" s="51">
        <f t="shared" si="23"/>
        <v>1802</v>
      </c>
      <c r="L56" s="52">
        <f t="shared" si="23"/>
        <v>0</v>
      </c>
      <c r="M56" s="51">
        <f t="shared" si="23"/>
        <v>0</v>
      </c>
      <c r="N56" s="51">
        <f t="shared" si="23"/>
        <v>400</v>
      </c>
      <c r="O56" s="51">
        <f t="shared" si="23"/>
        <v>0</v>
      </c>
      <c r="P56" s="51">
        <f t="shared" si="23"/>
        <v>0</v>
      </c>
      <c r="Q56" s="51">
        <f t="shared" si="23"/>
        <v>0</v>
      </c>
      <c r="R56" s="51">
        <f t="shared" si="23"/>
        <v>0</v>
      </c>
      <c r="S56" s="51">
        <f t="shared" si="23"/>
        <v>60</v>
      </c>
      <c r="T56" s="51">
        <f t="shared" si="23"/>
        <v>260</v>
      </c>
      <c r="U56" s="51">
        <f t="shared" si="23"/>
        <v>0</v>
      </c>
      <c r="V56" s="51">
        <f t="shared" si="23"/>
        <v>90</v>
      </c>
      <c r="W56" s="51">
        <f t="shared" si="23"/>
        <v>0</v>
      </c>
      <c r="X56" s="55">
        <f t="shared" si="23"/>
        <v>90</v>
      </c>
      <c r="Y56" s="59">
        <f t="shared" si="15"/>
        <v>2228</v>
      </c>
      <c r="Z56" s="51">
        <f t="shared" si="16"/>
        <v>900</v>
      </c>
      <c r="AA56" s="51">
        <f t="shared" si="17"/>
        <v>3128</v>
      </c>
      <c r="AB56">
        <f>897*3</f>
        <v>2691</v>
      </c>
    </row>
    <row r="57" spans="1:34" x14ac:dyDescent="0.25">
      <c r="A57" s="30" t="s">
        <v>60</v>
      </c>
      <c r="B57" s="31" t="s">
        <v>65</v>
      </c>
      <c r="C57" s="46"/>
      <c r="F57" s="51">
        <f>F72+F73+F74</f>
        <v>0</v>
      </c>
      <c r="G57" s="51">
        <f t="shared" ref="G57:X57" si="24">G72+G73+G74</f>
        <v>0</v>
      </c>
      <c r="H57" s="51">
        <f t="shared" si="24"/>
        <v>0</v>
      </c>
      <c r="I57" s="51">
        <f t="shared" si="24"/>
        <v>0</v>
      </c>
      <c r="J57" s="51">
        <f t="shared" si="24"/>
        <v>550</v>
      </c>
      <c r="K57" s="51">
        <f t="shared" si="24"/>
        <v>0</v>
      </c>
      <c r="L57" s="52">
        <f t="shared" si="24"/>
        <v>21000</v>
      </c>
      <c r="M57" s="51">
        <f t="shared" si="24"/>
        <v>1350</v>
      </c>
      <c r="N57" s="51">
        <f t="shared" si="24"/>
        <v>0</v>
      </c>
      <c r="O57" s="51">
        <f t="shared" si="24"/>
        <v>0</v>
      </c>
      <c r="P57" s="51">
        <f t="shared" si="24"/>
        <v>0</v>
      </c>
      <c r="Q57" s="51">
        <f t="shared" si="24"/>
        <v>3800</v>
      </c>
      <c r="R57" s="51">
        <f t="shared" si="24"/>
        <v>2800</v>
      </c>
      <c r="S57" s="51">
        <f t="shared" si="24"/>
        <v>0</v>
      </c>
      <c r="T57" s="51">
        <f t="shared" si="24"/>
        <v>2450</v>
      </c>
      <c r="U57" s="51">
        <f t="shared" si="24"/>
        <v>1000</v>
      </c>
      <c r="V57" s="51">
        <f t="shared" si="24"/>
        <v>500</v>
      </c>
      <c r="W57" s="51">
        <f t="shared" si="24"/>
        <v>850</v>
      </c>
      <c r="X57" s="55">
        <f t="shared" si="24"/>
        <v>800</v>
      </c>
      <c r="Y57" s="59">
        <f t="shared" si="15"/>
        <v>550</v>
      </c>
      <c r="Z57" s="51">
        <f t="shared" si="16"/>
        <v>13550</v>
      </c>
      <c r="AA57" s="103">
        <f>245/270*40000</f>
        <v>36296.296296296299</v>
      </c>
    </row>
    <row r="58" spans="1:34" ht="15.75" thickBot="1" x14ac:dyDescent="0.3">
      <c r="A58" s="48" t="s">
        <v>60</v>
      </c>
      <c r="B58" s="49" t="s">
        <v>9</v>
      </c>
      <c r="C58" s="50"/>
      <c r="D58" s="50"/>
      <c r="E58" s="50"/>
      <c r="F58" s="53">
        <f>F75</f>
        <v>0</v>
      </c>
      <c r="G58" s="53">
        <f t="shared" ref="G58:X58" si="25">G75</f>
        <v>0</v>
      </c>
      <c r="H58" s="53">
        <f t="shared" si="25"/>
        <v>0</v>
      </c>
      <c r="I58" s="53">
        <f t="shared" si="25"/>
        <v>0</v>
      </c>
      <c r="J58" s="53">
        <f t="shared" si="25"/>
        <v>0</v>
      </c>
      <c r="K58" s="53">
        <f t="shared" si="25"/>
        <v>0</v>
      </c>
      <c r="L58" s="62">
        <f t="shared" si="25"/>
        <v>0</v>
      </c>
      <c r="M58" s="53">
        <f t="shared" si="25"/>
        <v>0</v>
      </c>
      <c r="N58" s="53">
        <f t="shared" si="25"/>
        <v>0</v>
      </c>
      <c r="O58" s="53">
        <f t="shared" si="25"/>
        <v>0</v>
      </c>
      <c r="P58" s="53">
        <f t="shared" si="25"/>
        <v>0</v>
      </c>
      <c r="Q58" s="53">
        <f t="shared" si="25"/>
        <v>0</v>
      </c>
      <c r="R58" s="53">
        <f t="shared" si="25"/>
        <v>0</v>
      </c>
      <c r="S58" s="53">
        <f t="shared" si="25"/>
        <v>0</v>
      </c>
      <c r="T58" s="53">
        <f t="shared" si="25"/>
        <v>0</v>
      </c>
      <c r="U58" s="53">
        <f t="shared" si="25"/>
        <v>0</v>
      </c>
      <c r="V58" s="53">
        <f t="shared" si="25"/>
        <v>760</v>
      </c>
      <c r="W58" s="53">
        <f t="shared" si="25"/>
        <v>0</v>
      </c>
      <c r="X58" s="53">
        <f t="shared" si="25"/>
        <v>625</v>
      </c>
      <c r="Y58" s="60">
        <f t="shared" si="15"/>
        <v>0</v>
      </c>
      <c r="Z58" s="53">
        <f t="shared" si="16"/>
        <v>1385</v>
      </c>
      <c r="AA58" s="104">
        <v>1100</v>
      </c>
    </row>
    <row r="59" spans="1:34" ht="15.75" thickTop="1" x14ac:dyDescent="0.25">
      <c r="A59" s="15" t="s">
        <v>51</v>
      </c>
      <c r="B59" s="16" t="s">
        <v>52</v>
      </c>
      <c r="C59" s="16" t="s">
        <v>53</v>
      </c>
      <c r="D59" s="2"/>
      <c r="E59" s="2"/>
      <c r="F59" s="47"/>
      <c r="G59" s="47"/>
      <c r="H59" s="47"/>
      <c r="I59" s="47"/>
      <c r="J59" s="47"/>
      <c r="K59" s="47"/>
      <c r="L59" s="6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57"/>
      <c r="Y59" s="61">
        <f t="shared" si="15"/>
        <v>0</v>
      </c>
      <c r="Z59" s="47">
        <f t="shared" si="16"/>
        <v>0</v>
      </c>
      <c r="AA59" s="47">
        <f t="shared" ref="AA59:AA68" si="26">L59+Y59+Z59</f>
        <v>0</v>
      </c>
    </row>
    <row r="60" spans="1:34" x14ac:dyDescent="0.25">
      <c r="A60" s="15" t="s">
        <v>51</v>
      </c>
      <c r="B60" s="16" t="s">
        <v>52</v>
      </c>
      <c r="C60" s="16" t="s">
        <v>54</v>
      </c>
      <c r="D60" s="2"/>
      <c r="E60" s="2"/>
      <c r="F60" s="1"/>
      <c r="G60" s="1"/>
      <c r="H60" s="1"/>
      <c r="I60" s="1"/>
      <c r="J60" s="1"/>
      <c r="K60" s="1"/>
      <c r="L60" s="5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54"/>
      <c r="Y60" s="58">
        <f t="shared" si="15"/>
        <v>0</v>
      </c>
      <c r="Z60" s="1">
        <f t="shared" si="16"/>
        <v>0</v>
      </c>
      <c r="AA60" s="1">
        <f t="shared" si="26"/>
        <v>0</v>
      </c>
    </row>
    <row r="61" spans="1:34" x14ac:dyDescent="0.25">
      <c r="A61" s="15" t="s">
        <v>51</v>
      </c>
      <c r="B61" s="16" t="s">
        <v>52</v>
      </c>
      <c r="C61" s="16" t="s">
        <v>55</v>
      </c>
      <c r="D61" s="2"/>
      <c r="E61" s="2"/>
      <c r="F61" s="1"/>
      <c r="G61" s="1"/>
      <c r="H61" s="1"/>
      <c r="I61" s="1"/>
      <c r="J61" s="1"/>
      <c r="K61" s="1"/>
      <c r="L61" s="5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54"/>
      <c r="Y61" s="58">
        <f t="shared" si="15"/>
        <v>0</v>
      </c>
      <c r="Z61" s="1">
        <f t="shared" si="16"/>
        <v>0</v>
      </c>
      <c r="AA61" s="1">
        <f t="shared" si="26"/>
        <v>0</v>
      </c>
    </row>
    <row r="62" spans="1:34" x14ac:dyDescent="0.25">
      <c r="A62" s="25" t="s">
        <v>51</v>
      </c>
      <c r="B62" s="26" t="s">
        <v>56</v>
      </c>
      <c r="C62" s="26" t="s">
        <v>57</v>
      </c>
      <c r="D62" s="2"/>
      <c r="E62" s="2"/>
      <c r="F62" s="1"/>
      <c r="G62" s="1"/>
      <c r="H62" s="1"/>
      <c r="I62" s="1"/>
      <c r="J62" s="1"/>
      <c r="K62" s="1"/>
      <c r="L62" s="5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54"/>
      <c r="Y62" s="58">
        <f t="shared" si="15"/>
        <v>0</v>
      </c>
      <c r="Z62" s="1">
        <f t="shared" si="16"/>
        <v>0</v>
      </c>
      <c r="AA62" s="1">
        <f t="shared" si="26"/>
        <v>0</v>
      </c>
    </row>
    <row r="63" spans="1:34" x14ac:dyDescent="0.25">
      <c r="A63" s="15" t="s">
        <v>51</v>
      </c>
      <c r="B63" s="16" t="s">
        <v>56</v>
      </c>
      <c r="C63" s="27" t="s">
        <v>58</v>
      </c>
      <c r="D63" s="2"/>
      <c r="E63" s="2"/>
      <c r="F63" s="1"/>
      <c r="G63" s="1"/>
      <c r="H63" s="1"/>
      <c r="I63" s="1"/>
      <c r="J63" s="1"/>
      <c r="K63" s="1"/>
      <c r="L63" s="5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54"/>
      <c r="Y63" s="58">
        <f t="shared" si="15"/>
        <v>0</v>
      </c>
      <c r="Z63" s="1">
        <f t="shared" si="16"/>
        <v>0</v>
      </c>
      <c r="AA63" s="1">
        <f t="shared" si="26"/>
        <v>0</v>
      </c>
      <c r="AC63">
        <f>16/103*5000</f>
        <v>776.69902912621353</v>
      </c>
    </row>
    <row r="64" spans="1:34" x14ac:dyDescent="0.25">
      <c r="A64" s="15" t="s">
        <v>51</v>
      </c>
      <c r="B64" s="16" t="s">
        <v>9</v>
      </c>
      <c r="C64" s="27" t="s">
        <v>59</v>
      </c>
      <c r="D64" s="2"/>
      <c r="E64" s="2"/>
      <c r="F64" s="1"/>
      <c r="G64" s="1"/>
      <c r="H64" s="1"/>
      <c r="I64" s="1"/>
      <c r="J64" s="1"/>
      <c r="K64" s="1"/>
      <c r="L64" s="5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54"/>
      <c r="Y64" s="58">
        <f t="shared" si="15"/>
        <v>0</v>
      </c>
      <c r="Z64" s="1">
        <f t="shared" si="16"/>
        <v>0</v>
      </c>
      <c r="AA64" s="1">
        <f t="shared" si="26"/>
        <v>0</v>
      </c>
      <c r="AC64">
        <f>80/190*2000</f>
        <v>842.10526315789468</v>
      </c>
      <c r="AE64" s="98"/>
    </row>
    <row r="65" spans="1:35" x14ac:dyDescent="0.25">
      <c r="A65" s="15" t="s">
        <v>51</v>
      </c>
      <c r="B65" s="16" t="s">
        <v>9</v>
      </c>
      <c r="C65" s="27" t="s">
        <v>9</v>
      </c>
      <c r="D65" s="2"/>
      <c r="E65" s="2"/>
      <c r="F65" s="1"/>
      <c r="G65" s="1"/>
      <c r="H65" s="1"/>
      <c r="I65" s="1"/>
      <c r="J65" s="1"/>
      <c r="K65" s="1"/>
      <c r="L65" s="5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54"/>
      <c r="Y65" s="58">
        <f t="shared" si="15"/>
        <v>0</v>
      </c>
      <c r="Z65" s="1">
        <f t="shared" si="16"/>
        <v>0</v>
      </c>
      <c r="AA65" s="1">
        <f t="shared" si="26"/>
        <v>0</v>
      </c>
      <c r="AE65" s="98"/>
      <c r="AF65" s="98"/>
    </row>
    <row r="66" spans="1:35" x14ac:dyDescent="0.25">
      <c r="A66" s="28" t="s">
        <v>60</v>
      </c>
      <c r="B66" s="29" t="s">
        <v>13</v>
      </c>
      <c r="C66" s="29" t="s">
        <v>61</v>
      </c>
      <c r="D66" s="2"/>
      <c r="E66" s="2"/>
      <c r="F66" s="103">
        <f>2164*0.65/200*170*0.82</f>
        <v>980.40020000000004</v>
      </c>
      <c r="G66" s="73"/>
      <c r="H66" s="103">
        <f>3300*0.4</f>
        <v>1320</v>
      </c>
      <c r="I66" s="91">
        <f>800*0.97</f>
        <v>776</v>
      </c>
      <c r="J66" s="91">
        <v>1100</v>
      </c>
      <c r="K66" s="91">
        <v>230</v>
      </c>
      <c r="L66" s="52"/>
      <c r="M66" s="91">
        <f>1600*1.08</f>
        <v>1728</v>
      </c>
      <c r="N66" s="91">
        <v>500</v>
      </c>
      <c r="O66" s="91">
        <v>1000</v>
      </c>
      <c r="P66" s="91">
        <v>3000</v>
      </c>
      <c r="Q66" s="91">
        <v>550</v>
      </c>
      <c r="R66" s="91">
        <v>550</v>
      </c>
      <c r="S66" s="51"/>
      <c r="T66" s="91">
        <v>320</v>
      </c>
      <c r="U66" s="91">
        <v>500</v>
      </c>
      <c r="V66" s="77">
        <f>V21*V111</f>
        <v>60</v>
      </c>
      <c r="W66" s="91">
        <v>700</v>
      </c>
      <c r="X66" s="106">
        <v>2000</v>
      </c>
      <c r="Y66" s="59">
        <f t="shared" si="15"/>
        <v>4406.4002</v>
      </c>
      <c r="Z66" s="51">
        <f t="shared" si="16"/>
        <v>10908</v>
      </c>
      <c r="AA66" s="51">
        <f t="shared" si="26"/>
        <v>15314.4002</v>
      </c>
      <c r="AC66">
        <f>28/104*2000</f>
        <v>538.46153846153845</v>
      </c>
      <c r="AE66" s="98"/>
      <c r="AF66" s="98"/>
    </row>
    <row r="67" spans="1:35" x14ac:dyDescent="0.25">
      <c r="A67" s="36" t="s">
        <v>60</v>
      </c>
      <c r="B67" s="37" t="s">
        <v>13</v>
      </c>
      <c r="C67" s="29" t="s">
        <v>62</v>
      </c>
      <c r="D67" s="2"/>
      <c r="E67" s="2"/>
      <c r="F67" s="103">
        <f>2164*0.35/200*170*0.8</f>
        <v>515.03200000000004</v>
      </c>
      <c r="G67" s="103">
        <f>1280*230/210*5600/5455*0.97</f>
        <v>1395.9938893981057</v>
      </c>
      <c r="H67" s="103">
        <f>3300*0.6</f>
        <v>1980</v>
      </c>
      <c r="I67" s="51"/>
      <c r="J67" s="51"/>
      <c r="K67" s="51"/>
      <c r="L67" s="52"/>
      <c r="M67" s="51"/>
      <c r="N67" s="51"/>
      <c r="O67" s="91"/>
      <c r="P67" s="91">
        <v>4000</v>
      </c>
      <c r="Q67" s="51"/>
      <c r="R67" s="51"/>
      <c r="S67" s="51"/>
      <c r="T67" s="51"/>
      <c r="U67" s="51"/>
      <c r="V67" s="51"/>
      <c r="W67" s="51"/>
      <c r="X67" s="55"/>
      <c r="Y67" s="59">
        <f t="shared" si="15"/>
        <v>3891.0258893981058</v>
      </c>
      <c r="Z67" s="51">
        <f t="shared" si="16"/>
        <v>4000</v>
      </c>
      <c r="AA67" s="51">
        <f t="shared" si="26"/>
        <v>7891.0258893981063</v>
      </c>
      <c r="AC67">
        <f>40/56</f>
        <v>0.7142857142857143</v>
      </c>
      <c r="AE67" s="98"/>
      <c r="AF67" s="98"/>
    </row>
    <row r="68" spans="1:35" x14ac:dyDescent="0.25">
      <c r="A68" s="30" t="s">
        <v>60</v>
      </c>
      <c r="B68" s="31" t="s">
        <v>13</v>
      </c>
      <c r="C68" s="32" t="s">
        <v>63</v>
      </c>
      <c r="D68" s="2"/>
      <c r="E68" s="2"/>
      <c r="F68" s="51"/>
      <c r="G68" s="51"/>
      <c r="H68" s="51"/>
      <c r="I68" s="51"/>
      <c r="J68" s="51"/>
      <c r="K68" s="51"/>
      <c r="L68" s="52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5"/>
      <c r="Y68" s="59">
        <f t="shared" si="15"/>
        <v>0</v>
      </c>
      <c r="Z68" s="51">
        <f t="shared" si="16"/>
        <v>0</v>
      </c>
      <c r="AA68" s="51">
        <f t="shared" si="26"/>
        <v>0</v>
      </c>
      <c r="AE68" s="98"/>
      <c r="AF68" s="98"/>
    </row>
    <row r="69" spans="1:35" x14ac:dyDescent="0.25">
      <c r="A69" s="30" t="s">
        <v>60</v>
      </c>
      <c r="B69" s="32" t="s">
        <v>23</v>
      </c>
      <c r="C69" s="31" t="s">
        <v>50</v>
      </c>
      <c r="D69" s="2"/>
      <c r="E69" s="2"/>
      <c r="F69" s="77">
        <f>F24*F114</f>
        <v>0</v>
      </c>
      <c r="G69" s="51"/>
      <c r="H69" s="51"/>
      <c r="I69" s="51"/>
      <c r="J69" s="77">
        <f>J24*J114</f>
        <v>6</v>
      </c>
      <c r="K69" s="64">
        <f>AA69-N69-J69</f>
        <v>1694</v>
      </c>
      <c r="L69" s="52"/>
      <c r="M69" s="51"/>
      <c r="N69" s="91">
        <v>400</v>
      </c>
      <c r="O69" s="51"/>
      <c r="P69" s="51"/>
      <c r="Q69" s="51"/>
      <c r="R69" s="51"/>
      <c r="S69" s="51"/>
      <c r="T69" s="51"/>
      <c r="U69" s="51"/>
      <c r="V69" s="51"/>
      <c r="W69" s="51"/>
      <c r="X69" s="55"/>
      <c r="Y69" s="59">
        <f t="shared" si="15"/>
        <v>1700</v>
      </c>
      <c r="Z69" s="51">
        <f t="shared" si="16"/>
        <v>400</v>
      </c>
      <c r="AA69" s="91">
        <v>2100</v>
      </c>
      <c r="AE69" s="98"/>
      <c r="AF69" s="98"/>
    </row>
    <row r="70" spans="1:35" x14ac:dyDescent="0.25">
      <c r="A70" s="30" t="s">
        <v>60</v>
      </c>
      <c r="B70" s="32" t="s">
        <v>23</v>
      </c>
      <c r="C70" s="31" t="s">
        <v>49</v>
      </c>
      <c r="D70" s="2"/>
      <c r="E70" s="2"/>
      <c r="F70" s="51"/>
      <c r="G70" s="51"/>
      <c r="H70" s="51"/>
      <c r="I70" s="51"/>
      <c r="J70" s="64">
        <f>600*0.7</f>
        <v>420</v>
      </c>
      <c r="K70" s="64">
        <f>600*0.18</f>
        <v>108</v>
      </c>
      <c r="L70" s="52"/>
      <c r="M70" s="51"/>
      <c r="N70" s="51"/>
      <c r="O70" s="51"/>
      <c r="P70" s="51"/>
      <c r="Q70" s="51"/>
      <c r="R70" s="51"/>
      <c r="S70" s="64">
        <v>60</v>
      </c>
      <c r="T70" s="77">
        <f>T25*T115</f>
        <v>260</v>
      </c>
      <c r="U70" s="51"/>
      <c r="V70" s="77">
        <f>V25*V115</f>
        <v>90</v>
      </c>
      <c r="W70" s="51"/>
      <c r="X70" s="77">
        <f>X25*X115</f>
        <v>90</v>
      </c>
      <c r="Y70" s="59">
        <f t="shared" si="15"/>
        <v>528</v>
      </c>
      <c r="Z70" s="51">
        <f t="shared" si="16"/>
        <v>500</v>
      </c>
      <c r="AA70" s="91">
        <f>1250</f>
        <v>1250</v>
      </c>
      <c r="AB70" s="9"/>
      <c r="AE70" s="98"/>
      <c r="AF70" s="98"/>
    </row>
    <row r="71" spans="1:35" x14ac:dyDescent="0.25">
      <c r="A71" s="30" t="s">
        <v>60</v>
      </c>
      <c r="B71" s="32" t="s">
        <v>23</v>
      </c>
      <c r="C71" s="31" t="s">
        <v>64</v>
      </c>
      <c r="D71" s="2"/>
      <c r="E71" s="2"/>
      <c r="F71" s="51"/>
      <c r="G71" s="51"/>
      <c r="H71" s="51"/>
      <c r="I71" s="51"/>
      <c r="J71" s="51"/>
      <c r="K71" s="51"/>
      <c r="L71" s="52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5"/>
      <c r="Y71" s="59">
        <f t="shared" si="15"/>
        <v>0</v>
      </c>
      <c r="Z71" s="51">
        <f t="shared" si="16"/>
        <v>0</v>
      </c>
      <c r="AA71" s="51">
        <f t="shared" ref="AA71:AA90" si="27">L71+Y71+Z71</f>
        <v>0</v>
      </c>
    </row>
    <row r="72" spans="1:35" x14ac:dyDescent="0.25">
      <c r="A72" s="30" t="s">
        <v>60</v>
      </c>
      <c r="B72" s="32" t="s">
        <v>65</v>
      </c>
      <c r="C72" s="31" t="s">
        <v>66</v>
      </c>
      <c r="D72" s="2"/>
      <c r="E72" s="2"/>
      <c r="F72" s="51"/>
      <c r="G72" s="51"/>
      <c r="H72" s="51"/>
      <c r="I72" s="51"/>
      <c r="J72" s="91">
        <v>550</v>
      </c>
      <c r="K72" s="51"/>
      <c r="L72" s="52"/>
      <c r="M72" s="91">
        <f>1350</f>
        <v>1350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5"/>
      <c r="Y72" s="59">
        <f t="shared" si="15"/>
        <v>550</v>
      </c>
      <c r="Z72" s="51">
        <f t="shared" si="16"/>
        <v>1350</v>
      </c>
      <c r="AA72" s="51">
        <f t="shared" si="27"/>
        <v>1900</v>
      </c>
    </row>
    <row r="73" spans="1:35" x14ac:dyDescent="0.25">
      <c r="A73" s="30" t="s">
        <v>60</v>
      </c>
      <c r="B73" s="32" t="s">
        <v>65</v>
      </c>
      <c r="C73" s="31" t="s">
        <v>67</v>
      </c>
      <c r="D73" s="2"/>
      <c r="E73" s="2"/>
      <c r="F73" s="51"/>
      <c r="G73" s="51"/>
      <c r="H73" s="51"/>
      <c r="I73" s="51"/>
      <c r="J73" s="51"/>
      <c r="K73" s="51"/>
      <c r="L73" s="52"/>
      <c r="M73" s="51"/>
      <c r="N73" s="51"/>
      <c r="O73" s="51"/>
      <c r="P73" s="51"/>
      <c r="Q73" s="91">
        <v>3800</v>
      </c>
      <c r="R73" s="91">
        <v>2800</v>
      </c>
      <c r="S73" s="51"/>
      <c r="T73" s="91">
        <v>2450</v>
      </c>
      <c r="U73" s="91">
        <v>1000</v>
      </c>
      <c r="V73" s="64">
        <f>500</f>
        <v>500</v>
      </c>
      <c r="W73" s="91">
        <v>850</v>
      </c>
      <c r="X73" s="106">
        <v>800</v>
      </c>
      <c r="Y73" s="59">
        <f t="shared" si="15"/>
        <v>0</v>
      </c>
      <c r="Z73" s="51">
        <f t="shared" si="16"/>
        <v>12200</v>
      </c>
      <c r="AA73" s="51">
        <f t="shared" si="27"/>
        <v>12200</v>
      </c>
    </row>
    <row r="74" spans="1:35" x14ac:dyDescent="0.25">
      <c r="A74" s="30" t="s">
        <v>60</v>
      </c>
      <c r="B74" s="32" t="s">
        <v>65</v>
      </c>
      <c r="C74" s="31" t="s">
        <v>68</v>
      </c>
      <c r="D74" s="2"/>
      <c r="E74" s="2"/>
      <c r="F74" s="51"/>
      <c r="G74" s="51"/>
      <c r="H74" s="51"/>
      <c r="I74" s="51"/>
      <c r="J74" s="51"/>
      <c r="K74" s="51"/>
      <c r="L74" s="91">
        <v>21000</v>
      </c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5"/>
      <c r="Y74" s="59">
        <f t="shared" si="15"/>
        <v>0</v>
      </c>
      <c r="Z74" s="51">
        <f t="shared" si="16"/>
        <v>0</v>
      </c>
      <c r="AA74" s="51">
        <f t="shared" si="27"/>
        <v>21000</v>
      </c>
    </row>
    <row r="75" spans="1:35" x14ac:dyDescent="0.25">
      <c r="A75" s="30" t="s">
        <v>60</v>
      </c>
      <c r="B75" s="32" t="s">
        <v>9</v>
      </c>
      <c r="C75" s="31" t="s">
        <v>69</v>
      </c>
      <c r="D75" s="2"/>
      <c r="E75" s="2"/>
      <c r="F75" s="51"/>
      <c r="G75" s="51"/>
      <c r="H75" s="51"/>
      <c r="I75" s="51"/>
      <c r="J75" s="51"/>
      <c r="K75" s="51"/>
      <c r="L75" s="52"/>
      <c r="M75" s="51"/>
      <c r="N75" s="51"/>
      <c r="O75" s="51"/>
      <c r="P75" s="51"/>
      <c r="Q75" s="51"/>
      <c r="R75" s="51"/>
      <c r="S75" s="51"/>
      <c r="T75" s="51"/>
      <c r="U75" s="51"/>
      <c r="V75" s="96">
        <v>760</v>
      </c>
      <c r="W75" s="51"/>
      <c r="X75" s="55">
        <v>625</v>
      </c>
      <c r="Y75" s="59">
        <f t="shared" si="15"/>
        <v>0</v>
      </c>
      <c r="Z75" s="51">
        <f t="shared" si="16"/>
        <v>1385</v>
      </c>
      <c r="AA75" s="51">
        <f t="shared" si="27"/>
        <v>1385</v>
      </c>
    </row>
    <row r="76" spans="1:35" x14ac:dyDescent="0.25">
      <c r="A76" s="15" t="s">
        <v>51</v>
      </c>
      <c r="B76" s="16" t="s">
        <v>56</v>
      </c>
      <c r="C76" s="27" t="s">
        <v>57</v>
      </c>
      <c r="D76" s="16" t="s">
        <v>70</v>
      </c>
      <c r="E76" s="16"/>
      <c r="F76" s="1"/>
      <c r="G76" s="1"/>
      <c r="H76" s="1"/>
      <c r="I76" s="1"/>
      <c r="J76" s="1"/>
      <c r="K76" s="1"/>
      <c r="L76" s="5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54"/>
      <c r="Y76" s="58">
        <f t="shared" si="15"/>
        <v>0</v>
      </c>
      <c r="Z76" s="1">
        <f t="shared" si="16"/>
        <v>0</v>
      </c>
      <c r="AA76" s="1">
        <f t="shared" si="27"/>
        <v>0</v>
      </c>
      <c r="AC76">
        <f>8/28*2</f>
        <v>0.5714285714285714</v>
      </c>
    </row>
    <row r="77" spans="1:35" x14ac:dyDescent="0.25">
      <c r="A77" s="15" t="s">
        <v>51</v>
      </c>
      <c r="B77" s="16" t="s">
        <v>56</v>
      </c>
      <c r="C77" s="27" t="s">
        <v>57</v>
      </c>
      <c r="D77" s="16" t="s">
        <v>71</v>
      </c>
      <c r="E77" s="16"/>
      <c r="F77" s="1"/>
      <c r="G77" s="1"/>
      <c r="H77" s="1"/>
      <c r="I77" s="1"/>
      <c r="J77" s="1"/>
      <c r="K77" s="1"/>
      <c r="L77" s="5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54"/>
      <c r="Y77" s="58">
        <f t="shared" si="15"/>
        <v>0</v>
      </c>
      <c r="Z77" s="1">
        <f t="shared" si="16"/>
        <v>0</v>
      </c>
      <c r="AA77" s="1">
        <f t="shared" si="27"/>
        <v>0</v>
      </c>
    </row>
    <row r="78" spans="1:35" x14ac:dyDescent="0.25">
      <c r="A78" s="15" t="s">
        <v>51</v>
      </c>
      <c r="B78" s="16" t="s">
        <v>56</v>
      </c>
      <c r="C78" s="27" t="s">
        <v>27</v>
      </c>
      <c r="D78" s="16" t="s">
        <v>72</v>
      </c>
      <c r="E78" s="16"/>
      <c r="F78" s="1"/>
      <c r="G78" s="1"/>
      <c r="H78" s="1"/>
      <c r="I78" s="1"/>
      <c r="J78" s="1"/>
      <c r="K78" s="1"/>
      <c r="L78" s="5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54"/>
      <c r="Y78" s="58">
        <f t="shared" si="15"/>
        <v>0</v>
      </c>
      <c r="Z78" s="1">
        <f t="shared" si="16"/>
        <v>0</v>
      </c>
      <c r="AA78" s="1">
        <f t="shared" si="27"/>
        <v>0</v>
      </c>
      <c r="AH78" t="s">
        <v>1</v>
      </c>
      <c r="AI78" t="s">
        <v>6</v>
      </c>
    </row>
    <row r="79" spans="1:35" x14ac:dyDescent="0.25">
      <c r="A79" s="15" t="s">
        <v>51</v>
      </c>
      <c r="B79" s="16" t="s">
        <v>56</v>
      </c>
      <c r="C79" s="27" t="s">
        <v>57</v>
      </c>
      <c r="D79" s="16" t="s">
        <v>73</v>
      </c>
      <c r="E79" s="16"/>
      <c r="F79" s="1"/>
      <c r="G79" s="1"/>
      <c r="H79" s="1"/>
      <c r="I79" s="1"/>
      <c r="J79" s="1"/>
      <c r="K79" s="1"/>
      <c r="L79" s="5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54"/>
      <c r="Y79" s="58">
        <f t="shared" si="15"/>
        <v>0</v>
      </c>
      <c r="Z79" s="1">
        <f t="shared" si="16"/>
        <v>0</v>
      </c>
      <c r="AA79" s="1">
        <f t="shared" si="27"/>
        <v>0</v>
      </c>
      <c r="AF79" t="s">
        <v>11</v>
      </c>
      <c r="AG79">
        <f>14/180</f>
        <v>7.7777777777777779E-2</v>
      </c>
      <c r="AH79">
        <f>AG79*20000</f>
        <v>1555.5555555555557</v>
      </c>
    </row>
    <row r="80" spans="1:35" x14ac:dyDescent="0.25">
      <c r="A80" s="15" t="s">
        <v>51</v>
      </c>
      <c r="B80" s="16" t="s">
        <v>56</v>
      </c>
      <c r="C80" s="27" t="s">
        <v>57</v>
      </c>
      <c r="D80" s="16" t="s">
        <v>74</v>
      </c>
      <c r="E80" s="16"/>
      <c r="F80" s="1"/>
      <c r="G80" s="1"/>
      <c r="H80" s="1"/>
      <c r="I80" s="1"/>
      <c r="J80" s="1"/>
      <c r="K80" s="1"/>
      <c r="L80" s="5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54"/>
      <c r="Y80" s="58">
        <f t="shared" si="15"/>
        <v>0</v>
      </c>
      <c r="Z80" s="1">
        <f t="shared" si="16"/>
        <v>0</v>
      </c>
      <c r="AA80" s="1">
        <f t="shared" si="27"/>
        <v>0</v>
      </c>
      <c r="AF80" t="s">
        <v>5</v>
      </c>
      <c r="AG80">
        <f>2/180</f>
        <v>1.1111111111111112E-2</v>
      </c>
      <c r="AH80">
        <f>AG80*20000</f>
        <v>222.22222222222223</v>
      </c>
      <c r="AI80">
        <f>AH80/5000</f>
        <v>4.4444444444444446E-2</v>
      </c>
    </row>
    <row r="81" spans="1:36" x14ac:dyDescent="0.25">
      <c r="A81" s="30" t="s">
        <v>60</v>
      </c>
      <c r="B81" s="31" t="s">
        <v>13</v>
      </c>
      <c r="C81" s="32" t="s">
        <v>61</v>
      </c>
      <c r="D81" s="31" t="s">
        <v>75</v>
      </c>
      <c r="E81" s="31"/>
      <c r="F81" s="51">
        <f>F66*0.5</f>
        <v>490.20010000000002</v>
      </c>
      <c r="G81" s="73"/>
      <c r="H81" s="51">
        <f>H66</f>
        <v>1320</v>
      </c>
      <c r="I81" s="51">
        <f>I66*0.7</f>
        <v>543.19999999999993</v>
      </c>
      <c r="J81" s="51">
        <f>J66*0.3</f>
        <v>330</v>
      </c>
      <c r="K81" s="51">
        <f>K66*0.8</f>
        <v>184</v>
      </c>
      <c r="L81" s="52">
        <v>0</v>
      </c>
      <c r="M81" s="73">
        <f>M66*0.1</f>
        <v>172.8</v>
      </c>
      <c r="N81" s="73">
        <v>0</v>
      </c>
      <c r="O81" s="73">
        <v>0</v>
      </c>
      <c r="P81" s="73">
        <v>0</v>
      </c>
      <c r="Q81" s="73"/>
      <c r="R81" s="73"/>
      <c r="S81" s="51"/>
      <c r="T81" s="51"/>
      <c r="U81" s="51"/>
      <c r="V81" s="51"/>
      <c r="W81" s="51">
        <f>W66</f>
        <v>700</v>
      </c>
      <c r="X81" s="55">
        <f>X66*0.1</f>
        <v>200</v>
      </c>
      <c r="Y81" s="59">
        <f t="shared" si="15"/>
        <v>2867.4000999999998</v>
      </c>
      <c r="Z81" s="51">
        <f t="shared" si="16"/>
        <v>1072.8</v>
      </c>
      <c r="AA81" s="51">
        <f t="shared" si="27"/>
        <v>3940.2001</v>
      </c>
      <c r="AF81" t="s">
        <v>7</v>
      </c>
      <c r="AG81">
        <f>7/180</f>
        <v>3.888888888888889E-2</v>
      </c>
      <c r="AH81">
        <f>AG81*20000</f>
        <v>777.77777777777783</v>
      </c>
      <c r="AI81">
        <f>AH81/5000</f>
        <v>0.15555555555555556</v>
      </c>
      <c r="AJ81">
        <f>AH81/4777</f>
        <v>0.16281720280045589</v>
      </c>
    </row>
    <row r="82" spans="1:36" x14ac:dyDescent="0.25">
      <c r="A82" s="30" t="s">
        <v>60</v>
      </c>
      <c r="B82" s="31" t="s">
        <v>13</v>
      </c>
      <c r="C82" s="32" t="s">
        <v>61</v>
      </c>
      <c r="D82" s="31" t="s">
        <v>76</v>
      </c>
      <c r="E82" s="31"/>
      <c r="F82" s="51">
        <f>F66*0.5</f>
        <v>490.20010000000002</v>
      </c>
      <c r="G82" s="51">
        <v>0</v>
      </c>
      <c r="H82" s="51">
        <v>0</v>
      </c>
      <c r="I82" s="51">
        <f>I66*0.25</f>
        <v>194</v>
      </c>
      <c r="J82" s="51">
        <f>J66*0.7</f>
        <v>770</v>
      </c>
      <c r="K82" s="51">
        <f>K66*0.05</f>
        <v>11.5</v>
      </c>
      <c r="L82" s="52">
        <v>0</v>
      </c>
      <c r="M82" s="73">
        <f>M66*0.4</f>
        <v>691.2</v>
      </c>
      <c r="N82" s="73">
        <f>N66</f>
        <v>500</v>
      </c>
      <c r="O82" s="73">
        <f>O66*0.3</f>
        <v>300</v>
      </c>
      <c r="P82" s="73">
        <f>P66*0.2</f>
        <v>600</v>
      </c>
      <c r="Q82" s="73"/>
      <c r="R82" s="73">
        <f>R66</f>
        <v>550</v>
      </c>
      <c r="S82" s="51"/>
      <c r="T82" s="51"/>
      <c r="U82" s="51"/>
      <c r="V82" s="51"/>
      <c r="W82" s="51"/>
      <c r="X82" s="55">
        <f>X66*0.1</f>
        <v>200</v>
      </c>
      <c r="Y82" s="59">
        <f t="shared" si="15"/>
        <v>1465.7001</v>
      </c>
      <c r="Z82" s="51">
        <f t="shared" si="16"/>
        <v>2841.2</v>
      </c>
      <c r="AA82" s="51">
        <f t="shared" si="27"/>
        <v>4306.9000999999998</v>
      </c>
      <c r="AF82" t="s">
        <v>8</v>
      </c>
      <c r="AG82">
        <f>36/180</f>
        <v>0.2</v>
      </c>
      <c r="AH82">
        <f>AG82*20000</f>
        <v>4000</v>
      </c>
      <c r="AI82">
        <f>AH82/5000</f>
        <v>0.8</v>
      </c>
      <c r="AJ82">
        <f>AH82/4777</f>
        <v>0.83734561440234456</v>
      </c>
    </row>
    <row r="83" spans="1:36" x14ac:dyDescent="0.25">
      <c r="A83" s="30" t="s">
        <v>60</v>
      </c>
      <c r="B83" s="31" t="s">
        <v>13</v>
      </c>
      <c r="C83" s="32" t="s">
        <v>61</v>
      </c>
      <c r="D83" s="31" t="s">
        <v>77</v>
      </c>
      <c r="E83" s="31"/>
      <c r="F83" s="51">
        <v>0</v>
      </c>
      <c r="G83" s="51">
        <v>0</v>
      </c>
      <c r="H83" s="51">
        <v>0</v>
      </c>
      <c r="I83" s="51">
        <v>0</v>
      </c>
      <c r="J83" s="51">
        <v>0</v>
      </c>
      <c r="K83" s="51">
        <f>K66*0.1</f>
        <v>23</v>
      </c>
      <c r="L83" s="52">
        <v>0</v>
      </c>
      <c r="M83" s="73">
        <f>M66*0.5</f>
        <v>864</v>
      </c>
      <c r="N83" s="73">
        <v>0</v>
      </c>
      <c r="O83" s="73">
        <f>O66*0.7</f>
        <v>700</v>
      </c>
      <c r="P83" s="73">
        <f>P66*0.7</f>
        <v>2100</v>
      </c>
      <c r="Q83" s="73"/>
      <c r="R83" s="73"/>
      <c r="S83" s="51"/>
      <c r="T83" s="51">
        <f>T66</f>
        <v>320</v>
      </c>
      <c r="U83" s="51">
        <f>U66</f>
        <v>500</v>
      </c>
      <c r="V83" s="51"/>
      <c r="W83" s="51"/>
      <c r="X83" s="55">
        <f>X66*0.7</f>
        <v>1400</v>
      </c>
      <c r="Y83" s="59">
        <f t="shared" si="15"/>
        <v>23</v>
      </c>
      <c r="Z83" s="51">
        <f t="shared" si="16"/>
        <v>5884</v>
      </c>
      <c r="AA83" s="51">
        <f t="shared" si="27"/>
        <v>5907</v>
      </c>
    </row>
    <row r="84" spans="1:36" x14ac:dyDescent="0.25">
      <c r="A84" s="30" t="s">
        <v>60</v>
      </c>
      <c r="B84" s="31" t="s">
        <v>13</v>
      </c>
      <c r="C84" s="32" t="s">
        <v>61</v>
      </c>
      <c r="D84" s="31" t="s">
        <v>78</v>
      </c>
      <c r="E84" s="31"/>
      <c r="F84" s="51">
        <v>0</v>
      </c>
      <c r="G84" s="51">
        <v>0</v>
      </c>
      <c r="H84" s="51">
        <v>0</v>
      </c>
      <c r="I84" s="51">
        <f>I66*0.05</f>
        <v>38.800000000000004</v>
      </c>
      <c r="J84" s="51">
        <v>0</v>
      </c>
      <c r="K84" s="51">
        <f>K66*0.05</f>
        <v>11.5</v>
      </c>
      <c r="L84" s="52">
        <v>0</v>
      </c>
      <c r="M84" s="73">
        <f>M66*0</f>
        <v>0</v>
      </c>
      <c r="N84" s="73">
        <v>0</v>
      </c>
      <c r="O84" s="73">
        <f>O66*0</f>
        <v>0</v>
      </c>
      <c r="P84" s="73">
        <f>(P66)*0.1</f>
        <v>300</v>
      </c>
      <c r="Q84" s="73">
        <f>Q66</f>
        <v>550</v>
      </c>
      <c r="R84" s="73"/>
      <c r="S84" s="51"/>
      <c r="T84" s="51"/>
      <c r="U84" s="51"/>
      <c r="V84" s="51"/>
      <c r="W84" s="51"/>
      <c r="X84" s="55">
        <f>X66*0.1</f>
        <v>200</v>
      </c>
      <c r="Y84" s="59">
        <f t="shared" si="15"/>
        <v>50.300000000000004</v>
      </c>
      <c r="Z84" s="51">
        <f t="shared" si="16"/>
        <v>1050</v>
      </c>
      <c r="AA84" s="51">
        <f t="shared" si="27"/>
        <v>1100.3</v>
      </c>
    </row>
    <row r="85" spans="1:36" ht="15.75" thickBot="1" x14ac:dyDescent="0.3">
      <c r="A85" s="33" t="s">
        <v>60</v>
      </c>
      <c r="B85" s="34" t="s">
        <v>13</v>
      </c>
      <c r="C85" s="35" t="s">
        <v>61</v>
      </c>
      <c r="D85" s="34" t="s">
        <v>79</v>
      </c>
      <c r="E85" s="31"/>
      <c r="F85" s="51">
        <v>0</v>
      </c>
      <c r="G85" s="51">
        <v>0</v>
      </c>
      <c r="H85" s="51">
        <v>0</v>
      </c>
      <c r="I85" s="51">
        <v>0</v>
      </c>
      <c r="J85" s="51">
        <v>0</v>
      </c>
      <c r="K85" s="51">
        <v>0</v>
      </c>
      <c r="L85" s="52">
        <v>0</v>
      </c>
      <c r="M85" s="51">
        <v>0</v>
      </c>
      <c r="N85" s="51">
        <v>0</v>
      </c>
      <c r="O85" s="51">
        <v>0</v>
      </c>
      <c r="P85" s="51">
        <v>0</v>
      </c>
      <c r="Q85" s="51">
        <v>0</v>
      </c>
      <c r="R85" s="51">
        <v>0</v>
      </c>
      <c r="S85" s="51">
        <v>0</v>
      </c>
      <c r="T85" s="51">
        <v>0</v>
      </c>
      <c r="U85" s="51">
        <v>0</v>
      </c>
      <c r="V85" s="51">
        <v>0</v>
      </c>
      <c r="W85" s="51">
        <v>0</v>
      </c>
      <c r="X85" s="55">
        <v>0</v>
      </c>
      <c r="Y85" s="59">
        <f t="shared" si="15"/>
        <v>0</v>
      </c>
      <c r="Z85" s="51">
        <f t="shared" si="16"/>
        <v>0</v>
      </c>
      <c r="AA85" s="51">
        <f t="shared" si="27"/>
        <v>0</v>
      </c>
    </row>
    <row r="86" spans="1:36" x14ac:dyDescent="0.25">
      <c r="A86" s="30" t="s">
        <v>60</v>
      </c>
      <c r="B86" s="31" t="s">
        <v>13</v>
      </c>
      <c r="C86" s="32" t="s">
        <v>62</v>
      </c>
      <c r="D86" s="31" t="s">
        <v>75</v>
      </c>
      <c r="E86" s="31"/>
      <c r="F86" s="51"/>
      <c r="G86" s="73">
        <f>G67*0.5</f>
        <v>697.99694469905285</v>
      </c>
      <c r="H86" s="51">
        <f>H67*0.2</f>
        <v>396</v>
      </c>
      <c r="I86" s="51">
        <v>0</v>
      </c>
      <c r="J86" s="51">
        <v>0</v>
      </c>
      <c r="K86" s="51">
        <v>0</v>
      </c>
      <c r="L86" s="52">
        <v>0</v>
      </c>
      <c r="M86" s="51">
        <v>0</v>
      </c>
      <c r="N86" s="51">
        <v>0</v>
      </c>
      <c r="O86" s="51">
        <v>0</v>
      </c>
      <c r="P86" s="51">
        <v>0</v>
      </c>
      <c r="Q86" s="51">
        <v>0</v>
      </c>
      <c r="R86" s="51">
        <v>0</v>
      </c>
      <c r="S86" s="51">
        <v>0</v>
      </c>
      <c r="T86" s="51">
        <v>0</v>
      </c>
      <c r="U86" s="51">
        <v>0</v>
      </c>
      <c r="V86" s="51">
        <v>0</v>
      </c>
      <c r="W86" s="51">
        <v>0</v>
      </c>
      <c r="X86" s="55">
        <v>0</v>
      </c>
      <c r="Y86" s="59">
        <f t="shared" si="15"/>
        <v>1093.9969446990528</v>
      </c>
      <c r="Z86" s="51">
        <f t="shared" si="16"/>
        <v>0</v>
      </c>
      <c r="AA86" s="51">
        <f t="shared" si="27"/>
        <v>1093.9969446990528</v>
      </c>
    </row>
    <row r="87" spans="1:36" x14ac:dyDescent="0.25">
      <c r="A87" s="30" t="s">
        <v>60</v>
      </c>
      <c r="B87" s="31" t="s">
        <v>13</v>
      </c>
      <c r="C87" s="32" t="s">
        <v>62</v>
      </c>
      <c r="D87" s="31" t="s">
        <v>76</v>
      </c>
      <c r="E87" s="31"/>
      <c r="F87" s="51">
        <f>F67</f>
        <v>515.03200000000004</v>
      </c>
      <c r="G87" s="51">
        <f>G67*0.5</f>
        <v>697.99694469905285</v>
      </c>
      <c r="H87" s="51">
        <f>H67*0.8</f>
        <v>1584</v>
      </c>
      <c r="I87" s="51">
        <v>0</v>
      </c>
      <c r="J87" s="51">
        <v>0</v>
      </c>
      <c r="K87" s="51">
        <v>0</v>
      </c>
      <c r="L87" s="52">
        <v>0</v>
      </c>
      <c r="M87" s="51">
        <v>0</v>
      </c>
      <c r="N87" s="51">
        <v>0</v>
      </c>
      <c r="O87" s="51">
        <v>0</v>
      </c>
      <c r="P87" s="51">
        <f>P67</f>
        <v>4000</v>
      </c>
      <c r="Q87" s="51">
        <v>0</v>
      </c>
      <c r="R87" s="51">
        <v>0</v>
      </c>
      <c r="S87" s="51">
        <v>0</v>
      </c>
      <c r="T87" s="51">
        <v>0</v>
      </c>
      <c r="U87" s="51">
        <v>0</v>
      </c>
      <c r="V87" s="51">
        <v>0</v>
      </c>
      <c r="W87" s="51">
        <v>0</v>
      </c>
      <c r="X87" s="55">
        <v>0</v>
      </c>
      <c r="Y87" s="59">
        <f t="shared" si="15"/>
        <v>2797.0289446990528</v>
      </c>
      <c r="Z87" s="51">
        <f t="shared" si="16"/>
        <v>4000</v>
      </c>
      <c r="AA87" s="51">
        <f t="shared" si="27"/>
        <v>6797.0289446990528</v>
      </c>
    </row>
    <row r="88" spans="1:36" x14ac:dyDescent="0.25">
      <c r="A88" s="30" t="s">
        <v>60</v>
      </c>
      <c r="B88" s="31" t="s">
        <v>13</v>
      </c>
      <c r="C88" s="32" t="s">
        <v>62</v>
      </c>
      <c r="D88" s="31" t="s">
        <v>77</v>
      </c>
      <c r="E88" s="31"/>
      <c r="F88" s="51">
        <v>0</v>
      </c>
      <c r="G88" s="51">
        <v>0</v>
      </c>
      <c r="H88" s="51">
        <v>0</v>
      </c>
      <c r="I88" s="51">
        <v>0</v>
      </c>
      <c r="J88" s="51">
        <v>0</v>
      </c>
      <c r="K88" s="51">
        <v>0</v>
      </c>
      <c r="L88" s="52">
        <v>0</v>
      </c>
      <c r="M88" s="51">
        <v>0</v>
      </c>
      <c r="N88" s="51">
        <v>0</v>
      </c>
      <c r="O88" s="51">
        <v>0</v>
      </c>
      <c r="P88" s="51">
        <v>0</v>
      </c>
      <c r="Q88" s="51">
        <v>0</v>
      </c>
      <c r="R88" s="51">
        <v>0</v>
      </c>
      <c r="S88" s="51">
        <v>0</v>
      </c>
      <c r="T88" s="51">
        <v>0</v>
      </c>
      <c r="U88" s="51">
        <v>0</v>
      </c>
      <c r="V88" s="51">
        <v>0</v>
      </c>
      <c r="W88" s="51">
        <v>0</v>
      </c>
      <c r="X88" s="55">
        <v>0</v>
      </c>
      <c r="Y88" s="59">
        <f t="shared" si="15"/>
        <v>0</v>
      </c>
      <c r="Z88" s="51">
        <f t="shared" si="16"/>
        <v>0</v>
      </c>
      <c r="AA88" s="51">
        <f t="shared" si="27"/>
        <v>0</v>
      </c>
    </row>
    <row r="89" spans="1:36" x14ac:dyDescent="0.25">
      <c r="A89" s="30" t="s">
        <v>60</v>
      </c>
      <c r="B89" s="31" t="s">
        <v>13</v>
      </c>
      <c r="C89" s="32" t="s">
        <v>62</v>
      </c>
      <c r="D89" s="31" t="s">
        <v>78</v>
      </c>
      <c r="E89" s="31"/>
      <c r="F89" s="51">
        <v>0</v>
      </c>
      <c r="G89" s="51">
        <v>0</v>
      </c>
      <c r="H89" s="51">
        <v>0</v>
      </c>
      <c r="I89" s="51">
        <v>0</v>
      </c>
      <c r="J89" s="51">
        <v>0</v>
      </c>
      <c r="K89" s="51">
        <v>0</v>
      </c>
      <c r="L89" s="52">
        <v>0</v>
      </c>
      <c r="M89" s="51">
        <v>0</v>
      </c>
      <c r="N89" s="51">
        <v>0</v>
      </c>
      <c r="O89" s="51">
        <v>0</v>
      </c>
      <c r="P89" s="51">
        <v>0</v>
      </c>
      <c r="Q89" s="51">
        <v>0</v>
      </c>
      <c r="R89" s="51">
        <v>0</v>
      </c>
      <c r="S89" s="51">
        <v>0</v>
      </c>
      <c r="T89" s="51">
        <v>0</v>
      </c>
      <c r="U89" s="51">
        <v>0</v>
      </c>
      <c r="V89" s="51">
        <v>0</v>
      </c>
      <c r="W89" s="51">
        <v>0</v>
      </c>
      <c r="X89" s="55">
        <v>0</v>
      </c>
      <c r="Y89" s="59">
        <f t="shared" si="15"/>
        <v>0</v>
      </c>
      <c r="Z89" s="51">
        <f t="shared" si="16"/>
        <v>0</v>
      </c>
      <c r="AA89" s="51">
        <f t="shared" si="27"/>
        <v>0</v>
      </c>
    </row>
    <row r="90" spans="1:36" ht="15.75" thickBot="1" x14ac:dyDescent="0.3">
      <c r="A90" s="33" t="s">
        <v>60</v>
      </c>
      <c r="B90" s="34" t="s">
        <v>13</v>
      </c>
      <c r="C90" s="32" t="s">
        <v>62</v>
      </c>
      <c r="D90" s="34" t="s">
        <v>79</v>
      </c>
      <c r="E90" s="31"/>
      <c r="F90" s="51">
        <v>0</v>
      </c>
      <c r="G90" s="51">
        <v>0</v>
      </c>
      <c r="H90" s="51">
        <v>0</v>
      </c>
      <c r="I90" s="51">
        <v>0</v>
      </c>
      <c r="J90" s="51">
        <v>0</v>
      </c>
      <c r="K90" s="51">
        <v>0</v>
      </c>
      <c r="L90" s="52">
        <v>0</v>
      </c>
      <c r="M90" s="51">
        <v>0</v>
      </c>
      <c r="N90" s="51">
        <v>0</v>
      </c>
      <c r="O90" s="51">
        <v>0</v>
      </c>
      <c r="P90" s="51">
        <v>0</v>
      </c>
      <c r="Q90" s="51">
        <v>0</v>
      </c>
      <c r="R90" s="51">
        <v>0</v>
      </c>
      <c r="S90" s="51">
        <v>0</v>
      </c>
      <c r="T90" s="51">
        <v>0</v>
      </c>
      <c r="U90" s="51">
        <v>0</v>
      </c>
      <c r="V90" s="51">
        <v>0</v>
      </c>
      <c r="W90" s="51">
        <v>0</v>
      </c>
      <c r="X90" s="55">
        <v>0</v>
      </c>
      <c r="Y90" s="59">
        <f t="shared" si="15"/>
        <v>0</v>
      </c>
      <c r="Z90" s="51">
        <f t="shared" si="16"/>
        <v>0</v>
      </c>
      <c r="AA90" s="51">
        <f t="shared" si="27"/>
        <v>0</v>
      </c>
    </row>
    <row r="92" spans="1:36" x14ac:dyDescent="0.25">
      <c r="D92" s="41" t="s">
        <v>19</v>
      </c>
      <c r="E92" s="41"/>
      <c r="M92" s="24" t="s">
        <v>81</v>
      </c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</row>
    <row r="93" spans="1:36" x14ac:dyDescent="0.25">
      <c r="F93" s="23" t="s">
        <v>44</v>
      </c>
      <c r="G93" s="23"/>
      <c r="H93" s="23"/>
      <c r="I93" s="23"/>
      <c r="J93" s="23"/>
      <c r="K93" s="23"/>
      <c r="L93" s="7" t="s">
        <v>30</v>
      </c>
      <c r="M93" s="24" t="s">
        <v>46</v>
      </c>
      <c r="N93" s="24"/>
      <c r="O93" s="24"/>
      <c r="P93" s="24"/>
      <c r="Q93" s="24"/>
      <c r="R93" s="24" t="s">
        <v>47</v>
      </c>
      <c r="S93" s="24"/>
      <c r="T93" s="24"/>
      <c r="U93" s="24"/>
      <c r="V93" s="24"/>
      <c r="W93" s="24"/>
      <c r="X93" s="24"/>
      <c r="Y93" s="44" t="s">
        <v>85</v>
      </c>
      <c r="Z93" s="44" t="s">
        <v>48</v>
      </c>
      <c r="AA93" s="44" t="s">
        <v>3</v>
      </c>
    </row>
    <row r="94" spans="1:36" ht="63" x14ac:dyDescent="0.25">
      <c r="F94" s="38" t="s">
        <v>36</v>
      </c>
      <c r="G94" s="38" t="s">
        <v>37</v>
      </c>
      <c r="H94" s="38" t="s">
        <v>38</v>
      </c>
      <c r="I94" s="38" t="s">
        <v>80</v>
      </c>
      <c r="J94" s="38" t="s">
        <v>39</v>
      </c>
      <c r="K94" s="38" t="s">
        <v>45</v>
      </c>
      <c r="L94" s="39" t="s">
        <v>16</v>
      </c>
      <c r="M94" s="40" t="s">
        <v>34</v>
      </c>
      <c r="N94" s="40" t="s">
        <v>5</v>
      </c>
      <c r="O94" s="40" t="s">
        <v>7</v>
      </c>
      <c r="P94" s="40" t="s">
        <v>8</v>
      </c>
      <c r="Q94" s="40" t="s">
        <v>40</v>
      </c>
      <c r="R94" s="40" t="s">
        <v>41</v>
      </c>
      <c r="S94" s="40" t="s">
        <v>42</v>
      </c>
      <c r="T94" s="40" t="s">
        <v>31</v>
      </c>
      <c r="U94" s="40" t="s">
        <v>43</v>
      </c>
      <c r="V94" s="40" t="s">
        <v>82</v>
      </c>
      <c r="W94" s="40" t="s">
        <v>87</v>
      </c>
      <c r="X94" s="40" t="s">
        <v>83</v>
      </c>
      <c r="Y94" s="45" t="s">
        <v>3</v>
      </c>
      <c r="Z94" s="45" t="s">
        <v>3</v>
      </c>
      <c r="AA94" s="45" t="s">
        <v>3</v>
      </c>
    </row>
    <row r="95" spans="1:36" x14ac:dyDescent="0.25">
      <c r="A95" s="15" t="s">
        <v>51</v>
      </c>
      <c r="B95" s="2"/>
      <c r="C95" s="2"/>
      <c r="F95" s="1">
        <f t="shared" ref="F95:AA106" si="28">IF(F5&gt;0,F50/F5,0)</f>
        <v>0</v>
      </c>
      <c r="G95" s="1">
        <f t="shared" si="28"/>
        <v>0</v>
      </c>
      <c r="H95" s="1">
        <f t="shared" si="28"/>
        <v>0</v>
      </c>
      <c r="I95" s="1">
        <f t="shared" si="28"/>
        <v>0</v>
      </c>
      <c r="J95" s="1">
        <f t="shared" si="28"/>
        <v>0</v>
      </c>
      <c r="K95" s="1">
        <f t="shared" si="28"/>
        <v>0</v>
      </c>
      <c r="L95" s="52">
        <f t="shared" si="28"/>
        <v>0</v>
      </c>
      <c r="M95" s="1">
        <f t="shared" si="28"/>
        <v>0</v>
      </c>
      <c r="N95" s="1">
        <f t="shared" si="28"/>
        <v>0</v>
      </c>
      <c r="O95" s="1">
        <f t="shared" si="28"/>
        <v>0</v>
      </c>
      <c r="P95" s="1">
        <f t="shared" si="28"/>
        <v>0</v>
      </c>
      <c r="Q95" s="1">
        <f t="shared" si="28"/>
        <v>0</v>
      </c>
      <c r="R95" s="1">
        <f t="shared" si="28"/>
        <v>0</v>
      </c>
      <c r="S95" s="1">
        <f t="shared" si="28"/>
        <v>0</v>
      </c>
      <c r="T95" s="1">
        <f t="shared" si="28"/>
        <v>0</v>
      </c>
      <c r="U95" s="1">
        <f t="shared" si="28"/>
        <v>0</v>
      </c>
      <c r="V95" s="1">
        <f t="shared" si="28"/>
        <v>0</v>
      </c>
      <c r="W95" s="1">
        <f t="shared" si="28"/>
        <v>0</v>
      </c>
      <c r="X95" s="54">
        <f t="shared" si="28"/>
        <v>0</v>
      </c>
      <c r="Y95" s="58">
        <f t="shared" si="28"/>
        <v>0</v>
      </c>
      <c r="Z95" s="1">
        <f t="shared" si="28"/>
        <v>0</v>
      </c>
      <c r="AA95" s="1">
        <f t="shared" si="28"/>
        <v>0</v>
      </c>
    </row>
    <row r="96" spans="1:36" x14ac:dyDescent="0.25">
      <c r="A96" s="30" t="s">
        <v>60</v>
      </c>
      <c r="B96" s="2"/>
      <c r="C96" s="2"/>
      <c r="F96" s="1">
        <f t="shared" si="28"/>
        <v>0.17388746511627909</v>
      </c>
      <c r="G96" s="1">
        <f t="shared" si="28"/>
        <v>0.27919877787962116</v>
      </c>
      <c r="H96" s="1">
        <f t="shared" si="28"/>
        <v>0.30841121495327101</v>
      </c>
      <c r="I96" s="1">
        <f t="shared" si="28"/>
        <v>0.2639455782312925</v>
      </c>
      <c r="J96" s="1">
        <f t="shared" si="28"/>
        <v>0.25153473344103389</v>
      </c>
      <c r="K96" s="1">
        <f t="shared" si="28"/>
        <v>0.668201249588951</v>
      </c>
      <c r="L96" s="52">
        <f t="shared" si="28"/>
        <v>0.08</v>
      </c>
      <c r="M96" s="1">
        <f t="shared" si="28"/>
        <v>0.16885750690167767</v>
      </c>
      <c r="N96" s="1">
        <f t="shared" si="28"/>
        <v>0.34615384615384615</v>
      </c>
      <c r="O96" s="1">
        <f t="shared" si="28"/>
        <v>0.33333333333333331</v>
      </c>
      <c r="P96" s="1">
        <f t="shared" si="28"/>
        <v>0.20588235294117646</v>
      </c>
      <c r="Q96" s="1">
        <f t="shared" si="28"/>
        <v>0.12472124880535204</v>
      </c>
      <c r="R96" s="1">
        <f t="shared" si="28"/>
        <v>0.20058212058212055</v>
      </c>
      <c r="S96" s="1">
        <f t="shared" si="28"/>
        <v>0.24489795918367346</v>
      </c>
      <c r="T96" s="1">
        <f t="shared" si="28"/>
        <v>0.17167138810198301</v>
      </c>
      <c r="U96" s="1">
        <f t="shared" si="28"/>
        <v>0.26847457627118643</v>
      </c>
      <c r="V96" s="1">
        <f t="shared" si="28"/>
        <v>0.27774130006565989</v>
      </c>
      <c r="W96" s="1">
        <f t="shared" si="28"/>
        <v>0.18787878787878787</v>
      </c>
      <c r="X96" s="54">
        <f t="shared" si="28"/>
        <v>0.26518771331058016</v>
      </c>
      <c r="Y96" s="58">
        <f t="shared" si="28"/>
        <v>0.28741709357191697</v>
      </c>
      <c r="Z96" s="1">
        <f t="shared" si="28"/>
        <v>0.19276147797827023</v>
      </c>
      <c r="AA96" s="1">
        <f t="shared" si="28"/>
        <v>0.13642108673194353</v>
      </c>
    </row>
    <row r="97" spans="1:28" x14ac:dyDescent="0.25">
      <c r="A97" s="15" t="s">
        <v>51</v>
      </c>
      <c r="B97" s="16" t="s">
        <v>52</v>
      </c>
      <c r="C97" s="2"/>
      <c r="F97" s="1">
        <f t="shared" si="28"/>
        <v>0</v>
      </c>
      <c r="G97" s="1">
        <f t="shared" si="28"/>
        <v>0</v>
      </c>
      <c r="H97" s="1">
        <f t="shared" si="28"/>
        <v>0</v>
      </c>
      <c r="I97" s="1">
        <f t="shared" si="28"/>
        <v>0</v>
      </c>
      <c r="J97" s="1">
        <f t="shared" si="28"/>
        <v>0</v>
      </c>
      <c r="K97" s="1">
        <f t="shared" si="28"/>
        <v>0</v>
      </c>
      <c r="L97" s="52">
        <f t="shared" si="28"/>
        <v>0</v>
      </c>
      <c r="M97" s="1">
        <f t="shared" si="28"/>
        <v>0</v>
      </c>
      <c r="N97" s="1">
        <f t="shared" si="28"/>
        <v>0</v>
      </c>
      <c r="O97" s="1">
        <f t="shared" si="28"/>
        <v>0</v>
      </c>
      <c r="P97" s="1">
        <f t="shared" si="28"/>
        <v>0</v>
      </c>
      <c r="Q97" s="1">
        <f t="shared" si="28"/>
        <v>0</v>
      </c>
      <c r="R97" s="1">
        <f t="shared" si="28"/>
        <v>0</v>
      </c>
      <c r="S97" s="1">
        <f t="shared" si="28"/>
        <v>0</v>
      </c>
      <c r="T97" s="1">
        <f t="shared" si="28"/>
        <v>0</v>
      </c>
      <c r="U97" s="1">
        <f t="shared" si="28"/>
        <v>0</v>
      </c>
      <c r="V97" s="1">
        <f t="shared" si="28"/>
        <v>0</v>
      </c>
      <c r="W97" s="1">
        <f t="shared" si="28"/>
        <v>0</v>
      </c>
      <c r="X97" s="54">
        <f t="shared" si="28"/>
        <v>0</v>
      </c>
      <c r="Y97" s="58">
        <f t="shared" si="28"/>
        <v>0</v>
      </c>
      <c r="Z97" s="1">
        <f t="shared" si="28"/>
        <v>0</v>
      </c>
      <c r="AA97" s="1">
        <f t="shared" si="28"/>
        <v>0</v>
      </c>
    </row>
    <row r="98" spans="1:28" x14ac:dyDescent="0.25">
      <c r="A98" s="15" t="s">
        <v>51</v>
      </c>
      <c r="B98" s="16" t="s">
        <v>56</v>
      </c>
      <c r="C98" s="2"/>
      <c r="F98" s="1">
        <f t="shared" si="28"/>
        <v>0</v>
      </c>
      <c r="G98" s="1">
        <f t="shared" si="28"/>
        <v>0</v>
      </c>
      <c r="H98" s="1">
        <f t="shared" si="28"/>
        <v>0</v>
      </c>
      <c r="I98" s="1">
        <f t="shared" si="28"/>
        <v>0</v>
      </c>
      <c r="J98" s="1">
        <f t="shared" si="28"/>
        <v>0</v>
      </c>
      <c r="K98" s="1">
        <f t="shared" si="28"/>
        <v>0</v>
      </c>
      <c r="L98" s="52">
        <f t="shared" si="28"/>
        <v>0</v>
      </c>
      <c r="M98" s="1">
        <f t="shared" si="28"/>
        <v>0</v>
      </c>
      <c r="N98" s="1">
        <f t="shared" si="28"/>
        <v>0</v>
      </c>
      <c r="O98" s="1">
        <f t="shared" si="28"/>
        <v>0</v>
      </c>
      <c r="P98" s="1">
        <f t="shared" si="28"/>
        <v>0</v>
      </c>
      <c r="Q98" s="1">
        <f t="shared" si="28"/>
        <v>0</v>
      </c>
      <c r="R98" s="1">
        <f t="shared" si="28"/>
        <v>0</v>
      </c>
      <c r="S98" s="1">
        <f t="shared" si="28"/>
        <v>0</v>
      </c>
      <c r="T98" s="1">
        <f t="shared" si="28"/>
        <v>0</v>
      </c>
      <c r="U98" s="1">
        <f t="shared" si="28"/>
        <v>0</v>
      </c>
      <c r="V98" s="1">
        <f t="shared" si="28"/>
        <v>0</v>
      </c>
      <c r="W98" s="1">
        <f t="shared" si="28"/>
        <v>0</v>
      </c>
      <c r="X98" s="54">
        <f t="shared" si="28"/>
        <v>0</v>
      </c>
      <c r="Y98" s="58">
        <f t="shared" si="28"/>
        <v>0</v>
      </c>
      <c r="Z98" s="1">
        <f t="shared" si="28"/>
        <v>0</v>
      </c>
      <c r="AA98" s="1">
        <f t="shared" si="28"/>
        <v>0</v>
      </c>
    </row>
    <row r="99" spans="1:28" x14ac:dyDescent="0.25">
      <c r="A99" s="15" t="s">
        <v>51</v>
      </c>
      <c r="B99" s="16" t="s">
        <v>9</v>
      </c>
      <c r="C99" s="2"/>
      <c r="F99" s="1">
        <f t="shared" si="28"/>
        <v>0</v>
      </c>
      <c r="G99" s="1">
        <f t="shared" si="28"/>
        <v>0</v>
      </c>
      <c r="H99" s="1">
        <f t="shared" si="28"/>
        <v>0</v>
      </c>
      <c r="I99" s="1">
        <f t="shared" si="28"/>
        <v>0</v>
      </c>
      <c r="J99" s="1">
        <f t="shared" si="28"/>
        <v>0</v>
      </c>
      <c r="K99" s="1">
        <f t="shared" si="28"/>
        <v>0</v>
      </c>
      <c r="L99" s="52">
        <f t="shared" si="28"/>
        <v>0</v>
      </c>
      <c r="M99" s="1">
        <f t="shared" si="28"/>
        <v>0</v>
      </c>
      <c r="N99" s="1">
        <f t="shared" si="28"/>
        <v>0</v>
      </c>
      <c r="O99" s="1">
        <f t="shared" si="28"/>
        <v>0</v>
      </c>
      <c r="P99" s="1">
        <f t="shared" si="28"/>
        <v>0</v>
      </c>
      <c r="Q99" s="1">
        <f t="shared" si="28"/>
        <v>0</v>
      </c>
      <c r="R99" s="1">
        <f t="shared" si="28"/>
        <v>0</v>
      </c>
      <c r="S99" s="1">
        <f t="shared" si="28"/>
        <v>0</v>
      </c>
      <c r="T99" s="1">
        <f t="shared" si="28"/>
        <v>0</v>
      </c>
      <c r="U99" s="1">
        <f t="shared" si="28"/>
        <v>0</v>
      </c>
      <c r="V99" s="1">
        <f t="shared" si="28"/>
        <v>0</v>
      </c>
      <c r="W99" s="1">
        <f t="shared" si="28"/>
        <v>0</v>
      </c>
      <c r="X99" s="54">
        <f t="shared" si="28"/>
        <v>0</v>
      </c>
      <c r="Y99" s="58">
        <f t="shared" si="28"/>
        <v>0</v>
      </c>
      <c r="Z99" s="1">
        <f t="shared" si="28"/>
        <v>0</v>
      </c>
      <c r="AA99" s="1">
        <f t="shared" si="28"/>
        <v>0</v>
      </c>
    </row>
    <row r="100" spans="1:28" x14ac:dyDescent="0.25">
      <c r="A100" s="30" t="s">
        <v>60</v>
      </c>
      <c r="B100" s="32" t="s">
        <v>13</v>
      </c>
      <c r="C100" s="2"/>
      <c r="F100" s="51">
        <f t="shared" si="28"/>
        <v>0.17388746511627909</v>
      </c>
      <c r="G100" s="51">
        <f t="shared" si="28"/>
        <v>0.27919877787962116</v>
      </c>
      <c r="H100" s="51">
        <f t="shared" si="28"/>
        <v>0.30841121495327101</v>
      </c>
      <c r="I100" s="51">
        <f t="shared" si="28"/>
        <v>0.2639455782312925</v>
      </c>
      <c r="J100" s="51">
        <f t="shared" si="28"/>
        <v>0.55000000000000004</v>
      </c>
      <c r="K100" s="51">
        <f t="shared" si="28"/>
        <v>0.28749999999999998</v>
      </c>
      <c r="L100" s="52">
        <f t="shared" si="28"/>
        <v>0</v>
      </c>
      <c r="M100" s="51">
        <f t="shared" si="28"/>
        <v>0.41657142857142859</v>
      </c>
      <c r="N100" s="51">
        <f t="shared" si="28"/>
        <v>0.33333333333333331</v>
      </c>
      <c r="O100" s="51">
        <f t="shared" si="28"/>
        <v>0.33333333333333331</v>
      </c>
      <c r="P100" s="51">
        <f t="shared" si="28"/>
        <v>0.20588235294117646</v>
      </c>
      <c r="Q100" s="51">
        <f t="shared" si="28"/>
        <v>0.5</v>
      </c>
      <c r="R100" s="51">
        <f t="shared" si="28"/>
        <v>0.47999999999999993</v>
      </c>
      <c r="S100" s="51">
        <f t="shared" si="28"/>
        <v>0</v>
      </c>
      <c r="T100" s="51">
        <f t="shared" si="28"/>
        <v>0.47999999999999993</v>
      </c>
      <c r="U100" s="51">
        <f t="shared" si="28"/>
        <v>0.48</v>
      </c>
      <c r="V100" s="51">
        <f t="shared" si="28"/>
        <v>1.2</v>
      </c>
      <c r="W100" s="51">
        <f t="shared" si="28"/>
        <v>0.6</v>
      </c>
      <c r="X100" s="55">
        <f t="shared" si="28"/>
        <v>0.4</v>
      </c>
      <c r="Y100" s="59">
        <f t="shared" si="28"/>
        <v>0.27621258619833911</v>
      </c>
      <c r="Z100" s="51">
        <f t="shared" si="28"/>
        <v>0.28224701767918031</v>
      </c>
      <c r="AA100" s="51">
        <f>IF(AA10&gt;0,AB55/AA10,0)</f>
        <v>0.28964874502305904</v>
      </c>
    </row>
    <row r="101" spans="1:28" x14ac:dyDescent="0.25">
      <c r="A101" s="30" t="s">
        <v>60</v>
      </c>
      <c r="B101" s="31" t="s">
        <v>23</v>
      </c>
      <c r="C101" s="2"/>
      <c r="F101" s="51">
        <f t="shared" si="28"/>
        <v>0</v>
      </c>
      <c r="G101" s="51">
        <f t="shared" si="28"/>
        <v>0</v>
      </c>
      <c r="H101" s="51">
        <f t="shared" si="28"/>
        <v>0</v>
      </c>
      <c r="I101" s="51">
        <f t="shared" si="28"/>
        <v>0</v>
      </c>
      <c r="J101" s="51">
        <f t="shared" si="28"/>
        <v>0.25508982035928146</v>
      </c>
      <c r="K101" s="51">
        <f t="shared" si="28"/>
        <v>0.80410531012940656</v>
      </c>
      <c r="L101" s="52">
        <f t="shared" si="28"/>
        <v>0</v>
      </c>
      <c r="M101" s="51">
        <f t="shared" si="28"/>
        <v>0</v>
      </c>
      <c r="N101" s="51">
        <f t="shared" si="28"/>
        <v>0.36363636363636365</v>
      </c>
      <c r="O101" s="51">
        <f t="shared" si="28"/>
        <v>0</v>
      </c>
      <c r="P101" s="51">
        <f t="shared" si="28"/>
        <v>0</v>
      </c>
      <c r="Q101" s="51">
        <f t="shared" si="28"/>
        <v>0</v>
      </c>
      <c r="R101" s="51">
        <f t="shared" si="28"/>
        <v>0</v>
      </c>
      <c r="S101" s="51">
        <f t="shared" si="28"/>
        <v>0.24489795918367346</v>
      </c>
      <c r="T101" s="51">
        <f t="shared" si="28"/>
        <v>0.4</v>
      </c>
      <c r="U101" s="51">
        <f t="shared" si="28"/>
        <v>0</v>
      </c>
      <c r="V101" s="51">
        <f t="shared" si="28"/>
        <v>0.9</v>
      </c>
      <c r="W101" s="51">
        <f t="shared" si="28"/>
        <v>0</v>
      </c>
      <c r="X101" s="55">
        <f t="shared" si="28"/>
        <v>0.9</v>
      </c>
      <c r="Y101" s="59">
        <f t="shared" si="28"/>
        <v>0.56967527486576319</v>
      </c>
      <c r="Z101" s="51">
        <f t="shared" si="28"/>
        <v>0.41002277904328016</v>
      </c>
      <c r="AA101" s="51">
        <f t="shared" si="28"/>
        <v>0.5122830003275467</v>
      </c>
    </row>
    <row r="102" spans="1:28" x14ac:dyDescent="0.25">
      <c r="A102" s="30" t="s">
        <v>60</v>
      </c>
      <c r="B102" s="31" t="s">
        <v>65</v>
      </c>
      <c r="C102" s="46"/>
      <c r="F102" s="51">
        <f t="shared" si="28"/>
        <v>0</v>
      </c>
      <c r="G102" s="51">
        <f t="shared" si="28"/>
        <v>0</v>
      </c>
      <c r="H102" s="51">
        <f t="shared" si="28"/>
        <v>0</v>
      </c>
      <c r="I102" s="51">
        <f t="shared" si="28"/>
        <v>0</v>
      </c>
      <c r="J102" s="51">
        <f t="shared" si="28"/>
        <v>0.11999999999999998</v>
      </c>
      <c r="K102" s="51">
        <f t="shared" si="28"/>
        <v>0</v>
      </c>
      <c r="L102" s="52">
        <f t="shared" si="28"/>
        <v>0.08</v>
      </c>
      <c r="M102" s="51">
        <f t="shared" si="28"/>
        <v>9.5000000000000001E-2</v>
      </c>
      <c r="N102" s="51">
        <f t="shared" si="28"/>
        <v>0</v>
      </c>
      <c r="O102" s="51">
        <f t="shared" si="28"/>
        <v>0</v>
      </c>
      <c r="P102" s="51">
        <f t="shared" si="28"/>
        <v>0</v>
      </c>
      <c r="Q102" s="51">
        <f t="shared" si="28"/>
        <v>0.11250000000000002</v>
      </c>
      <c r="R102" s="51">
        <f t="shared" si="28"/>
        <v>0.18</v>
      </c>
      <c r="S102" s="51">
        <f t="shared" si="28"/>
        <v>0</v>
      </c>
      <c r="T102" s="51">
        <f t="shared" si="28"/>
        <v>0.15</v>
      </c>
      <c r="U102" s="51">
        <f t="shared" si="28"/>
        <v>0.22000000000000003</v>
      </c>
      <c r="V102" s="51">
        <f t="shared" si="28"/>
        <v>0.12</v>
      </c>
      <c r="W102" s="51">
        <f t="shared" si="28"/>
        <v>0.12</v>
      </c>
      <c r="X102" s="55">
        <f t="shared" si="28"/>
        <v>0.12</v>
      </c>
      <c r="Y102" s="59">
        <f t="shared" si="28"/>
        <v>0.11999999999999998</v>
      </c>
      <c r="Z102" s="51">
        <f t="shared" si="28"/>
        <v>0.13240268519131793</v>
      </c>
      <c r="AA102" s="51">
        <f>IF(AB12&gt;0,AA57/AB12,0)</f>
        <v>0.10082304526748972</v>
      </c>
    </row>
    <row r="103" spans="1:28" ht="15.75" thickBot="1" x14ac:dyDescent="0.3">
      <c r="A103" s="48" t="s">
        <v>60</v>
      </c>
      <c r="B103" s="49" t="s">
        <v>9</v>
      </c>
      <c r="C103" s="50"/>
      <c r="D103" s="50"/>
      <c r="E103" s="50"/>
      <c r="F103" s="53">
        <f t="shared" si="28"/>
        <v>0</v>
      </c>
      <c r="G103" s="53">
        <f t="shared" si="28"/>
        <v>0</v>
      </c>
      <c r="H103" s="53">
        <f t="shared" si="28"/>
        <v>0</v>
      </c>
      <c r="I103" s="53">
        <f t="shared" si="28"/>
        <v>0</v>
      </c>
      <c r="J103" s="53">
        <f t="shared" si="28"/>
        <v>0</v>
      </c>
      <c r="K103" s="53">
        <f t="shared" si="28"/>
        <v>0</v>
      </c>
      <c r="L103" s="62">
        <f t="shared" si="28"/>
        <v>0</v>
      </c>
      <c r="M103" s="53">
        <f t="shared" si="28"/>
        <v>0</v>
      </c>
      <c r="N103" s="53">
        <f t="shared" si="28"/>
        <v>0</v>
      </c>
      <c r="O103" s="53">
        <f t="shared" si="28"/>
        <v>0</v>
      </c>
      <c r="P103" s="53">
        <f t="shared" si="28"/>
        <v>0</v>
      </c>
      <c r="Q103" s="53">
        <f t="shared" si="28"/>
        <v>0</v>
      </c>
      <c r="R103" s="53">
        <f t="shared" si="28"/>
        <v>0</v>
      </c>
      <c r="S103" s="53">
        <f t="shared" si="28"/>
        <v>0</v>
      </c>
      <c r="T103" s="53">
        <f t="shared" si="28"/>
        <v>0</v>
      </c>
      <c r="U103" s="53">
        <f t="shared" si="28"/>
        <v>0</v>
      </c>
      <c r="V103" s="53">
        <f t="shared" si="28"/>
        <v>1</v>
      </c>
      <c r="W103" s="53">
        <f t="shared" si="28"/>
        <v>0</v>
      </c>
      <c r="X103" s="56">
        <f t="shared" si="28"/>
        <v>0.42</v>
      </c>
      <c r="Y103" s="60">
        <f t="shared" si="28"/>
        <v>0</v>
      </c>
      <c r="Z103" s="53">
        <f t="shared" si="28"/>
        <v>0.61607710230883284</v>
      </c>
      <c r="AA103" s="53">
        <f t="shared" si="28"/>
        <v>0.5</v>
      </c>
    </row>
    <row r="104" spans="1:28" ht="15.75" thickTop="1" x14ac:dyDescent="0.25">
      <c r="A104" s="15" t="s">
        <v>51</v>
      </c>
      <c r="B104" s="16" t="s">
        <v>52</v>
      </c>
      <c r="C104" s="16" t="s">
        <v>53</v>
      </c>
      <c r="D104" s="2"/>
      <c r="E104" s="2"/>
      <c r="F104" s="47">
        <f t="shared" si="28"/>
        <v>0</v>
      </c>
      <c r="G104" s="47">
        <f t="shared" si="28"/>
        <v>0</v>
      </c>
      <c r="H104" s="47">
        <f t="shared" si="28"/>
        <v>0</v>
      </c>
      <c r="I104" s="47">
        <f t="shared" si="28"/>
        <v>0</v>
      </c>
      <c r="J104" s="47">
        <f t="shared" si="28"/>
        <v>0</v>
      </c>
      <c r="K104" s="47">
        <f t="shared" si="28"/>
        <v>0</v>
      </c>
      <c r="L104" s="63">
        <f t="shared" si="28"/>
        <v>0</v>
      </c>
      <c r="M104" s="47">
        <f t="shared" si="28"/>
        <v>0</v>
      </c>
      <c r="N104" s="47">
        <f t="shared" si="28"/>
        <v>0</v>
      </c>
      <c r="O104" s="47">
        <f t="shared" si="28"/>
        <v>0</v>
      </c>
      <c r="P104" s="47">
        <f t="shared" si="28"/>
        <v>0</v>
      </c>
      <c r="Q104" s="47">
        <f t="shared" si="28"/>
        <v>0</v>
      </c>
      <c r="R104" s="47">
        <f t="shared" si="28"/>
        <v>0</v>
      </c>
      <c r="S104" s="47">
        <f t="shared" si="28"/>
        <v>0</v>
      </c>
      <c r="T104" s="47">
        <f t="shared" si="28"/>
        <v>0</v>
      </c>
      <c r="U104" s="47">
        <f t="shared" si="28"/>
        <v>0</v>
      </c>
      <c r="V104" s="47">
        <f t="shared" si="28"/>
        <v>0</v>
      </c>
      <c r="W104" s="47">
        <f t="shared" si="28"/>
        <v>0</v>
      </c>
      <c r="X104" s="57">
        <f t="shared" si="28"/>
        <v>0</v>
      </c>
      <c r="Y104" s="61">
        <f t="shared" si="28"/>
        <v>0</v>
      </c>
      <c r="Z104" s="47">
        <f t="shared" si="28"/>
        <v>0</v>
      </c>
      <c r="AA104" s="47">
        <f t="shared" si="28"/>
        <v>0</v>
      </c>
    </row>
    <row r="105" spans="1:28" x14ac:dyDescent="0.25">
      <c r="A105" s="15" t="s">
        <v>51</v>
      </c>
      <c r="B105" s="16" t="s">
        <v>52</v>
      </c>
      <c r="C105" s="16" t="s">
        <v>54</v>
      </c>
      <c r="D105" s="2"/>
      <c r="E105" s="2"/>
      <c r="F105" s="1">
        <f t="shared" si="28"/>
        <v>0</v>
      </c>
      <c r="G105" s="1">
        <f t="shared" si="28"/>
        <v>0</v>
      </c>
      <c r="H105" s="1">
        <f t="shared" si="28"/>
        <v>0</v>
      </c>
      <c r="I105" s="1">
        <f t="shared" si="28"/>
        <v>0</v>
      </c>
      <c r="J105" s="1">
        <f t="shared" si="28"/>
        <v>0</v>
      </c>
      <c r="K105" s="1">
        <f t="shared" si="28"/>
        <v>0</v>
      </c>
      <c r="L105" s="52">
        <f t="shared" si="28"/>
        <v>0</v>
      </c>
      <c r="M105" s="1">
        <f t="shared" si="28"/>
        <v>0</v>
      </c>
      <c r="N105" s="1">
        <f t="shared" si="28"/>
        <v>0</v>
      </c>
      <c r="O105" s="1">
        <f t="shared" si="28"/>
        <v>0</v>
      </c>
      <c r="P105" s="1">
        <f t="shared" si="28"/>
        <v>0</v>
      </c>
      <c r="Q105" s="1">
        <f t="shared" si="28"/>
        <v>0</v>
      </c>
      <c r="R105" s="1">
        <f t="shared" si="28"/>
        <v>0</v>
      </c>
      <c r="S105" s="1">
        <f t="shared" si="28"/>
        <v>0</v>
      </c>
      <c r="T105" s="1">
        <f t="shared" si="28"/>
        <v>0</v>
      </c>
      <c r="U105" s="1">
        <f t="shared" si="28"/>
        <v>0</v>
      </c>
      <c r="V105" s="1">
        <f t="shared" si="28"/>
        <v>0</v>
      </c>
      <c r="W105" s="1">
        <f t="shared" si="28"/>
        <v>0</v>
      </c>
      <c r="X105" s="54">
        <f t="shared" si="28"/>
        <v>0</v>
      </c>
      <c r="Y105" s="58">
        <f t="shared" si="28"/>
        <v>0</v>
      </c>
      <c r="Z105" s="1">
        <f t="shared" si="28"/>
        <v>0</v>
      </c>
      <c r="AA105" s="1">
        <f t="shared" si="28"/>
        <v>0</v>
      </c>
    </row>
    <row r="106" spans="1:28" x14ac:dyDescent="0.25">
      <c r="A106" s="15" t="s">
        <v>51</v>
      </c>
      <c r="B106" s="16" t="s">
        <v>52</v>
      </c>
      <c r="C106" s="16" t="s">
        <v>55</v>
      </c>
      <c r="D106" s="2"/>
      <c r="E106" s="2"/>
      <c r="F106" s="1">
        <f t="shared" si="28"/>
        <v>0</v>
      </c>
      <c r="G106" s="1">
        <f t="shared" si="28"/>
        <v>0</v>
      </c>
      <c r="H106" s="1">
        <f t="shared" si="28"/>
        <v>0</v>
      </c>
      <c r="I106" s="1">
        <f t="shared" si="28"/>
        <v>0</v>
      </c>
      <c r="J106" s="1">
        <f t="shared" si="28"/>
        <v>0</v>
      </c>
      <c r="K106" s="1">
        <f t="shared" si="28"/>
        <v>0</v>
      </c>
      <c r="L106" s="52">
        <f t="shared" si="28"/>
        <v>0</v>
      </c>
      <c r="M106" s="1">
        <f t="shared" si="28"/>
        <v>0</v>
      </c>
      <c r="N106" s="1">
        <f t="shared" si="28"/>
        <v>0</v>
      </c>
      <c r="O106" s="1">
        <f t="shared" si="28"/>
        <v>0</v>
      </c>
      <c r="P106" s="1">
        <f t="shared" si="28"/>
        <v>0</v>
      </c>
      <c r="Q106" s="1">
        <f t="shared" si="28"/>
        <v>0</v>
      </c>
      <c r="R106" s="1">
        <f t="shared" si="28"/>
        <v>0</v>
      </c>
      <c r="S106" s="1">
        <f t="shared" si="28"/>
        <v>0</v>
      </c>
      <c r="T106" s="1">
        <f t="shared" si="28"/>
        <v>0</v>
      </c>
      <c r="U106" s="1">
        <f t="shared" ref="F106:AA117" si="29">IF(U16&gt;0,U61/U16,0)</f>
        <v>0</v>
      </c>
      <c r="V106" s="1">
        <f t="shared" si="29"/>
        <v>0</v>
      </c>
      <c r="W106" s="1">
        <f t="shared" si="29"/>
        <v>0</v>
      </c>
      <c r="X106" s="54">
        <f t="shared" si="29"/>
        <v>0</v>
      </c>
      <c r="Y106" s="58">
        <f t="shared" si="29"/>
        <v>0</v>
      </c>
      <c r="Z106" s="1">
        <f t="shared" si="29"/>
        <v>0</v>
      </c>
      <c r="AA106" s="1">
        <f t="shared" si="29"/>
        <v>0</v>
      </c>
    </row>
    <row r="107" spans="1:28" x14ac:dyDescent="0.25">
      <c r="A107" s="25" t="s">
        <v>51</v>
      </c>
      <c r="B107" s="26" t="s">
        <v>56</v>
      </c>
      <c r="C107" s="26" t="s">
        <v>57</v>
      </c>
      <c r="D107" s="2"/>
      <c r="E107" s="2"/>
      <c r="F107" s="1">
        <f t="shared" si="29"/>
        <v>0</v>
      </c>
      <c r="G107" s="1">
        <f t="shared" si="29"/>
        <v>0</v>
      </c>
      <c r="H107" s="1">
        <f t="shared" si="29"/>
        <v>0</v>
      </c>
      <c r="I107" s="1">
        <f t="shared" si="29"/>
        <v>0</v>
      </c>
      <c r="J107" s="1">
        <f t="shared" si="29"/>
        <v>0</v>
      </c>
      <c r="K107" s="1">
        <f t="shared" si="29"/>
        <v>0</v>
      </c>
      <c r="L107" s="52">
        <f t="shared" si="29"/>
        <v>0</v>
      </c>
      <c r="M107" s="1">
        <f t="shared" si="29"/>
        <v>0</v>
      </c>
      <c r="N107" s="1">
        <f t="shared" si="29"/>
        <v>0</v>
      </c>
      <c r="O107" s="1">
        <f t="shared" si="29"/>
        <v>0</v>
      </c>
      <c r="P107" s="1">
        <f t="shared" si="29"/>
        <v>0</v>
      </c>
      <c r="Q107" s="1">
        <f t="shared" si="29"/>
        <v>0</v>
      </c>
      <c r="R107" s="1">
        <f t="shared" si="29"/>
        <v>0</v>
      </c>
      <c r="S107" s="1">
        <f t="shared" si="29"/>
        <v>0</v>
      </c>
      <c r="T107" s="1">
        <f t="shared" si="29"/>
        <v>0</v>
      </c>
      <c r="U107" s="1">
        <f t="shared" si="29"/>
        <v>0</v>
      </c>
      <c r="V107" s="1">
        <f t="shared" si="29"/>
        <v>0</v>
      </c>
      <c r="W107" s="1">
        <f t="shared" si="29"/>
        <v>0</v>
      </c>
      <c r="X107" s="54">
        <f t="shared" si="29"/>
        <v>0</v>
      </c>
      <c r="Y107" s="58">
        <f t="shared" si="29"/>
        <v>0</v>
      </c>
      <c r="Z107" s="1">
        <f t="shared" si="29"/>
        <v>0</v>
      </c>
      <c r="AA107" s="1">
        <f t="shared" si="29"/>
        <v>0</v>
      </c>
    </row>
    <row r="108" spans="1:28" x14ac:dyDescent="0.25">
      <c r="A108" s="15" t="s">
        <v>51</v>
      </c>
      <c r="B108" s="16" t="s">
        <v>56</v>
      </c>
      <c r="C108" s="27" t="s">
        <v>58</v>
      </c>
      <c r="D108" s="2"/>
      <c r="E108" s="2"/>
      <c r="F108" s="1">
        <f t="shared" si="29"/>
        <v>0</v>
      </c>
      <c r="G108" s="1">
        <f t="shared" si="29"/>
        <v>0</v>
      </c>
      <c r="H108" s="1">
        <f t="shared" si="29"/>
        <v>0</v>
      </c>
      <c r="I108" s="1">
        <f t="shared" si="29"/>
        <v>0</v>
      </c>
      <c r="J108" s="1">
        <f t="shared" si="29"/>
        <v>0</v>
      </c>
      <c r="K108" s="1">
        <f t="shared" si="29"/>
        <v>0</v>
      </c>
      <c r="L108" s="52">
        <f t="shared" si="29"/>
        <v>0</v>
      </c>
      <c r="M108" s="1">
        <f t="shared" si="29"/>
        <v>0</v>
      </c>
      <c r="N108" s="1">
        <f t="shared" si="29"/>
        <v>0</v>
      </c>
      <c r="O108" s="1">
        <f t="shared" si="29"/>
        <v>0</v>
      </c>
      <c r="P108" s="1">
        <f t="shared" si="29"/>
        <v>0</v>
      </c>
      <c r="Q108" s="1">
        <f t="shared" si="29"/>
        <v>0</v>
      </c>
      <c r="R108" s="1">
        <f t="shared" si="29"/>
        <v>0</v>
      </c>
      <c r="S108" s="1">
        <f t="shared" si="29"/>
        <v>0</v>
      </c>
      <c r="T108" s="1">
        <f t="shared" si="29"/>
        <v>0</v>
      </c>
      <c r="U108" s="1">
        <f t="shared" si="29"/>
        <v>0</v>
      </c>
      <c r="V108" s="1">
        <f t="shared" si="29"/>
        <v>0</v>
      </c>
      <c r="W108" s="1">
        <f t="shared" si="29"/>
        <v>0</v>
      </c>
      <c r="X108" s="54">
        <f t="shared" si="29"/>
        <v>0</v>
      </c>
      <c r="Y108" s="58">
        <f t="shared" si="29"/>
        <v>0</v>
      </c>
      <c r="Z108" s="1">
        <f t="shared" si="29"/>
        <v>0</v>
      </c>
      <c r="AA108" s="1">
        <f t="shared" si="29"/>
        <v>0</v>
      </c>
    </row>
    <row r="109" spans="1:28" x14ac:dyDescent="0.25">
      <c r="A109" s="15" t="s">
        <v>51</v>
      </c>
      <c r="B109" s="16" t="s">
        <v>9</v>
      </c>
      <c r="C109" s="27" t="s">
        <v>59</v>
      </c>
      <c r="D109" s="2"/>
      <c r="E109" s="2"/>
      <c r="F109" s="1">
        <f t="shared" si="29"/>
        <v>0</v>
      </c>
      <c r="G109" s="1">
        <f t="shared" si="29"/>
        <v>0</v>
      </c>
      <c r="H109" s="1">
        <f t="shared" si="29"/>
        <v>0</v>
      </c>
      <c r="I109" s="1">
        <f t="shared" si="29"/>
        <v>0</v>
      </c>
      <c r="J109" s="1">
        <f t="shared" si="29"/>
        <v>0</v>
      </c>
      <c r="K109" s="1">
        <f t="shared" si="29"/>
        <v>0</v>
      </c>
      <c r="L109" s="52">
        <f t="shared" si="29"/>
        <v>0</v>
      </c>
      <c r="M109" s="1">
        <f t="shared" si="29"/>
        <v>0</v>
      </c>
      <c r="N109" s="1">
        <f t="shared" si="29"/>
        <v>0</v>
      </c>
      <c r="O109" s="1">
        <f t="shared" si="29"/>
        <v>0</v>
      </c>
      <c r="P109" s="1">
        <f t="shared" si="29"/>
        <v>0</v>
      </c>
      <c r="Q109" s="1">
        <f t="shared" si="29"/>
        <v>0</v>
      </c>
      <c r="R109" s="1">
        <f t="shared" si="29"/>
        <v>0</v>
      </c>
      <c r="S109" s="1">
        <f t="shared" si="29"/>
        <v>0</v>
      </c>
      <c r="T109" s="1">
        <f t="shared" si="29"/>
        <v>0</v>
      </c>
      <c r="U109" s="1">
        <f t="shared" si="29"/>
        <v>0</v>
      </c>
      <c r="V109" s="1">
        <f t="shared" si="29"/>
        <v>0</v>
      </c>
      <c r="W109" s="1">
        <f t="shared" si="29"/>
        <v>0</v>
      </c>
      <c r="X109" s="54">
        <f t="shared" si="29"/>
        <v>0</v>
      </c>
      <c r="Y109" s="58">
        <f t="shared" si="29"/>
        <v>0</v>
      </c>
      <c r="Z109" s="1">
        <f t="shared" si="29"/>
        <v>0</v>
      </c>
      <c r="AA109" s="1">
        <f t="shared" si="29"/>
        <v>0</v>
      </c>
    </row>
    <row r="110" spans="1:28" x14ac:dyDescent="0.25">
      <c r="A110" s="15" t="s">
        <v>51</v>
      </c>
      <c r="B110" s="16" t="s">
        <v>9</v>
      </c>
      <c r="C110" s="27" t="s">
        <v>9</v>
      </c>
      <c r="D110" s="2"/>
      <c r="E110" s="2"/>
      <c r="F110" s="1">
        <f t="shared" si="29"/>
        <v>0</v>
      </c>
      <c r="G110" s="1">
        <f t="shared" si="29"/>
        <v>0</v>
      </c>
      <c r="H110" s="1">
        <f t="shared" si="29"/>
        <v>0</v>
      </c>
      <c r="I110" s="1">
        <f t="shared" si="29"/>
        <v>0</v>
      </c>
      <c r="J110" s="1">
        <f t="shared" si="29"/>
        <v>0</v>
      </c>
      <c r="K110" s="1">
        <f t="shared" si="29"/>
        <v>0</v>
      </c>
      <c r="L110" s="52">
        <f t="shared" si="29"/>
        <v>0</v>
      </c>
      <c r="M110" s="1">
        <f t="shared" si="29"/>
        <v>0</v>
      </c>
      <c r="N110" s="1">
        <f t="shared" si="29"/>
        <v>0</v>
      </c>
      <c r="O110" s="1">
        <f t="shared" si="29"/>
        <v>0</v>
      </c>
      <c r="P110" s="1">
        <f t="shared" si="29"/>
        <v>0</v>
      </c>
      <c r="Q110" s="1">
        <f t="shared" si="29"/>
        <v>0</v>
      </c>
      <c r="R110" s="1">
        <f t="shared" si="29"/>
        <v>0</v>
      </c>
      <c r="S110" s="1">
        <f t="shared" si="29"/>
        <v>0</v>
      </c>
      <c r="T110" s="1">
        <f t="shared" si="29"/>
        <v>0</v>
      </c>
      <c r="U110" s="1">
        <f t="shared" si="29"/>
        <v>0</v>
      </c>
      <c r="V110" s="1">
        <f t="shared" si="29"/>
        <v>0</v>
      </c>
      <c r="W110" s="1">
        <f t="shared" si="29"/>
        <v>0</v>
      </c>
      <c r="X110" s="54">
        <f t="shared" si="29"/>
        <v>0</v>
      </c>
      <c r="Y110" s="58">
        <f t="shared" si="29"/>
        <v>0</v>
      </c>
      <c r="Z110" s="1">
        <f t="shared" si="29"/>
        <v>0</v>
      </c>
      <c r="AA110" s="1">
        <f t="shared" si="29"/>
        <v>0</v>
      </c>
    </row>
    <row r="111" spans="1:28" x14ac:dyDescent="0.25">
      <c r="A111" s="28" t="s">
        <v>60</v>
      </c>
      <c r="B111" s="29" t="s">
        <v>13</v>
      </c>
      <c r="C111" s="29" t="s">
        <v>61</v>
      </c>
      <c r="D111" s="2"/>
      <c r="F111" s="51">
        <f t="shared" si="29"/>
        <v>0.14250002906976744</v>
      </c>
      <c r="G111" s="51">
        <f t="shared" si="29"/>
        <v>0</v>
      </c>
      <c r="H111" s="51">
        <f t="shared" si="29"/>
        <v>0.27414330218068533</v>
      </c>
      <c r="I111" s="51">
        <f t="shared" si="29"/>
        <v>0.2639455782312925</v>
      </c>
      <c r="J111" s="51">
        <f t="shared" si="29"/>
        <v>0.55000000000000004</v>
      </c>
      <c r="K111" s="51">
        <f t="shared" si="29"/>
        <v>0.28749999999999998</v>
      </c>
      <c r="L111" s="52">
        <f t="shared" si="29"/>
        <v>0</v>
      </c>
      <c r="M111" s="51">
        <f t="shared" si="29"/>
        <v>0.41657142857142859</v>
      </c>
      <c r="N111" s="51">
        <f t="shared" si="29"/>
        <v>0.33333333333333331</v>
      </c>
      <c r="O111" s="51">
        <f t="shared" si="29"/>
        <v>0.33333333333333331</v>
      </c>
      <c r="P111" s="51">
        <f t="shared" si="29"/>
        <v>0.2</v>
      </c>
      <c r="Q111" s="69">
        <v>0.5</v>
      </c>
      <c r="R111" s="69">
        <v>0.48</v>
      </c>
      <c r="S111" s="51">
        <f t="shared" si="29"/>
        <v>0</v>
      </c>
      <c r="T111" s="69">
        <v>0.48</v>
      </c>
      <c r="U111" s="69">
        <v>0.48</v>
      </c>
      <c r="V111" s="77">
        <v>1.2</v>
      </c>
      <c r="W111" s="69">
        <v>0.6</v>
      </c>
      <c r="X111" s="76">
        <v>0.4</v>
      </c>
      <c r="Y111" s="59">
        <f t="shared" si="29"/>
        <v>0.25273301978778318</v>
      </c>
      <c r="Z111" s="51">
        <f>IF(Z21&gt;0,Z66/Z21,0)</f>
        <v>0.32254076031157169</v>
      </c>
      <c r="AA111" s="51">
        <f t="shared" si="29"/>
        <v>0.29879435230867341</v>
      </c>
      <c r="AB111" s="5" t="s">
        <v>133</v>
      </c>
    </row>
    <row r="112" spans="1:28" x14ac:dyDescent="0.25">
      <c r="A112" s="36" t="s">
        <v>60</v>
      </c>
      <c r="B112" s="37" t="s">
        <v>13</v>
      </c>
      <c r="C112" s="29" t="s">
        <v>62</v>
      </c>
      <c r="D112" s="2"/>
      <c r="E112" s="2"/>
      <c r="F112" s="51">
        <f t="shared" si="29"/>
        <v>0.29943720930232559</v>
      </c>
      <c r="G112" s="51">
        <f t="shared" si="29"/>
        <v>0.27919877787962116</v>
      </c>
      <c r="H112" s="51">
        <f t="shared" si="29"/>
        <v>0.33644859813084105</v>
      </c>
      <c r="I112" s="51">
        <f t="shared" si="29"/>
        <v>0</v>
      </c>
      <c r="J112" s="51">
        <f t="shared" si="29"/>
        <v>0</v>
      </c>
      <c r="K112" s="51">
        <f t="shared" si="29"/>
        <v>0</v>
      </c>
      <c r="L112" s="52">
        <f t="shared" si="29"/>
        <v>0</v>
      </c>
      <c r="M112" s="51">
        <f t="shared" si="29"/>
        <v>0</v>
      </c>
      <c r="N112" s="51">
        <f t="shared" si="29"/>
        <v>0</v>
      </c>
      <c r="O112" s="51">
        <f t="shared" si="29"/>
        <v>0</v>
      </c>
      <c r="P112" s="51">
        <f t="shared" si="29"/>
        <v>0.21052631578947367</v>
      </c>
      <c r="Q112" s="51">
        <f t="shared" si="29"/>
        <v>0</v>
      </c>
      <c r="R112" s="51">
        <f t="shared" si="29"/>
        <v>0</v>
      </c>
      <c r="S112" s="51">
        <f t="shared" si="29"/>
        <v>0</v>
      </c>
      <c r="T112" s="51">
        <f t="shared" si="29"/>
        <v>0</v>
      </c>
      <c r="U112" s="51">
        <f t="shared" si="29"/>
        <v>0</v>
      </c>
      <c r="V112" s="51">
        <f t="shared" si="29"/>
        <v>0</v>
      </c>
      <c r="W112" s="51">
        <f t="shared" si="29"/>
        <v>0</v>
      </c>
      <c r="X112" s="55">
        <f t="shared" si="29"/>
        <v>0</v>
      </c>
      <c r="Y112" s="59">
        <f t="shared" si="29"/>
        <v>0.30868908285585928</v>
      </c>
      <c r="Z112" s="51">
        <f t="shared" si="29"/>
        <v>0.21052631578947367</v>
      </c>
      <c r="AA112" s="51">
        <f t="shared" si="29"/>
        <v>0.24967650338231628</v>
      </c>
      <c r="AB112" s="5" t="s">
        <v>134</v>
      </c>
    </row>
    <row r="113" spans="1:27" x14ac:dyDescent="0.25">
      <c r="A113" s="30" t="s">
        <v>60</v>
      </c>
      <c r="B113" s="31" t="s">
        <v>13</v>
      </c>
      <c r="C113" s="32" t="s">
        <v>63</v>
      </c>
      <c r="D113" s="2"/>
      <c r="E113" s="2"/>
      <c r="F113" s="51">
        <f t="shared" si="29"/>
        <v>0</v>
      </c>
      <c r="G113" s="51">
        <f t="shared" si="29"/>
        <v>0</v>
      </c>
      <c r="H113" s="51">
        <f t="shared" si="29"/>
        <v>0</v>
      </c>
      <c r="I113" s="51">
        <f t="shared" si="29"/>
        <v>0</v>
      </c>
      <c r="J113" s="51">
        <f t="shared" si="29"/>
        <v>0</v>
      </c>
      <c r="K113" s="51">
        <f t="shared" si="29"/>
        <v>0</v>
      </c>
      <c r="L113" s="52">
        <f t="shared" si="29"/>
        <v>0</v>
      </c>
      <c r="M113" s="51">
        <f t="shared" si="29"/>
        <v>0</v>
      </c>
      <c r="N113" s="51">
        <f t="shared" si="29"/>
        <v>0</v>
      </c>
      <c r="O113" s="51">
        <f t="shared" si="29"/>
        <v>0</v>
      </c>
      <c r="P113" s="51">
        <f t="shared" si="29"/>
        <v>0</v>
      </c>
      <c r="Q113" s="51">
        <f t="shared" si="29"/>
        <v>0</v>
      </c>
      <c r="R113" s="51">
        <f t="shared" si="29"/>
        <v>0</v>
      </c>
      <c r="S113" s="51">
        <f t="shared" si="29"/>
        <v>0</v>
      </c>
      <c r="T113" s="51">
        <f t="shared" si="29"/>
        <v>0</v>
      </c>
      <c r="U113" s="51">
        <f t="shared" si="29"/>
        <v>0</v>
      </c>
      <c r="V113" s="51">
        <f t="shared" si="29"/>
        <v>0</v>
      </c>
      <c r="W113" s="51">
        <f t="shared" si="29"/>
        <v>0</v>
      </c>
      <c r="X113" s="55">
        <f t="shared" si="29"/>
        <v>0</v>
      </c>
      <c r="Y113" s="59">
        <f t="shared" si="29"/>
        <v>0</v>
      </c>
      <c r="Z113" s="51">
        <f t="shared" si="29"/>
        <v>0</v>
      </c>
      <c r="AA113" s="51">
        <f t="shared" si="29"/>
        <v>0</v>
      </c>
    </row>
    <row r="114" spans="1:27" x14ac:dyDescent="0.25">
      <c r="A114" s="30" t="s">
        <v>60</v>
      </c>
      <c r="B114" s="32" t="s">
        <v>23</v>
      </c>
      <c r="C114" s="31" t="s">
        <v>50</v>
      </c>
      <c r="D114" s="2"/>
      <c r="E114" s="2"/>
      <c r="F114" s="77">
        <v>0.32</v>
      </c>
      <c r="G114" s="51">
        <f t="shared" si="29"/>
        <v>0</v>
      </c>
      <c r="H114" s="51">
        <f t="shared" si="29"/>
        <v>0</v>
      </c>
      <c r="I114" s="51">
        <f t="shared" si="29"/>
        <v>0</v>
      </c>
      <c r="J114" s="77">
        <v>0.3</v>
      </c>
      <c r="K114" s="51">
        <f t="shared" si="29"/>
        <v>0.94111111111111112</v>
      </c>
      <c r="L114" s="52">
        <f t="shared" si="29"/>
        <v>0</v>
      </c>
      <c r="M114" s="51">
        <f t="shared" si="29"/>
        <v>0</v>
      </c>
      <c r="N114" s="51">
        <f t="shared" si="29"/>
        <v>0.36363636363636365</v>
      </c>
      <c r="O114" s="51">
        <f t="shared" si="29"/>
        <v>0</v>
      </c>
      <c r="P114" s="51">
        <f t="shared" si="29"/>
        <v>0</v>
      </c>
      <c r="Q114" s="51">
        <f t="shared" si="29"/>
        <v>0</v>
      </c>
      <c r="R114" s="51">
        <f t="shared" si="29"/>
        <v>0</v>
      </c>
      <c r="S114" s="51">
        <f t="shared" si="29"/>
        <v>0</v>
      </c>
      <c r="T114" s="51">
        <f t="shared" si="29"/>
        <v>0</v>
      </c>
      <c r="U114" s="51">
        <f t="shared" si="29"/>
        <v>0</v>
      </c>
      <c r="V114" s="51">
        <f t="shared" si="29"/>
        <v>0</v>
      </c>
      <c r="W114" s="51">
        <f t="shared" si="29"/>
        <v>0</v>
      </c>
      <c r="X114" s="55">
        <f t="shared" si="29"/>
        <v>0</v>
      </c>
      <c r="Y114" s="59">
        <f t="shared" si="29"/>
        <v>0.93406593406593408</v>
      </c>
      <c r="Z114" s="51">
        <f t="shared" si="29"/>
        <v>0.36363636363636365</v>
      </c>
      <c r="AA114" s="51">
        <f t="shared" si="29"/>
        <v>0.56756756756756754</v>
      </c>
    </row>
    <row r="115" spans="1:27" x14ac:dyDescent="0.25">
      <c r="A115" s="30" t="s">
        <v>60</v>
      </c>
      <c r="B115" s="32" t="s">
        <v>23</v>
      </c>
      <c r="C115" s="31" t="s">
        <v>49</v>
      </c>
      <c r="D115" s="2"/>
      <c r="E115" s="2"/>
      <c r="F115" s="51">
        <f t="shared" ref="F115:AA127" si="30">IF(F25&gt;0,F70/F25,0)</f>
        <v>0</v>
      </c>
      <c r="G115" s="51">
        <f t="shared" si="30"/>
        <v>0</v>
      </c>
      <c r="H115" s="51">
        <f t="shared" si="30"/>
        <v>0</v>
      </c>
      <c r="I115" s="51">
        <f t="shared" si="30"/>
        <v>0</v>
      </c>
      <c r="J115" s="51">
        <f>IF(J25&gt;0,J70/J25,0)</f>
        <v>0.25454545454545452</v>
      </c>
      <c r="K115" s="51">
        <f t="shared" si="30"/>
        <v>0.24489795918367346</v>
      </c>
      <c r="L115" s="52">
        <f t="shared" si="30"/>
        <v>0</v>
      </c>
      <c r="M115" s="51">
        <f t="shared" si="30"/>
        <v>0</v>
      </c>
      <c r="N115" s="51">
        <f t="shared" si="30"/>
        <v>0</v>
      </c>
      <c r="O115" s="51">
        <f t="shared" si="30"/>
        <v>0</v>
      </c>
      <c r="P115" s="51">
        <f t="shared" si="30"/>
        <v>0</v>
      </c>
      <c r="Q115" s="51">
        <f t="shared" si="30"/>
        <v>0</v>
      </c>
      <c r="R115" s="51">
        <f t="shared" si="30"/>
        <v>0</v>
      </c>
      <c r="S115" s="51">
        <f t="shared" si="29"/>
        <v>0.24489795918367346</v>
      </c>
      <c r="T115" s="51">
        <v>0.4</v>
      </c>
      <c r="U115" s="51">
        <f t="shared" si="29"/>
        <v>0</v>
      </c>
      <c r="V115" s="51">
        <v>0.9</v>
      </c>
      <c r="W115" s="51">
        <f t="shared" si="29"/>
        <v>0</v>
      </c>
      <c r="X115" s="51">
        <v>0.9</v>
      </c>
      <c r="Y115" s="59">
        <f t="shared" si="30"/>
        <v>0.25251076040172166</v>
      </c>
      <c r="Z115" s="51">
        <f t="shared" si="30"/>
        <v>0.45662100456621002</v>
      </c>
      <c r="AA115" s="51">
        <f t="shared" si="30"/>
        <v>0.39234149403640928</v>
      </c>
    </row>
    <row r="116" spans="1:27" x14ac:dyDescent="0.25">
      <c r="A116" s="30" t="s">
        <v>60</v>
      </c>
      <c r="B116" s="32" t="s">
        <v>23</v>
      </c>
      <c r="C116" s="31" t="s">
        <v>64</v>
      </c>
      <c r="D116" s="2"/>
      <c r="E116" s="2"/>
      <c r="F116" s="51">
        <f t="shared" si="30"/>
        <v>0</v>
      </c>
      <c r="G116" s="51">
        <f t="shared" si="30"/>
        <v>0</v>
      </c>
      <c r="H116" s="51">
        <f t="shared" si="30"/>
        <v>0</v>
      </c>
      <c r="I116" s="51">
        <f t="shared" si="30"/>
        <v>0</v>
      </c>
      <c r="J116" s="51">
        <f t="shared" si="30"/>
        <v>0</v>
      </c>
      <c r="K116" s="51">
        <f t="shared" si="30"/>
        <v>0</v>
      </c>
      <c r="L116" s="52">
        <f t="shared" si="30"/>
        <v>0</v>
      </c>
      <c r="M116" s="51">
        <f t="shared" si="30"/>
        <v>0</v>
      </c>
      <c r="N116" s="51">
        <f t="shared" si="30"/>
        <v>0</v>
      </c>
      <c r="O116" s="51">
        <f t="shared" si="30"/>
        <v>0</v>
      </c>
      <c r="P116" s="51">
        <f t="shared" si="30"/>
        <v>0</v>
      </c>
      <c r="Q116" s="51">
        <f t="shared" si="30"/>
        <v>0</v>
      </c>
      <c r="R116" s="51">
        <f t="shared" si="30"/>
        <v>0</v>
      </c>
      <c r="S116" s="51">
        <f t="shared" si="30"/>
        <v>0</v>
      </c>
      <c r="T116" s="51">
        <f t="shared" si="30"/>
        <v>0</v>
      </c>
      <c r="U116" s="51">
        <f t="shared" si="30"/>
        <v>0</v>
      </c>
      <c r="V116" s="51">
        <f t="shared" si="30"/>
        <v>0</v>
      </c>
      <c r="W116" s="51">
        <f t="shared" si="29"/>
        <v>0</v>
      </c>
      <c r="X116" s="55">
        <f t="shared" si="30"/>
        <v>0</v>
      </c>
      <c r="Y116" s="59">
        <f t="shared" si="30"/>
        <v>0</v>
      </c>
      <c r="Z116" s="51">
        <f t="shared" si="30"/>
        <v>0</v>
      </c>
      <c r="AA116" s="51">
        <f t="shared" si="30"/>
        <v>0</v>
      </c>
    </row>
    <row r="117" spans="1:27" x14ac:dyDescent="0.25">
      <c r="A117" s="30" t="s">
        <v>60</v>
      </c>
      <c r="B117" s="32" t="s">
        <v>65</v>
      </c>
      <c r="C117" s="31" t="s">
        <v>66</v>
      </c>
      <c r="D117" s="2"/>
      <c r="E117" s="2"/>
      <c r="F117" s="51">
        <f t="shared" si="30"/>
        <v>0</v>
      </c>
      <c r="G117" s="51">
        <f t="shared" si="30"/>
        <v>0</v>
      </c>
      <c r="H117" s="51">
        <f t="shared" si="30"/>
        <v>0</v>
      </c>
      <c r="I117" s="51">
        <f t="shared" si="30"/>
        <v>0</v>
      </c>
      <c r="J117" s="77">
        <v>0.12</v>
      </c>
      <c r="K117" s="51">
        <f t="shared" si="30"/>
        <v>0</v>
      </c>
      <c r="L117" s="52">
        <f t="shared" si="30"/>
        <v>0</v>
      </c>
      <c r="M117" s="77">
        <v>9.5000000000000001E-2</v>
      </c>
      <c r="N117" s="51">
        <f t="shared" si="30"/>
        <v>0</v>
      </c>
      <c r="O117" s="51">
        <f t="shared" si="30"/>
        <v>0</v>
      </c>
      <c r="P117" s="51">
        <f t="shared" si="30"/>
        <v>0</v>
      </c>
      <c r="Q117" s="51">
        <f t="shared" si="30"/>
        <v>0</v>
      </c>
      <c r="R117" s="51">
        <f t="shared" si="30"/>
        <v>0</v>
      </c>
      <c r="S117" s="51">
        <f t="shared" si="30"/>
        <v>0</v>
      </c>
      <c r="T117" s="51">
        <f t="shared" si="30"/>
        <v>0</v>
      </c>
      <c r="U117" s="51">
        <f t="shared" si="30"/>
        <v>0</v>
      </c>
      <c r="V117" s="51">
        <f t="shared" si="30"/>
        <v>0</v>
      </c>
      <c r="W117" s="51">
        <f t="shared" si="29"/>
        <v>0</v>
      </c>
      <c r="X117" s="55">
        <f t="shared" si="30"/>
        <v>0</v>
      </c>
      <c r="Y117" s="59">
        <f t="shared" si="30"/>
        <v>0.11999999999999998</v>
      </c>
      <c r="Z117" s="51">
        <f t="shared" si="30"/>
        <v>9.5000000000000001E-2</v>
      </c>
      <c r="AA117" s="51">
        <f t="shared" si="30"/>
        <v>0.10109684947491247</v>
      </c>
    </row>
    <row r="118" spans="1:27" x14ac:dyDescent="0.25">
      <c r="A118" s="30" t="s">
        <v>60</v>
      </c>
      <c r="B118" s="32" t="s">
        <v>65</v>
      </c>
      <c r="C118" s="31" t="s">
        <v>67</v>
      </c>
      <c r="D118" s="2"/>
      <c r="E118" s="2"/>
      <c r="F118" s="51">
        <f t="shared" si="30"/>
        <v>0</v>
      </c>
      <c r="G118" s="51">
        <f t="shared" si="30"/>
        <v>0</v>
      </c>
      <c r="H118" s="51">
        <f t="shared" si="30"/>
        <v>0</v>
      </c>
      <c r="I118" s="51">
        <f t="shared" si="30"/>
        <v>0</v>
      </c>
      <c r="J118" s="51">
        <f t="shared" si="30"/>
        <v>0</v>
      </c>
      <c r="K118" s="51">
        <f t="shared" si="30"/>
        <v>0</v>
      </c>
      <c r="L118" s="52">
        <f t="shared" si="30"/>
        <v>0</v>
      </c>
      <c r="M118" s="51">
        <f t="shared" si="30"/>
        <v>0</v>
      </c>
      <c r="N118" s="51">
        <f t="shared" si="30"/>
        <v>0</v>
      </c>
      <c r="O118" s="51">
        <f t="shared" si="30"/>
        <v>0</v>
      </c>
      <c r="P118" s="51">
        <f t="shared" si="30"/>
        <v>0</v>
      </c>
      <c r="Q118" s="77">
        <v>0.1125</v>
      </c>
      <c r="R118" s="77">
        <v>0.18</v>
      </c>
      <c r="S118" s="51">
        <f t="shared" si="30"/>
        <v>0</v>
      </c>
      <c r="T118" s="77">
        <v>0.15</v>
      </c>
      <c r="U118" s="77">
        <v>0.22</v>
      </c>
      <c r="V118" s="77">
        <v>0.12</v>
      </c>
      <c r="W118" s="77">
        <v>0.12</v>
      </c>
      <c r="X118" s="77">
        <v>0.12</v>
      </c>
      <c r="Y118" s="59">
        <f t="shared" si="30"/>
        <v>0</v>
      </c>
      <c r="Z118" s="51">
        <f t="shared" si="30"/>
        <v>0.1384337660104874</v>
      </c>
      <c r="AA118" s="51">
        <f t="shared" si="30"/>
        <v>0.1384337660104874</v>
      </c>
    </row>
    <row r="119" spans="1:27" x14ac:dyDescent="0.25">
      <c r="A119" s="30" t="s">
        <v>60</v>
      </c>
      <c r="B119" s="32" t="s">
        <v>65</v>
      </c>
      <c r="C119" s="31" t="s">
        <v>68</v>
      </c>
      <c r="D119" s="2"/>
      <c r="E119" s="2"/>
      <c r="F119" s="51">
        <f t="shared" si="30"/>
        <v>0</v>
      </c>
      <c r="G119" s="51">
        <f t="shared" si="30"/>
        <v>0</v>
      </c>
      <c r="H119" s="51">
        <f t="shared" si="30"/>
        <v>0</v>
      </c>
      <c r="I119" s="51">
        <f t="shared" si="30"/>
        <v>0</v>
      </c>
      <c r="J119" s="51">
        <f t="shared" si="30"/>
        <v>0</v>
      </c>
      <c r="K119" s="51">
        <f t="shared" si="30"/>
        <v>0</v>
      </c>
      <c r="L119" s="77">
        <v>0.08</v>
      </c>
      <c r="M119" s="51">
        <f t="shared" si="30"/>
        <v>0</v>
      </c>
      <c r="N119" s="51">
        <f t="shared" si="30"/>
        <v>0</v>
      </c>
      <c r="O119" s="51">
        <f t="shared" si="30"/>
        <v>0</v>
      </c>
      <c r="P119" s="51">
        <f t="shared" si="30"/>
        <v>0</v>
      </c>
      <c r="Q119" s="51">
        <f t="shared" si="30"/>
        <v>0</v>
      </c>
      <c r="R119" s="51">
        <f t="shared" si="30"/>
        <v>0</v>
      </c>
      <c r="S119" s="51">
        <f t="shared" si="30"/>
        <v>0</v>
      </c>
      <c r="T119" s="51">
        <f t="shared" si="30"/>
        <v>0</v>
      </c>
      <c r="U119" s="51">
        <f t="shared" si="30"/>
        <v>0</v>
      </c>
      <c r="V119" s="51">
        <f t="shared" si="30"/>
        <v>0</v>
      </c>
      <c r="W119" s="51">
        <f t="shared" si="30"/>
        <v>0</v>
      </c>
      <c r="X119" s="55">
        <f t="shared" si="30"/>
        <v>0</v>
      </c>
      <c r="Y119" s="59">
        <f t="shared" si="30"/>
        <v>0</v>
      </c>
      <c r="Z119" s="51">
        <f t="shared" si="30"/>
        <v>0</v>
      </c>
      <c r="AA119" s="51">
        <f t="shared" si="30"/>
        <v>0.08</v>
      </c>
    </row>
    <row r="120" spans="1:27" x14ac:dyDescent="0.25">
      <c r="A120" s="30" t="s">
        <v>60</v>
      </c>
      <c r="B120" s="32" t="s">
        <v>9</v>
      </c>
      <c r="C120" s="31" t="s">
        <v>69</v>
      </c>
      <c r="D120" s="2"/>
      <c r="E120" s="2"/>
      <c r="F120" s="51">
        <f t="shared" si="30"/>
        <v>0</v>
      </c>
      <c r="G120" s="51">
        <f t="shared" si="30"/>
        <v>0</v>
      </c>
      <c r="H120" s="51">
        <f t="shared" si="30"/>
        <v>0</v>
      </c>
      <c r="I120" s="51">
        <f t="shared" si="30"/>
        <v>0</v>
      </c>
      <c r="J120" s="51">
        <f t="shared" si="30"/>
        <v>0</v>
      </c>
      <c r="K120" s="51">
        <f t="shared" si="30"/>
        <v>0</v>
      </c>
      <c r="L120" s="52">
        <f t="shared" si="30"/>
        <v>0</v>
      </c>
      <c r="M120" s="51">
        <f t="shared" si="30"/>
        <v>0</v>
      </c>
      <c r="N120" s="51">
        <f t="shared" si="30"/>
        <v>0</v>
      </c>
      <c r="O120" s="51">
        <f t="shared" si="30"/>
        <v>0</v>
      </c>
      <c r="P120" s="51">
        <f t="shared" si="30"/>
        <v>0</v>
      </c>
      <c r="Q120" s="51">
        <f t="shared" si="30"/>
        <v>0</v>
      </c>
      <c r="R120" s="51">
        <f t="shared" si="30"/>
        <v>0</v>
      </c>
      <c r="S120" s="51">
        <f t="shared" si="30"/>
        <v>0</v>
      </c>
      <c r="T120" s="51">
        <f t="shared" si="30"/>
        <v>0</v>
      </c>
      <c r="U120" s="51">
        <f t="shared" si="30"/>
        <v>0</v>
      </c>
      <c r="V120" s="51">
        <f t="shared" si="30"/>
        <v>1</v>
      </c>
      <c r="W120" s="51">
        <f t="shared" si="30"/>
        <v>0</v>
      </c>
      <c r="X120" s="79">
        <v>0.42</v>
      </c>
      <c r="Y120" s="59">
        <f t="shared" si="30"/>
        <v>0</v>
      </c>
      <c r="Z120" s="51">
        <f t="shared" si="30"/>
        <v>0.61607710230883284</v>
      </c>
      <c r="AA120" s="51">
        <f t="shared" si="30"/>
        <v>0.61607710230883284</v>
      </c>
    </row>
    <row r="121" spans="1:27" x14ac:dyDescent="0.25">
      <c r="A121" s="15" t="s">
        <v>51</v>
      </c>
      <c r="B121" s="16" t="s">
        <v>56</v>
      </c>
      <c r="C121" s="27" t="s">
        <v>57</v>
      </c>
      <c r="D121" s="16" t="s">
        <v>70</v>
      </c>
      <c r="E121" s="16"/>
      <c r="F121" s="1">
        <f t="shared" si="30"/>
        <v>0</v>
      </c>
      <c r="G121" s="1">
        <f t="shared" si="30"/>
        <v>0</v>
      </c>
      <c r="H121" s="1">
        <f t="shared" si="30"/>
        <v>0</v>
      </c>
      <c r="I121" s="1">
        <f t="shared" si="30"/>
        <v>0</v>
      </c>
      <c r="J121" s="1">
        <f t="shared" si="30"/>
        <v>0</v>
      </c>
      <c r="K121" s="1">
        <f t="shared" si="30"/>
        <v>0</v>
      </c>
      <c r="L121" s="52">
        <f t="shared" si="30"/>
        <v>0</v>
      </c>
      <c r="M121" s="1">
        <f t="shared" si="30"/>
        <v>0</v>
      </c>
      <c r="N121" s="1">
        <f t="shared" si="30"/>
        <v>0</v>
      </c>
      <c r="O121" s="1">
        <f t="shared" si="30"/>
        <v>0</v>
      </c>
      <c r="P121" s="1">
        <f t="shared" si="30"/>
        <v>0</v>
      </c>
      <c r="Q121" s="1">
        <f t="shared" si="30"/>
        <v>0</v>
      </c>
      <c r="R121" s="1">
        <f t="shared" si="30"/>
        <v>0</v>
      </c>
      <c r="S121" s="1">
        <f t="shared" si="30"/>
        <v>0</v>
      </c>
      <c r="T121" s="1">
        <f t="shared" si="30"/>
        <v>0</v>
      </c>
      <c r="U121" s="1">
        <f t="shared" si="30"/>
        <v>0</v>
      </c>
      <c r="V121" s="1">
        <f t="shared" si="30"/>
        <v>0</v>
      </c>
      <c r="W121" s="1">
        <f t="shared" si="30"/>
        <v>0</v>
      </c>
      <c r="X121" s="54">
        <f t="shared" si="30"/>
        <v>0</v>
      </c>
      <c r="Y121" s="58">
        <f t="shared" si="30"/>
        <v>0</v>
      </c>
      <c r="Z121" s="1">
        <f t="shared" si="30"/>
        <v>0</v>
      </c>
      <c r="AA121" s="1">
        <f t="shared" si="30"/>
        <v>0</v>
      </c>
    </row>
    <row r="122" spans="1:27" x14ac:dyDescent="0.25">
      <c r="A122" s="15" t="s">
        <v>51</v>
      </c>
      <c r="B122" s="16" t="s">
        <v>56</v>
      </c>
      <c r="C122" s="27" t="s">
        <v>57</v>
      </c>
      <c r="D122" s="16" t="s">
        <v>71</v>
      </c>
      <c r="E122" s="16"/>
      <c r="F122" s="1">
        <f t="shared" si="30"/>
        <v>0</v>
      </c>
      <c r="G122" s="1">
        <f t="shared" si="30"/>
        <v>0</v>
      </c>
      <c r="H122" s="1">
        <f t="shared" si="30"/>
        <v>0</v>
      </c>
      <c r="I122" s="1">
        <f t="shared" si="30"/>
        <v>0</v>
      </c>
      <c r="J122" s="1">
        <f t="shared" si="30"/>
        <v>0</v>
      </c>
      <c r="K122" s="1">
        <f t="shared" si="30"/>
        <v>0</v>
      </c>
      <c r="L122" s="52">
        <f t="shared" si="30"/>
        <v>0</v>
      </c>
      <c r="M122" s="1">
        <f t="shared" si="30"/>
        <v>0</v>
      </c>
      <c r="N122" s="1">
        <f t="shared" si="30"/>
        <v>0</v>
      </c>
      <c r="O122" s="1">
        <f t="shared" si="30"/>
        <v>0</v>
      </c>
      <c r="P122" s="1">
        <f t="shared" si="30"/>
        <v>0</v>
      </c>
      <c r="Q122" s="1">
        <f t="shared" si="30"/>
        <v>0</v>
      </c>
      <c r="R122" s="1">
        <f t="shared" si="30"/>
        <v>0</v>
      </c>
      <c r="S122" s="1">
        <f t="shared" si="30"/>
        <v>0</v>
      </c>
      <c r="T122" s="1">
        <f t="shared" si="30"/>
        <v>0</v>
      </c>
      <c r="U122" s="1">
        <f t="shared" si="30"/>
        <v>0</v>
      </c>
      <c r="V122" s="1">
        <f t="shared" si="30"/>
        <v>0</v>
      </c>
      <c r="W122" s="1">
        <f t="shared" si="30"/>
        <v>0</v>
      </c>
      <c r="X122" s="54">
        <f t="shared" si="30"/>
        <v>0</v>
      </c>
      <c r="Y122" s="58">
        <f t="shared" si="30"/>
        <v>0</v>
      </c>
      <c r="Z122" s="1">
        <f t="shared" si="30"/>
        <v>0</v>
      </c>
      <c r="AA122" s="1">
        <f t="shared" si="30"/>
        <v>0</v>
      </c>
    </row>
    <row r="123" spans="1:27" x14ac:dyDescent="0.25">
      <c r="A123" s="15" t="s">
        <v>51</v>
      </c>
      <c r="B123" s="16" t="s">
        <v>56</v>
      </c>
      <c r="C123" s="27" t="s">
        <v>27</v>
      </c>
      <c r="D123" s="16" t="s">
        <v>72</v>
      </c>
      <c r="E123" s="16"/>
      <c r="F123" s="1">
        <f t="shared" si="30"/>
        <v>0</v>
      </c>
      <c r="G123" s="1">
        <f t="shared" si="30"/>
        <v>0</v>
      </c>
      <c r="H123" s="1">
        <f t="shared" si="30"/>
        <v>0</v>
      </c>
      <c r="I123" s="1">
        <f t="shared" si="30"/>
        <v>0</v>
      </c>
      <c r="J123" s="1">
        <f t="shared" si="30"/>
        <v>0</v>
      </c>
      <c r="K123" s="1">
        <f t="shared" si="30"/>
        <v>0</v>
      </c>
      <c r="L123" s="52">
        <f t="shared" si="30"/>
        <v>0</v>
      </c>
      <c r="M123" s="1">
        <f t="shared" si="30"/>
        <v>0</v>
      </c>
      <c r="N123" s="1">
        <f t="shared" si="30"/>
        <v>0</v>
      </c>
      <c r="O123" s="1">
        <f t="shared" si="30"/>
        <v>0</v>
      </c>
      <c r="P123" s="1">
        <f t="shared" si="30"/>
        <v>0</v>
      </c>
      <c r="Q123" s="1">
        <f t="shared" si="30"/>
        <v>0</v>
      </c>
      <c r="R123" s="1">
        <f t="shared" si="30"/>
        <v>0</v>
      </c>
      <c r="S123" s="1">
        <f t="shared" si="30"/>
        <v>0</v>
      </c>
      <c r="T123" s="1">
        <f t="shared" si="30"/>
        <v>0</v>
      </c>
      <c r="U123" s="1">
        <f t="shared" si="30"/>
        <v>0</v>
      </c>
      <c r="V123" s="1">
        <f t="shared" si="30"/>
        <v>0</v>
      </c>
      <c r="W123" s="1">
        <f t="shared" si="30"/>
        <v>0</v>
      </c>
      <c r="X123" s="54">
        <f t="shared" si="30"/>
        <v>0</v>
      </c>
      <c r="Y123" s="58">
        <f t="shared" si="30"/>
        <v>0</v>
      </c>
      <c r="Z123" s="1">
        <f t="shared" si="30"/>
        <v>0</v>
      </c>
      <c r="AA123" s="1">
        <f t="shared" si="30"/>
        <v>0</v>
      </c>
    </row>
    <row r="124" spans="1:27" x14ac:dyDescent="0.25">
      <c r="A124" s="15" t="s">
        <v>51</v>
      </c>
      <c r="B124" s="16" t="s">
        <v>56</v>
      </c>
      <c r="C124" s="27" t="s">
        <v>57</v>
      </c>
      <c r="D124" s="16" t="s">
        <v>73</v>
      </c>
      <c r="E124" s="16"/>
      <c r="F124" s="1">
        <f t="shared" si="30"/>
        <v>0</v>
      </c>
      <c r="G124" s="1">
        <f t="shared" si="30"/>
        <v>0</v>
      </c>
      <c r="H124" s="1">
        <f t="shared" si="30"/>
        <v>0</v>
      </c>
      <c r="I124" s="1">
        <f t="shared" si="30"/>
        <v>0</v>
      </c>
      <c r="J124" s="1">
        <f t="shared" si="30"/>
        <v>0</v>
      </c>
      <c r="K124" s="1">
        <f t="shared" si="30"/>
        <v>0</v>
      </c>
      <c r="L124" s="52">
        <f t="shared" si="30"/>
        <v>0</v>
      </c>
      <c r="M124" s="1">
        <f t="shared" si="30"/>
        <v>0</v>
      </c>
      <c r="N124" s="1">
        <f t="shared" si="30"/>
        <v>0</v>
      </c>
      <c r="O124" s="1">
        <f t="shared" si="30"/>
        <v>0</v>
      </c>
      <c r="P124" s="1">
        <f t="shared" si="30"/>
        <v>0</v>
      </c>
      <c r="Q124" s="1">
        <f t="shared" si="30"/>
        <v>0</v>
      </c>
      <c r="R124" s="1">
        <f t="shared" si="30"/>
        <v>0</v>
      </c>
      <c r="S124" s="1">
        <f t="shared" si="30"/>
        <v>0</v>
      </c>
      <c r="T124" s="1">
        <f t="shared" si="30"/>
        <v>0</v>
      </c>
      <c r="U124" s="1">
        <f t="shared" si="30"/>
        <v>0</v>
      </c>
      <c r="V124" s="1">
        <f t="shared" si="30"/>
        <v>0</v>
      </c>
      <c r="W124" s="1">
        <f t="shared" si="30"/>
        <v>0</v>
      </c>
      <c r="X124" s="54">
        <f t="shared" si="30"/>
        <v>0</v>
      </c>
      <c r="Y124" s="58">
        <f t="shared" si="30"/>
        <v>0</v>
      </c>
      <c r="Z124" s="1">
        <f t="shared" si="30"/>
        <v>0</v>
      </c>
      <c r="AA124" s="1">
        <f t="shared" si="30"/>
        <v>0</v>
      </c>
    </row>
    <row r="125" spans="1:27" x14ac:dyDescent="0.25">
      <c r="A125" s="15" t="s">
        <v>51</v>
      </c>
      <c r="B125" s="16" t="s">
        <v>56</v>
      </c>
      <c r="C125" s="27" t="s">
        <v>57</v>
      </c>
      <c r="D125" s="16" t="s">
        <v>74</v>
      </c>
      <c r="E125" s="16"/>
      <c r="F125" s="1">
        <f t="shared" si="30"/>
        <v>0</v>
      </c>
      <c r="G125" s="1">
        <f t="shared" si="30"/>
        <v>0</v>
      </c>
      <c r="H125" s="1">
        <f t="shared" si="30"/>
        <v>0</v>
      </c>
      <c r="I125" s="1">
        <f t="shared" si="30"/>
        <v>0</v>
      </c>
      <c r="J125" s="1">
        <f t="shared" si="30"/>
        <v>0</v>
      </c>
      <c r="K125" s="1">
        <f t="shared" si="30"/>
        <v>0</v>
      </c>
      <c r="L125" s="52">
        <f t="shared" si="30"/>
        <v>0</v>
      </c>
      <c r="M125" s="1">
        <f t="shared" si="30"/>
        <v>0</v>
      </c>
      <c r="N125" s="1">
        <f t="shared" si="30"/>
        <v>0</v>
      </c>
      <c r="O125" s="1">
        <f t="shared" si="30"/>
        <v>0</v>
      </c>
      <c r="P125" s="1">
        <f t="shared" si="30"/>
        <v>0</v>
      </c>
      <c r="Q125" s="1">
        <f t="shared" si="30"/>
        <v>0</v>
      </c>
      <c r="R125" s="1">
        <f t="shared" si="30"/>
        <v>0</v>
      </c>
      <c r="S125" s="1">
        <f t="shared" si="30"/>
        <v>0</v>
      </c>
      <c r="T125" s="1">
        <f t="shared" si="30"/>
        <v>0</v>
      </c>
      <c r="U125" s="1">
        <f t="shared" si="30"/>
        <v>0</v>
      </c>
      <c r="V125" s="1">
        <f t="shared" si="30"/>
        <v>0</v>
      </c>
      <c r="W125" s="1">
        <f t="shared" si="30"/>
        <v>0</v>
      </c>
      <c r="X125" s="54">
        <f t="shared" si="30"/>
        <v>0</v>
      </c>
      <c r="Y125" s="58">
        <f t="shared" si="30"/>
        <v>0</v>
      </c>
      <c r="Z125" s="1">
        <f t="shared" si="30"/>
        <v>0</v>
      </c>
      <c r="AA125" s="1">
        <f t="shared" si="30"/>
        <v>0</v>
      </c>
    </row>
    <row r="126" spans="1:27" x14ac:dyDescent="0.25">
      <c r="A126" s="30" t="s">
        <v>60</v>
      </c>
      <c r="B126" s="31" t="s">
        <v>13</v>
      </c>
      <c r="C126" s="32" t="s">
        <v>61</v>
      </c>
      <c r="D126" s="31" t="s">
        <v>75</v>
      </c>
      <c r="E126" s="31"/>
      <c r="F126" s="51">
        <f t="shared" si="30"/>
        <v>0.14250002906976744</v>
      </c>
      <c r="G126" s="51">
        <f t="shared" si="30"/>
        <v>0</v>
      </c>
      <c r="H126" s="51">
        <f t="shared" si="30"/>
        <v>0.27414330218068533</v>
      </c>
      <c r="I126" s="51">
        <f t="shared" si="30"/>
        <v>0.2639455782312925</v>
      </c>
      <c r="J126" s="51">
        <f t="shared" si="30"/>
        <v>0.55000000000000004</v>
      </c>
      <c r="K126" s="51">
        <f t="shared" si="30"/>
        <v>0.28749999999999998</v>
      </c>
      <c r="L126" s="52">
        <f t="shared" si="30"/>
        <v>0</v>
      </c>
      <c r="M126" s="51">
        <f t="shared" si="30"/>
        <v>0.41657142857142865</v>
      </c>
      <c r="N126" s="51">
        <f t="shared" si="30"/>
        <v>0</v>
      </c>
      <c r="O126" s="51">
        <f t="shared" si="30"/>
        <v>0</v>
      </c>
      <c r="P126" s="51">
        <f t="shared" si="30"/>
        <v>0</v>
      </c>
      <c r="Q126" s="51">
        <f t="shared" si="30"/>
        <v>0</v>
      </c>
      <c r="R126" s="51">
        <f t="shared" si="30"/>
        <v>0</v>
      </c>
      <c r="S126" s="51">
        <f t="shared" si="30"/>
        <v>0</v>
      </c>
      <c r="T126" s="51">
        <f t="shared" si="30"/>
        <v>0</v>
      </c>
      <c r="U126" s="51">
        <f t="shared" si="30"/>
        <v>0</v>
      </c>
      <c r="V126" s="51">
        <f t="shared" si="30"/>
        <v>0</v>
      </c>
      <c r="W126" s="51">
        <f t="shared" si="30"/>
        <v>0.6</v>
      </c>
      <c r="X126" s="55">
        <f t="shared" si="30"/>
        <v>0.4</v>
      </c>
      <c r="Y126" s="59">
        <f t="shared" si="30"/>
        <v>0.24819528261057733</v>
      </c>
      <c r="Z126" s="51">
        <f t="shared" si="30"/>
        <v>0.51540213523131662</v>
      </c>
      <c r="AA126" s="51">
        <f t="shared" si="30"/>
        <v>0.28898789479831904</v>
      </c>
    </row>
    <row r="127" spans="1:27" x14ac:dyDescent="0.25">
      <c r="A127" s="30" t="s">
        <v>60</v>
      </c>
      <c r="B127" s="31" t="s">
        <v>13</v>
      </c>
      <c r="C127" s="32" t="s">
        <v>61</v>
      </c>
      <c r="D127" s="31" t="s">
        <v>76</v>
      </c>
      <c r="E127" s="31"/>
      <c r="F127" s="51">
        <f t="shared" si="30"/>
        <v>0.14250002906976744</v>
      </c>
      <c r="G127" s="51">
        <f t="shared" si="30"/>
        <v>0</v>
      </c>
      <c r="H127" s="51">
        <f t="shared" si="30"/>
        <v>0</v>
      </c>
      <c r="I127" s="51">
        <f t="shared" si="30"/>
        <v>0.2639455782312925</v>
      </c>
      <c r="J127" s="51">
        <f t="shared" si="30"/>
        <v>0.55000000000000004</v>
      </c>
      <c r="K127" s="51">
        <f t="shared" si="30"/>
        <v>0.28749999999999998</v>
      </c>
      <c r="L127" s="52">
        <f t="shared" si="30"/>
        <v>0</v>
      </c>
      <c r="M127" s="51">
        <f t="shared" si="30"/>
        <v>0.41657142857142865</v>
      </c>
      <c r="N127" s="51">
        <f t="shared" si="30"/>
        <v>0.33333333333333331</v>
      </c>
      <c r="O127" s="51">
        <f t="shared" si="30"/>
        <v>0.33333333333333331</v>
      </c>
      <c r="P127" s="51">
        <f t="shared" si="30"/>
        <v>0.2</v>
      </c>
      <c r="Q127" s="51">
        <f t="shared" ref="Q127:AA135" si="31">IF(Q37&gt;0,Q82/Q37,0)</f>
        <v>0</v>
      </c>
      <c r="R127" s="51">
        <f t="shared" si="31"/>
        <v>0.47999999999999993</v>
      </c>
      <c r="S127" s="51">
        <f t="shared" si="31"/>
        <v>0</v>
      </c>
      <c r="T127" s="51">
        <f t="shared" si="31"/>
        <v>0</v>
      </c>
      <c r="U127" s="51">
        <f t="shared" si="31"/>
        <v>0</v>
      </c>
      <c r="V127" s="51">
        <f t="shared" si="31"/>
        <v>0</v>
      </c>
      <c r="W127" s="51">
        <f t="shared" si="31"/>
        <v>0</v>
      </c>
      <c r="X127" s="55">
        <f t="shared" si="31"/>
        <v>0.4</v>
      </c>
      <c r="Y127" s="59">
        <f t="shared" si="31"/>
        <v>0.26103296527159398</v>
      </c>
      <c r="Z127" s="51">
        <f t="shared" si="31"/>
        <v>0.32638366218156672</v>
      </c>
      <c r="AA127" s="51">
        <f t="shared" si="31"/>
        <v>0.30075923546945821</v>
      </c>
    </row>
    <row r="128" spans="1:27" x14ac:dyDescent="0.25">
      <c r="A128" s="30" t="s">
        <v>60</v>
      </c>
      <c r="B128" s="31" t="s">
        <v>13</v>
      </c>
      <c r="C128" s="32" t="s">
        <v>61</v>
      </c>
      <c r="D128" s="31" t="s">
        <v>77</v>
      </c>
      <c r="E128" s="31"/>
      <c r="F128" s="51">
        <f t="shared" ref="F128:AA135" si="32">IF(F38&gt;0,F83/F38,0)</f>
        <v>0</v>
      </c>
      <c r="G128" s="51">
        <f t="shared" si="32"/>
        <v>0</v>
      </c>
      <c r="H128" s="51">
        <f t="shared" si="32"/>
        <v>0</v>
      </c>
      <c r="I128" s="51">
        <f t="shared" si="32"/>
        <v>0</v>
      </c>
      <c r="J128" s="51">
        <f t="shared" si="32"/>
        <v>0</v>
      </c>
      <c r="K128" s="51">
        <f t="shared" si="32"/>
        <v>0.28749999999999998</v>
      </c>
      <c r="L128" s="52">
        <f t="shared" si="32"/>
        <v>0</v>
      </c>
      <c r="M128" s="51">
        <f t="shared" si="32"/>
        <v>0.41657142857142859</v>
      </c>
      <c r="N128" s="51">
        <f t="shared" si="32"/>
        <v>0</v>
      </c>
      <c r="O128" s="51">
        <f t="shared" si="32"/>
        <v>0.33333333333333331</v>
      </c>
      <c r="P128" s="51">
        <f t="shared" si="32"/>
        <v>0.2</v>
      </c>
      <c r="Q128" s="51">
        <f t="shared" si="32"/>
        <v>0</v>
      </c>
      <c r="R128" s="51">
        <f t="shared" si="32"/>
        <v>0</v>
      </c>
      <c r="S128" s="51">
        <f t="shared" si="32"/>
        <v>0</v>
      </c>
      <c r="T128" s="51">
        <f t="shared" si="32"/>
        <v>0.47999999999999993</v>
      </c>
      <c r="U128" s="51">
        <f t="shared" si="32"/>
        <v>0.48</v>
      </c>
      <c r="V128" s="51">
        <f t="shared" si="32"/>
        <v>0</v>
      </c>
      <c r="W128" s="51">
        <f t="shared" si="31"/>
        <v>0</v>
      </c>
      <c r="X128" s="55">
        <f t="shared" si="32"/>
        <v>0.4</v>
      </c>
      <c r="Y128" s="59">
        <f t="shared" si="32"/>
        <v>0.28749999999999998</v>
      </c>
      <c r="Z128" s="51">
        <f t="shared" si="32"/>
        <v>0.29594001769664235</v>
      </c>
      <c r="AA128" s="51">
        <f t="shared" si="32"/>
        <v>0.29590619404992718</v>
      </c>
    </row>
    <row r="129" spans="1:55" x14ac:dyDescent="0.25">
      <c r="A129" s="30" t="s">
        <v>60</v>
      </c>
      <c r="B129" s="31" t="s">
        <v>13</v>
      </c>
      <c r="C129" s="32" t="s">
        <v>61</v>
      </c>
      <c r="D129" s="31" t="s">
        <v>78</v>
      </c>
      <c r="E129" s="31"/>
      <c r="F129" s="51">
        <f t="shared" si="32"/>
        <v>0</v>
      </c>
      <c r="G129" s="51">
        <f t="shared" si="32"/>
        <v>0</v>
      </c>
      <c r="H129" s="51">
        <f t="shared" si="32"/>
        <v>0</v>
      </c>
      <c r="I129" s="51">
        <f t="shared" si="32"/>
        <v>0.26394557823129255</v>
      </c>
      <c r="J129" s="51">
        <f t="shared" si="32"/>
        <v>0</v>
      </c>
      <c r="K129" s="51">
        <f t="shared" si="32"/>
        <v>0.28749999999999998</v>
      </c>
      <c r="L129" s="52">
        <f t="shared" si="32"/>
        <v>0</v>
      </c>
      <c r="M129" s="51">
        <f t="shared" si="32"/>
        <v>0</v>
      </c>
      <c r="N129" s="51">
        <f t="shared" si="32"/>
        <v>0</v>
      </c>
      <c r="O129" s="51">
        <f t="shared" si="32"/>
        <v>0</v>
      </c>
      <c r="P129" s="51">
        <f t="shared" si="32"/>
        <v>0.2</v>
      </c>
      <c r="Q129" s="51">
        <f t="shared" si="32"/>
        <v>0.5</v>
      </c>
      <c r="R129" s="51">
        <f t="shared" si="32"/>
        <v>0</v>
      </c>
      <c r="S129" s="51">
        <f t="shared" si="32"/>
        <v>0</v>
      </c>
      <c r="T129" s="51">
        <f t="shared" si="32"/>
        <v>0</v>
      </c>
      <c r="U129" s="51">
        <f t="shared" si="32"/>
        <v>0</v>
      </c>
      <c r="V129" s="51">
        <f t="shared" si="32"/>
        <v>0</v>
      </c>
      <c r="W129" s="51">
        <f t="shared" si="31"/>
        <v>0</v>
      </c>
      <c r="X129" s="55">
        <f t="shared" si="32"/>
        <v>0.4</v>
      </c>
      <c r="Y129" s="59">
        <f t="shared" si="32"/>
        <v>0.26898395721925134</v>
      </c>
      <c r="Z129" s="51">
        <f t="shared" si="32"/>
        <v>0.33870967741935482</v>
      </c>
      <c r="AA129" s="51">
        <f t="shared" si="32"/>
        <v>0.33474292668086397</v>
      </c>
    </row>
    <row r="130" spans="1:55" ht="15.75" thickBot="1" x14ac:dyDescent="0.3">
      <c r="A130" s="33" t="s">
        <v>60</v>
      </c>
      <c r="B130" s="34" t="s">
        <v>13</v>
      </c>
      <c r="C130" s="35" t="s">
        <v>61</v>
      </c>
      <c r="D130" s="34" t="s">
        <v>79</v>
      </c>
      <c r="E130" s="31"/>
      <c r="F130" s="51">
        <f t="shared" si="32"/>
        <v>0</v>
      </c>
      <c r="G130" s="51">
        <f t="shared" si="32"/>
        <v>0</v>
      </c>
      <c r="H130" s="51">
        <f t="shared" si="32"/>
        <v>0</v>
      </c>
      <c r="I130" s="51">
        <f t="shared" si="32"/>
        <v>0</v>
      </c>
      <c r="J130" s="51">
        <f t="shared" si="32"/>
        <v>0</v>
      </c>
      <c r="K130" s="51">
        <f t="shared" si="32"/>
        <v>0</v>
      </c>
      <c r="L130" s="52">
        <f t="shared" si="32"/>
        <v>0</v>
      </c>
      <c r="M130" s="51">
        <f t="shared" si="32"/>
        <v>0</v>
      </c>
      <c r="N130" s="51">
        <f t="shared" si="32"/>
        <v>0</v>
      </c>
      <c r="O130" s="51">
        <f t="shared" si="32"/>
        <v>0</v>
      </c>
      <c r="P130" s="51">
        <f t="shared" si="32"/>
        <v>0</v>
      </c>
      <c r="Q130" s="51">
        <f t="shared" si="32"/>
        <v>0</v>
      </c>
      <c r="R130" s="51">
        <f t="shared" si="32"/>
        <v>0</v>
      </c>
      <c r="S130" s="51">
        <f t="shared" si="32"/>
        <v>0</v>
      </c>
      <c r="T130" s="51">
        <f t="shared" si="32"/>
        <v>0</v>
      </c>
      <c r="U130" s="51">
        <f t="shared" si="32"/>
        <v>0</v>
      </c>
      <c r="V130" s="51">
        <f t="shared" si="32"/>
        <v>0</v>
      </c>
      <c r="W130" s="51">
        <f t="shared" si="31"/>
        <v>0</v>
      </c>
      <c r="X130" s="55">
        <f t="shared" si="32"/>
        <v>0</v>
      </c>
      <c r="Y130" s="59">
        <f t="shared" si="32"/>
        <v>0</v>
      </c>
      <c r="Z130" s="51">
        <f t="shared" si="32"/>
        <v>0</v>
      </c>
      <c r="AA130" s="51">
        <f t="shared" si="32"/>
        <v>0</v>
      </c>
    </row>
    <row r="131" spans="1:55" x14ac:dyDescent="0.25">
      <c r="A131" s="30" t="s">
        <v>60</v>
      </c>
      <c r="B131" s="31" t="s">
        <v>13</v>
      </c>
      <c r="C131" s="32" t="s">
        <v>62</v>
      </c>
      <c r="D131" s="31" t="s">
        <v>75</v>
      </c>
      <c r="E131" s="31"/>
      <c r="F131" s="51">
        <f t="shared" si="32"/>
        <v>0</v>
      </c>
      <c r="G131" s="51">
        <f t="shared" si="32"/>
        <v>0.27919877787962116</v>
      </c>
      <c r="H131" s="51">
        <f>IF(H41&gt;0,H86/H41,0)</f>
        <v>0.33644859813084105</v>
      </c>
      <c r="I131" s="51">
        <f t="shared" si="32"/>
        <v>0</v>
      </c>
      <c r="J131" s="51">
        <f t="shared" si="32"/>
        <v>0</v>
      </c>
      <c r="K131" s="51">
        <f t="shared" si="32"/>
        <v>0</v>
      </c>
      <c r="L131" s="52">
        <f t="shared" si="32"/>
        <v>0</v>
      </c>
      <c r="M131" s="51">
        <f t="shared" si="32"/>
        <v>0</v>
      </c>
      <c r="N131" s="51">
        <f t="shared" si="32"/>
        <v>0</v>
      </c>
      <c r="O131" s="51">
        <f t="shared" si="32"/>
        <v>0</v>
      </c>
      <c r="P131" s="51">
        <f t="shared" si="32"/>
        <v>0</v>
      </c>
      <c r="Q131" s="51">
        <f t="shared" si="32"/>
        <v>0</v>
      </c>
      <c r="R131" s="51">
        <f t="shared" si="32"/>
        <v>0</v>
      </c>
      <c r="S131" s="51">
        <f t="shared" si="32"/>
        <v>0</v>
      </c>
      <c r="T131" s="51">
        <f t="shared" si="32"/>
        <v>0</v>
      </c>
      <c r="U131" s="51">
        <f t="shared" si="32"/>
        <v>0</v>
      </c>
      <c r="V131" s="51">
        <f t="shared" si="32"/>
        <v>0</v>
      </c>
      <c r="W131" s="51">
        <f t="shared" si="31"/>
        <v>0</v>
      </c>
      <c r="X131" s="55">
        <f t="shared" si="32"/>
        <v>0</v>
      </c>
      <c r="Y131" s="59">
        <f t="shared" si="32"/>
        <v>0.29752432545527679</v>
      </c>
      <c r="Z131" s="51">
        <f t="shared" si="32"/>
        <v>0</v>
      </c>
      <c r="AA131" s="51">
        <f t="shared" si="32"/>
        <v>0.29752432545527679</v>
      </c>
    </row>
    <row r="132" spans="1:55" x14ac:dyDescent="0.25">
      <c r="A132" s="30" t="s">
        <v>60</v>
      </c>
      <c r="B132" s="31" t="s">
        <v>13</v>
      </c>
      <c r="C132" s="32" t="s">
        <v>62</v>
      </c>
      <c r="D132" s="31" t="s">
        <v>76</v>
      </c>
      <c r="E132" s="31"/>
      <c r="F132" s="51">
        <f t="shared" si="32"/>
        <v>0.29943720930232559</v>
      </c>
      <c r="G132" s="51">
        <f t="shared" si="32"/>
        <v>0.27919877787962116</v>
      </c>
      <c r="H132" s="51">
        <f>IF(H42&gt;0,H87/H42,0)</f>
        <v>0.33644859813084105</v>
      </c>
      <c r="I132" s="51">
        <f t="shared" si="32"/>
        <v>0</v>
      </c>
      <c r="J132" s="51">
        <f t="shared" si="32"/>
        <v>0</v>
      </c>
      <c r="K132" s="51">
        <f t="shared" si="32"/>
        <v>0</v>
      </c>
      <c r="L132" s="52">
        <f t="shared" si="32"/>
        <v>0</v>
      </c>
      <c r="M132" s="51">
        <f t="shared" si="32"/>
        <v>0</v>
      </c>
      <c r="N132" s="51">
        <f t="shared" si="32"/>
        <v>0</v>
      </c>
      <c r="O132" s="51">
        <f t="shared" si="32"/>
        <v>0</v>
      </c>
      <c r="P132" s="51">
        <f t="shared" si="32"/>
        <v>0.21052631578947367</v>
      </c>
      <c r="Q132" s="51">
        <f t="shared" si="32"/>
        <v>0</v>
      </c>
      <c r="R132" s="51">
        <f t="shared" si="32"/>
        <v>0</v>
      </c>
      <c r="S132" s="51">
        <f t="shared" si="32"/>
        <v>0</v>
      </c>
      <c r="T132" s="51">
        <f t="shared" si="32"/>
        <v>0</v>
      </c>
      <c r="U132" s="51">
        <f t="shared" si="32"/>
        <v>0</v>
      </c>
      <c r="V132" s="51">
        <f t="shared" si="32"/>
        <v>0</v>
      </c>
      <c r="W132" s="51">
        <f t="shared" si="31"/>
        <v>0</v>
      </c>
      <c r="X132" s="55">
        <f t="shared" si="32"/>
        <v>0</v>
      </c>
      <c r="Y132" s="59">
        <f t="shared" si="32"/>
        <v>0.31328729219299428</v>
      </c>
      <c r="Z132" s="51">
        <f t="shared" si="32"/>
        <v>0.21052631578947367</v>
      </c>
      <c r="AA132" s="51">
        <f t="shared" si="32"/>
        <v>0.2433768599505533</v>
      </c>
    </row>
    <row r="133" spans="1:55" x14ac:dyDescent="0.25">
      <c r="A133" s="30" t="s">
        <v>60</v>
      </c>
      <c r="B133" s="31" t="s">
        <v>13</v>
      </c>
      <c r="C133" s="32" t="s">
        <v>62</v>
      </c>
      <c r="D133" s="31" t="s">
        <v>77</v>
      </c>
      <c r="E133" s="31"/>
      <c r="F133" s="51">
        <f t="shared" si="32"/>
        <v>0</v>
      </c>
      <c r="G133" s="51">
        <f t="shared" si="32"/>
        <v>0</v>
      </c>
      <c r="H133" s="51">
        <f t="shared" si="32"/>
        <v>0</v>
      </c>
      <c r="I133" s="51">
        <f t="shared" si="32"/>
        <v>0</v>
      </c>
      <c r="J133" s="51">
        <f t="shared" si="32"/>
        <v>0</v>
      </c>
      <c r="K133" s="51">
        <f t="shared" si="32"/>
        <v>0</v>
      </c>
      <c r="L133" s="52">
        <f t="shared" si="32"/>
        <v>0</v>
      </c>
      <c r="M133" s="51">
        <f t="shared" si="32"/>
        <v>0</v>
      </c>
      <c r="N133" s="51">
        <f t="shared" si="32"/>
        <v>0</v>
      </c>
      <c r="O133" s="51">
        <f t="shared" si="32"/>
        <v>0</v>
      </c>
      <c r="P133" s="51">
        <f t="shared" si="32"/>
        <v>0</v>
      </c>
      <c r="Q133" s="51">
        <f t="shared" si="32"/>
        <v>0</v>
      </c>
      <c r="R133" s="51">
        <f t="shared" si="32"/>
        <v>0</v>
      </c>
      <c r="S133" s="51">
        <f t="shared" si="32"/>
        <v>0</v>
      </c>
      <c r="T133" s="51">
        <f t="shared" si="32"/>
        <v>0</v>
      </c>
      <c r="U133" s="51">
        <f t="shared" si="32"/>
        <v>0</v>
      </c>
      <c r="V133" s="51">
        <f t="shared" si="32"/>
        <v>0</v>
      </c>
      <c r="W133" s="51">
        <f t="shared" si="31"/>
        <v>0</v>
      </c>
      <c r="X133" s="55">
        <f t="shared" si="32"/>
        <v>0</v>
      </c>
      <c r="Y133" s="59">
        <f t="shared" si="32"/>
        <v>0</v>
      </c>
      <c r="Z133" s="51">
        <f t="shared" si="32"/>
        <v>0</v>
      </c>
      <c r="AA133" s="51">
        <f t="shared" si="32"/>
        <v>0</v>
      </c>
    </row>
    <row r="134" spans="1:55" x14ac:dyDescent="0.25">
      <c r="A134" s="30" t="s">
        <v>60</v>
      </c>
      <c r="B134" s="31" t="s">
        <v>13</v>
      </c>
      <c r="C134" s="32" t="s">
        <v>62</v>
      </c>
      <c r="D134" s="31" t="s">
        <v>78</v>
      </c>
      <c r="E134" s="31"/>
      <c r="F134" s="51">
        <f t="shared" si="32"/>
        <v>0</v>
      </c>
      <c r="G134" s="51">
        <f t="shared" si="32"/>
        <v>0</v>
      </c>
      <c r="H134" s="51">
        <f t="shared" si="32"/>
        <v>0</v>
      </c>
      <c r="I134" s="51">
        <f t="shared" si="32"/>
        <v>0</v>
      </c>
      <c r="J134" s="51">
        <f t="shared" si="32"/>
        <v>0</v>
      </c>
      <c r="K134" s="51">
        <f t="shared" si="32"/>
        <v>0</v>
      </c>
      <c r="L134" s="52">
        <f t="shared" si="32"/>
        <v>0</v>
      </c>
      <c r="M134" s="51">
        <f t="shared" si="32"/>
        <v>0</v>
      </c>
      <c r="N134" s="51">
        <f t="shared" si="32"/>
        <v>0</v>
      </c>
      <c r="O134" s="51">
        <f t="shared" si="32"/>
        <v>0</v>
      </c>
      <c r="P134" s="51">
        <f t="shared" si="32"/>
        <v>0</v>
      </c>
      <c r="Q134" s="51">
        <f t="shared" si="32"/>
        <v>0</v>
      </c>
      <c r="R134" s="51">
        <f t="shared" si="32"/>
        <v>0</v>
      </c>
      <c r="S134" s="51">
        <f t="shared" si="32"/>
        <v>0</v>
      </c>
      <c r="T134" s="51">
        <f t="shared" si="32"/>
        <v>0</v>
      </c>
      <c r="U134" s="51">
        <f t="shared" si="32"/>
        <v>0</v>
      </c>
      <c r="V134" s="51">
        <f t="shared" si="32"/>
        <v>0</v>
      </c>
      <c r="W134" s="51">
        <f t="shared" si="31"/>
        <v>0</v>
      </c>
      <c r="X134" s="55">
        <f t="shared" si="32"/>
        <v>0</v>
      </c>
      <c r="Y134" s="59">
        <f t="shared" si="32"/>
        <v>0</v>
      </c>
      <c r="Z134" s="51">
        <f t="shared" si="32"/>
        <v>0</v>
      </c>
      <c r="AA134" s="51">
        <f t="shared" si="32"/>
        <v>0</v>
      </c>
    </row>
    <row r="135" spans="1:55" ht="15.75" thickBot="1" x14ac:dyDescent="0.3">
      <c r="A135" s="33" t="s">
        <v>60</v>
      </c>
      <c r="B135" s="34" t="s">
        <v>13</v>
      </c>
      <c r="C135" s="32" t="s">
        <v>62</v>
      </c>
      <c r="D135" s="34" t="s">
        <v>79</v>
      </c>
      <c r="E135" s="31"/>
      <c r="F135" s="51">
        <f t="shared" si="32"/>
        <v>0</v>
      </c>
      <c r="G135" s="51">
        <f t="shared" si="32"/>
        <v>0</v>
      </c>
      <c r="H135" s="51">
        <f t="shared" si="32"/>
        <v>0</v>
      </c>
      <c r="I135" s="51">
        <f t="shared" si="32"/>
        <v>0</v>
      </c>
      <c r="J135" s="51">
        <f t="shared" si="32"/>
        <v>0</v>
      </c>
      <c r="K135" s="51">
        <f t="shared" si="32"/>
        <v>0</v>
      </c>
      <c r="L135" s="52">
        <f t="shared" si="32"/>
        <v>0</v>
      </c>
      <c r="M135" s="51">
        <f t="shared" si="32"/>
        <v>0</v>
      </c>
      <c r="N135" s="51">
        <f t="shared" si="32"/>
        <v>0</v>
      </c>
      <c r="O135" s="51">
        <f t="shared" si="32"/>
        <v>0</v>
      </c>
      <c r="P135" s="51">
        <f t="shared" si="32"/>
        <v>0</v>
      </c>
      <c r="Q135" s="51">
        <f t="shared" si="32"/>
        <v>0</v>
      </c>
      <c r="R135" s="51">
        <f t="shared" si="32"/>
        <v>0</v>
      </c>
      <c r="S135" s="51">
        <f t="shared" si="32"/>
        <v>0</v>
      </c>
      <c r="T135" s="51">
        <f t="shared" si="32"/>
        <v>0</v>
      </c>
      <c r="U135" s="51">
        <f t="shared" si="32"/>
        <v>0</v>
      </c>
      <c r="V135" s="51">
        <f t="shared" si="32"/>
        <v>0</v>
      </c>
      <c r="W135" s="51">
        <f t="shared" si="31"/>
        <v>0</v>
      </c>
      <c r="X135" s="55">
        <f t="shared" si="32"/>
        <v>0</v>
      </c>
      <c r="Y135" s="59">
        <f t="shared" si="32"/>
        <v>0</v>
      </c>
      <c r="Z135" s="51">
        <f t="shared" si="32"/>
        <v>0</v>
      </c>
      <c r="AA135" s="51">
        <f t="shared" si="32"/>
        <v>0</v>
      </c>
    </row>
    <row r="136" spans="1:5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55" x14ac:dyDescent="0.25">
      <c r="D137" s="41" t="s">
        <v>17</v>
      </c>
      <c r="E137" s="41"/>
      <c r="M137" s="24" t="s">
        <v>81</v>
      </c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AF137" s="41" t="s">
        <v>22</v>
      </c>
      <c r="AG137" s="41"/>
      <c r="AO137" s="24" t="s">
        <v>81</v>
      </c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</row>
    <row r="138" spans="1:55" x14ac:dyDescent="0.25">
      <c r="F138" s="23" t="s">
        <v>44</v>
      </c>
      <c r="G138" s="23"/>
      <c r="H138" s="23"/>
      <c r="I138" s="23"/>
      <c r="J138" s="23"/>
      <c r="K138" s="23"/>
      <c r="L138" s="7" t="s">
        <v>30</v>
      </c>
      <c r="M138" s="24" t="s">
        <v>46</v>
      </c>
      <c r="N138" s="24"/>
      <c r="O138" s="24"/>
      <c r="P138" s="24"/>
      <c r="Q138" s="24"/>
      <c r="R138" s="24" t="s">
        <v>47</v>
      </c>
      <c r="S138" s="24"/>
      <c r="T138" s="24"/>
      <c r="U138" s="24"/>
      <c r="V138" s="24"/>
      <c r="W138" s="24"/>
      <c r="X138" s="24"/>
      <c r="Y138" s="44" t="s">
        <v>85</v>
      </c>
      <c r="Z138" s="44" t="s">
        <v>48</v>
      </c>
      <c r="AA138" s="44" t="s">
        <v>3</v>
      </c>
      <c r="AH138" s="23" t="s">
        <v>44</v>
      </c>
      <c r="AI138" s="23"/>
      <c r="AJ138" s="23"/>
      <c r="AK138" s="23"/>
      <c r="AL138" s="23"/>
      <c r="AM138" s="23"/>
      <c r="AN138" s="7" t="s">
        <v>30</v>
      </c>
      <c r="AO138" s="24" t="s">
        <v>46</v>
      </c>
      <c r="AP138" s="24"/>
      <c r="AQ138" s="24"/>
      <c r="AR138" s="24"/>
      <c r="AS138" s="24"/>
      <c r="AT138" s="24" t="s">
        <v>47</v>
      </c>
      <c r="AU138" s="24"/>
      <c r="AV138" s="24"/>
      <c r="AW138" s="24"/>
      <c r="AX138" s="24"/>
      <c r="AY138" s="24"/>
      <c r="AZ138" s="24"/>
      <c r="BA138" s="44" t="s">
        <v>85</v>
      </c>
      <c r="BB138" s="44" t="s">
        <v>48</v>
      </c>
      <c r="BC138" s="44" t="s">
        <v>3</v>
      </c>
    </row>
    <row r="139" spans="1:55" ht="63" x14ac:dyDescent="0.25">
      <c r="F139" s="38" t="s">
        <v>36</v>
      </c>
      <c r="G139" s="38" t="s">
        <v>37</v>
      </c>
      <c r="H139" s="38" t="s">
        <v>38</v>
      </c>
      <c r="I139" s="38" t="s">
        <v>80</v>
      </c>
      <c r="J139" s="38" t="s">
        <v>39</v>
      </c>
      <c r="K139" s="38" t="s">
        <v>45</v>
      </c>
      <c r="L139" s="39" t="s">
        <v>16</v>
      </c>
      <c r="M139" s="40" t="s">
        <v>34</v>
      </c>
      <c r="N139" s="40" t="s">
        <v>5</v>
      </c>
      <c r="O139" s="40" t="s">
        <v>7</v>
      </c>
      <c r="P139" s="40" t="s">
        <v>8</v>
      </c>
      <c r="Q139" s="40" t="s">
        <v>40</v>
      </c>
      <c r="R139" s="40" t="s">
        <v>41</v>
      </c>
      <c r="S139" s="40" t="s">
        <v>42</v>
      </c>
      <c r="T139" s="40" t="s">
        <v>31</v>
      </c>
      <c r="U139" s="40" t="s">
        <v>43</v>
      </c>
      <c r="V139" s="40" t="s">
        <v>82</v>
      </c>
      <c r="W139" s="40" t="s">
        <v>87</v>
      </c>
      <c r="X139" s="40" t="s">
        <v>83</v>
      </c>
      <c r="Y139" s="45" t="s">
        <v>3</v>
      </c>
      <c r="Z139" s="45" t="s">
        <v>3</v>
      </c>
      <c r="AA139" s="45" t="s">
        <v>3</v>
      </c>
      <c r="AH139" s="38" t="s">
        <v>36</v>
      </c>
      <c r="AI139" s="38" t="s">
        <v>37</v>
      </c>
      <c r="AJ139" s="38" t="s">
        <v>38</v>
      </c>
      <c r="AK139" s="38" t="s">
        <v>80</v>
      </c>
      <c r="AL139" s="38" t="s">
        <v>39</v>
      </c>
      <c r="AM139" s="38" t="s">
        <v>45</v>
      </c>
      <c r="AN139" s="39" t="s">
        <v>16</v>
      </c>
      <c r="AO139" s="40" t="s">
        <v>34</v>
      </c>
      <c r="AP139" s="40" t="s">
        <v>5</v>
      </c>
      <c r="AQ139" s="40" t="s">
        <v>7</v>
      </c>
      <c r="AR139" s="40" t="s">
        <v>8</v>
      </c>
      <c r="AS139" s="40" t="s">
        <v>40</v>
      </c>
      <c r="AT139" s="40" t="s">
        <v>41</v>
      </c>
      <c r="AU139" s="40" t="s">
        <v>42</v>
      </c>
      <c r="AV139" s="40" t="s">
        <v>31</v>
      </c>
      <c r="AW139" s="40" t="s">
        <v>43</v>
      </c>
      <c r="AX139" s="40" t="s">
        <v>82</v>
      </c>
      <c r="AY139" s="40" t="s">
        <v>87</v>
      </c>
      <c r="AZ139" s="40" t="s">
        <v>83</v>
      </c>
      <c r="BA139" s="45" t="s">
        <v>3</v>
      </c>
      <c r="BB139" s="45" t="s">
        <v>86</v>
      </c>
      <c r="BC139" s="45" t="s">
        <v>3</v>
      </c>
    </row>
    <row r="140" spans="1:55" x14ac:dyDescent="0.25">
      <c r="A140" s="15" t="s">
        <v>51</v>
      </c>
      <c r="B140" s="2"/>
      <c r="C140" s="2"/>
      <c r="F140" s="1">
        <f t="shared" ref="F140:AA151" si="33">IF(F185&gt;0,F5/F185,0)</f>
        <v>0</v>
      </c>
      <c r="G140" s="1">
        <f t="shared" si="33"/>
        <v>0</v>
      </c>
      <c r="H140" s="1">
        <f t="shared" si="33"/>
        <v>0</v>
      </c>
      <c r="I140" s="1">
        <f t="shared" si="33"/>
        <v>0</v>
      </c>
      <c r="J140" s="1">
        <f t="shared" si="33"/>
        <v>0</v>
      </c>
      <c r="K140" s="1">
        <f t="shared" si="33"/>
        <v>0</v>
      </c>
      <c r="L140" s="52">
        <f t="shared" si="33"/>
        <v>0</v>
      </c>
      <c r="M140" s="1">
        <f t="shared" si="33"/>
        <v>0</v>
      </c>
      <c r="N140" s="1">
        <f t="shared" si="33"/>
        <v>0</v>
      </c>
      <c r="O140" s="1">
        <f t="shared" si="33"/>
        <v>0</v>
      </c>
      <c r="P140" s="1">
        <f t="shared" si="33"/>
        <v>0</v>
      </c>
      <c r="Q140" s="1">
        <f t="shared" si="33"/>
        <v>0</v>
      </c>
      <c r="R140" s="1">
        <f t="shared" si="33"/>
        <v>0</v>
      </c>
      <c r="S140" s="1">
        <f t="shared" si="33"/>
        <v>0</v>
      </c>
      <c r="T140" s="1">
        <f t="shared" si="33"/>
        <v>0</v>
      </c>
      <c r="U140" s="1">
        <f t="shared" si="33"/>
        <v>0</v>
      </c>
      <c r="V140" s="1">
        <f t="shared" si="33"/>
        <v>0</v>
      </c>
      <c r="W140" s="1">
        <f t="shared" si="33"/>
        <v>0</v>
      </c>
      <c r="X140" s="54">
        <f t="shared" si="33"/>
        <v>0</v>
      </c>
      <c r="Y140" s="58">
        <f t="shared" si="33"/>
        <v>0</v>
      </c>
      <c r="Z140" s="1">
        <f t="shared" si="33"/>
        <v>0</v>
      </c>
      <c r="AA140" s="1">
        <f t="shared" si="33"/>
        <v>0</v>
      </c>
      <c r="AC140" s="15" t="s">
        <v>51</v>
      </c>
      <c r="AD140" s="2"/>
      <c r="AE140" s="2"/>
      <c r="AH140" s="1" t="str">
        <f t="shared" ref="AH140:AW155" si="34">IF(F185&gt;0,F50/F185,"")</f>
        <v/>
      </c>
      <c r="AI140" s="1" t="str">
        <f t="shared" si="34"/>
        <v/>
      </c>
      <c r="AJ140" s="1" t="str">
        <f t="shared" si="34"/>
        <v/>
      </c>
      <c r="AK140" s="1" t="str">
        <f t="shared" si="34"/>
        <v/>
      </c>
      <c r="AL140" s="1" t="str">
        <f t="shared" si="34"/>
        <v/>
      </c>
      <c r="AM140" s="1" t="str">
        <f t="shared" si="34"/>
        <v/>
      </c>
      <c r="AN140" s="52" t="str">
        <f t="shared" si="34"/>
        <v/>
      </c>
      <c r="AO140" s="1" t="str">
        <f t="shared" si="34"/>
        <v/>
      </c>
      <c r="AP140" s="1" t="str">
        <f t="shared" si="34"/>
        <v/>
      </c>
      <c r="AQ140" s="1" t="str">
        <f t="shared" si="34"/>
        <v/>
      </c>
      <c r="AR140" s="1" t="str">
        <f t="shared" si="34"/>
        <v/>
      </c>
      <c r="AS140" s="1" t="str">
        <f t="shared" si="34"/>
        <v/>
      </c>
      <c r="AT140" s="1" t="str">
        <f t="shared" si="34"/>
        <v/>
      </c>
      <c r="AU140" s="1" t="str">
        <f t="shared" si="34"/>
        <v/>
      </c>
      <c r="AV140" s="1" t="str">
        <f t="shared" si="34"/>
        <v/>
      </c>
      <c r="AW140" s="1" t="str">
        <f t="shared" si="34"/>
        <v/>
      </c>
      <c r="AX140" s="1" t="str">
        <f t="shared" ref="AX140:BC155" si="35">IF(V185&gt;0,V50/V185,"")</f>
        <v/>
      </c>
      <c r="AY140" s="1" t="str">
        <f t="shared" si="35"/>
        <v/>
      </c>
      <c r="AZ140" s="1" t="str">
        <f t="shared" si="35"/>
        <v/>
      </c>
      <c r="BA140" s="1" t="str">
        <f t="shared" si="35"/>
        <v/>
      </c>
      <c r="BB140" s="1" t="str">
        <f t="shared" si="35"/>
        <v/>
      </c>
      <c r="BC140" s="1" t="str">
        <f t="shared" si="35"/>
        <v/>
      </c>
    </row>
    <row r="141" spans="1:55" x14ac:dyDescent="0.25">
      <c r="A141" s="30" t="s">
        <v>60</v>
      </c>
      <c r="B141" s="2"/>
      <c r="C141" s="2"/>
      <c r="F141" s="1">
        <f t="shared" si="33"/>
        <v>52.121212121212125</v>
      </c>
      <c r="G141" s="1">
        <f t="shared" si="33"/>
        <v>25.641025641025642</v>
      </c>
      <c r="H141" s="1">
        <f t="shared" si="33"/>
        <v>5.5584415584415581</v>
      </c>
      <c r="I141" s="1">
        <f t="shared" si="33"/>
        <v>29</v>
      </c>
      <c r="J141" s="1">
        <f t="shared" si="33"/>
        <v>51.28215243806217</v>
      </c>
      <c r="K141" s="1">
        <f t="shared" si="33"/>
        <v>3.5492819280617316</v>
      </c>
      <c r="L141" s="52">
        <f t="shared" si="33"/>
        <v>750</v>
      </c>
      <c r="M141" s="1">
        <f t="shared" si="33"/>
        <v>317.96083727211345</v>
      </c>
      <c r="N141" s="1">
        <f t="shared" si="33"/>
        <v>896.55172413793093</v>
      </c>
      <c r="O141" s="1">
        <f t="shared" si="33"/>
        <v>10000</v>
      </c>
      <c r="P141" s="1">
        <f t="shared" si="33"/>
        <v>68000</v>
      </c>
      <c r="Q141" s="1">
        <f t="shared" si="33"/>
        <v>940</v>
      </c>
      <c r="R141" s="1">
        <f t="shared" si="33"/>
        <v>426.00000000000006</v>
      </c>
      <c r="S141" s="1">
        <f t="shared" si="33"/>
        <v>99.999999999999986</v>
      </c>
      <c r="T141" s="1">
        <f t="shared" si="33"/>
        <v>425.22857262254655</v>
      </c>
      <c r="U141" s="1">
        <f t="shared" si="33"/>
        <v>426</v>
      </c>
      <c r="V141" s="1">
        <f t="shared" si="33"/>
        <v>500.43123278302329</v>
      </c>
      <c r="W141" s="1">
        <f t="shared" si="33"/>
        <v>426</v>
      </c>
      <c r="X141" s="54">
        <f t="shared" si="33"/>
        <v>415.77406415237243</v>
      </c>
      <c r="Y141" s="58">
        <f t="shared" si="33"/>
        <v>11.319936926280532</v>
      </c>
      <c r="Z141" s="1">
        <f t="shared" si="33"/>
        <v>622.9298701297954</v>
      </c>
      <c r="AA141" s="1">
        <f t="shared" si="33"/>
        <v>114.86250347531605</v>
      </c>
      <c r="AC141" s="30" t="s">
        <v>60</v>
      </c>
      <c r="AD141" s="2"/>
      <c r="AE141" s="2"/>
      <c r="AH141" s="1">
        <f t="shared" si="34"/>
        <v>9.0632254545454565</v>
      </c>
      <c r="AI141" s="1">
        <f t="shared" si="34"/>
        <v>7.1589430225543884</v>
      </c>
      <c r="AJ141" s="1">
        <f t="shared" si="34"/>
        <v>1.7142857142857142</v>
      </c>
      <c r="AK141" s="1">
        <f t="shared" si="34"/>
        <v>7.6544217687074827</v>
      </c>
      <c r="AL141" s="1">
        <f t="shared" si="34"/>
        <v>12.899242543790436</v>
      </c>
      <c r="AM141" s="1">
        <f t="shared" si="34"/>
        <v>2.3716346194743303</v>
      </c>
      <c r="AN141" s="52">
        <f t="shared" si="34"/>
        <v>60</v>
      </c>
      <c r="AO141" s="1">
        <f t="shared" si="34"/>
        <v>53.6900742741391</v>
      </c>
      <c r="AP141" s="1">
        <f t="shared" si="34"/>
        <v>310.34482758620686</v>
      </c>
      <c r="AQ141" s="1">
        <f t="shared" si="34"/>
        <v>3333.3333333333335</v>
      </c>
      <c r="AR141" s="1">
        <f t="shared" si="34"/>
        <v>14000</v>
      </c>
      <c r="AS141" s="1">
        <f t="shared" si="34"/>
        <v>117.23797387703091</v>
      </c>
      <c r="AT141" s="1">
        <f t="shared" si="34"/>
        <v>85.447983367983369</v>
      </c>
      <c r="AU141" s="1">
        <f t="shared" si="34"/>
        <v>24.489795918367346</v>
      </c>
      <c r="AV141" s="1">
        <f t="shared" si="34"/>
        <v>72.999579322737461</v>
      </c>
      <c r="AW141" s="1">
        <f t="shared" si="34"/>
        <v>114.37016949152542</v>
      </c>
      <c r="AX141" s="1">
        <f t="shared" si="35"/>
        <v>138.99042118661777</v>
      </c>
      <c r="AY141" s="1">
        <f t="shared" si="35"/>
        <v>80.036363636363632</v>
      </c>
      <c r="AZ141" s="1">
        <f t="shared" si="35"/>
        <v>110.25817332641411</v>
      </c>
      <c r="BA141" s="1">
        <f t="shared" si="35"/>
        <v>3.2535433707689694</v>
      </c>
      <c r="BB141" s="1">
        <f t="shared" si="35"/>
        <v>120.07688244303128</v>
      </c>
      <c r="BC141" s="1">
        <f t="shared" si="35"/>
        <v>15.669667548854258</v>
      </c>
    </row>
    <row r="142" spans="1:55" x14ac:dyDescent="0.25">
      <c r="A142" s="15" t="s">
        <v>51</v>
      </c>
      <c r="B142" s="16" t="s">
        <v>52</v>
      </c>
      <c r="C142" s="2"/>
      <c r="F142" s="1">
        <f t="shared" si="33"/>
        <v>0</v>
      </c>
      <c r="G142" s="1">
        <f t="shared" si="33"/>
        <v>0</v>
      </c>
      <c r="H142" s="1">
        <f t="shared" si="33"/>
        <v>0</v>
      </c>
      <c r="I142" s="1">
        <f t="shared" si="33"/>
        <v>0</v>
      </c>
      <c r="J142" s="1">
        <f t="shared" si="33"/>
        <v>0</v>
      </c>
      <c r="K142" s="1">
        <f t="shared" si="33"/>
        <v>0</v>
      </c>
      <c r="L142" s="52">
        <f t="shared" si="33"/>
        <v>0</v>
      </c>
      <c r="M142" s="1">
        <f t="shared" si="33"/>
        <v>0</v>
      </c>
      <c r="N142" s="1">
        <f t="shared" si="33"/>
        <v>0</v>
      </c>
      <c r="O142" s="1">
        <f t="shared" si="33"/>
        <v>0</v>
      </c>
      <c r="P142" s="1">
        <f t="shared" si="33"/>
        <v>0</v>
      </c>
      <c r="Q142" s="1">
        <f t="shared" si="33"/>
        <v>0</v>
      </c>
      <c r="R142" s="1">
        <f t="shared" si="33"/>
        <v>0</v>
      </c>
      <c r="S142" s="1">
        <f t="shared" si="33"/>
        <v>0</v>
      </c>
      <c r="T142" s="1">
        <f t="shared" si="33"/>
        <v>0</v>
      </c>
      <c r="U142" s="1">
        <f t="shared" si="33"/>
        <v>0</v>
      </c>
      <c r="V142" s="1">
        <f t="shared" si="33"/>
        <v>0</v>
      </c>
      <c r="W142" s="1">
        <f t="shared" si="33"/>
        <v>0</v>
      </c>
      <c r="X142" s="54">
        <f t="shared" si="33"/>
        <v>0</v>
      </c>
      <c r="Y142" s="58">
        <f t="shared" si="33"/>
        <v>0</v>
      </c>
      <c r="Z142" s="1">
        <f t="shared" si="33"/>
        <v>0</v>
      </c>
      <c r="AA142" s="1">
        <f t="shared" si="33"/>
        <v>0</v>
      </c>
      <c r="AC142" s="15" t="s">
        <v>51</v>
      </c>
      <c r="AD142" s="16" t="s">
        <v>52</v>
      </c>
      <c r="AE142" s="2"/>
      <c r="AH142" s="1" t="str">
        <f t="shared" si="34"/>
        <v/>
      </c>
      <c r="AI142" s="1" t="str">
        <f t="shared" si="34"/>
        <v/>
      </c>
      <c r="AJ142" s="1" t="str">
        <f t="shared" si="34"/>
        <v/>
      </c>
      <c r="AK142" s="1" t="str">
        <f t="shared" si="34"/>
        <v/>
      </c>
      <c r="AL142" s="1" t="str">
        <f t="shared" si="34"/>
        <v/>
      </c>
      <c r="AM142" s="1" t="str">
        <f t="shared" si="34"/>
        <v/>
      </c>
      <c r="AN142" s="52" t="str">
        <f t="shared" si="34"/>
        <v/>
      </c>
      <c r="AO142" s="1" t="str">
        <f t="shared" si="34"/>
        <v/>
      </c>
      <c r="AP142" s="1" t="str">
        <f t="shared" si="34"/>
        <v/>
      </c>
      <c r="AQ142" s="1" t="str">
        <f t="shared" si="34"/>
        <v/>
      </c>
      <c r="AR142" s="1" t="str">
        <f t="shared" si="34"/>
        <v/>
      </c>
      <c r="AS142" s="1" t="str">
        <f t="shared" si="34"/>
        <v/>
      </c>
      <c r="AT142" s="1" t="str">
        <f t="shared" si="34"/>
        <v/>
      </c>
      <c r="AU142" s="1" t="str">
        <f t="shared" si="34"/>
        <v/>
      </c>
      <c r="AV142" s="1" t="str">
        <f t="shared" si="34"/>
        <v/>
      </c>
      <c r="AW142" s="1" t="str">
        <f t="shared" si="34"/>
        <v/>
      </c>
      <c r="AX142" s="1" t="str">
        <f t="shared" si="35"/>
        <v/>
      </c>
      <c r="AY142" s="1" t="str">
        <f t="shared" si="35"/>
        <v/>
      </c>
      <c r="AZ142" s="1" t="str">
        <f t="shared" si="35"/>
        <v/>
      </c>
      <c r="BA142" s="1" t="str">
        <f t="shared" si="35"/>
        <v/>
      </c>
      <c r="BB142" s="1" t="str">
        <f t="shared" si="35"/>
        <v/>
      </c>
      <c r="BC142" s="1" t="str">
        <f t="shared" si="35"/>
        <v/>
      </c>
    </row>
    <row r="143" spans="1:55" x14ac:dyDescent="0.25">
      <c r="A143" s="15" t="s">
        <v>51</v>
      </c>
      <c r="B143" s="16" t="s">
        <v>56</v>
      </c>
      <c r="C143" s="2"/>
      <c r="F143" s="1">
        <f t="shared" si="33"/>
        <v>0</v>
      </c>
      <c r="G143" s="1">
        <f t="shared" si="33"/>
        <v>0</v>
      </c>
      <c r="H143" s="1">
        <f t="shared" si="33"/>
        <v>0</v>
      </c>
      <c r="I143" s="1">
        <f t="shared" si="33"/>
        <v>0</v>
      </c>
      <c r="J143" s="1">
        <f t="shared" si="33"/>
        <v>0</v>
      </c>
      <c r="K143" s="1">
        <f t="shared" si="33"/>
        <v>0</v>
      </c>
      <c r="L143" s="52">
        <f t="shared" si="33"/>
        <v>0</v>
      </c>
      <c r="M143" s="1">
        <f t="shared" si="33"/>
        <v>0</v>
      </c>
      <c r="N143" s="1">
        <f t="shared" si="33"/>
        <v>0</v>
      </c>
      <c r="O143" s="1">
        <f t="shared" si="33"/>
        <v>0</v>
      </c>
      <c r="P143" s="1">
        <f t="shared" si="33"/>
        <v>0</v>
      </c>
      <c r="Q143" s="1">
        <f t="shared" si="33"/>
        <v>0</v>
      </c>
      <c r="R143" s="1">
        <f t="shared" si="33"/>
        <v>0</v>
      </c>
      <c r="S143" s="1">
        <f t="shared" si="33"/>
        <v>0</v>
      </c>
      <c r="T143" s="1">
        <f t="shared" si="33"/>
        <v>0</v>
      </c>
      <c r="U143" s="1">
        <f t="shared" si="33"/>
        <v>0</v>
      </c>
      <c r="V143" s="1">
        <f t="shared" si="33"/>
        <v>0</v>
      </c>
      <c r="W143" s="1">
        <f t="shared" si="33"/>
        <v>0</v>
      </c>
      <c r="X143" s="54">
        <f t="shared" si="33"/>
        <v>0</v>
      </c>
      <c r="Y143" s="58">
        <f t="shared" si="33"/>
        <v>0</v>
      </c>
      <c r="Z143" s="1">
        <f t="shared" si="33"/>
        <v>0</v>
      </c>
      <c r="AA143" s="1">
        <f t="shared" si="33"/>
        <v>0</v>
      </c>
      <c r="AC143" s="15" t="s">
        <v>51</v>
      </c>
      <c r="AD143" s="16" t="s">
        <v>56</v>
      </c>
      <c r="AE143" s="2"/>
      <c r="AH143" s="1" t="str">
        <f t="shared" si="34"/>
        <v/>
      </c>
      <c r="AI143" s="1" t="str">
        <f t="shared" si="34"/>
        <v/>
      </c>
      <c r="AJ143" s="1" t="str">
        <f t="shared" si="34"/>
        <v/>
      </c>
      <c r="AK143" s="1" t="str">
        <f t="shared" si="34"/>
        <v/>
      </c>
      <c r="AL143" s="1" t="str">
        <f t="shared" si="34"/>
        <v/>
      </c>
      <c r="AM143" s="1" t="str">
        <f t="shared" si="34"/>
        <v/>
      </c>
      <c r="AN143" s="52" t="str">
        <f t="shared" si="34"/>
        <v/>
      </c>
      <c r="AO143" s="1" t="str">
        <f t="shared" si="34"/>
        <v/>
      </c>
      <c r="AP143" s="1" t="str">
        <f t="shared" si="34"/>
        <v/>
      </c>
      <c r="AQ143" s="1" t="str">
        <f t="shared" si="34"/>
        <v/>
      </c>
      <c r="AR143" s="1" t="str">
        <f t="shared" si="34"/>
        <v/>
      </c>
      <c r="AS143" s="1" t="str">
        <f t="shared" si="34"/>
        <v/>
      </c>
      <c r="AT143" s="1" t="str">
        <f t="shared" si="34"/>
        <v/>
      </c>
      <c r="AU143" s="1" t="str">
        <f t="shared" si="34"/>
        <v/>
      </c>
      <c r="AV143" s="1" t="str">
        <f t="shared" si="34"/>
        <v/>
      </c>
      <c r="AW143" s="1" t="str">
        <f t="shared" si="34"/>
        <v/>
      </c>
      <c r="AX143" s="1" t="str">
        <f t="shared" si="35"/>
        <v/>
      </c>
      <c r="AY143" s="1" t="str">
        <f t="shared" si="35"/>
        <v/>
      </c>
      <c r="AZ143" s="1" t="str">
        <f t="shared" si="35"/>
        <v/>
      </c>
      <c r="BA143" s="1" t="str">
        <f t="shared" si="35"/>
        <v/>
      </c>
      <c r="BB143" s="1" t="str">
        <f t="shared" si="35"/>
        <v/>
      </c>
      <c r="BC143" s="1" t="str">
        <f t="shared" si="35"/>
        <v/>
      </c>
    </row>
    <row r="144" spans="1:55" x14ac:dyDescent="0.25">
      <c r="A144" s="15" t="s">
        <v>51</v>
      </c>
      <c r="B144" s="16" t="s">
        <v>9</v>
      </c>
      <c r="C144" s="2"/>
      <c r="F144" s="1">
        <f t="shared" si="33"/>
        <v>0</v>
      </c>
      <c r="G144" s="1">
        <f t="shared" si="33"/>
        <v>0</v>
      </c>
      <c r="H144" s="1">
        <f t="shared" si="33"/>
        <v>0</v>
      </c>
      <c r="I144" s="1">
        <f t="shared" si="33"/>
        <v>0</v>
      </c>
      <c r="J144" s="1">
        <f t="shared" si="33"/>
        <v>0</v>
      </c>
      <c r="K144" s="1">
        <f t="shared" si="33"/>
        <v>0</v>
      </c>
      <c r="L144" s="52">
        <f t="shared" si="33"/>
        <v>0</v>
      </c>
      <c r="M144" s="1">
        <f t="shared" si="33"/>
        <v>0</v>
      </c>
      <c r="N144" s="1">
        <f t="shared" si="33"/>
        <v>0</v>
      </c>
      <c r="O144" s="1">
        <f t="shared" si="33"/>
        <v>0</v>
      </c>
      <c r="P144" s="1">
        <f t="shared" si="33"/>
        <v>0</v>
      </c>
      <c r="Q144" s="1">
        <f t="shared" si="33"/>
        <v>0</v>
      </c>
      <c r="R144" s="1">
        <f t="shared" si="33"/>
        <v>0</v>
      </c>
      <c r="S144" s="1">
        <f t="shared" si="33"/>
        <v>0</v>
      </c>
      <c r="T144" s="1">
        <f t="shared" si="33"/>
        <v>0</v>
      </c>
      <c r="U144" s="1">
        <f t="shared" si="33"/>
        <v>0</v>
      </c>
      <c r="V144" s="1">
        <f t="shared" si="33"/>
        <v>0</v>
      </c>
      <c r="W144" s="1">
        <f t="shared" si="33"/>
        <v>0</v>
      </c>
      <c r="X144" s="54">
        <f t="shared" si="33"/>
        <v>0</v>
      </c>
      <c r="Y144" s="58">
        <f t="shared" si="33"/>
        <v>0</v>
      </c>
      <c r="Z144" s="1">
        <f t="shared" si="33"/>
        <v>0</v>
      </c>
      <c r="AA144" s="1">
        <f t="shared" si="33"/>
        <v>0</v>
      </c>
      <c r="AC144" s="15" t="s">
        <v>51</v>
      </c>
      <c r="AD144" s="16" t="s">
        <v>9</v>
      </c>
      <c r="AE144" s="2"/>
      <c r="AH144" s="1" t="str">
        <f t="shared" si="34"/>
        <v/>
      </c>
      <c r="AI144" s="1" t="str">
        <f t="shared" si="34"/>
        <v/>
      </c>
      <c r="AJ144" s="1" t="str">
        <f t="shared" si="34"/>
        <v/>
      </c>
      <c r="AK144" s="1" t="str">
        <f t="shared" si="34"/>
        <v/>
      </c>
      <c r="AL144" s="1" t="str">
        <f t="shared" si="34"/>
        <v/>
      </c>
      <c r="AM144" s="1" t="str">
        <f t="shared" si="34"/>
        <v/>
      </c>
      <c r="AN144" s="52" t="str">
        <f t="shared" si="34"/>
        <v/>
      </c>
      <c r="AO144" s="1" t="str">
        <f t="shared" si="34"/>
        <v/>
      </c>
      <c r="AP144" s="1" t="str">
        <f t="shared" si="34"/>
        <v/>
      </c>
      <c r="AQ144" s="1" t="str">
        <f t="shared" si="34"/>
        <v/>
      </c>
      <c r="AR144" s="1" t="str">
        <f t="shared" si="34"/>
        <v/>
      </c>
      <c r="AS144" s="1" t="str">
        <f t="shared" si="34"/>
        <v/>
      </c>
      <c r="AT144" s="1" t="str">
        <f t="shared" si="34"/>
        <v/>
      </c>
      <c r="AU144" s="1" t="str">
        <f t="shared" si="34"/>
        <v/>
      </c>
      <c r="AV144" s="1" t="str">
        <f t="shared" si="34"/>
        <v/>
      </c>
      <c r="AW144" s="1" t="str">
        <f t="shared" si="34"/>
        <v/>
      </c>
      <c r="AX144" s="1" t="str">
        <f t="shared" si="35"/>
        <v/>
      </c>
      <c r="AY144" s="1" t="str">
        <f t="shared" si="35"/>
        <v/>
      </c>
      <c r="AZ144" s="1" t="str">
        <f t="shared" si="35"/>
        <v/>
      </c>
      <c r="BA144" s="1" t="str">
        <f t="shared" si="35"/>
        <v/>
      </c>
      <c r="BB144" s="1" t="str">
        <f t="shared" si="35"/>
        <v/>
      </c>
      <c r="BC144" s="1" t="str">
        <f t="shared" si="35"/>
        <v/>
      </c>
    </row>
    <row r="145" spans="1:55" x14ac:dyDescent="0.25">
      <c r="A145" s="30" t="s">
        <v>60</v>
      </c>
      <c r="B145" s="32" t="s">
        <v>13</v>
      </c>
      <c r="C145" s="2"/>
      <c r="F145" s="51">
        <f t="shared" si="33"/>
        <v>52.121212121212125</v>
      </c>
      <c r="G145" s="51">
        <f t="shared" si="33"/>
        <v>25.641025641025642</v>
      </c>
      <c r="H145" s="51">
        <f t="shared" si="33"/>
        <v>5.5584415584415581</v>
      </c>
      <c r="I145" s="51">
        <f t="shared" si="33"/>
        <v>29</v>
      </c>
      <c r="J145" s="51">
        <f t="shared" si="33"/>
        <v>53.475935828876999</v>
      </c>
      <c r="K145" s="51">
        <f t="shared" si="33"/>
        <v>29.000000000000004</v>
      </c>
      <c r="L145" s="52">
        <f t="shared" si="33"/>
        <v>0</v>
      </c>
      <c r="M145" s="51">
        <f t="shared" si="33"/>
        <v>400</v>
      </c>
      <c r="N145" s="51">
        <f t="shared" si="33"/>
        <v>833.33333333333326</v>
      </c>
      <c r="O145" s="51">
        <f t="shared" si="33"/>
        <v>10000</v>
      </c>
      <c r="P145" s="51">
        <f t="shared" si="33"/>
        <v>68000</v>
      </c>
      <c r="Q145" s="51">
        <f t="shared" si="33"/>
        <v>940</v>
      </c>
      <c r="R145" s="51">
        <f t="shared" si="33"/>
        <v>426</v>
      </c>
      <c r="S145" s="51">
        <f t="shared" si="33"/>
        <v>0</v>
      </c>
      <c r="T145" s="51">
        <f t="shared" si="33"/>
        <v>426</v>
      </c>
      <c r="U145" s="51">
        <f t="shared" si="33"/>
        <v>426</v>
      </c>
      <c r="V145" s="51">
        <f t="shared" si="33"/>
        <v>426</v>
      </c>
      <c r="W145" s="51">
        <f t="shared" si="33"/>
        <v>426</v>
      </c>
      <c r="X145" s="55">
        <f t="shared" si="33"/>
        <v>426</v>
      </c>
      <c r="Y145" s="59">
        <f t="shared" si="33"/>
        <v>12.254394454322433</v>
      </c>
      <c r="Z145" s="51">
        <f t="shared" si="33"/>
        <v>1490.645967819321</v>
      </c>
      <c r="AA145" s="51">
        <f t="shared" si="33"/>
        <v>33.319531227754545</v>
      </c>
      <c r="AC145" s="30" t="s">
        <v>60</v>
      </c>
      <c r="AD145" s="32" t="s">
        <v>13</v>
      </c>
      <c r="AE145" s="2"/>
      <c r="AH145" s="1">
        <f t="shared" si="34"/>
        <v>9.0632254545454565</v>
      </c>
      <c r="AI145" s="1">
        <f t="shared" si="34"/>
        <v>7.1589430225543884</v>
      </c>
      <c r="AJ145" s="1">
        <f t="shared" si="34"/>
        <v>1.7142857142857142</v>
      </c>
      <c r="AK145" s="1">
        <f t="shared" si="34"/>
        <v>7.6544217687074827</v>
      </c>
      <c r="AL145" s="1">
        <f t="shared" si="34"/>
        <v>29.411764705882348</v>
      </c>
      <c r="AM145" s="1">
        <f t="shared" si="34"/>
        <v>8.3375000000000004</v>
      </c>
      <c r="AN145" s="52" t="str">
        <f t="shared" si="34"/>
        <v/>
      </c>
      <c r="AO145" s="1">
        <f t="shared" si="34"/>
        <v>166.62857142857143</v>
      </c>
      <c r="AP145" s="1">
        <f t="shared" si="34"/>
        <v>277.77777777777777</v>
      </c>
      <c r="AQ145" s="1">
        <f t="shared" si="34"/>
        <v>3333.3333333333335</v>
      </c>
      <c r="AR145" s="1">
        <f t="shared" si="34"/>
        <v>14000</v>
      </c>
      <c r="AS145" s="1">
        <f t="shared" si="34"/>
        <v>470</v>
      </c>
      <c r="AT145" s="1">
        <f t="shared" si="34"/>
        <v>204.47999999999996</v>
      </c>
      <c r="AU145" s="1" t="str">
        <f t="shared" si="34"/>
        <v/>
      </c>
      <c r="AV145" s="1">
        <f t="shared" si="34"/>
        <v>204.48</v>
      </c>
      <c r="AW145" s="1">
        <f t="shared" si="34"/>
        <v>204.47999999999996</v>
      </c>
      <c r="AX145" s="1">
        <f t="shared" si="35"/>
        <v>511.2</v>
      </c>
      <c r="AY145" s="1">
        <f t="shared" si="35"/>
        <v>255.6</v>
      </c>
      <c r="AZ145" s="1">
        <f t="shared" si="35"/>
        <v>170.4</v>
      </c>
      <c r="BA145" s="1">
        <f t="shared" si="35"/>
        <v>3.3848179845229835</v>
      </c>
      <c r="BB145" s="1">
        <f t="shared" si="35"/>
        <v>420.73037883249873</v>
      </c>
      <c r="BC145" s="1">
        <f t="shared" si="35"/>
        <v>9.331443681960474</v>
      </c>
    </row>
    <row r="146" spans="1:55" x14ac:dyDescent="0.25">
      <c r="A146" s="30" t="s">
        <v>60</v>
      </c>
      <c r="B146" s="31" t="s">
        <v>23</v>
      </c>
      <c r="C146" s="2"/>
      <c r="F146" s="51">
        <f t="shared" si="33"/>
        <v>0</v>
      </c>
      <c r="G146" s="51">
        <f t="shared" si="33"/>
        <v>0</v>
      </c>
      <c r="H146" s="51">
        <f t="shared" si="33"/>
        <v>0</v>
      </c>
      <c r="I146" s="51">
        <f t="shared" si="33"/>
        <v>0</v>
      </c>
      <c r="J146" s="51">
        <f t="shared" si="33"/>
        <v>40.053297801465689</v>
      </c>
      <c r="K146" s="51">
        <f t="shared" si="33"/>
        <v>2.7025826981425296</v>
      </c>
      <c r="L146" s="52">
        <f t="shared" si="33"/>
        <v>0</v>
      </c>
      <c r="M146" s="51">
        <f t="shared" si="33"/>
        <v>0</v>
      </c>
      <c r="N146" s="51">
        <f t="shared" si="33"/>
        <v>999.99999999999989</v>
      </c>
      <c r="O146" s="51">
        <f t="shared" si="33"/>
        <v>0</v>
      </c>
      <c r="P146" s="51">
        <f t="shared" si="33"/>
        <v>0</v>
      </c>
      <c r="Q146" s="51">
        <f t="shared" si="33"/>
        <v>0</v>
      </c>
      <c r="R146" s="51">
        <f t="shared" si="33"/>
        <v>0</v>
      </c>
      <c r="S146" s="51">
        <f t="shared" si="33"/>
        <v>99.999999999999986</v>
      </c>
      <c r="T146" s="51">
        <f t="shared" si="33"/>
        <v>406</v>
      </c>
      <c r="U146" s="51">
        <f t="shared" si="33"/>
        <v>0</v>
      </c>
      <c r="V146" s="51">
        <f t="shared" si="33"/>
        <v>406</v>
      </c>
      <c r="W146" s="51">
        <f t="shared" si="33"/>
        <v>0</v>
      </c>
      <c r="X146" s="55">
        <f t="shared" si="33"/>
        <v>100</v>
      </c>
      <c r="Y146" s="59">
        <f t="shared" si="33"/>
        <v>4.4907501778170706</v>
      </c>
      <c r="Z146" s="51">
        <f t="shared" si="33"/>
        <v>343.11400300311863</v>
      </c>
      <c r="AA146" s="51">
        <f t="shared" si="33"/>
        <v>6.9600023586771709</v>
      </c>
      <c r="AC146" s="30" t="s">
        <v>60</v>
      </c>
      <c r="AD146" s="31" t="s">
        <v>23</v>
      </c>
      <c r="AE146" s="2"/>
      <c r="AH146" s="1" t="str">
        <f t="shared" si="34"/>
        <v/>
      </c>
      <c r="AI146" s="1" t="str">
        <f t="shared" si="34"/>
        <v/>
      </c>
      <c r="AJ146" s="1" t="str">
        <f t="shared" si="34"/>
        <v/>
      </c>
      <c r="AK146" s="1" t="str">
        <f t="shared" si="34"/>
        <v/>
      </c>
      <c r="AL146" s="1">
        <f t="shared" si="34"/>
        <v>10.217188540972685</v>
      </c>
      <c r="AM146" s="1">
        <f t="shared" si="34"/>
        <v>2.173161098640267</v>
      </c>
      <c r="AN146" s="52" t="str">
        <f t="shared" si="34"/>
        <v/>
      </c>
      <c r="AO146" s="1" t="str">
        <f t="shared" si="34"/>
        <v/>
      </c>
      <c r="AP146" s="1">
        <f t="shared" si="34"/>
        <v>363.63636363636363</v>
      </c>
      <c r="AQ146" s="1" t="str">
        <f t="shared" si="34"/>
        <v/>
      </c>
      <c r="AR146" s="1" t="str">
        <f t="shared" si="34"/>
        <v/>
      </c>
      <c r="AS146" s="1" t="str">
        <f t="shared" si="34"/>
        <v/>
      </c>
      <c r="AT146" s="1" t="str">
        <f t="shared" si="34"/>
        <v/>
      </c>
      <c r="AU146" s="1">
        <f t="shared" si="34"/>
        <v>24.489795918367346</v>
      </c>
      <c r="AV146" s="1">
        <f t="shared" si="34"/>
        <v>162.4</v>
      </c>
      <c r="AW146" s="1" t="str">
        <f t="shared" si="34"/>
        <v/>
      </c>
      <c r="AX146" s="1">
        <f t="shared" si="35"/>
        <v>365.4</v>
      </c>
      <c r="AY146" s="1" t="str">
        <f t="shared" si="35"/>
        <v/>
      </c>
      <c r="AZ146" s="1">
        <f t="shared" si="35"/>
        <v>90</v>
      </c>
      <c r="BA146" s="1">
        <f t="shared" si="35"/>
        <v>2.5582693419014149</v>
      </c>
      <c r="BB146" s="1">
        <f t="shared" si="35"/>
        <v>140.68455704000309</v>
      </c>
      <c r="BC146" s="1">
        <f t="shared" si="35"/>
        <v>3.5654908905899427</v>
      </c>
    </row>
    <row r="147" spans="1:55" x14ac:dyDescent="0.25">
      <c r="A147" s="30" t="s">
        <v>60</v>
      </c>
      <c r="B147" s="31" t="s">
        <v>65</v>
      </c>
      <c r="C147" s="46"/>
      <c r="F147" s="51">
        <f t="shared" si="33"/>
        <v>0</v>
      </c>
      <c r="G147" s="51">
        <f t="shared" si="33"/>
        <v>0</v>
      </c>
      <c r="H147" s="51">
        <f t="shared" si="33"/>
        <v>0</v>
      </c>
      <c r="I147" s="51">
        <f t="shared" si="33"/>
        <v>0</v>
      </c>
      <c r="J147" s="51">
        <f t="shared" si="33"/>
        <v>56</v>
      </c>
      <c r="K147" s="51">
        <f t="shared" si="33"/>
        <v>0</v>
      </c>
      <c r="L147" s="52">
        <f t="shared" si="33"/>
        <v>750</v>
      </c>
      <c r="M147" s="51">
        <f t="shared" si="33"/>
        <v>300</v>
      </c>
      <c r="N147" s="51">
        <f t="shared" si="33"/>
        <v>0</v>
      </c>
      <c r="O147" s="51">
        <f t="shared" si="33"/>
        <v>0</v>
      </c>
      <c r="P147" s="51">
        <f t="shared" si="33"/>
        <v>0</v>
      </c>
      <c r="Q147" s="51">
        <f t="shared" si="33"/>
        <v>939.99999999999989</v>
      </c>
      <c r="R147" s="51">
        <f t="shared" si="33"/>
        <v>426</v>
      </c>
      <c r="S147" s="51">
        <f t="shared" si="33"/>
        <v>0</v>
      </c>
      <c r="T147" s="51">
        <f t="shared" si="33"/>
        <v>426</v>
      </c>
      <c r="U147" s="51">
        <f t="shared" si="33"/>
        <v>425.99999999999994</v>
      </c>
      <c r="V147" s="51">
        <f t="shared" si="33"/>
        <v>426</v>
      </c>
      <c r="W147" s="51">
        <f t="shared" si="33"/>
        <v>426</v>
      </c>
      <c r="X147" s="55">
        <f t="shared" si="33"/>
        <v>426</v>
      </c>
      <c r="Y147" s="59">
        <f t="shared" si="33"/>
        <v>56</v>
      </c>
      <c r="Z147" s="51">
        <f t="shared" si="33"/>
        <v>485.28089287383131</v>
      </c>
      <c r="AA147" s="51">
        <f>IF(AA192&gt;0,AB12/AA192,0)</f>
        <v>560.10903800271092</v>
      </c>
      <c r="AC147" s="30" t="s">
        <v>60</v>
      </c>
      <c r="AD147" s="31" t="s">
        <v>65</v>
      </c>
      <c r="AE147" s="46"/>
      <c r="AH147" s="1" t="str">
        <f t="shared" si="34"/>
        <v/>
      </c>
      <c r="AI147" s="1" t="str">
        <f t="shared" si="34"/>
        <v/>
      </c>
      <c r="AJ147" s="1" t="str">
        <f t="shared" si="34"/>
        <v/>
      </c>
      <c r="AK147" s="1" t="str">
        <f t="shared" si="34"/>
        <v/>
      </c>
      <c r="AL147" s="1">
        <f t="shared" si="34"/>
        <v>6.72</v>
      </c>
      <c r="AM147" s="1" t="str">
        <f t="shared" si="34"/>
        <v/>
      </c>
      <c r="AN147" s="52">
        <f t="shared" si="34"/>
        <v>60</v>
      </c>
      <c r="AO147" s="1">
        <f t="shared" si="34"/>
        <v>28.500000000000004</v>
      </c>
      <c r="AP147" s="1" t="str">
        <f t="shared" si="34"/>
        <v/>
      </c>
      <c r="AQ147" s="1" t="str">
        <f t="shared" si="34"/>
        <v/>
      </c>
      <c r="AR147" s="1" t="str">
        <f t="shared" si="34"/>
        <v/>
      </c>
      <c r="AS147" s="1">
        <f t="shared" si="34"/>
        <v>105.75</v>
      </c>
      <c r="AT147" s="1">
        <f t="shared" si="34"/>
        <v>76.680000000000007</v>
      </c>
      <c r="AU147" s="1" t="str">
        <f t="shared" si="34"/>
        <v/>
      </c>
      <c r="AV147" s="1">
        <f t="shared" si="34"/>
        <v>63.899999999999991</v>
      </c>
      <c r="AW147" s="1">
        <f t="shared" si="34"/>
        <v>93.72</v>
      </c>
      <c r="AX147" s="1">
        <f t="shared" si="35"/>
        <v>51.11999999999999</v>
      </c>
      <c r="AY147" s="1">
        <f t="shared" si="35"/>
        <v>51.11999999999999</v>
      </c>
      <c r="AZ147" s="1">
        <f t="shared" si="35"/>
        <v>51.12</v>
      </c>
      <c r="BA147" s="1">
        <f t="shared" si="35"/>
        <v>6.72</v>
      </c>
      <c r="BB147" s="1">
        <f t="shared" si="35"/>
        <v>64.252493288535575</v>
      </c>
      <c r="BC147" s="1">
        <f t="shared" si="35"/>
        <v>56.471898893277448</v>
      </c>
    </row>
    <row r="148" spans="1:55" ht="15.75" thickBot="1" x14ac:dyDescent="0.3">
      <c r="A148" s="48" t="s">
        <v>60</v>
      </c>
      <c r="B148" s="49" t="s">
        <v>9</v>
      </c>
      <c r="C148" s="50"/>
      <c r="D148" s="50"/>
      <c r="E148" s="50"/>
      <c r="F148" s="53">
        <f t="shared" si="33"/>
        <v>0</v>
      </c>
      <c r="G148" s="53">
        <f t="shared" si="33"/>
        <v>0</v>
      </c>
      <c r="H148" s="53">
        <f t="shared" si="33"/>
        <v>0</v>
      </c>
      <c r="I148" s="53">
        <f t="shared" si="33"/>
        <v>0</v>
      </c>
      <c r="J148" s="53">
        <f t="shared" si="33"/>
        <v>0</v>
      </c>
      <c r="K148" s="53">
        <f t="shared" si="33"/>
        <v>0</v>
      </c>
      <c r="L148" s="62">
        <f t="shared" si="33"/>
        <v>0</v>
      </c>
      <c r="M148" s="53">
        <f t="shared" si="33"/>
        <v>0</v>
      </c>
      <c r="N148" s="53">
        <f t="shared" si="33"/>
        <v>0</v>
      </c>
      <c r="O148" s="53">
        <f t="shared" si="33"/>
        <v>0</v>
      </c>
      <c r="P148" s="53">
        <f t="shared" si="33"/>
        <v>0</v>
      </c>
      <c r="Q148" s="53">
        <f t="shared" si="33"/>
        <v>0</v>
      </c>
      <c r="R148" s="53">
        <f t="shared" si="33"/>
        <v>0</v>
      </c>
      <c r="S148" s="53">
        <f t="shared" si="33"/>
        <v>0</v>
      </c>
      <c r="T148" s="53">
        <f t="shared" si="33"/>
        <v>0</v>
      </c>
      <c r="U148" s="53">
        <f t="shared" si="33"/>
        <v>0</v>
      </c>
      <c r="V148" s="53">
        <f t="shared" si="33"/>
        <v>0</v>
      </c>
      <c r="W148" s="53">
        <f t="shared" si="33"/>
        <v>0</v>
      </c>
      <c r="X148" s="56">
        <f t="shared" si="33"/>
        <v>426</v>
      </c>
      <c r="Y148" s="60">
        <f t="shared" si="33"/>
        <v>0</v>
      </c>
      <c r="Z148" s="53">
        <f t="shared" si="33"/>
        <v>643.56672000000003</v>
      </c>
      <c r="AA148" s="53">
        <f t="shared" si="33"/>
        <v>629.79840000000002</v>
      </c>
      <c r="AC148" s="48" t="s">
        <v>60</v>
      </c>
      <c r="AD148" s="49" t="s">
        <v>9</v>
      </c>
      <c r="AE148" s="50"/>
      <c r="AF148" s="50"/>
      <c r="AG148" s="50"/>
      <c r="AH148" s="1" t="str">
        <f t="shared" si="34"/>
        <v/>
      </c>
      <c r="AI148" s="1" t="str">
        <f t="shared" si="34"/>
        <v/>
      </c>
      <c r="AJ148" s="1" t="str">
        <f t="shared" si="34"/>
        <v/>
      </c>
      <c r="AK148" s="1" t="str">
        <f t="shared" si="34"/>
        <v/>
      </c>
      <c r="AL148" s="1" t="str">
        <f t="shared" si="34"/>
        <v/>
      </c>
      <c r="AM148" s="1" t="str">
        <f t="shared" si="34"/>
        <v/>
      </c>
      <c r="AN148" s="52" t="str">
        <f t="shared" si="34"/>
        <v/>
      </c>
      <c r="AO148" s="1" t="str">
        <f t="shared" si="34"/>
        <v/>
      </c>
      <c r="AP148" s="1" t="str">
        <f t="shared" si="34"/>
        <v/>
      </c>
      <c r="AQ148" s="1" t="str">
        <f t="shared" si="34"/>
        <v/>
      </c>
      <c r="AR148" s="1" t="str">
        <f t="shared" si="34"/>
        <v/>
      </c>
      <c r="AS148" s="1" t="str">
        <f t="shared" si="34"/>
        <v/>
      </c>
      <c r="AT148" s="1" t="str">
        <f t="shared" si="34"/>
        <v/>
      </c>
      <c r="AU148" s="1" t="str">
        <f t="shared" si="34"/>
        <v/>
      </c>
      <c r="AV148" s="1" t="str">
        <f t="shared" si="34"/>
        <v/>
      </c>
      <c r="AW148" s="1" t="str">
        <f t="shared" si="34"/>
        <v/>
      </c>
      <c r="AX148" s="1" t="str">
        <f t="shared" si="35"/>
        <v/>
      </c>
      <c r="AY148" s="1" t="str">
        <f t="shared" si="35"/>
        <v/>
      </c>
      <c r="AZ148" s="1">
        <f t="shared" si="35"/>
        <v>178.92000000000002</v>
      </c>
      <c r="BA148" s="1" t="str">
        <f t="shared" si="35"/>
        <v/>
      </c>
      <c r="BB148" s="1">
        <f t="shared" si="35"/>
        <v>396.48671999999999</v>
      </c>
      <c r="BC148" s="1">
        <f t="shared" si="35"/>
        <v>314.89920000000001</v>
      </c>
    </row>
    <row r="149" spans="1:55" ht="15.75" thickTop="1" x14ac:dyDescent="0.25">
      <c r="A149" s="15" t="s">
        <v>51</v>
      </c>
      <c r="B149" s="16" t="s">
        <v>52</v>
      </c>
      <c r="C149" s="16" t="s">
        <v>53</v>
      </c>
      <c r="D149" s="2"/>
      <c r="E149" s="2"/>
      <c r="F149" s="47">
        <f t="shared" si="33"/>
        <v>0</v>
      </c>
      <c r="G149" s="47">
        <f t="shared" si="33"/>
        <v>0</v>
      </c>
      <c r="H149" s="47">
        <f t="shared" si="33"/>
        <v>0</v>
      </c>
      <c r="I149" s="47">
        <f t="shared" si="33"/>
        <v>0</v>
      </c>
      <c r="J149" s="47">
        <f t="shared" si="33"/>
        <v>0</v>
      </c>
      <c r="K149" s="47">
        <f t="shared" si="33"/>
        <v>0</v>
      </c>
      <c r="L149" s="63">
        <f t="shared" si="33"/>
        <v>0</v>
      </c>
      <c r="M149" s="47">
        <f t="shared" si="33"/>
        <v>0</v>
      </c>
      <c r="N149" s="47">
        <f t="shared" si="33"/>
        <v>0</v>
      </c>
      <c r="O149" s="47">
        <f t="shared" si="33"/>
        <v>0</v>
      </c>
      <c r="P149" s="47">
        <f t="shared" si="33"/>
        <v>0</v>
      </c>
      <c r="Q149" s="47">
        <f t="shared" si="33"/>
        <v>0</v>
      </c>
      <c r="R149" s="47">
        <f t="shared" si="33"/>
        <v>0</v>
      </c>
      <c r="S149" s="47">
        <f t="shared" si="33"/>
        <v>0</v>
      </c>
      <c r="T149" s="47">
        <f t="shared" si="33"/>
        <v>0</v>
      </c>
      <c r="U149" s="47">
        <f t="shared" si="33"/>
        <v>0</v>
      </c>
      <c r="V149" s="47">
        <f t="shared" si="33"/>
        <v>0</v>
      </c>
      <c r="W149" s="47">
        <f t="shared" si="33"/>
        <v>0</v>
      </c>
      <c r="X149" s="57">
        <f t="shared" si="33"/>
        <v>0</v>
      </c>
      <c r="Y149" s="61">
        <f t="shared" si="33"/>
        <v>0</v>
      </c>
      <c r="Z149" s="47">
        <f t="shared" si="33"/>
        <v>0</v>
      </c>
      <c r="AA149" s="47">
        <f t="shared" si="33"/>
        <v>0</v>
      </c>
      <c r="AC149" s="15" t="s">
        <v>51</v>
      </c>
      <c r="AD149" s="16" t="s">
        <v>52</v>
      </c>
      <c r="AE149" s="16" t="s">
        <v>53</v>
      </c>
      <c r="AF149" s="2"/>
      <c r="AG149" s="2"/>
      <c r="AH149" s="90" t="str">
        <f t="shared" si="34"/>
        <v/>
      </c>
      <c r="AI149" s="90" t="str">
        <f t="shared" si="34"/>
        <v/>
      </c>
      <c r="AJ149" s="90" t="str">
        <f t="shared" si="34"/>
        <v/>
      </c>
      <c r="AK149" s="90" t="str">
        <f t="shared" si="34"/>
        <v/>
      </c>
      <c r="AL149" s="90" t="str">
        <f t="shared" si="34"/>
        <v/>
      </c>
      <c r="AM149" s="90" t="str">
        <f t="shared" si="34"/>
        <v/>
      </c>
      <c r="AN149" s="90" t="str">
        <f t="shared" si="34"/>
        <v/>
      </c>
      <c r="AO149" s="90" t="str">
        <f t="shared" si="34"/>
        <v/>
      </c>
      <c r="AP149" s="90" t="str">
        <f t="shared" si="34"/>
        <v/>
      </c>
      <c r="AQ149" s="90" t="str">
        <f t="shared" si="34"/>
        <v/>
      </c>
      <c r="AR149" s="90" t="str">
        <f t="shared" si="34"/>
        <v/>
      </c>
      <c r="AS149" s="90" t="str">
        <f t="shared" si="34"/>
        <v/>
      </c>
      <c r="AT149" s="90" t="str">
        <f t="shared" si="34"/>
        <v/>
      </c>
      <c r="AU149" s="90" t="str">
        <f t="shared" si="34"/>
        <v/>
      </c>
      <c r="AV149" s="90" t="str">
        <f t="shared" si="34"/>
        <v/>
      </c>
      <c r="AW149" s="90" t="str">
        <f t="shared" si="34"/>
        <v/>
      </c>
      <c r="AX149" s="90" t="str">
        <f t="shared" si="35"/>
        <v/>
      </c>
      <c r="AY149" s="90" t="str">
        <f t="shared" si="35"/>
        <v/>
      </c>
      <c r="AZ149" s="90" t="str">
        <f t="shared" si="35"/>
        <v/>
      </c>
      <c r="BA149" s="90" t="str">
        <f t="shared" si="35"/>
        <v/>
      </c>
      <c r="BB149" s="90" t="str">
        <f t="shared" si="35"/>
        <v/>
      </c>
      <c r="BC149" s="90" t="str">
        <f t="shared" si="35"/>
        <v/>
      </c>
    </row>
    <row r="150" spans="1:55" x14ac:dyDescent="0.25">
      <c r="A150" s="15" t="s">
        <v>51</v>
      </c>
      <c r="B150" s="16" t="s">
        <v>52</v>
      </c>
      <c r="C150" s="16" t="s">
        <v>54</v>
      </c>
      <c r="D150" s="2"/>
      <c r="E150" s="2"/>
      <c r="F150" s="1">
        <f t="shared" si="33"/>
        <v>0</v>
      </c>
      <c r="G150" s="1">
        <f t="shared" si="33"/>
        <v>0</v>
      </c>
      <c r="H150" s="1">
        <f t="shared" si="33"/>
        <v>0</v>
      </c>
      <c r="I150" s="1">
        <f t="shared" si="33"/>
        <v>0</v>
      </c>
      <c r="J150" s="1">
        <f t="shared" si="33"/>
        <v>0</v>
      </c>
      <c r="K150" s="1">
        <f t="shared" si="33"/>
        <v>0</v>
      </c>
      <c r="L150" s="52">
        <f t="shared" si="33"/>
        <v>0</v>
      </c>
      <c r="M150" s="1">
        <f t="shared" si="33"/>
        <v>0</v>
      </c>
      <c r="N150" s="1">
        <f t="shared" si="33"/>
        <v>0</v>
      </c>
      <c r="O150" s="1">
        <f t="shared" si="33"/>
        <v>0</v>
      </c>
      <c r="P150" s="1">
        <f t="shared" si="33"/>
        <v>0</v>
      </c>
      <c r="Q150" s="1">
        <f t="shared" si="33"/>
        <v>0</v>
      </c>
      <c r="R150" s="1">
        <f t="shared" si="33"/>
        <v>0</v>
      </c>
      <c r="S150" s="1">
        <f t="shared" si="33"/>
        <v>0</v>
      </c>
      <c r="T150" s="1">
        <f t="shared" si="33"/>
        <v>0</v>
      </c>
      <c r="U150" s="1">
        <f t="shared" si="33"/>
        <v>0</v>
      </c>
      <c r="V150" s="1">
        <f t="shared" si="33"/>
        <v>0</v>
      </c>
      <c r="W150" s="1">
        <f t="shared" si="33"/>
        <v>0</v>
      </c>
      <c r="X150" s="54">
        <f t="shared" si="33"/>
        <v>0</v>
      </c>
      <c r="Y150" s="58">
        <f t="shared" si="33"/>
        <v>0</v>
      </c>
      <c r="Z150" s="1">
        <f t="shared" si="33"/>
        <v>0</v>
      </c>
      <c r="AA150" s="1">
        <f t="shared" si="33"/>
        <v>0</v>
      </c>
      <c r="AC150" s="15" t="s">
        <v>51</v>
      </c>
      <c r="AD150" s="16" t="s">
        <v>52</v>
      </c>
      <c r="AE150" s="16" t="s">
        <v>54</v>
      </c>
      <c r="AF150" s="2"/>
      <c r="AG150" s="2"/>
      <c r="AH150" s="90" t="str">
        <f t="shared" si="34"/>
        <v/>
      </c>
      <c r="AI150" s="90" t="str">
        <f t="shared" si="34"/>
        <v/>
      </c>
      <c r="AJ150" s="90" t="str">
        <f t="shared" si="34"/>
        <v/>
      </c>
      <c r="AK150" s="90" t="str">
        <f t="shared" si="34"/>
        <v/>
      </c>
      <c r="AL150" s="90" t="str">
        <f t="shared" si="34"/>
        <v/>
      </c>
      <c r="AM150" s="90" t="str">
        <f t="shared" si="34"/>
        <v/>
      </c>
      <c r="AN150" s="90" t="str">
        <f t="shared" si="34"/>
        <v/>
      </c>
      <c r="AO150" s="90" t="str">
        <f t="shared" si="34"/>
        <v/>
      </c>
      <c r="AP150" s="90" t="str">
        <f t="shared" si="34"/>
        <v/>
      </c>
      <c r="AQ150" s="90" t="str">
        <f t="shared" si="34"/>
        <v/>
      </c>
      <c r="AR150" s="90" t="str">
        <f t="shared" si="34"/>
        <v/>
      </c>
      <c r="AS150" s="90" t="str">
        <f t="shared" si="34"/>
        <v/>
      </c>
      <c r="AT150" s="90" t="str">
        <f t="shared" si="34"/>
        <v/>
      </c>
      <c r="AU150" s="90" t="str">
        <f t="shared" si="34"/>
        <v/>
      </c>
      <c r="AV150" s="90" t="str">
        <f t="shared" si="34"/>
        <v/>
      </c>
      <c r="AW150" s="90" t="str">
        <f t="shared" si="34"/>
        <v/>
      </c>
      <c r="AX150" s="90" t="str">
        <f t="shared" si="35"/>
        <v/>
      </c>
      <c r="AY150" s="90" t="str">
        <f t="shared" si="35"/>
        <v/>
      </c>
      <c r="AZ150" s="90" t="str">
        <f t="shared" si="35"/>
        <v/>
      </c>
      <c r="BA150" s="90" t="str">
        <f t="shared" si="35"/>
        <v/>
      </c>
      <c r="BB150" s="90" t="str">
        <f t="shared" si="35"/>
        <v/>
      </c>
      <c r="BC150" s="90" t="str">
        <f t="shared" si="35"/>
        <v/>
      </c>
    </row>
    <row r="151" spans="1:55" x14ac:dyDescent="0.25">
      <c r="A151" s="15" t="s">
        <v>51</v>
      </c>
      <c r="B151" s="16" t="s">
        <v>52</v>
      </c>
      <c r="C151" s="16" t="s">
        <v>55</v>
      </c>
      <c r="D151" s="2"/>
      <c r="E151" s="2"/>
      <c r="F151" s="1">
        <f t="shared" si="33"/>
        <v>0</v>
      </c>
      <c r="G151" s="1">
        <f t="shared" si="33"/>
        <v>0</v>
      </c>
      <c r="H151" s="1">
        <f t="shared" si="33"/>
        <v>0</v>
      </c>
      <c r="I151" s="1">
        <f t="shared" si="33"/>
        <v>0</v>
      </c>
      <c r="J151" s="1">
        <f t="shared" si="33"/>
        <v>0</v>
      </c>
      <c r="K151" s="1">
        <f t="shared" si="33"/>
        <v>0</v>
      </c>
      <c r="L151" s="52">
        <f t="shared" si="33"/>
        <v>0</v>
      </c>
      <c r="M151" s="1">
        <f t="shared" si="33"/>
        <v>0</v>
      </c>
      <c r="N151" s="1">
        <f t="shared" si="33"/>
        <v>0</v>
      </c>
      <c r="O151" s="1">
        <f t="shared" si="33"/>
        <v>0</v>
      </c>
      <c r="P151" s="1">
        <f t="shared" si="33"/>
        <v>0</v>
      </c>
      <c r="Q151" s="1">
        <f t="shared" si="33"/>
        <v>0</v>
      </c>
      <c r="R151" s="1">
        <f t="shared" si="33"/>
        <v>0</v>
      </c>
      <c r="S151" s="1">
        <f t="shared" si="33"/>
        <v>0</v>
      </c>
      <c r="T151" s="1">
        <f t="shared" ref="G151:AA165" si="36">IF(T196&gt;0,T16/T196,0)</f>
        <v>0</v>
      </c>
      <c r="U151" s="1">
        <f t="shared" si="36"/>
        <v>0</v>
      </c>
      <c r="V151" s="1">
        <f t="shared" si="36"/>
        <v>0</v>
      </c>
      <c r="W151" s="1">
        <f t="shared" si="36"/>
        <v>0</v>
      </c>
      <c r="X151" s="54">
        <f t="shared" si="36"/>
        <v>0</v>
      </c>
      <c r="Y151" s="58">
        <f t="shared" si="36"/>
        <v>0</v>
      </c>
      <c r="Z151" s="1">
        <f t="shared" si="36"/>
        <v>0</v>
      </c>
      <c r="AA151" s="1">
        <f t="shared" si="36"/>
        <v>0</v>
      </c>
      <c r="AC151" s="15" t="s">
        <v>51</v>
      </c>
      <c r="AD151" s="16" t="s">
        <v>52</v>
      </c>
      <c r="AE151" s="16" t="s">
        <v>55</v>
      </c>
      <c r="AF151" s="2"/>
      <c r="AG151" s="2"/>
      <c r="AH151" s="90" t="str">
        <f t="shared" si="34"/>
        <v/>
      </c>
      <c r="AI151" s="90" t="str">
        <f t="shared" si="34"/>
        <v/>
      </c>
      <c r="AJ151" s="90" t="str">
        <f t="shared" si="34"/>
        <v/>
      </c>
      <c r="AK151" s="90" t="str">
        <f t="shared" si="34"/>
        <v/>
      </c>
      <c r="AL151" s="90" t="str">
        <f t="shared" si="34"/>
        <v/>
      </c>
      <c r="AM151" s="90" t="str">
        <f t="shared" si="34"/>
        <v/>
      </c>
      <c r="AN151" s="90" t="str">
        <f t="shared" si="34"/>
        <v/>
      </c>
      <c r="AO151" s="90" t="str">
        <f t="shared" si="34"/>
        <v/>
      </c>
      <c r="AP151" s="90" t="str">
        <f t="shared" si="34"/>
        <v/>
      </c>
      <c r="AQ151" s="90" t="str">
        <f t="shared" si="34"/>
        <v/>
      </c>
      <c r="AR151" s="90" t="str">
        <f t="shared" si="34"/>
        <v/>
      </c>
      <c r="AS151" s="90" t="str">
        <f t="shared" si="34"/>
        <v/>
      </c>
      <c r="AT151" s="90" t="str">
        <f t="shared" si="34"/>
        <v/>
      </c>
      <c r="AU151" s="90" t="str">
        <f t="shared" si="34"/>
        <v/>
      </c>
      <c r="AV151" s="90" t="str">
        <f t="shared" si="34"/>
        <v/>
      </c>
      <c r="AW151" s="90" t="str">
        <f t="shared" si="34"/>
        <v/>
      </c>
      <c r="AX151" s="90" t="str">
        <f t="shared" si="35"/>
        <v/>
      </c>
      <c r="AY151" s="90" t="str">
        <f t="shared" si="35"/>
        <v/>
      </c>
      <c r="AZ151" s="90" t="str">
        <f t="shared" si="35"/>
        <v/>
      </c>
      <c r="BA151" s="90" t="str">
        <f t="shared" si="35"/>
        <v/>
      </c>
      <c r="BB151" s="90" t="str">
        <f t="shared" si="35"/>
        <v/>
      </c>
      <c r="BC151" s="90" t="str">
        <f t="shared" si="35"/>
        <v/>
      </c>
    </row>
    <row r="152" spans="1:55" x14ac:dyDescent="0.25">
      <c r="A152" s="25" t="s">
        <v>51</v>
      </c>
      <c r="B152" s="26" t="s">
        <v>56</v>
      </c>
      <c r="C152" s="26" t="s">
        <v>57</v>
      </c>
      <c r="D152" s="2"/>
      <c r="E152" s="2"/>
      <c r="F152" s="1">
        <f t="shared" ref="F152:F170" si="37">IF(F197&gt;0,F17/F197,0)</f>
        <v>0</v>
      </c>
      <c r="G152" s="1">
        <f t="shared" si="36"/>
        <v>0</v>
      </c>
      <c r="H152" s="1">
        <f t="shared" si="36"/>
        <v>0</v>
      </c>
      <c r="I152" s="1">
        <f t="shared" si="36"/>
        <v>0</v>
      </c>
      <c r="J152" s="1">
        <f t="shared" si="36"/>
        <v>0</v>
      </c>
      <c r="K152" s="1">
        <f t="shared" si="36"/>
        <v>0</v>
      </c>
      <c r="L152" s="52">
        <f t="shared" si="36"/>
        <v>0</v>
      </c>
      <c r="M152" s="1">
        <f t="shared" si="36"/>
        <v>0</v>
      </c>
      <c r="N152" s="1">
        <f t="shared" si="36"/>
        <v>0</v>
      </c>
      <c r="O152" s="1">
        <f t="shared" si="36"/>
        <v>0</v>
      </c>
      <c r="P152" s="1">
        <f t="shared" si="36"/>
        <v>0</v>
      </c>
      <c r="Q152" s="1">
        <f t="shared" si="36"/>
        <v>0</v>
      </c>
      <c r="R152" s="1">
        <f t="shared" si="36"/>
        <v>0</v>
      </c>
      <c r="S152" s="1">
        <f t="shared" si="36"/>
        <v>0</v>
      </c>
      <c r="T152" s="1">
        <f t="shared" si="36"/>
        <v>0</v>
      </c>
      <c r="U152" s="1">
        <f t="shared" si="36"/>
        <v>0</v>
      </c>
      <c r="V152" s="1">
        <f t="shared" si="36"/>
        <v>0</v>
      </c>
      <c r="W152" s="1">
        <f t="shared" si="36"/>
        <v>0</v>
      </c>
      <c r="X152" s="54">
        <f t="shared" si="36"/>
        <v>0</v>
      </c>
      <c r="Y152" s="58">
        <f t="shared" si="36"/>
        <v>0</v>
      </c>
      <c r="Z152" s="1">
        <f t="shared" si="36"/>
        <v>0</v>
      </c>
      <c r="AA152" s="1">
        <f t="shared" si="36"/>
        <v>0</v>
      </c>
      <c r="AC152" s="25" t="s">
        <v>51</v>
      </c>
      <c r="AD152" s="26" t="s">
        <v>56</v>
      </c>
      <c r="AE152" s="26" t="s">
        <v>57</v>
      </c>
      <c r="AF152" s="2"/>
      <c r="AG152" s="2"/>
      <c r="AH152" s="90" t="str">
        <f t="shared" si="34"/>
        <v/>
      </c>
      <c r="AI152" s="90" t="str">
        <f t="shared" si="34"/>
        <v/>
      </c>
      <c r="AJ152" s="90" t="str">
        <f t="shared" si="34"/>
        <v/>
      </c>
      <c r="AK152" s="90" t="str">
        <f t="shared" si="34"/>
        <v/>
      </c>
      <c r="AL152" s="90" t="str">
        <f t="shared" si="34"/>
        <v/>
      </c>
      <c r="AM152" s="90" t="str">
        <f t="shared" si="34"/>
        <v/>
      </c>
      <c r="AN152" s="90" t="str">
        <f t="shared" si="34"/>
        <v/>
      </c>
      <c r="AO152" s="90" t="str">
        <f t="shared" si="34"/>
        <v/>
      </c>
      <c r="AP152" s="90" t="str">
        <f t="shared" si="34"/>
        <v/>
      </c>
      <c r="AQ152" s="90" t="str">
        <f t="shared" si="34"/>
        <v/>
      </c>
      <c r="AR152" s="90" t="str">
        <f t="shared" si="34"/>
        <v/>
      </c>
      <c r="AS152" s="90" t="str">
        <f t="shared" si="34"/>
        <v/>
      </c>
      <c r="AT152" s="90" t="str">
        <f t="shared" si="34"/>
        <v/>
      </c>
      <c r="AU152" s="90" t="str">
        <f t="shared" si="34"/>
        <v/>
      </c>
      <c r="AV152" s="90" t="str">
        <f t="shared" si="34"/>
        <v/>
      </c>
      <c r="AW152" s="90" t="str">
        <f t="shared" si="34"/>
        <v/>
      </c>
      <c r="AX152" s="90" t="str">
        <f t="shared" si="35"/>
        <v/>
      </c>
      <c r="AY152" s="90" t="str">
        <f t="shared" si="35"/>
        <v/>
      </c>
      <c r="AZ152" s="90" t="str">
        <f t="shared" si="35"/>
        <v/>
      </c>
      <c r="BA152" s="90" t="str">
        <f t="shared" si="35"/>
        <v/>
      </c>
      <c r="BB152" s="90" t="str">
        <f t="shared" si="35"/>
        <v/>
      </c>
      <c r="BC152" s="90" t="str">
        <f t="shared" si="35"/>
        <v/>
      </c>
    </row>
    <row r="153" spans="1:55" x14ac:dyDescent="0.25">
      <c r="A153" s="15" t="s">
        <v>51</v>
      </c>
      <c r="B153" s="16" t="s">
        <v>56</v>
      </c>
      <c r="C153" s="27" t="s">
        <v>58</v>
      </c>
      <c r="D153" s="2"/>
      <c r="E153" s="2"/>
      <c r="F153" s="1">
        <f t="shared" si="37"/>
        <v>0</v>
      </c>
      <c r="G153" s="1">
        <f t="shared" si="36"/>
        <v>0</v>
      </c>
      <c r="H153" s="1">
        <f t="shared" si="36"/>
        <v>0</v>
      </c>
      <c r="I153" s="1">
        <f t="shared" si="36"/>
        <v>0</v>
      </c>
      <c r="J153" s="1">
        <f t="shared" si="36"/>
        <v>0</v>
      </c>
      <c r="K153" s="1">
        <f t="shared" si="36"/>
        <v>0</v>
      </c>
      <c r="L153" s="52">
        <f t="shared" si="36"/>
        <v>0</v>
      </c>
      <c r="M153" s="1">
        <f t="shared" si="36"/>
        <v>0</v>
      </c>
      <c r="N153" s="1">
        <f t="shared" si="36"/>
        <v>0</v>
      </c>
      <c r="O153" s="1">
        <f t="shared" si="36"/>
        <v>0</v>
      </c>
      <c r="P153" s="1">
        <f t="shared" si="36"/>
        <v>0</v>
      </c>
      <c r="Q153" s="1">
        <f t="shared" si="36"/>
        <v>0</v>
      </c>
      <c r="R153" s="1">
        <f t="shared" si="36"/>
        <v>0</v>
      </c>
      <c r="S153" s="1">
        <f t="shared" si="36"/>
        <v>0</v>
      </c>
      <c r="T153" s="1">
        <f t="shared" si="36"/>
        <v>0</v>
      </c>
      <c r="U153" s="1">
        <f t="shared" si="36"/>
        <v>0</v>
      </c>
      <c r="V153" s="1">
        <f t="shared" si="36"/>
        <v>0</v>
      </c>
      <c r="W153" s="1">
        <f t="shared" si="36"/>
        <v>0</v>
      </c>
      <c r="X153" s="54">
        <f t="shared" si="36"/>
        <v>0</v>
      </c>
      <c r="Y153" s="58">
        <f t="shared" si="36"/>
        <v>0</v>
      </c>
      <c r="Z153" s="1">
        <f t="shared" si="36"/>
        <v>0</v>
      </c>
      <c r="AA153" s="1">
        <f t="shared" si="36"/>
        <v>0</v>
      </c>
      <c r="AC153" s="15" t="s">
        <v>51</v>
      </c>
      <c r="AD153" s="16" t="s">
        <v>56</v>
      </c>
      <c r="AE153" s="27" t="s">
        <v>58</v>
      </c>
      <c r="AF153" s="2"/>
      <c r="AG153" s="2"/>
      <c r="AH153" s="90" t="str">
        <f t="shared" si="34"/>
        <v/>
      </c>
      <c r="AI153" s="90" t="str">
        <f t="shared" si="34"/>
        <v/>
      </c>
      <c r="AJ153" s="90" t="str">
        <f t="shared" si="34"/>
        <v/>
      </c>
      <c r="AK153" s="90" t="str">
        <f t="shared" si="34"/>
        <v/>
      </c>
      <c r="AL153" s="90" t="str">
        <f t="shared" si="34"/>
        <v/>
      </c>
      <c r="AM153" s="90" t="str">
        <f t="shared" si="34"/>
        <v/>
      </c>
      <c r="AN153" s="90" t="str">
        <f t="shared" si="34"/>
        <v/>
      </c>
      <c r="AO153" s="90" t="str">
        <f t="shared" si="34"/>
        <v/>
      </c>
      <c r="AP153" s="90" t="str">
        <f t="shared" si="34"/>
        <v/>
      </c>
      <c r="AQ153" s="90" t="str">
        <f t="shared" si="34"/>
        <v/>
      </c>
      <c r="AR153" s="90" t="str">
        <f t="shared" si="34"/>
        <v/>
      </c>
      <c r="AS153" s="90" t="str">
        <f t="shared" si="34"/>
        <v/>
      </c>
      <c r="AT153" s="90" t="str">
        <f t="shared" si="34"/>
        <v/>
      </c>
      <c r="AU153" s="90" t="str">
        <f t="shared" si="34"/>
        <v/>
      </c>
      <c r="AV153" s="90" t="str">
        <f t="shared" si="34"/>
        <v/>
      </c>
      <c r="AW153" s="90" t="str">
        <f t="shared" si="34"/>
        <v/>
      </c>
      <c r="AX153" s="90" t="str">
        <f t="shared" si="35"/>
        <v/>
      </c>
      <c r="AY153" s="90" t="str">
        <f t="shared" si="35"/>
        <v/>
      </c>
      <c r="AZ153" s="90" t="str">
        <f t="shared" si="35"/>
        <v/>
      </c>
      <c r="BA153" s="90" t="str">
        <f t="shared" si="35"/>
        <v/>
      </c>
      <c r="BB153" s="90" t="str">
        <f t="shared" si="35"/>
        <v/>
      </c>
      <c r="BC153" s="90" t="str">
        <f t="shared" si="35"/>
        <v/>
      </c>
    </row>
    <row r="154" spans="1:55" x14ac:dyDescent="0.25">
      <c r="A154" s="15" t="s">
        <v>51</v>
      </c>
      <c r="B154" s="16" t="s">
        <v>9</v>
      </c>
      <c r="C154" s="27" t="s">
        <v>59</v>
      </c>
      <c r="D154" s="2"/>
      <c r="E154" s="2"/>
      <c r="F154" s="1">
        <f t="shared" si="37"/>
        <v>0</v>
      </c>
      <c r="G154" s="1">
        <f t="shared" si="36"/>
        <v>0</v>
      </c>
      <c r="H154" s="1">
        <f t="shared" si="36"/>
        <v>0</v>
      </c>
      <c r="I154" s="1">
        <f t="shared" si="36"/>
        <v>0</v>
      </c>
      <c r="J154" s="1">
        <f t="shared" si="36"/>
        <v>0</v>
      </c>
      <c r="K154" s="1">
        <f t="shared" si="36"/>
        <v>0</v>
      </c>
      <c r="L154" s="52">
        <f t="shared" si="36"/>
        <v>0</v>
      </c>
      <c r="M154" s="1">
        <f t="shared" si="36"/>
        <v>0</v>
      </c>
      <c r="N154" s="1">
        <f t="shared" si="36"/>
        <v>0</v>
      </c>
      <c r="O154" s="1">
        <f t="shared" si="36"/>
        <v>0</v>
      </c>
      <c r="P154" s="1">
        <f t="shared" si="36"/>
        <v>0</v>
      </c>
      <c r="Q154" s="1">
        <f t="shared" si="36"/>
        <v>0</v>
      </c>
      <c r="R154" s="1">
        <f t="shared" si="36"/>
        <v>0</v>
      </c>
      <c r="S154" s="1">
        <f t="shared" si="36"/>
        <v>0</v>
      </c>
      <c r="T154" s="1">
        <f t="shared" si="36"/>
        <v>0</v>
      </c>
      <c r="U154" s="1">
        <f t="shared" si="36"/>
        <v>0</v>
      </c>
      <c r="V154" s="1">
        <f t="shared" si="36"/>
        <v>0</v>
      </c>
      <c r="W154" s="1">
        <f t="shared" si="36"/>
        <v>0</v>
      </c>
      <c r="X154" s="54">
        <f t="shared" si="36"/>
        <v>0</v>
      </c>
      <c r="Y154" s="58">
        <f t="shared" si="36"/>
        <v>0</v>
      </c>
      <c r="Z154" s="1">
        <f t="shared" si="36"/>
        <v>0</v>
      </c>
      <c r="AA154" s="1">
        <f t="shared" si="36"/>
        <v>0</v>
      </c>
      <c r="AC154" s="15" t="s">
        <v>51</v>
      </c>
      <c r="AD154" s="16" t="s">
        <v>9</v>
      </c>
      <c r="AE154" s="27" t="s">
        <v>59</v>
      </c>
      <c r="AF154" s="2"/>
      <c r="AG154" s="2"/>
      <c r="AH154" s="90" t="str">
        <f t="shared" si="34"/>
        <v/>
      </c>
      <c r="AI154" s="90" t="str">
        <f t="shared" si="34"/>
        <v/>
      </c>
      <c r="AJ154" s="90" t="str">
        <f t="shared" si="34"/>
        <v/>
      </c>
      <c r="AK154" s="90" t="str">
        <f t="shared" si="34"/>
        <v/>
      </c>
      <c r="AL154" s="90" t="str">
        <f t="shared" si="34"/>
        <v/>
      </c>
      <c r="AM154" s="90" t="str">
        <f t="shared" si="34"/>
        <v/>
      </c>
      <c r="AN154" s="90" t="str">
        <f t="shared" si="34"/>
        <v/>
      </c>
      <c r="AO154" s="90" t="str">
        <f t="shared" si="34"/>
        <v/>
      </c>
      <c r="AP154" s="90" t="str">
        <f t="shared" si="34"/>
        <v/>
      </c>
      <c r="AQ154" s="90" t="str">
        <f t="shared" si="34"/>
        <v/>
      </c>
      <c r="AR154" s="90" t="str">
        <f t="shared" si="34"/>
        <v/>
      </c>
      <c r="AS154" s="90" t="str">
        <f t="shared" si="34"/>
        <v/>
      </c>
      <c r="AT154" s="90" t="str">
        <f t="shared" si="34"/>
        <v/>
      </c>
      <c r="AU154" s="90" t="str">
        <f t="shared" si="34"/>
        <v/>
      </c>
      <c r="AV154" s="90" t="str">
        <f t="shared" si="34"/>
        <v/>
      </c>
      <c r="AW154" s="90" t="str">
        <f t="shared" si="34"/>
        <v/>
      </c>
      <c r="AX154" s="90" t="str">
        <f t="shared" si="35"/>
        <v/>
      </c>
      <c r="AY154" s="90" t="str">
        <f t="shared" si="35"/>
        <v/>
      </c>
      <c r="AZ154" s="90" t="str">
        <f t="shared" si="35"/>
        <v/>
      </c>
      <c r="BA154" s="90" t="str">
        <f t="shared" si="35"/>
        <v/>
      </c>
      <c r="BB154" s="90" t="str">
        <f t="shared" si="35"/>
        <v/>
      </c>
      <c r="BC154" s="90" t="str">
        <f t="shared" si="35"/>
        <v/>
      </c>
    </row>
    <row r="155" spans="1:55" x14ac:dyDescent="0.25">
      <c r="A155" s="15" t="s">
        <v>51</v>
      </c>
      <c r="B155" s="16" t="s">
        <v>9</v>
      </c>
      <c r="C155" s="27" t="s">
        <v>9</v>
      </c>
      <c r="D155" s="2"/>
      <c r="E155" s="2"/>
      <c r="F155" s="1">
        <f t="shared" si="37"/>
        <v>0</v>
      </c>
      <c r="G155" s="1">
        <f t="shared" si="36"/>
        <v>0</v>
      </c>
      <c r="H155" s="1">
        <f t="shared" si="36"/>
        <v>0</v>
      </c>
      <c r="I155" s="1">
        <f t="shared" si="36"/>
        <v>0</v>
      </c>
      <c r="J155" s="1">
        <f t="shared" si="36"/>
        <v>0</v>
      </c>
      <c r="K155" s="1">
        <f t="shared" si="36"/>
        <v>0</v>
      </c>
      <c r="L155" s="52">
        <f t="shared" si="36"/>
        <v>0</v>
      </c>
      <c r="M155" s="1">
        <f t="shared" si="36"/>
        <v>0</v>
      </c>
      <c r="N155" s="1">
        <f t="shared" si="36"/>
        <v>0</v>
      </c>
      <c r="O155" s="1">
        <f t="shared" si="36"/>
        <v>0</v>
      </c>
      <c r="P155" s="1">
        <f t="shared" si="36"/>
        <v>0</v>
      </c>
      <c r="Q155" s="1">
        <f t="shared" si="36"/>
        <v>0</v>
      </c>
      <c r="R155" s="1">
        <f t="shared" si="36"/>
        <v>0</v>
      </c>
      <c r="S155" s="1">
        <f t="shared" si="36"/>
        <v>0</v>
      </c>
      <c r="T155" s="1">
        <f t="shared" si="36"/>
        <v>0</v>
      </c>
      <c r="U155" s="1">
        <f t="shared" si="36"/>
        <v>0</v>
      </c>
      <c r="V155" s="1">
        <f t="shared" si="36"/>
        <v>0</v>
      </c>
      <c r="W155" s="1">
        <f t="shared" si="36"/>
        <v>0</v>
      </c>
      <c r="X155" s="54">
        <f t="shared" si="36"/>
        <v>0</v>
      </c>
      <c r="Y155" s="58">
        <f t="shared" si="36"/>
        <v>0</v>
      </c>
      <c r="Z155" s="1">
        <f t="shared" si="36"/>
        <v>0</v>
      </c>
      <c r="AA155" s="1">
        <f t="shared" si="36"/>
        <v>0</v>
      </c>
      <c r="AC155" s="15" t="s">
        <v>51</v>
      </c>
      <c r="AD155" s="16" t="s">
        <v>9</v>
      </c>
      <c r="AE155" s="27" t="s">
        <v>9</v>
      </c>
      <c r="AF155" s="2"/>
      <c r="AG155" s="2"/>
      <c r="AH155" s="90" t="str">
        <f t="shared" si="34"/>
        <v/>
      </c>
      <c r="AI155" s="90" t="str">
        <f t="shared" si="34"/>
        <v/>
      </c>
      <c r="AJ155" s="90" t="str">
        <f t="shared" si="34"/>
        <v/>
      </c>
      <c r="AK155" s="90" t="str">
        <f t="shared" si="34"/>
        <v/>
      </c>
      <c r="AL155" s="90" t="str">
        <f t="shared" si="34"/>
        <v/>
      </c>
      <c r="AM155" s="90" t="str">
        <f t="shared" si="34"/>
        <v/>
      </c>
      <c r="AN155" s="90" t="str">
        <f t="shared" si="34"/>
        <v/>
      </c>
      <c r="AO155" s="90" t="str">
        <f t="shared" si="34"/>
        <v/>
      </c>
      <c r="AP155" s="90" t="str">
        <f t="shared" si="34"/>
        <v/>
      </c>
      <c r="AQ155" s="90" t="str">
        <f t="shared" si="34"/>
        <v/>
      </c>
      <c r="AR155" s="90" t="str">
        <f t="shared" si="34"/>
        <v/>
      </c>
      <c r="AS155" s="90" t="str">
        <f t="shared" si="34"/>
        <v/>
      </c>
      <c r="AT155" s="90" t="str">
        <f t="shared" si="34"/>
        <v/>
      </c>
      <c r="AU155" s="90" t="str">
        <f t="shared" si="34"/>
        <v/>
      </c>
      <c r="AV155" s="90" t="str">
        <f t="shared" si="34"/>
        <v/>
      </c>
      <c r="AW155" s="90" t="str">
        <f t="shared" ref="AW155:BC180" si="38">IF(U200&gt;0,U65/U200,"")</f>
        <v/>
      </c>
      <c r="AX155" s="90" t="str">
        <f t="shared" si="35"/>
        <v/>
      </c>
      <c r="AY155" s="90" t="str">
        <f t="shared" si="35"/>
        <v/>
      </c>
      <c r="AZ155" s="90" t="str">
        <f t="shared" si="35"/>
        <v/>
      </c>
      <c r="BA155" s="90" t="str">
        <f t="shared" si="35"/>
        <v/>
      </c>
      <c r="BB155" s="90" t="str">
        <f t="shared" si="35"/>
        <v/>
      </c>
      <c r="BC155" s="90" t="str">
        <f t="shared" si="35"/>
        <v/>
      </c>
    </row>
    <row r="156" spans="1:55" x14ac:dyDescent="0.25">
      <c r="A156" s="28" t="s">
        <v>60</v>
      </c>
      <c r="B156" s="29" t="s">
        <v>13</v>
      </c>
      <c r="C156" s="29" t="s">
        <v>61</v>
      </c>
      <c r="D156" s="2"/>
      <c r="E156" s="2"/>
      <c r="F156" s="51">
        <f t="shared" si="37"/>
        <v>53.45765345765345</v>
      </c>
      <c r="G156" s="51">
        <f t="shared" si="36"/>
        <v>0</v>
      </c>
      <c r="H156" s="51">
        <f t="shared" si="36"/>
        <v>5.35</v>
      </c>
      <c r="I156" s="91">
        <v>29</v>
      </c>
      <c r="J156" s="51">
        <f>IF(J201&gt;0,J21/J201,0)</f>
        <v>53.475935828876999</v>
      </c>
      <c r="K156" s="91">
        <v>29</v>
      </c>
      <c r="L156" s="52">
        <f t="shared" si="36"/>
        <v>0</v>
      </c>
      <c r="M156" s="64">
        <v>400</v>
      </c>
      <c r="N156" s="8">
        <f>N21/N201</f>
        <v>833.33333333333326</v>
      </c>
      <c r="O156" s="8">
        <f t="shared" ref="O156:P157" si="39">O21/O201</f>
        <v>10000</v>
      </c>
      <c r="P156" s="8">
        <f t="shared" si="39"/>
        <v>100000</v>
      </c>
      <c r="Q156" s="77">
        <v>940</v>
      </c>
      <c r="R156" s="77">
        <v>426</v>
      </c>
      <c r="S156" s="51">
        <f t="shared" si="36"/>
        <v>0</v>
      </c>
      <c r="T156" s="77">
        <v>426</v>
      </c>
      <c r="U156" s="77">
        <v>426</v>
      </c>
      <c r="V156" s="77">
        <v>426</v>
      </c>
      <c r="W156" s="77">
        <v>426</v>
      </c>
      <c r="X156" s="79">
        <v>426</v>
      </c>
      <c r="Y156" s="59">
        <f t="shared" si="36"/>
        <v>14.589158291711028</v>
      </c>
      <c r="Z156" s="51">
        <f t="shared" si="36"/>
        <v>963.95361482240264</v>
      </c>
      <c r="AA156" s="51">
        <f t="shared" si="36"/>
        <v>41.664851818426328</v>
      </c>
      <c r="AC156" s="28" t="s">
        <v>60</v>
      </c>
      <c r="AD156" s="29" t="s">
        <v>13</v>
      </c>
      <c r="AE156" s="29" t="s">
        <v>61</v>
      </c>
      <c r="AF156" s="2"/>
      <c r="AG156" s="2"/>
      <c r="AH156" s="1">
        <f t="shared" ref="AH156:AV172" si="40">IF(F201&gt;0,F66/F201,"")</f>
        <v>7.617717171717171</v>
      </c>
      <c r="AI156" s="1" t="str">
        <f t="shared" si="40"/>
        <v/>
      </c>
      <c r="AJ156" s="1">
        <f t="shared" si="40"/>
        <v>1.4666666666666666</v>
      </c>
      <c r="AK156" s="1">
        <f t="shared" si="40"/>
        <v>7.6544217687074827</v>
      </c>
      <c r="AL156" s="1">
        <f t="shared" si="40"/>
        <v>29.411764705882348</v>
      </c>
      <c r="AM156" s="1">
        <f t="shared" si="40"/>
        <v>8.3375000000000004</v>
      </c>
      <c r="AN156" s="52" t="str">
        <f t="shared" si="40"/>
        <v/>
      </c>
      <c r="AO156" s="1">
        <f t="shared" si="40"/>
        <v>166.62857142857143</v>
      </c>
      <c r="AP156" s="1">
        <f t="shared" si="40"/>
        <v>277.77777777777777</v>
      </c>
      <c r="AQ156" s="1">
        <f t="shared" si="40"/>
        <v>3333.3333333333335</v>
      </c>
      <c r="AR156" s="1">
        <f t="shared" si="40"/>
        <v>20000</v>
      </c>
      <c r="AS156" s="1">
        <f t="shared" si="40"/>
        <v>470</v>
      </c>
      <c r="AT156" s="1">
        <f t="shared" si="40"/>
        <v>204.47999999999996</v>
      </c>
      <c r="AU156" s="1" t="str">
        <f t="shared" si="40"/>
        <v/>
      </c>
      <c r="AV156" s="1">
        <f t="shared" si="40"/>
        <v>204.48</v>
      </c>
      <c r="AW156" s="1">
        <f t="shared" si="38"/>
        <v>204.47999999999996</v>
      </c>
      <c r="AX156" s="1">
        <f t="shared" si="38"/>
        <v>511.2</v>
      </c>
      <c r="AY156" s="1">
        <f t="shared" si="38"/>
        <v>255.6</v>
      </c>
      <c r="AZ156" s="1">
        <f t="shared" si="38"/>
        <v>170.4</v>
      </c>
      <c r="BA156" s="1">
        <f t="shared" si="38"/>
        <v>3.6871620312261046</v>
      </c>
      <c r="BB156" s="1">
        <f t="shared" si="38"/>
        <v>310.91433182990568</v>
      </c>
      <c r="BC156" s="1">
        <f t="shared" si="38"/>
        <v>12.449222413123548</v>
      </c>
    </row>
    <row r="157" spans="1:55" x14ac:dyDescent="0.25">
      <c r="A157" s="36" t="s">
        <v>60</v>
      </c>
      <c r="B157" s="37" t="s">
        <v>13</v>
      </c>
      <c r="C157" s="29" t="s">
        <v>62</v>
      </c>
      <c r="D157" s="2"/>
      <c r="E157" s="2"/>
      <c r="F157" s="51">
        <f t="shared" si="37"/>
        <v>47.382920110192842</v>
      </c>
      <c r="G157" s="51">
        <f t="shared" si="36"/>
        <v>25.641025641025642</v>
      </c>
      <c r="H157" s="51">
        <f t="shared" si="36"/>
        <v>5.741463414634147</v>
      </c>
      <c r="I157" s="77">
        <v>20</v>
      </c>
      <c r="J157" s="51">
        <f t="shared" si="36"/>
        <v>0</v>
      </c>
      <c r="K157" s="51">
        <f t="shared" si="36"/>
        <v>0</v>
      </c>
      <c r="L157" s="52">
        <f t="shared" si="36"/>
        <v>0</v>
      </c>
      <c r="M157" s="51">
        <f t="shared" si="36"/>
        <v>0</v>
      </c>
      <c r="N157" s="8">
        <f t="shared" si="36"/>
        <v>0</v>
      </c>
      <c r="O157" s="8">
        <f t="shared" si="36"/>
        <v>0</v>
      </c>
      <c r="P157" s="8">
        <f t="shared" si="39"/>
        <v>54285.71428571429</v>
      </c>
      <c r="Q157" s="51">
        <f t="shared" si="36"/>
        <v>0</v>
      </c>
      <c r="R157" s="51">
        <f t="shared" si="36"/>
        <v>0</v>
      </c>
      <c r="S157" s="51">
        <f t="shared" si="36"/>
        <v>0</v>
      </c>
      <c r="T157" s="51">
        <f t="shared" si="36"/>
        <v>0</v>
      </c>
      <c r="U157" s="51">
        <f t="shared" si="36"/>
        <v>0</v>
      </c>
      <c r="V157" s="51">
        <f t="shared" si="36"/>
        <v>0</v>
      </c>
      <c r="W157" s="51">
        <f t="shared" si="36"/>
        <v>0</v>
      </c>
      <c r="X157" s="55">
        <f t="shared" si="36"/>
        <v>0</v>
      </c>
      <c r="Y157" s="59">
        <f t="shared" si="36"/>
        <v>10.033431505213724</v>
      </c>
      <c r="Z157" s="51">
        <f t="shared" si="36"/>
        <v>54285.71428571429</v>
      </c>
      <c r="AA157" s="51">
        <f t="shared" si="36"/>
        <v>25.150200931046832</v>
      </c>
      <c r="AB157" s="14">
        <f>0.74*55</f>
        <v>40.700000000000003</v>
      </c>
      <c r="AC157" s="36" t="s">
        <v>60</v>
      </c>
      <c r="AD157" s="37" t="s">
        <v>13</v>
      </c>
      <c r="AE157" s="29" t="s">
        <v>62</v>
      </c>
      <c r="AF157" s="2"/>
      <c r="AG157" s="2"/>
      <c r="AH157" s="1">
        <f t="shared" si="40"/>
        <v>14.188209366391186</v>
      </c>
      <c r="AI157" s="1">
        <f t="shared" si="40"/>
        <v>7.1589430225543884</v>
      </c>
      <c r="AJ157" s="1">
        <f t="shared" si="40"/>
        <v>1.9317073170731707</v>
      </c>
      <c r="AK157" s="1" t="str">
        <f t="shared" si="40"/>
        <v/>
      </c>
      <c r="AL157" s="1" t="str">
        <f t="shared" si="40"/>
        <v/>
      </c>
      <c r="AM157" s="1" t="str">
        <f t="shared" si="40"/>
        <v/>
      </c>
      <c r="AN157" s="52" t="str">
        <f t="shared" si="40"/>
        <v/>
      </c>
      <c r="AO157" s="1" t="str">
        <f t="shared" si="40"/>
        <v/>
      </c>
      <c r="AP157" s="1" t="str">
        <f t="shared" si="40"/>
        <v/>
      </c>
      <c r="AQ157" s="1" t="str">
        <f t="shared" si="40"/>
        <v/>
      </c>
      <c r="AR157" s="1">
        <f t="shared" si="40"/>
        <v>11428.571428571429</v>
      </c>
      <c r="AS157" s="1" t="str">
        <f t="shared" si="40"/>
        <v/>
      </c>
      <c r="AT157" s="1" t="str">
        <f t="shared" si="40"/>
        <v/>
      </c>
      <c r="AU157" s="1" t="str">
        <f t="shared" si="40"/>
        <v/>
      </c>
      <c r="AV157" s="1" t="str">
        <f t="shared" si="40"/>
        <v/>
      </c>
      <c r="AW157" s="1" t="str">
        <f t="shared" si="38"/>
        <v/>
      </c>
      <c r="AX157" s="1" t="str">
        <f t="shared" si="38"/>
        <v/>
      </c>
      <c r="AY157" s="1" t="str">
        <f t="shared" si="38"/>
        <v/>
      </c>
      <c r="AZ157" s="1" t="str">
        <f t="shared" si="38"/>
        <v/>
      </c>
      <c r="BA157" s="1">
        <f t="shared" si="38"/>
        <v>3.0972107692415074</v>
      </c>
      <c r="BB157" s="1">
        <f t="shared" si="38"/>
        <v>11428.571428571429</v>
      </c>
      <c r="BC157" s="1">
        <f t="shared" si="38"/>
        <v>6.2794142278264493</v>
      </c>
    </row>
    <row r="158" spans="1:55" x14ac:dyDescent="0.25">
      <c r="A158" s="30" t="s">
        <v>60</v>
      </c>
      <c r="B158" s="31" t="s">
        <v>13</v>
      </c>
      <c r="C158" s="32" t="s">
        <v>63</v>
      </c>
      <c r="D158" s="2"/>
      <c r="E158" s="2"/>
      <c r="F158" s="51">
        <f t="shared" si="37"/>
        <v>0</v>
      </c>
      <c r="G158" s="51">
        <f t="shared" si="36"/>
        <v>0</v>
      </c>
      <c r="H158" s="51">
        <f t="shared" si="36"/>
        <v>0</v>
      </c>
      <c r="I158" s="51">
        <f t="shared" si="36"/>
        <v>0</v>
      </c>
      <c r="J158" s="51">
        <f t="shared" si="36"/>
        <v>0</v>
      </c>
      <c r="K158" s="51">
        <f t="shared" si="36"/>
        <v>0</v>
      </c>
      <c r="L158" s="52">
        <f t="shared" si="36"/>
        <v>0</v>
      </c>
      <c r="M158" s="51">
        <f t="shared" si="36"/>
        <v>0</v>
      </c>
      <c r="N158" s="8">
        <f t="shared" si="36"/>
        <v>0</v>
      </c>
      <c r="O158" s="8">
        <f t="shared" si="36"/>
        <v>0</v>
      </c>
      <c r="P158" s="8">
        <f t="shared" si="36"/>
        <v>0</v>
      </c>
      <c r="Q158" s="51">
        <f t="shared" si="36"/>
        <v>0</v>
      </c>
      <c r="R158" s="51">
        <f t="shared" si="36"/>
        <v>0</v>
      </c>
      <c r="S158" s="51">
        <f t="shared" si="36"/>
        <v>0</v>
      </c>
      <c r="T158" s="51">
        <f t="shared" si="36"/>
        <v>0</v>
      </c>
      <c r="U158" s="51">
        <f t="shared" si="36"/>
        <v>0</v>
      </c>
      <c r="V158" s="51">
        <f t="shared" si="36"/>
        <v>0</v>
      </c>
      <c r="W158" s="51">
        <f t="shared" si="36"/>
        <v>0</v>
      </c>
      <c r="X158" s="55">
        <f t="shared" si="36"/>
        <v>0</v>
      </c>
      <c r="Y158" s="59">
        <f t="shared" si="36"/>
        <v>0</v>
      </c>
      <c r="Z158" s="51">
        <f t="shared" si="36"/>
        <v>0</v>
      </c>
      <c r="AA158" s="51">
        <f t="shared" si="36"/>
        <v>0</v>
      </c>
      <c r="AB158" s="14">
        <f>0.75*70</f>
        <v>52.5</v>
      </c>
      <c r="AC158" s="30" t="s">
        <v>60</v>
      </c>
      <c r="AD158" s="31" t="s">
        <v>13</v>
      </c>
      <c r="AE158" s="32" t="s">
        <v>63</v>
      </c>
      <c r="AF158" s="2"/>
      <c r="AG158" s="2"/>
      <c r="AH158" s="1" t="str">
        <f t="shared" si="40"/>
        <v/>
      </c>
      <c r="AI158" s="1" t="str">
        <f t="shared" si="40"/>
        <v/>
      </c>
      <c r="AJ158" s="1" t="str">
        <f t="shared" si="40"/>
        <v/>
      </c>
      <c r="AK158" s="1" t="str">
        <f t="shared" si="40"/>
        <v/>
      </c>
      <c r="AL158" s="1" t="str">
        <f t="shared" si="40"/>
        <v/>
      </c>
      <c r="AM158" s="1" t="str">
        <f t="shared" si="40"/>
        <v/>
      </c>
      <c r="AN158" s="52" t="str">
        <f t="shared" si="40"/>
        <v/>
      </c>
      <c r="AO158" s="1" t="str">
        <f t="shared" si="40"/>
        <v/>
      </c>
      <c r="AP158" s="1" t="str">
        <f t="shared" si="40"/>
        <v/>
      </c>
      <c r="AQ158" s="1" t="str">
        <f t="shared" si="40"/>
        <v/>
      </c>
      <c r="AR158" s="1" t="str">
        <f t="shared" si="40"/>
        <v/>
      </c>
      <c r="AS158" s="1" t="str">
        <f t="shared" si="40"/>
        <v/>
      </c>
      <c r="AT158" s="1" t="str">
        <f t="shared" si="40"/>
        <v/>
      </c>
      <c r="AU158" s="1" t="str">
        <f t="shared" si="40"/>
        <v/>
      </c>
      <c r="AV158" s="1" t="str">
        <f t="shared" si="40"/>
        <v/>
      </c>
      <c r="AW158" s="1" t="str">
        <f t="shared" si="38"/>
        <v/>
      </c>
      <c r="AX158" s="1" t="str">
        <f t="shared" si="38"/>
        <v/>
      </c>
      <c r="AY158" s="1" t="str">
        <f t="shared" si="38"/>
        <v/>
      </c>
      <c r="AZ158" s="1" t="str">
        <f t="shared" si="38"/>
        <v/>
      </c>
      <c r="BA158" s="1" t="str">
        <f t="shared" si="38"/>
        <v/>
      </c>
      <c r="BB158" s="1" t="str">
        <f t="shared" si="38"/>
        <v/>
      </c>
      <c r="BC158" s="1" t="str">
        <f t="shared" si="38"/>
        <v/>
      </c>
    </row>
    <row r="159" spans="1:55" x14ac:dyDescent="0.25">
      <c r="A159" s="30" t="s">
        <v>60</v>
      </c>
      <c r="B159" s="32" t="s">
        <v>23</v>
      </c>
      <c r="C159" s="31" t="s">
        <v>50</v>
      </c>
      <c r="D159" s="2"/>
      <c r="E159" s="2"/>
      <c r="F159" s="77">
        <v>40</v>
      </c>
      <c r="G159" s="51">
        <f t="shared" si="36"/>
        <v>0</v>
      </c>
      <c r="H159" s="51">
        <f t="shared" si="36"/>
        <v>0</v>
      </c>
      <c r="I159" s="51">
        <f t="shared" si="36"/>
        <v>0</v>
      </c>
      <c r="J159" s="77">
        <v>45</v>
      </c>
      <c r="K159" s="77">
        <v>2.2000000000000002</v>
      </c>
      <c r="L159" s="52">
        <f t="shared" si="36"/>
        <v>0</v>
      </c>
      <c r="M159" s="51">
        <f t="shared" si="36"/>
        <v>0</v>
      </c>
      <c r="N159" s="8">
        <f>N24/N204</f>
        <v>999.99999999999989</v>
      </c>
      <c r="O159" s="8">
        <f t="shared" si="36"/>
        <v>0</v>
      </c>
      <c r="P159" s="8">
        <f t="shared" si="36"/>
        <v>0</v>
      </c>
      <c r="Q159" s="51">
        <f t="shared" si="36"/>
        <v>0</v>
      </c>
      <c r="R159" s="51">
        <f t="shared" si="36"/>
        <v>0</v>
      </c>
      <c r="S159" s="51">
        <f t="shared" si="36"/>
        <v>0</v>
      </c>
      <c r="T159" s="51">
        <f t="shared" si="36"/>
        <v>0</v>
      </c>
      <c r="U159" s="51">
        <f t="shared" si="36"/>
        <v>0</v>
      </c>
      <c r="V159" s="77">
        <v>426</v>
      </c>
      <c r="W159" s="51">
        <f t="shared" si="36"/>
        <v>0</v>
      </c>
      <c r="X159" s="55">
        <f t="shared" si="36"/>
        <v>0</v>
      </c>
      <c r="Y159" s="59">
        <f t="shared" si="36"/>
        <v>2.2232367602783674</v>
      </c>
      <c r="Z159" s="51">
        <f t="shared" si="36"/>
        <v>999.99999999999989</v>
      </c>
      <c r="AA159" s="51">
        <f t="shared" si="36"/>
        <v>4.5137019133019276</v>
      </c>
      <c r="AC159" s="30" t="s">
        <v>60</v>
      </c>
      <c r="AD159" s="32" t="s">
        <v>23</v>
      </c>
      <c r="AE159" s="31" t="s">
        <v>50</v>
      </c>
      <c r="AF159" s="2"/>
      <c r="AG159" s="2"/>
      <c r="AH159" s="1" t="str">
        <f t="shared" si="40"/>
        <v/>
      </c>
      <c r="AI159" s="1" t="str">
        <f t="shared" si="40"/>
        <v/>
      </c>
      <c r="AJ159" s="1" t="str">
        <f t="shared" si="40"/>
        <v/>
      </c>
      <c r="AK159" s="1" t="str">
        <f t="shared" si="40"/>
        <v/>
      </c>
      <c r="AL159" s="1">
        <f t="shared" si="40"/>
        <v>13.5</v>
      </c>
      <c r="AM159" s="1">
        <f t="shared" si="40"/>
        <v>2.0704444444444445</v>
      </c>
      <c r="AN159" s="52" t="str">
        <f t="shared" si="40"/>
        <v/>
      </c>
      <c r="AO159" s="1" t="str">
        <f t="shared" si="40"/>
        <v/>
      </c>
      <c r="AP159" s="1">
        <f t="shared" si="40"/>
        <v>363.63636363636363</v>
      </c>
      <c r="AQ159" s="1" t="str">
        <f t="shared" si="40"/>
        <v/>
      </c>
      <c r="AR159" s="1" t="str">
        <f t="shared" si="40"/>
        <v/>
      </c>
      <c r="AS159" s="1" t="str">
        <f t="shared" si="40"/>
        <v/>
      </c>
      <c r="AT159" s="1" t="str">
        <f t="shared" si="40"/>
        <v/>
      </c>
      <c r="AU159" s="1" t="str">
        <f t="shared" si="40"/>
        <v/>
      </c>
      <c r="AV159" s="1" t="str">
        <f t="shared" si="40"/>
        <v/>
      </c>
      <c r="AW159" s="1" t="str">
        <f t="shared" si="38"/>
        <v/>
      </c>
      <c r="AX159" s="1" t="str">
        <f t="shared" si="38"/>
        <v/>
      </c>
      <c r="AY159" s="1" t="str">
        <f t="shared" si="38"/>
        <v/>
      </c>
      <c r="AZ159" s="1" t="str">
        <f t="shared" si="38"/>
        <v/>
      </c>
      <c r="BA159" s="1">
        <f t="shared" si="38"/>
        <v>2.0766497211391344</v>
      </c>
      <c r="BB159" s="1">
        <f t="shared" si="38"/>
        <v>363.63636363636363</v>
      </c>
      <c r="BC159" s="1">
        <f t="shared" si="38"/>
        <v>2.5618308156578506</v>
      </c>
    </row>
    <row r="160" spans="1:55" x14ac:dyDescent="0.25">
      <c r="A160" s="30" t="s">
        <v>60</v>
      </c>
      <c r="B160" s="32" t="s">
        <v>23</v>
      </c>
      <c r="C160" s="31" t="s">
        <v>49</v>
      </c>
      <c r="D160" s="2"/>
      <c r="E160" s="2"/>
      <c r="F160" s="51">
        <f t="shared" si="37"/>
        <v>0</v>
      </c>
      <c r="G160" s="51">
        <f t="shared" si="36"/>
        <v>0</v>
      </c>
      <c r="H160" s="51">
        <f t="shared" si="36"/>
        <v>0</v>
      </c>
      <c r="I160" s="51">
        <f t="shared" si="36"/>
        <v>0</v>
      </c>
      <c r="J160" s="77">
        <v>40</v>
      </c>
      <c r="K160" s="77">
        <v>40</v>
      </c>
      <c r="L160" s="52">
        <f t="shared" si="36"/>
        <v>0</v>
      </c>
      <c r="M160" s="51">
        <f t="shared" si="36"/>
        <v>0</v>
      </c>
      <c r="N160" s="51">
        <f t="shared" si="36"/>
        <v>0</v>
      </c>
      <c r="O160" s="51">
        <f t="shared" si="36"/>
        <v>0</v>
      </c>
      <c r="P160" s="51">
        <f t="shared" si="36"/>
        <v>0</v>
      </c>
      <c r="Q160" s="51">
        <f t="shared" si="36"/>
        <v>0</v>
      </c>
      <c r="R160" s="51">
        <f t="shared" si="36"/>
        <v>0</v>
      </c>
      <c r="S160" s="77">
        <v>100</v>
      </c>
      <c r="T160" s="77">
        <v>406</v>
      </c>
      <c r="U160" s="51">
        <f t="shared" si="36"/>
        <v>0</v>
      </c>
      <c r="V160" s="77">
        <v>406</v>
      </c>
      <c r="W160" s="51">
        <f t="shared" si="36"/>
        <v>0</v>
      </c>
      <c r="X160" s="77">
        <v>100</v>
      </c>
      <c r="Y160" s="59">
        <f t="shared" si="36"/>
        <v>40</v>
      </c>
      <c r="Z160" s="51">
        <f t="shared" si="36"/>
        <v>206.70944343702052</v>
      </c>
      <c r="AA160" s="51">
        <f t="shared" si="36"/>
        <v>55.339121729588207</v>
      </c>
      <c r="AC160" s="30" t="s">
        <v>60</v>
      </c>
      <c r="AD160" s="32" t="s">
        <v>23</v>
      </c>
      <c r="AE160" s="31" t="s">
        <v>49</v>
      </c>
      <c r="AF160" s="2"/>
      <c r="AG160" s="2"/>
      <c r="AH160" s="1" t="str">
        <f t="shared" si="40"/>
        <v/>
      </c>
      <c r="AI160" s="1" t="str">
        <f t="shared" si="40"/>
        <v/>
      </c>
      <c r="AJ160" s="1" t="str">
        <f t="shared" si="40"/>
        <v/>
      </c>
      <c r="AK160" s="1" t="str">
        <f t="shared" si="40"/>
        <v/>
      </c>
      <c r="AL160" s="1">
        <f t="shared" si="40"/>
        <v>10.181818181818182</v>
      </c>
      <c r="AM160" s="1">
        <f t="shared" si="40"/>
        <v>9.795918367346939</v>
      </c>
      <c r="AN160" s="52" t="str">
        <f t="shared" si="40"/>
        <v/>
      </c>
      <c r="AO160" s="1" t="str">
        <f t="shared" si="40"/>
        <v/>
      </c>
      <c r="AP160" s="1" t="str">
        <f t="shared" si="40"/>
        <v/>
      </c>
      <c r="AQ160" s="1" t="str">
        <f t="shared" si="40"/>
        <v/>
      </c>
      <c r="AR160" s="1" t="str">
        <f t="shared" si="40"/>
        <v/>
      </c>
      <c r="AS160" s="1" t="str">
        <f t="shared" si="40"/>
        <v/>
      </c>
      <c r="AT160" s="1" t="str">
        <f t="shared" si="40"/>
        <v/>
      </c>
      <c r="AU160" s="1">
        <f t="shared" si="40"/>
        <v>24.489795918367346</v>
      </c>
      <c r="AV160" s="1">
        <f t="shared" si="40"/>
        <v>162.4</v>
      </c>
      <c r="AW160" s="1" t="str">
        <f t="shared" si="38"/>
        <v/>
      </c>
      <c r="AX160" s="1">
        <f t="shared" si="38"/>
        <v>365.4</v>
      </c>
      <c r="AY160" s="1" t="str">
        <f t="shared" si="38"/>
        <v/>
      </c>
      <c r="AZ160" s="1">
        <f t="shared" si="38"/>
        <v>90</v>
      </c>
      <c r="BA160" s="1">
        <f t="shared" si="38"/>
        <v>10.100430416068868</v>
      </c>
      <c r="BB160" s="1">
        <f t="shared" si="38"/>
        <v>94.387873715534482</v>
      </c>
      <c r="BC160" s="1">
        <f t="shared" si="38"/>
        <v>21.711833698049357</v>
      </c>
    </row>
    <row r="161" spans="1:55" x14ac:dyDescent="0.25">
      <c r="A161" s="30" t="s">
        <v>60</v>
      </c>
      <c r="B161" s="32" t="s">
        <v>23</v>
      </c>
      <c r="C161" s="31" t="s">
        <v>64</v>
      </c>
      <c r="D161" s="2"/>
      <c r="E161" s="2"/>
      <c r="F161" s="51">
        <f t="shared" si="37"/>
        <v>0</v>
      </c>
      <c r="G161" s="51">
        <f t="shared" si="36"/>
        <v>0</v>
      </c>
      <c r="H161" s="51">
        <f t="shared" si="36"/>
        <v>0</v>
      </c>
      <c r="I161" s="51">
        <f t="shared" si="36"/>
        <v>0</v>
      </c>
      <c r="J161" s="51">
        <f t="shared" si="36"/>
        <v>0</v>
      </c>
      <c r="K161" s="51">
        <f t="shared" si="36"/>
        <v>0</v>
      </c>
      <c r="L161" s="52">
        <f t="shared" si="36"/>
        <v>0</v>
      </c>
      <c r="M161" s="51">
        <f t="shared" si="36"/>
        <v>0</v>
      </c>
      <c r="N161" s="51">
        <f t="shared" si="36"/>
        <v>0</v>
      </c>
      <c r="O161" s="51">
        <f t="shared" si="36"/>
        <v>0</v>
      </c>
      <c r="P161" s="51">
        <f t="shared" si="36"/>
        <v>0</v>
      </c>
      <c r="Q161" s="51">
        <f t="shared" si="36"/>
        <v>0</v>
      </c>
      <c r="R161" s="51">
        <f t="shared" si="36"/>
        <v>0</v>
      </c>
      <c r="S161" s="51">
        <f t="shared" si="36"/>
        <v>0</v>
      </c>
      <c r="T161" s="51">
        <f t="shared" si="36"/>
        <v>0</v>
      </c>
      <c r="U161" s="51">
        <f t="shared" si="36"/>
        <v>0</v>
      </c>
      <c r="V161" s="51">
        <f t="shared" si="36"/>
        <v>0</v>
      </c>
      <c r="W161" s="51">
        <f t="shared" si="36"/>
        <v>0</v>
      </c>
      <c r="X161" s="55">
        <f t="shared" si="36"/>
        <v>0</v>
      </c>
      <c r="Y161" s="59">
        <f t="shared" si="36"/>
        <v>0</v>
      </c>
      <c r="Z161" s="51">
        <f t="shared" si="36"/>
        <v>0</v>
      </c>
      <c r="AA161" s="51">
        <f t="shared" si="36"/>
        <v>0</v>
      </c>
      <c r="AC161" s="30" t="s">
        <v>60</v>
      </c>
      <c r="AD161" s="32" t="s">
        <v>23</v>
      </c>
      <c r="AE161" s="31" t="s">
        <v>64</v>
      </c>
      <c r="AF161" s="2"/>
      <c r="AG161" s="2"/>
      <c r="AH161" s="1" t="str">
        <f t="shared" si="40"/>
        <v/>
      </c>
      <c r="AI161" s="1" t="str">
        <f t="shared" si="40"/>
        <v/>
      </c>
      <c r="AJ161" s="1" t="str">
        <f t="shared" si="40"/>
        <v/>
      </c>
      <c r="AK161" s="1" t="str">
        <f t="shared" si="40"/>
        <v/>
      </c>
      <c r="AL161" s="1" t="str">
        <f t="shared" si="40"/>
        <v/>
      </c>
      <c r="AM161" s="1" t="str">
        <f t="shared" si="40"/>
        <v/>
      </c>
      <c r="AN161" s="52" t="str">
        <f t="shared" si="40"/>
        <v/>
      </c>
      <c r="AO161" s="1" t="str">
        <f t="shared" si="40"/>
        <v/>
      </c>
      <c r="AP161" s="1" t="str">
        <f t="shared" si="40"/>
        <v/>
      </c>
      <c r="AQ161" s="1" t="str">
        <f t="shared" si="40"/>
        <v/>
      </c>
      <c r="AR161" s="1" t="str">
        <f t="shared" si="40"/>
        <v/>
      </c>
      <c r="AS161" s="1" t="str">
        <f t="shared" si="40"/>
        <v/>
      </c>
      <c r="AT161" s="1" t="str">
        <f t="shared" si="40"/>
        <v/>
      </c>
      <c r="AU161" s="1" t="str">
        <f t="shared" si="40"/>
        <v/>
      </c>
      <c r="AV161" s="1" t="str">
        <f t="shared" si="40"/>
        <v/>
      </c>
      <c r="AW161" s="1" t="str">
        <f t="shared" si="38"/>
        <v/>
      </c>
      <c r="AX161" s="1" t="str">
        <f t="shared" si="38"/>
        <v/>
      </c>
      <c r="AY161" s="1" t="str">
        <f t="shared" si="38"/>
        <v/>
      </c>
      <c r="AZ161" s="1" t="str">
        <f t="shared" si="38"/>
        <v/>
      </c>
      <c r="BA161" s="1" t="str">
        <f t="shared" si="38"/>
        <v/>
      </c>
      <c r="BB161" s="1" t="str">
        <f t="shared" si="38"/>
        <v/>
      </c>
      <c r="BC161" s="1" t="str">
        <f t="shared" si="38"/>
        <v/>
      </c>
    </row>
    <row r="162" spans="1:55" x14ac:dyDescent="0.25">
      <c r="A162" s="30" t="s">
        <v>60</v>
      </c>
      <c r="B162" s="32" t="s">
        <v>65</v>
      </c>
      <c r="C162" s="31" t="s">
        <v>66</v>
      </c>
      <c r="D162" s="2"/>
      <c r="E162" s="2"/>
      <c r="F162" s="51">
        <f t="shared" si="37"/>
        <v>0</v>
      </c>
      <c r="G162" s="51">
        <f t="shared" si="36"/>
        <v>0</v>
      </c>
      <c r="H162" s="51">
        <f t="shared" si="36"/>
        <v>0</v>
      </c>
      <c r="I162" s="51">
        <f t="shared" si="36"/>
        <v>0</v>
      </c>
      <c r="J162" s="77">
        <v>56</v>
      </c>
      <c r="K162" s="51">
        <f t="shared" si="36"/>
        <v>0</v>
      </c>
      <c r="L162" s="52">
        <f t="shared" si="36"/>
        <v>0</v>
      </c>
      <c r="M162" s="77">
        <f>300</f>
        <v>300</v>
      </c>
      <c r="N162" s="51">
        <f t="shared" si="36"/>
        <v>0</v>
      </c>
      <c r="O162" s="51">
        <f t="shared" si="36"/>
        <v>0</v>
      </c>
      <c r="P162" s="51">
        <f t="shared" si="36"/>
        <v>0</v>
      </c>
      <c r="Q162" s="51">
        <f t="shared" si="36"/>
        <v>0</v>
      </c>
      <c r="R162" s="51">
        <f t="shared" si="36"/>
        <v>0</v>
      </c>
      <c r="S162" s="51">
        <f t="shared" si="36"/>
        <v>0</v>
      </c>
      <c r="T162" s="51">
        <f t="shared" si="36"/>
        <v>0</v>
      </c>
      <c r="U162" s="51">
        <f t="shared" si="36"/>
        <v>0</v>
      </c>
      <c r="V162" s="51">
        <f t="shared" si="36"/>
        <v>0</v>
      </c>
      <c r="W162" s="51">
        <f t="shared" si="36"/>
        <v>0</v>
      </c>
      <c r="X162" s="55">
        <f t="shared" si="36"/>
        <v>0</v>
      </c>
      <c r="Y162" s="59">
        <f t="shared" si="36"/>
        <v>56</v>
      </c>
      <c r="Z162" s="51">
        <f t="shared" si="36"/>
        <v>300</v>
      </c>
      <c r="AA162" s="51">
        <f t="shared" si="36"/>
        <v>145.4479330827979</v>
      </c>
      <c r="AC162" s="30" t="s">
        <v>60</v>
      </c>
      <c r="AD162" s="32" t="s">
        <v>65</v>
      </c>
      <c r="AE162" s="31" t="s">
        <v>66</v>
      </c>
      <c r="AF162" s="2"/>
      <c r="AG162" s="2"/>
      <c r="AH162" s="1" t="str">
        <f t="shared" si="40"/>
        <v/>
      </c>
      <c r="AI162" s="1" t="str">
        <f t="shared" si="40"/>
        <v/>
      </c>
      <c r="AJ162" s="1" t="str">
        <f t="shared" si="40"/>
        <v/>
      </c>
      <c r="AK162" s="1" t="str">
        <f t="shared" si="40"/>
        <v/>
      </c>
      <c r="AL162" s="1">
        <f t="shared" si="40"/>
        <v>6.72</v>
      </c>
      <c r="AM162" s="1" t="str">
        <f t="shared" si="40"/>
        <v/>
      </c>
      <c r="AN162" s="52" t="str">
        <f t="shared" si="40"/>
        <v/>
      </c>
      <c r="AO162" s="1">
        <f t="shared" si="40"/>
        <v>28.500000000000004</v>
      </c>
      <c r="AP162" s="1" t="str">
        <f t="shared" si="40"/>
        <v/>
      </c>
      <c r="AQ162" s="1" t="str">
        <f t="shared" si="40"/>
        <v/>
      </c>
      <c r="AR162" s="1" t="str">
        <f t="shared" si="40"/>
        <v/>
      </c>
      <c r="AS162" s="1" t="str">
        <f t="shared" si="40"/>
        <v/>
      </c>
      <c r="AT162" s="1" t="str">
        <f t="shared" si="40"/>
        <v/>
      </c>
      <c r="AU162" s="1" t="str">
        <f t="shared" si="40"/>
        <v/>
      </c>
      <c r="AV162" s="1" t="str">
        <f t="shared" si="40"/>
        <v/>
      </c>
      <c r="AW162" s="1" t="str">
        <f t="shared" si="38"/>
        <v/>
      </c>
      <c r="AX162" s="1" t="str">
        <f t="shared" si="38"/>
        <v/>
      </c>
      <c r="AY162" s="1" t="str">
        <f t="shared" si="38"/>
        <v/>
      </c>
      <c r="AZ162" s="1" t="str">
        <f t="shared" si="38"/>
        <v/>
      </c>
      <c r="BA162" s="1">
        <f t="shared" si="38"/>
        <v>6.72</v>
      </c>
      <c r="BB162" s="1">
        <f t="shared" si="38"/>
        <v>28.500000000000004</v>
      </c>
      <c r="BC162" s="1">
        <f t="shared" si="38"/>
        <v>14.704327797308762</v>
      </c>
    </row>
    <row r="163" spans="1:55" x14ac:dyDescent="0.25">
      <c r="A163" s="30" t="s">
        <v>60</v>
      </c>
      <c r="B163" s="32" t="s">
        <v>65</v>
      </c>
      <c r="C163" s="31" t="s">
        <v>67</v>
      </c>
      <c r="D163" s="2"/>
      <c r="E163" s="2"/>
      <c r="F163" s="51">
        <f t="shared" si="37"/>
        <v>0</v>
      </c>
      <c r="G163" s="51">
        <f t="shared" si="36"/>
        <v>0</v>
      </c>
      <c r="H163" s="51">
        <f t="shared" si="36"/>
        <v>0</v>
      </c>
      <c r="I163" s="51">
        <f t="shared" si="36"/>
        <v>0</v>
      </c>
      <c r="J163" s="51">
        <f t="shared" si="36"/>
        <v>0</v>
      </c>
      <c r="K163" s="51">
        <f t="shared" si="36"/>
        <v>0</v>
      </c>
      <c r="L163" s="52">
        <f t="shared" si="36"/>
        <v>0</v>
      </c>
      <c r="M163" s="51">
        <f t="shared" si="36"/>
        <v>0</v>
      </c>
      <c r="N163" s="51">
        <f t="shared" si="36"/>
        <v>0</v>
      </c>
      <c r="O163" s="51">
        <f t="shared" si="36"/>
        <v>0</v>
      </c>
      <c r="P163" s="51">
        <f t="shared" si="36"/>
        <v>0</v>
      </c>
      <c r="Q163" s="77">
        <v>940</v>
      </c>
      <c r="R163" s="77">
        <v>426</v>
      </c>
      <c r="S163" s="51">
        <f t="shared" si="36"/>
        <v>0</v>
      </c>
      <c r="T163" s="77">
        <v>426</v>
      </c>
      <c r="U163" s="77">
        <v>426</v>
      </c>
      <c r="V163" s="77">
        <v>426</v>
      </c>
      <c r="W163" s="77">
        <v>426</v>
      </c>
      <c r="X163" s="79">
        <v>426</v>
      </c>
      <c r="Y163" s="59">
        <f t="shared" si="36"/>
        <v>0</v>
      </c>
      <c r="Z163" s="51">
        <f t="shared" si="36"/>
        <v>538.95354826547805</v>
      </c>
      <c r="AA163" s="51">
        <f t="shared" si="36"/>
        <v>538.95354826547805</v>
      </c>
      <c r="AC163" s="30" t="s">
        <v>60</v>
      </c>
      <c r="AD163" s="32" t="s">
        <v>65</v>
      </c>
      <c r="AE163" s="31" t="s">
        <v>67</v>
      </c>
      <c r="AF163" s="2"/>
      <c r="AG163" s="2"/>
      <c r="AH163" s="1" t="str">
        <f t="shared" si="40"/>
        <v/>
      </c>
      <c r="AI163" s="1" t="str">
        <f t="shared" si="40"/>
        <v/>
      </c>
      <c r="AJ163" s="1" t="str">
        <f t="shared" si="40"/>
        <v/>
      </c>
      <c r="AK163" s="1" t="str">
        <f t="shared" si="40"/>
        <v/>
      </c>
      <c r="AL163" s="1" t="str">
        <f t="shared" si="40"/>
        <v/>
      </c>
      <c r="AM163" s="1" t="str">
        <f t="shared" si="40"/>
        <v/>
      </c>
      <c r="AN163" s="52" t="str">
        <f t="shared" si="40"/>
        <v/>
      </c>
      <c r="AO163" s="1" t="str">
        <f t="shared" si="40"/>
        <v/>
      </c>
      <c r="AP163" s="1" t="str">
        <f t="shared" si="40"/>
        <v/>
      </c>
      <c r="AQ163" s="1" t="str">
        <f t="shared" si="40"/>
        <v/>
      </c>
      <c r="AR163" s="1" t="str">
        <f t="shared" si="40"/>
        <v/>
      </c>
      <c r="AS163" s="1">
        <f t="shared" si="40"/>
        <v>105.75</v>
      </c>
      <c r="AT163" s="1">
        <f t="shared" si="40"/>
        <v>76.680000000000007</v>
      </c>
      <c r="AU163" s="1" t="str">
        <f t="shared" si="40"/>
        <v/>
      </c>
      <c r="AV163" s="1">
        <f t="shared" si="40"/>
        <v>63.899999999999991</v>
      </c>
      <c r="AW163" s="1">
        <f t="shared" si="38"/>
        <v>93.72</v>
      </c>
      <c r="AX163" s="1">
        <f t="shared" si="38"/>
        <v>51.11999999999999</v>
      </c>
      <c r="AY163" s="1">
        <f t="shared" si="38"/>
        <v>51.11999999999999</v>
      </c>
      <c r="AZ163" s="1">
        <f t="shared" si="38"/>
        <v>51.12</v>
      </c>
      <c r="BA163" s="1" t="str">
        <f t="shared" si="38"/>
        <v/>
      </c>
      <c r="BB163" s="1">
        <f t="shared" si="38"/>
        <v>74.609369391105119</v>
      </c>
      <c r="BC163" s="1">
        <f t="shared" si="38"/>
        <v>74.609369391105119</v>
      </c>
    </row>
    <row r="164" spans="1:55" x14ac:dyDescent="0.25">
      <c r="A164" s="30" t="s">
        <v>60</v>
      </c>
      <c r="B164" s="32" t="s">
        <v>65</v>
      </c>
      <c r="C164" s="31" t="s">
        <v>68</v>
      </c>
      <c r="D164" s="2"/>
      <c r="E164" s="2"/>
      <c r="F164" s="51">
        <f t="shared" si="37"/>
        <v>0</v>
      </c>
      <c r="G164" s="51">
        <f t="shared" si="36"/>
        <v>0</v>
      </c>
      <c r="H164" s="51">
        <f t="shared" si="36"/>
        <v>0</v>
      </c>
      <c r="I164" s="51">
        <f t="shared" si="36"/>
        <v>0</v>
      </c>
      <c r="J164" s="51">
        <f t="shared" si="36"/>
        <v>0</v>
      </c>
      <c r="K164" s="51">
        <f t="shared" si="36"/>
        <v>0</v>
      </c>
      <c r="L164" s="77">
        <v>750</v>
      </c>
      <c r="M164" s="51">
        <f t="shared" si="36"/>
        <v>0</v>
      </c>
      <c r="N164" s="51">
        <f t="shared" si="36"/>
        <v>0</v>
      </c>
      <c r="O164" s="51">
        <f t="shared" si="36"/>
        <v>0</v>
      </c>
      <c r="P164" s="51">
        <f t="shared" si="36"/>
        <v>0</v>
      </c>
      <c r="Q164" s="51">
        <f t="shared" si="36"/>
        <v>0</v>
      </c>
      <c r="R164" s="51">
        <f t="shared" si="36"/>
        <v>0</v>
      </c>
      <c r="S164" s="51">
        <f t="shared" si="36"/>
        <v>0</v>
      </c>
      <c r="T164" s="51">
        <f t="shared" si="36"/>
        <v>0</v>
      </c>
      <c r="U164" s="51">
        <f t="shared" si="36"/>
        <v>0</v>
      </c>
      <c r="V164" s="51">
        <f t="shared" si="36"/>
        <v>0</v>
      </c>
      <c r="W164" s="51">
        <f t="shared" si="36"/>
        <v>0</v>
      </c>
      <c r="X164" s="55">
        <f t="shared" si="36"/>
        <v>0</v>
      </c>
      <c r="Y164" s="59">
        <f t="shared" si="36"/>
        <v>0</v>
      </c>
      <c r="Z164" s="51">
        <f t="shared" si="36"/>
        <v>0</v>
      </c>
      <c r="AA164" s="51">
        <f t="shared" si="36"/>
        <v>750</v>
      </c>
      <c r="AC164" s="30" t="s">
        <v>60</v>
      </c>
      <c r="AD164" s="32" t="s">
        <v>65</v>
      </c>
      <c r="AE164" s="31" t="s">
        <v>68</v>
      </c>
      <c r="AF164" s="2"/>
      <c r="AG164" s="2"/>
      <c r="AH164" s="1" t="str">
        <f t="shared" si="40"/>
        <v/>
      </c>
      <c r="AI164" s="1" t="str">
        <f t="shared" si="40"/>
        <v/>
      </c>
      <c r="AJ164" s="1" t="str">
        <f t="shared" si="40"/>
        <v/>
      </c>
      <c r="AK164" s="1" t="str">
        <f t="shared" si="40"/>
        <v/>
      </c>
      <c r="AL164" s="1" t="str">
        <f t="shared" si="40"/>
        <v/>
      </c>
      <c r="AM164" s="1" t="str">
        <f t="shared" si="40"/>
        <v/>
      </c>
      <c r="AN164" s="52">
        <f t="shared" si="40"/>
        <v>60</v>
      </c>
      <c r="AO164" s="1" t="str">
        <f t="shared" si="40"/>
        <v/>
      </c>
      <c r="AP164" s="1" t="str">
        <f t="shared" si="40"/>
        <v/>
      </c>
      <c r="AQ164" s="1" t="str">
        <f t="shared" si="40"/>
        <v/>
      </c>
      <c r="AR164" s="1" t="str">
        <f t="shared" si="40"/>
        <v/>
      </c>
      <c r="AS164" s="1" t="str">
        <f t="shared" si="40"/>
        <v/>
      </c>
      <c r="AT164" s="1" t="str">
        <f t="shared" si="40"/>
        <v/>
      </c>
      <c r="AU164" s="1" t="str">
        <f t="shared" si="40"/>
        <v/>
      </c>
      <c r="AV164" s="1" t="str">
        <f t="shared" si="40"/>
        <v/>
      </c>
      <c r="AW164" s="1" t="str">
        <f t="shared" si="38"/>
        <v/>
      </c>
      <c r="AX164" s="1" t="str">
        <f t="shared" si="38"/>
        <v/>
      </c>
      <c r="AY164" s="1" t="str">
        <f t="shared" si="38"/>
        <v/>
      </c>
      <c r="AZ164" s="1" t="str">
        <f t="shared" si="38"/>
        <v/>
      </c>
      <c r="BA164" s="1" t="str">
        <f t="shared" si="38"/>
        <v/>
      </c>
      <c r="BB164" s="1" t="str">
        <f t="shared" si="38"/>
        <v/>
      </c>
      <c r="BC164" s="1">
        <f t="shared" si="38"/>
        <v>60</v>
      </c>
    </row>
    <row r="165" spans="1:55" x14ac:dyDescent="0.25">
      <c r="A165" s="30" t="s">
        <v>60</v>
      </c>
      <c r="B165" s="32" t="s">
        <v>9</v>
      </c>
      <c r="C165" s="31" t="s">
        <v>69</v>
      </c>
      <c r="D165" s="2"/>
      <c r="E165" s="2"/>
      <c r="F165" s="51">
        <f t="shared" si="37"/>
        <v>0</v>
      </c>
      <c r="G165" s="51">
        <f t="shared" si="36"/>
        <v>0</v>
      </c>
      <c r="H165" s="51">
        <f t="shared" si="36"/>
        <v>0</v>
      </c>
      <c r="I165" s="51">
        <f t="shared" si="36"/>
        <v>0</v>
      </c>
      <c r="J165" s="51">
        <f t="shared" si="36"/>
        <v>0</v>
      </c>
      <c r="K165" s="51">
        <f t="shared" si="36"/>
        <v>0</v>
      </c>
      <c r="L165" s="52">
        <f t="shared" si="36"/>
        <v>0</v>
      </c>
      <c r="M165" s="51">
        <f t="shared" si="36"/>
        <v>0</v>
      </c>
      <c r="N165" s="51">
        <f t="shared" si="36"/>
        <v>0</v>
      </c>
      <c r="O165" s="51">
        <f t="shared" si="36"/>
        <v>0</v>
      </c>
      <c r="P165" s="51">
        <f t="shared" si="36"/>
        <v>0</v>
      </c>
      <c r="Q165" s="51">
        <f t="shared" ref="G165:AA179" si="41">IF(Q210&gt;0,Q30/Q210,0)</f>
        <v>0</v>
      </c>
      <c r="R165" s="51">
        <f t="shared" si="41"/>
        <v>0</v>
      </c>
      <c r="S165" s="51">
        <f t="shared" si="41"/>
        <v>0</v>
      </c>
      <c r="T165" s="51">
        <f t="shared" si="41"/>
        <v>0</v>
      </c>
      <c r="U165" s="51">
        <f t="shared" si="41"/>
        <v>0</v>
      </c>
      <c r="V165" s="51">
        <f t="shared" si="41"/>
        <v>0</v>
      </c>
      <c r="W165" s="51">
        <f t="shared" si="41"/>
        <v>0</v>
      </c>
      <c r="X165" s="79">
        <v>426</v>
      </c>
      <c r="Y165" s="59">
        <f t="shared" si="41"/>
        <v>0</v>
      </c>
      <c r="Z165" s="51">
        <f t="shared" si="41"/>
        <v>643.56672000000003</v>
      </c>
      <c r="AA165" s="51">
        <f t="shared" si="41"/>
        <v>643.56672000000003</v>
      </c>
      <c r="AC165" s="30" t="s">
        <v>60</v>
      </c>
      <c r="AD165" s="32" t="s">
        <v>9</v>
      </c>
      <c r="AE165" s="31" t="s">
        <v>69</v>
      </c>
      <c r="AF165" s="2"/>
      <c r="AG165" s="2"/>
      <c r="AH165" s="1" t="str">
        <f t="shared" si="40"/>
        <v/>
      </c>
      <c r="AI165" s="1" t="str">
        <f t="shared" si="40"/>
        <v/>
      </c>
      <c r="AJ165" s="1" t="str">
        <f t="shared" si="40"/>
        <v/>
      </c>
      <c r="AK165" s="1" t="str">
        <f t="shared" si="40"/>
        <v/>
      </c>
      <c r="AL165" s="1" t="str">
        <f t="shared" si="40"/>
        <v/>
      </c>
      <c r="AM165" s="1" t="str">
        <f t="shared" si="40"/>
        <v/>
      </c>
      <c r="AN165" s="52" t="str">
        <f t="shared" si="40"/>
        <v/>
      </c>
      <c r="AO165" s="1" t="str">
        <f t="shared" si="40"/>
        <v/>
      </c>
      <c r="AP165" s="1" t="str">
        <f t="shared" si="40"/>
        <v/>
      </c>
      <c r="AQ165" s="1" t="str">
        <f t="shared" si="40"/>
        <v/>
      </c>
      <c r="AR165" s="1" t="str">
        <f t="shared" si="40"/>
        <v/>
      </c>
      <c r="AS165" s="1" t="str">
        <f t="shared" si="40"/>
        <v/>
      </c>
      <c r="AT165" s="1" t="str">
        <f t="shared" si="40"/>
        <v/>
      </c>
      <c r="AU165" s="1" t="str">
        <f t="shared" si="40"/>
        <v/>
      </c>
      <c r="AV165" s="1" t="str">
        <f t="shared" si="40"/>
        <v/>
      </c>
      <c r="AW165" s="1" t="str">
        <f t="shared" si="38"/>
        <v/>
      </c>
      <c r="AX165" s="1" t="str">
        <f t="shared" si="38"/>
        <v/>
      </c>
      <c r="AY165" s="1" t="str">
        <f t="shared" si="38"/>
        <v/>
      </c>
      <c r="AZ165" s="1">
        <f t="shared" si="38"/>
        <v>178.92000000000002</v>
      </c>
      <c r="BA165" s="1" t="str">
        <f t="shared" si="38"/>
        <v/>
      </c>
      <c r="BB165" s="1">
        <f t="shared" si="38"/>
        <v>396.48671999999999</v>
      </c>
      <c r="BC165" s="1">
        <f t="shared" si="38"/>
        <v>396.48671999999999</v>
      </c>
    </row>
    <row r="166" spans="1:55" x14ac:dyDescent="0.25">
      <c r="A166" s="15" t="s">
        <v>51</v>
      </c>
      <c r="B166" s="16" t="s">
        <v>56</v>
      </c>
      <c r="C166" s="27" t="s">
        <v>57</v>
      </c>
      <c r="D166" s="16" t="s">
        <v>70</v>
      </c>
      <c r="E166" s="16"/>
      <c r="F166" s="1">
        <f t="shared" si="37"/>
        <v>0</v>
      </c>
      <c r="G166" s="1">
        <f t="shared" si="41"/>
        <v>0</v>
      </c>
      <c r="H166" s="1">
        <f t="shared" si="41"/>
        <v>0</v>
      </c>
      <c r="I166" s="1">
        <f t="shared" si="41"/>
        <v>0</v>
      </c>
      <c r="J166" s="1">
        <f t="shared" si="41"/>
        <v>0</v>
      </c>
      <c r="K166" s="1">
        <f t="shared" si="41"/>
        <v>0</v>
      </c>
      <c r="L166" s="52">
        <f t="shared" si="41"/>
        <v>0</v>
      </c>
      <c r="M166" s="1">
        <f t="shared" si="41"/>
        <v>0</v>
      </c>
      <c r="N166" s="1">
        <f t="shared" si="41"/>
        <v>0</v>
      </c>
      <c r="O166" s="1">
        <f t="shared" si="41"/>
        <v>0</v>
      </c>
      <c r="P166" s="1">
        <f t="shared" si="41"/>
        <v>0</v>
      </c>
      <c r="Q166" s="1">
        <f t="shared" si="41"/>
        <v>0</v>
      </c>
      <c r="R166" s="1">
        <f t="shared" si="41"/>
        <v>0</v>
      </c>
      <c r="S166" s="1">
        <f t="shared" si="41"/>
        <v>0</v>
      </c>
      <c r="T166" s="1">
        <f t="shared" si="41"/>
        <v>0</v>
      </c>
      <c r="U166" s="1">
        <f t="shared" si="41"/>
        <v>0</v>
      </c>
      <c r="V166" s="1">
        <f t="shared" si="41"/>
        <v>0</v>
      </c>
      <c r="W166" s="1">
        <f t="shared" si="41"/>
        <v>0</v>
      </c>
      <c r="X166" s="54">
        <f t="shared" si="41"/>
        <v>0</v>
      </c>
      <c r="Y166" s="58">
        <f t="shared" si="41"/>
        <v>0</v>
      </c>
      <c r="Z166" s="1">
        <f t="shared" si="41"/>
        <v>0</v>
      </c>
      <c r="AA166" s="1">
        <f t="shared" si="41"/>
        <v>0</v>
      </c>
      <c r="AC166" s="15" t="s">
        <v>51</v>
      </c>
      <c r="AD166" s="16" t="s">
        <v>56</v>
      </c>
      <c r="AE166" s="27" t="s">
        <v>57</v>
      </c>
      <c r="AF166" s="16" t="s">
        <v>70</v>
      </c>
      <c r="AG166" s="16"/>
      <c r="AH166" s="90" t="str">
        <f t="shared" si="40"/>
        <v/>
      </c>
      <c r="AI166" s="90" t="str">
        <f t="shared" si="40"/>
        <v/>
      </c>
      <c r="AJ166" s="90" t="str">
        <f t="shared" si="40"/>
        <v/>
      </c>
      <c r="AK166" s="90" t="str">
        <f t="shared" si="40"/>
        <v/>
      </c>
      <c r="AL166" s="90" t="str">
        <f t="shared" si="40"/>
        <v/>
      </c>
      <c r="AM166" s="90" t="str">
        <f t="shared" si="40"/>
        <v/>
      </c>
      <c r="AN166" s="90" t="str">
        <f t="shared" si="40"/>
        <v/>
      </c>
      <c r="AO166" s="90" t="str">
        <f t="shared" si="40"/>
        <v/>
      </c>
      <c r="AP166" s="90" t="str">
        <f t="shared" si="40"/>
        <v/>
      </c>
      <c r="AQ166" s="90" t="str">
        <f t="shared" si="40"/>
        <v/>
      </c>
      <c r="AR166" s="90" t="str">
        <f t="shared" si="40"/>
        <v/>
      </c>
      <c r="AS166" s="90" t="str">
        <f t="shared" si="40"/>
        <v/>
      </c>
      <c r="AT166" s="90" t="str">
        <f t="shared" si="40"/>
        <v/>
      </c>
      <c r="AU166" s="90" t="str">
        <f t="shared" si="40"/>
        <v/>
      </c>
      <c r="AV166" s="90" t="str">
        <f t="shared" si="40"/>
        <v/>
      </c>
      <c r="AW166" s="90" t="str">
        <f t="shared" si="38"/>
        <v/>
      </c>
      <c r="AX166" s="90" t="str">
        <f t="shared" si="38"/>
        <v/>
      </c>
      <c r="AY166" s="90" t="str">
        <f t="shared" si="38"/>
        <v/>
      </c>
      <c r="AZ166" s="90" t="str">
        <f t="shared" si="38"/>
        <v/>
      </c>
      <c r="BA166" s="90" t="str">
        <f t="shared" si="38"/>
        <v/>
      </c>
      <c r="BB166" s="90" t="str">
        <f t="shared" si="38"/>
        <v/>
      </c>
      <c r="BC166" s="90" t="str">
        <f t="shared" si="38"/>
        <v/>
      </c>
    </row>
    <row r="167" spans="1:55" x14ac:dyDescent="0.25">
      <c r="A167" s="15" t="s">
        <v>51</v>
      </c>
      <c r="B167" s="16" t="s">
        <v>56</v>
      </c>
      <c r="C167" s="27" t="s">
        <v>57</v>
      </c>
      <c r="D167" s="16" t="s">
        <v>71</v>
      </c>
      <c r="E167" s="16"/>
      <c r="F167" s="1">
        <f t="shared" si="37"/>
        <v>0</v>
      </c>
      <c r="G167" s="1">
        <f t="shared" si="41"/>
        <v>0</v>
      </c>
      <c r="H167" s="1">
        <f t="shared" si="41"/>
        <v>0</v>
      </c>
      <c r="I167" s="1">
        <f t="shared" si="41"/>
        <v>0</v>
      </c>
      <c r="J167" s="1">
        <f t="shared" si="41"/>
        <v>0</v>
      </c>
      <c r="K167" s="1">
        <f t="shared" si="41"/>
        <v>0</v>
      </c>
      <c r="L167" s="52">
        <f t="shared" si="41"/>
        <v>0</v>
      </c>
      <c r="M167" s="1">
        <f t="shared" si="41"/>
        <v>0</v>
      </c>
      <c r="N167" s="1">
        <f t="shared" si="41"/>
        <v>0</v>
      </c>
      <c r="O167" s="1">
        <f t="shared" si="41"/>
        <v>0</v>
      </c>
      <c r="P167" s="1">
        <f t="shared" si="41"/>
        <v>0</v>
      </c>
      <c r="Q167" s="1">
        <f t="shared" si="41"/>
        <v>0</v>
      </c>
      <c r="R167" s="1">
        <f t="shared" si="41"/>
        <v>0</v>
      </c>
      <c r="S167" s="1">
        <f t="shared" si="41"/>
        <v>0</v>
      </c>
      <c r="T167" s="1">
        <f t="shared" si="41"/>
        <v>0</v>
      </c>
      <c r="U167" s="1">
        <f t="shared" si="41"/>
        <v>0</v>
      </c>
      <c r="V167" s="1">
        <f t="shared" si="41"/>
        <v>0</v>
      </c>
      <c r="W167" s="1">
        <f t="shared" si="41"/>
        <v>0</v>
      </c>
      <c r="X167" s="54">
        <f t="shared" si="41"/>
        <v>0</v>
      </c>
      <c r="Y167" s="58">
        <f t="shared" si="41"/>
        <v>0</v>
      </c>
      <c r="Z167" s="1">
        <f t="shared" si="41"/>
        <v>0</v>
      </c>
      <c r="AA167" s="1">
        <f t="shared" si="41"/>
        <v>0</v>
      </c>
      <c r="AC167" s="15" t="s">
        <v>51</v>
      </c>
      <c r="AD167" s="16" t="s">
        <v>56</v>
      </c>
      <c r="AE167" s="27" t="s">
        <v>57</v>
      </c>
      <c r="AF167" s="16" t="s">
        <v>71</v>
      </c>
      <c r="AG167" s="16"/>
      <c r="AH167" s="90" t="str">
        <f t="shared" si="40"/>
        <v/>
      </c>
      <c r="AI167" s="90" t="str">
        <f t="shared" si="40"/>
        <v/>
      </c>
      <c r="AJ167" s="90" t="str">
        <f t="shared" si="40"/>
        <v/>
      </c>
      <c r="AK167" s="90" t="str">
        <f t="shared" si="40"/>
        <v/>
      </c>
      <c r="AL167" s="90" t="str">
        <f t="shared" si="40"/>
        <v/>
      </c>
      <c r="AM167" s="90" t="str">
        <f t="shared" si="40"/>
        <v/>
      </c>
      <c r="AN167" s="90" t="str">
        <f t="shared" si="40"/>
        <v/>
      </c>
      <c r="AO167" s="90" t="str">
        <f t="shared" si="40"/>
        <v/>
      </c>
      <c r="AP167" s="90" t="str">
        <f t="shared" si="40"/>
        <v/>
      </c>
      <c r="AQ167" s="90" t="str">
        <f t="shared" si="40"/>
        <v/>
      </c>
      <c r="AR167" s="90" t="str">
        <f t="shared" si="40"/>
        <v/>
      </c>
      <c r="AS167" s="90" t="str">
        <f t="shared" si="40"/>
        <v/>
      </c>
      <c r="AT167" s="90" t="str">
        <f t="shared" si="40"/>
        <v/>
      </c>
      <c r="AU167" s="90" t="str">
        <f t="shared" si="40"/>
        <v/>
      </c>
      <c r="AV167" s="90" t="str">
        <f t="shared" si="40"/>
        <v/>
      </c>
      <c r="AW167" s="90" t="str">
        <f t="shared" si="38"/>
        <v/>
      </c>
      <c r="AX167" s="90" t="str">
        <f t="shared" si="38"/>
        <v/>
      </c>
      <c r="AY167" s="90" t="str">
        <f t="shared" si="38"/>
        <v/>
      </c>
      <c r="AZ167" s="90" t="str">
        <f t="shared" si="38"/>
        <v/>
      </c>
      <c r="BA167" s="90" t="str">
        <f t="shared" si="38"/>
        <v/>
      </c>
      <c r="BB167" s="90" t="str">
        <f t="shared" si="38"/>
        <v/>
      </c>
      <c r="BC167" s="90" t="str">
        <f t="shared" si="38"/>
        <v/>
      </c>
    </row>
    <row r="168" spans="1:55" x14ac:dyDescent="0.25">
      <c r="A168" s="15" t="s">
        <v>51</v>
      </c>
      <c r="B168" s="16" t="s">
        <v>56</v>
      </c>
      <c r="C168" s="27" t="s">
        <v>27</v>
      </c>
      <c r="D168" s="16" t="s">
        <v>72</v>
      </c>
      <c r="E168" s="16"/>
      <c r="F168" s="1">
        <f t="shared" si="37"/>
        <v>0</v>
      </c>
      <c r="G168" s="1">
        <f t="shared" si="41"/>
        <v>0</v>
      </c>
      <c r="H168" s="1">
        <f t="shared" si="41"/>
        <v>0</v>
      </c>
      <c r="I168" s="1">
        <f t="shared" si="41"/>
        <v>0</v>
      </c>
      <c r="J168" s="1">
        <f t="shared" si="41"/>
        <v>0</v>
      </c>
      <c r="K168" s="1">
        <f t="shared" si="41"/>
        <v>0</v>
      </c>
      <c r="L168" s="52">
        <f t="shared" si="41"/>
        <v>0</v>
      </c>
      <c r="M168" s="1">
        <f t="shared" si="41"/>
        <v>0</v>
      </c>
      <c r="N168" s="1">
        <f t="shared" si="41"/>
        <v>0</v>
      </c>
      <c r="O168" s="1">
        <f t="shared" si="41"/>
        <v>0</v>
      </c>
      <c r="P168" s="1">
        <f t="shared" si="41"/>
        <v>0</v>
      </c>
      <c r="Q168" s="1">
        <f t="shared" si="41"/>
        <v>0</v>
      </c>
      <c r="R168" s="1">
        <f t="shared" si="41"/>
        <v>0</v>
      </c>
      <c r="S168" s="1">
        <f t="shared" si="41"/>
        <v>0</v>
      </c>
      <c r="T168" s="1">
        <f t="shared" si="41"/>
        <v>0</v>
      </c>
      <c r="U168" s="1">
        <f t="shared" si="41"/>
        <v>0</v>
      </c>
      <c r="V168" s="1">
        <f t="shared" si="41"/>
        <v>0</v>
      </c>
      <c r="W168" s="1">
        <f t="shared" si="41"/>
        <v>0</v>
      </c>
      <c r="X168" s="54">
        <f t="shared" si="41"/>
        <v>0</v>
      </c>
      <c r="Y168" s="58">
        <f t="shared" si="41"/>
        <v>0</v>
      </c>
      <c r="Z168" s="1">
        <f t="shared" si="41"/>
        <v>0</v>
      </c>
      <c r="AA168" s="1">
        <f t="shared" si="41"/>
        <v>0</v>
      </c>
      <c r="AC168" s="15" t="s">
        <v>51</v>
      </c>
      <c r="AD168" s="16" t="s">
        <v>56</v>
      </c>
      <c r="AE168" s="27" t="s">
        <v>27</v>
      </c>
      <c r="AF168" s="16" t="s">
        <v>72</v>
      </c>
      <c r="AG168" s="16"/>
      <c r="AH168" s="90" t="str">
        <f t="shared" si="40"/>
        <v/>
      </c>
      <c r="AI168" s="90" t="str">
        <f t="shared" si="40"/>
        <v/>
      </c>
      <c r="AJ168" s="90" t="str">
        <f t="shared" si="40"/>
        <v/>
      </c>
      <c r="AK168" s="90" t="str">
        <f t="shared" si="40"/>
        <v/>
      </c>
      <c r="AL168" s="90" t="str">
        <f t="shared" si="40"/>
        <v/>
      </c>
      <c r="AM168" s="90" t="str">
        <f t="shared" si="40"/>
        <v/>
      </c>
      <c r="AN168" s="90" t="str">
        <f t="shared" si="40"/>
        <v/>
      </c>
      <c r="AO168" s="90" t="str">
        <f t="shared" si="40"/>
        <v/>
      </c>
      <c r="AP168" s="90" t="str">
        <f t="shared" si="40"/>
        <v/>
      </c>
      <c r="AQ168" s="90" t="str">
        <f t="shared" si="40"/>
        <v/>
      </c>
      <c r="AR168" s="90" t="str">
        <f t="shared" si="40"/>
        <v/>
      </c>
      <c r="AS168" s="90" t="str">
        <f t="shared" si="40"/>
        <v/>
      </c>
      <c r="AT168" s="90" t="str">
        <f t="shared" si="40"/>
        <v/>
      </c>
      <c r="AU168" s="90" t="str">
        <f t="shared" si="40"/>
        <v/>
      </c>
      <c r="AV168" s="90" t="str">
        <f t="shared" si="40"/>
        <v/>
      </c>
      <c r="AW168" s="90" t="str">
        <f t="shared" si="38"/>
        <v/>
      </c>
      <c r="AX168" s="90" t="str">
        <f t="shared" si="38"/>
        <v/>
      </c>
      <c r="AY168" s="90" t="str">
        <f t="shared" si="38"/>
        <v/>
      </c>
      <c r="AZ168" s="90" t="str">
        <f t="shared" si="38"/>
        <v/>
      </c>
      <c r="BA168" s="90" t="str">
        <f t="shared" si="38"/>
        <v/>
      </c>
      <c r="BB168" s="90" t="str">
        <f t="shared" si="38"/>
        <v/>
      </c>
      <c r="BC168" s="90" t="str">
        <f t="shared" si="38"/>
        <v/>
      </c>
    </row>
    <row r="169" spans="1:55" x14ac:dyDescent="0.25">
      <c r="A169" s="15" t="s">
        <v>51</v>
      </c>
      <c r="B169" s="16" t="s">
        <v>56</v>
      </c>
      <c r="C169" s="27" t="s">
        <v>57</v>
      </c>
      <c r="D169" s="16" t="s">
        <v>73</v>
      </c>
      <c r="E169" s="16"/>
      <c r="F169" s="1">
        <f t="shared" si="37"/>
        <v>0</v>
      </c>
      <c r="G169" s="1">
        <f t="shared" si="41"/>
        <v>0</v>
      </c>
      <c r="H169" s="1">
        <f t="shared" si="41"/>
        <v>0</v>
      </c>
      <c r="I169" s="1">
        <f t="shared" si="41"/>
        <v>0</v>
      </c>
      <c r="J169" s="1">
        <f t="shared" si="41"/>
        <v>0</v>
      </c>
      <c r="K169" s="1">
        <f t="shared" si="41"/>
        <v>0</v>
      </c>
      <c r="L169" s="52">
        <f t="shared" si="41"/>
        <v>0</v>
      </c>
      <c r="M169" s="1">
        <f t="shared" si="41"/>
        <v>0</v>
      </c>
      <c r="N169" s="1">
        <f t="shared" si="41"/>
        <v>0</v>
      </c>
      <c r="O169" s="1">
        <f t="shared" si="41"/>
        <v>0</v>
      </c>
      <c r="P169" s="1">
        <f t="shared" si="41"/>
        <v>0</v>
      </c>
      <c r="Q169" s="1">
        <f t="shared" si="41"/>
        <v>0</v>
      </c>
      <c r="R169" s="1">
        <f t="shared" si="41"/>
        <v>0</v>
      </c>
      <c r="S169" s="1">
        <f t="shared" si="41"/>
        <v>0</v>
      </c>
      <c r="T169" s="1">
        <f t="shared" si="41"/>
        <v>0</v>
      </c>
      <c r="U169" s="1">
        <f t="shared" si="41"/>
        <v>0</v>
      </c>
      <c r="V169" s="1">
        <f t="shared" si="41"/>
        <v>0</v>
      </c>
      <c r="W169" s="1">
        <f t="shared" si="41"/>
        <v>0</v>
      </c>
      <c r="X169" s="54">
        <f t="shared" si="41"/>
        <v>0</v>
      </c>
      <c r="Y169" s="58">
        <f t="shared" si="41"/>
        <v>0</v>
      </c>
      <c r="Z169" s="1">
        <f t="shared" si="41"/>
        <v>0</v>
      </c>
      <c r="AA169" s="1">
        <f t="shared" si="41"/>
        <v>0</v>
      </c>
      <c r="AC169" s="15" t="s">
        <v>51</v>
      </c>
      <c r="AD169" s="16" t="s">
        <v>56</v>
      </c>
      <c r="AE169" s="27" t="s">
        <v>57</v>
      </c>
      <c r="AF169" s="16" t="s">
        <v>73</v>
      </c>
      <c r="AG169" s="16"/>
      <c r="AH169" s="90" t="str">
        <f t="shared" si="40"/>
        <v/>
      </c>
      <c r="AI169" s="90" t="str">
        <f t="shared" si="40"/>
        <v/>
      </c>
      <c r="AJ169" s="90" t="str">
        <f t="shared" si="40"/>
        <v/>
      </c>
      <c r="AK169" s="90" t="str">
        <f t="shared" si="40"/>
        <v/>
      </c>
      <c r="AL169" s="90" t="str">
        <f t="shared" si="40"/>
        <v/>
      </c>
      <c r="AM169" s="90" t="str">
        <f t="shared" si="40"/>
        <v/>
      </c>
      <c r="AN169" s="90" t="str">
        <f t="shared" si="40"/>
        <v/>
      </c>
      <c r="AO169" s="90" t="str">
        <f t="shared" si="40"/>
        <v/>
      </c>
      <c r="AP169" s="90" t="str">
        <f t="shared" si="40"/>
        <v/>
      </c>
      <c r="AQ169" s="90" t="str">
        <f t="shared" si="40"/>
        <v/>
      </c>
      <c r="AR169" s="90" t="str">
        <f t="shared" si="40"/>
        <v/>
      </c>
      <c r="AS169" s="90" t="str">
        <f t="shared" si="40"/>
        <v/>
      </c>
      <c r="AT169" s="90" t="str">
        <f t="shared" si="40"/>
        <v/>
      </c>
      <c r="AU169" s="90" t="str">
        <f t="shared" si="40"/>
        <v/>
      </c>
      <c r="AV169" s="90" t="str">
        <f t="shared" si="40"/>
        <v/>
      </c>
      <c r="AW169" s="90" t="str">
        <f t="shared" si="38"/>
        <v/>
      </c>
      <c r="AX169" s="90" t="str">
        <f t="shared" si="38"/>
        <v/>
      </c>
      <c r="AY169" s="90" t="str">
        <f t="shared" si="38"/>
        <v/>
      </c>
      <c r="AZ169" s="90" t="str">
        <f t="shared" si="38"/>
        <v/>
      </c>
      <c r="BA169" s="90" t="str">
        <f t="shared" si="38"/>
        <v/>
      </c>
      <c r="BB169" s="90" t="str">
        <f t="shared" si="38"/>
        <v/>
      </c>
      <c r="BC169" s="90" t="str">
        <f t="shared" si="38"/>
        <v/>
      </c>
    </row>
    <row r="170" spans="1:55" x14ac:dyDescent="0.25">
      <c r="A170" s="15" t="s">
        <v>51</v>
      </c>
      <c r="B170" s="16" t="s">
        <v>56</v>
      </c>
      <c r="C170" s="27" t="s">
        <v>57</v>
      </c>
      <c r="D170" s="16" t="s">
        <v>74</v>
      </c>
      <c r="E170" s="16"/>
      <c r="F170" s="1">
        <f t="shared" si="37"/>
        <v>0</v>
      </c>
      <c r="G170" s="1">
        <f t="shared" si="41"/>
        <v>0</v>
      </c>
      <c r="H170" s="1">
        <f t="shared" si="41"/>
        <v>0</v>
      </c>
      <c r="I170" s="1">
        <f t="shared" si="41"/>
        <v>0</v>
      </c>
      <c r="J170" s="1">
        <f t="shared" si="41"/>
        <v>0</v>
      </c>
      <c r="K170" s="1">
        <f t="shared" si="41"/>
        <v>0</v>
      </c>
      <c r="L170" s="52">
        <f t="shared" si="41"/>
        <v>0</v>
      </c>
      <c r="M170" s="1">
        <f t="shared" si="41"/>
        <v>0</v>
      </c>
      <c r="N170" s="1">
        <f t="shared" si="41"/>
        <v>0</v>
      </c>
      <c r="O170" s="1">
        <f t="shared" si="41"/>
        <v>0</v>
      </c>
      <c r="P170" s="1">
        <f t="shared" si="41"/>
        <v>0</v>
      </c>
      <c r="Q170" s="1">
        <f t="shared" si="41"/>
        <v>0</v>
      </c>
      <c r="R170" s="1">
        <f t="shared" si="41"/>
        <v>0</v>
      </c>
      <c r="S170" s="1">
        <f t="shared" si="41"/>
        <v>0</v>
      </c>
      <c r="T170" s="1">
        <f t="shared" si="41"/>
        <v>0</v>
      </c>
      <c r="U170" s="1">
        <f t="shared" si="41"/>
        <v>0</v>
      </c>
      <c r="V170" s="1">
        <f t="shared" si="41"/>
        <v>0</v>
      </c>
      <c r="W170" s="1">
        <f t="shared" si="41"/>
        <v>0</v>
      </c>
      <c r="X170" s="54">
        <f t="shared" si="41"/>
        <v>0</v>
      </c>
      <c r="Y170" s="58">
        <f t="shared" si="41"/>
        <v>0</v>
      </c>
      <c r="Z170" s="1">
        <f t="shared" si="41"/>
        <v>0</v>
      </c>
      <c r="AA170" s="1">
        <f t="shared" si="41"/>
        <v>0</v>
      </c>
      <c r="AC170" s="15" t="s">
        <v>51</v>
      </c>
      <c r="AD170" s="16" t="s">
        <v>56</v>
      </c>
      <c r="AE170" s="27" t="s">
        <v>57</v>
      </c>
      <c r="AF170" s="16" t="s">
        <v>74</v>
      </c>
      <c r="AG170" s="16"/>
      <c r="AH170" s="90" t="str">
        <f t="shared" si="40"/>
        <v/>
      </c>
      <c r="AI170" s="90" t="str">
        <f t="shared" si="40"/>
        <v/>
      </c>
      <c r="AJ170" s="90" t="str">
        <f t="shared" si="40"/>
        <v/>
      </c>
      <c r="AK170" s="90" t="str">
        <f t="shared" si="40"/>
        <v/>
      </c>
      <c r="AL170" s="90" t="str">
        <f t="shared" si="40"/>
        <v/>
      </c>
      <c r="AM170" s="90" t="str">
        <f t="shared" si="40"/>
        <v/>
      </c>
      <c r="AN170" s="90" t="str">
        <f t="shared" si="40"/>
        <v/>
      </c>
      <c r="AO170" s="90" t="str">
        <f t="shared" si="40"/>
        <v/>
      </c>
      <c r="AP170" s="90" t="str">
        <f t="shared" si="40"/>
        <v/>
      </c>
      <c r="AQ170" s="90" t="str">
        <f t="shared" si="40"/>
        <v/>
      </c>
      <c r="AR170" s="90" t="str">
        <f t="shared" si="40"/>
        <v/>
      </c>
      <c r="AS170" s="90" t="str">
        <f t="shared" si="40"/>
        <v/>
      </c>
      <c r="AT170" s="90" t="str">
        <f t="shared" si="40"/>
        <v/>
      </c>
      <c r="AU170" s="90" t="str">
        <f t="shared" si="40"/>
        <v/>
      </c>
      <c r="AV170" s="90" t="str">
        <f t="shared" si="40"/>
        <v/>
      </c>
      <c r="AW170" s="90" t="str">
        <f t="shared" si="38"/>
        <v/>
      </c>
      <c r="AX170" s="90" t="str">
        <f t="shared" si="38"/>
        <v/>
      </c>
      <c r="AY170" s="90" t="str">
        <f t="shared" si="38"/>
        <v/>
      </c>
      <c r="AZ170" s="90" t="str">
        <f t="shared" si="38"/>
        <v/>
      </c>
      <c r="BA170" s="90" t="str">
        <f t="shared" si="38"/>
        <v/>
      </c>
      <c r="BB170" s="90" t="str">
        <f t="shared" si="38"/>
        <v/>
      </c>
      <c r="BC170" s="90" t="str">
        <f t="shared" si="38"/>
        <v/>
      </c>
    </row>
    <row r="171" spans="1:55" x14ac:dyDescent="0.25">
      <c r="A171" s="30" t="s">
        <v>60</v>
      </c>
      <c r="B171" s="31" t="s">
        <v>13</v>
      </c>
      <c r="C171" s="32" t="s">
        <v>61</v>
      </c>
      <c r="D171" s="31" t="s">
        <v>75</v>
      </c>
      <c r="E171" s="31"/>
      <c r="F171" s="51">
        <f t="shared" ref="F171:K171" si="42">F156</f>
        <v>53.45765345765345</v>
      </c>
      <c r="G171" s="51">
        <f t="shared" si="42"/>
        <v>0</v>
      </c>
      <c r="H171" s="51">
        <f t="shared" si="42"/>
        <v>5.35</v>
      </c>
      <c r="I171" s="51">
        <f t="shared" si="42"/>
        <v>29</v>
      </c>
      <c r="J171" s="51">
        <f t="shared" si="42"/>
        <v>53.475935828876999</v>
      </c>
      <c r="K171" s="51">
        <f t="shared" si="42"/>
        <v>29</v>
      </c>
      <c r="L171" s="52">
        <f t="shared" si="41"/>
        <v>0</v>
      </c>
      <c r="M171" s="51">
        <f t="shared" si="41"/>
        <v>400</v>
      </c>
      <c r="N171" s="51">
        <f t="shared" si="41"/>
        <v>0</v>
      </c>
      <c r="O171" s="51">
        <f t="shared" si="41"/>
        <v>0</v>
      </c>
      <c r="P171" s="51">
        <f t="shared" si="41"/>
        <v>0</v>
      </c>
      <c r="Q171" s="51">
        <f t="shared" si="41"/>
        <v>0</v>
      </c>
      <c r="R171" s="51">
        <f t="shared" si="41"/>
        <v>0</v>
      </c>
      <c r="S171" s="51">
        <f t="shared" si="41"/>
        <v>0</v>
      </c>
      <c r="T171" s="51">
        <f t="shared" si="41"/>
        <v>0</v>
      </c>
      <c r="U171" s="51">
        <f t="shared" si="41"/>
        <v>0</v>
      </c>
      <c r="V171" s="51">
        <f t="shared" si="41"/>
        <v>0</v>
      </c>
      <c r="W171" s="51">
        <f t="shared" si="41"/>
        <v>426</v>
      </c>
      <c r="X171" s="55">
        <f t="shared" si="41"/>
        <v>426</v>
      </c>
      <c r="Y171" s="59">
        <f t="shared" si="41"/>
        <v>10.811296589525558</v>
      </c>
      <c r="Z171" s="51">
        <f t="shared" si="41"/>
        <v>420.55227655986516</v>
      </c>
      <c r="AA171" s="51">
        <f t="shared" si="41"/>
        <v>12.700323383043507</v>
      </c>
      <c r="AC171" s="30" t="s">
        <v>60</v>
      </c>
      <c r="AD171" s="31" t="s">
        <v>13</v>
      </c>
      <c r="AE171" s="32" t="s">
        <v>61</v>
      </c>
      <c r="AF171" s="31" t="s">
        <v>75</v>
      </c>
      <c r="AG171" s="31"/>
      <c r="AH171" s="1">
        <f t="shared" si="40"/>
        <v>7.617717171717171</v>
      </c>
      <c r="AI171" s="1" t="str">
        <f t="shared" si="40"/>
        <v/>
      </c>
      <c r="AJ171" s="1">
        <f t="shared" si="40"/>
        <v>1.4666666666666666</v>
      </c>
      <c r="AK171" s="1">
        <f t="shared" si="40"/>
        <v>7.6544217687074827</v>
      </c>
      <c r="AL171" s="1">
        <f t="shared" si="40"/>
        <v>29.411764705882351</v>
      </c>
      <c r="AM171" s="1">
        <f t="shared" si="40"/>
        <v>8.3374999999999986</v>
      </c>
      <c r="AN171" s="52" t="str">
        <f t="shared" si="40"/>
        <v/>
      </c>
      <c r="AO171" s="1">
        <f t="shared" si="40"/>
        <v>166.62857142857146</v>
      </c>
      <c r="AP171" s="1" t="str">
        <f t="shared" si="40"/>
        <v/>
      </c>
      <c r="AQ171" s="1" t="str">
        <f t="shared" si="40"/>
        <v/>
      </c>
      <c r="AR171" s="1" t="str">
        <f t="shared" si="40"/>
        <v/>
      </c>
      <c r="AS171" s="1" t="str">
        <f t="shared" si="40"/>
        <v/>
      </c>
      <c r="AT171" s="1" t="str">
        <f t="shared" si="40"/>
        <v/>
      </c>
      <c r="AU171" s="1" t="str">
        <f t="shared" si="40"/>
        <v/>
      </c>
      <c r="AV171" s="1" t="str">
        <f t="shared" si="40"/>
        <v/>
      </c>
      <c r="AW171" s="1" t="str">
        <f t="shared" si="38"/>
        <v/>
      </c>
      <c r="AX171" s="1" t="str">
        <f t="shared" si="38"/>
        <v/>
      </c>
      <c r="AY171" s="1">
        <f t="shared" si="38"/>
        <v>255.6</v>
      </c>
      <c r="AZ171" s="1">
        <f t="shared" si="38"/>
        <v>170.39999999999998</v>
      </c>
      <c r="BA171" s="1">
        <f t="shared" si="38"/>
        <v>2.6833128124240666</v>
      </c>
      <c r="BB171" s="1">
        <f t="shared" si="38"/>
        <v>216.7535413153457</v>
      </c>
      <c r="BC171" s="1">
        <f t="shared" si="38"/>
        <v>3.670239717723609</v>
      </c>
    </row>
    <row r="172" spans="1:55" x14ac:dyDescent="0.25">
      <c r="A172" s="30" t="s">
        <v>60</v>
      </c>
      <c r="B172" s="31" t="s">
        <v>13</v>
      </c>
      <c r="C172" s="32" t="s">
        <v>61</v>
      </c>
      <c r="D172" s="31" t="s">
        <v>76</v>
      </c>
      <c r="E172" s="31"/>
      <c r="F172" s="51">
        <f t="shared" ref="F172:K172" si="43">F156</f>
        <v>53.45765345765345</v>
      </c>
      <c r="G172" s="51">
        <f t="shared" si="43"/>
        <v>0</v>
      </c>
      <c r="H172" s="51">
        <f t="shared" si="43"/>
        <v>5.35</v>
      </c>
      <c r="I172" s="51">
        <f t="shared" si="43"/>
        <v>29</v>
      </c>
      <c r="J172" s="51">
        <f t="shared" si="43"/>
        <v>53.475935828876999</v>
      </c>
      <c r="K172" s="51">
        <f t="shared" si="43"/>
        <v>29</v>
      </c>
      <c r="L172" s="52">
        <f t="shared" si="41"/>
        <v>0</v>
      </c>
      <c r="M172" s="51">
        <f t="shared" si="41"/>
        <v>400</v>
      </c>
      <c r="N172" s="51">
        <f t="shared" si="41"/>
        <v>833.33333333333326</v>
      </c>
      <c r="O172" s="51">
        <f>IF(O217&gt;0,O37/O217,0)</f>
        <v>10000</v>
      </c>
      <c r="P172" s="51">
        <f t="shared" si="41"/>
        <v>100000</v>
      </c>
      <c r="Q172" s="51">
        <f t="shared" si="41"/>
        <v>0</v>
      </c>
      <c r="R172" s="51">
        <f>R156</f>
        <v>426</v>
      </c>
      <c r="S172" s="51">
        <f t="shared" si="41"/>
        <v>0</v>
      </c>
      <c r="T172" s="51">
        <f t="shared" si="41"/>
        <v>0</v>
      </c>
      <c r="U172" s="51">
        <f t="shared" si="41"/>
        <v>0</v>
      </c>
      <c r="V172" s="51">
        <f t="shared" si="41"/>
        <v>0</v>
      </c>
      <c r="W172" s="51">
        <f t="shared" si="41"/>
        <v>0</v>
      </c>
      <c r="X172" s="55">
        <f t="shared" si="41"/>
        <v>426</v>
      </c>
      <c r="Y172" s="59">
        <f t="shared" si="41"/>
        <v>47.887435779047564</v>
      </c>
      <c r="Z172" s="51">
        <f t="shared" si="41"/>
        <v>876.50396110277438</v>
      </c>
      <c r="AA172" s="51">
        <f t="shared" si="41"/>
        <v>112.59196254040529</v>
      </c>
      <c r="AC172" s="30" t="s">
        <v>60</v>
      </c>
      <c r="AD172" s="31" t="s">
        <v>13</v>
      </c>
      <c r="AE172" s="32" t="s">
        <v>61</v>
      </c>
      <c r="AF172" s="31" t="s">
        <v>76</v>
      </c>
      <c r="AG172" s="31"/>
      <c r="AH172" s="1">
        <f t="shared" si="40"/>
        <v>7.617717171717171</v>
      </c>
      <c r="AI172" s="1" t="str">
        <f t="shared" si="40"/>
        <v/>
      </c>
      <c r="AJ172" s="1" t="str">
        <f t="shared" si="40"/>
        <v/>
      </c>
      <c r="AK172" s="1">
        <f t="shared" si="40"/>
        <v>7.6544217687074827</v>
      </c>
      <c r="AL172" s="1">
        <f t="shared" si="40"/>
        <v>29.411764705882348</v>
      </c>
      <c r="AM172" s="1">
        <f t="shared" si="40"/>
        <v>8.3374999999999986</v>
      </c>
      <c r="AN172" s="52" t="str">
        <f t="shared" si="40"/>
        <v/>
      </c>
      <c r="AO172" s="1">
        <f t="shared" si="40"/>
        <v>166.62857142857146</v>
      </c>
      <c r="AP172" s="1">
        <f t="shared" si="40"/>
        <v>277.77777777777777</v>
      </c>
      <c r="AQ172" s="1">
        <f t="shared" si="40"/>
        <v>3333.3333333333335</v>
      </c>
      <c r="AR172" s="1">
        <f t="shared" si="40"/>
        <v>20000</v>
      </c>
      <c r="AS172" s="1" t="str">
        <f t="shared" si="40"/>
        <v/>
      </c>
      <c r="AT172" s="1">
        <f t="shared" si="40"/>
        <v>204.47999999999996</v>
      </c>
      <c r="AU172" s="1" t="str">
        <f t="shared" si="40"/>
        <v/>
      </c>
      <c r="AV172" s="1" t="str">
        <f t="shared" si="40"/>
        <v/>
      </c>
      <c r="AW172" s="1" t="str">
        <f t="shared" si="38"/>
        <v/>
      </c>
      <c r="AX172" s="1" t="str">
        <f t="shared" si="38"/>
        <v/>
      </c>
      <c r="AY172" s="1" t="str">
        <f t="shared" si="38"/>
        <v/>
      </c>
      <c r="AZ172" s="1">
        <f t="shared" si="38"/>
        <v>170.39999999999998</v>
      </c>
      <c r="BA172" s="1">
        <f t="shared" si="38"/>
        <v>12.500199360657808</v>
      </c>
      <c r="BB172" s="1">
        <f t="shared" si="38"/>
        <v>286.07657274137301</v>
      </c>
      <c r="BC172" s="1">
        <f t="shared" si="38"/>
        <v>33.863072573658172</v>
      </c>
    </row>
    <row r="173" spans="1:55" x14ac:dyDescent="0.25">
      <c r="A173" s="30" t="s">
        <v>60</v>
      </c>
      <c r="B173" s="31" t="s">
        <v>13</v>
      </c>
      <c r="C173" s="32" t="s">
        <v>61</v>
      </c>
      <c r="D173" s="31" t="s">
        <v>77</v>
      </c>
      <c r="E173" s="31"/>
      <c r="F173" s="51">
        <f t="shared" ref="F173:K173" si="44">F156</f>
        <v>53.45765345765345</v>
      </c>
      <c r="G173" s="51">
        <f t="shared" si="44"/>
        <v>0</v>
      </c>
      <c r="H173" s="51">
        <f t="shared" si="44"/>
        <v>5.35</v>
      </c>
      <c r="I173" s="51">
        <f t="shared" si="44"/>
        <v>29</v>
      </c>
      <c r="J173" s="51">
        <f t="shared" si="44"/>
        <v>53.475935828876999</v>
      </c>
      <c r="K173" s="51">
        <f t="shared" si="44"/>
        <v>29</v>
      </c>
      <c r="L173" s="52">
        <f t="shared" si="41"/>
        <v>0</v>
      </c>
      <c r="M173" s="51">
        <f t="shared" si="41"/>
        <v>400</v>
      </c>
      <c r="N173" s="51">
        <f t="shared" si="41"/>
        <v>0</v>
      </c>
      <c r="O173" s="51">
        <f t="shared" si="41"/>
        <v>10000</v>
      </c>
      <c r="P173" s="51">
        <f t="shared" si="41"/>
        <v>100000</v>
      </c>
      <c r="Q173" s="51">
        <f t="shared" si="41"/>
        <v>0</v>
      </c>
      <c r="R173" s="51">
        <f t="shared" si="41"/>
        <v>0</v>
      </c>
      <c r="S173" s="51">
        <f t="shared" si="41"/>
        <v>0</v>
      </c>
      <c r="T173" s="51">
        <f t="shared" si="41"/>
        <v>426</v>
      </c>
      <c r="U173" s="51">
        <f t="shared" si="41"/>
        <v>426</v>
      </c>
      <c r="V173" s="51">
        <f t="shared" si="41"/>
        <v>0</v>
      </c>
      <c r="W173" s="51">
        <f t="shared" si="41"/>
        <v>0</v>
      </c>
      <c r="X173" s="55">
        <f t="shared" si="41"/>
        <v>426</v>
      </c>
      <c r="Y173" s="59">
        <f t="shared" si="41"/>
        <v>28.999999999999996</v>
      </c>
      <c r="Z173" s="51">
        <f t="shared" si="41"/>
        <v>1121.6319949572344</v>
      </c>
      <c r="AA173" s="51">
        <f t="shared" si="41"/>
        <v>974.49184420430777</v>
      </c>
      <c r="AC173" s="30" t="s">
        <v>60</v>
      </c>
      <c r="AD173" s="31" t="s">
        <v>13</v>
      </c>
      <c r="AE173" s="32" t="s">
        <v>61</v>
      </c>
      <c r="AF173" s="31" t="s">
        <v>77</v>
      </c>
      <c r="AG173" s="31"/>
      <c r="AH173" s="1" t="str">
        <f t="shared" ref="AH173:AV180" si="45">IF(F218&gt;0,F83/F218,"")</f>
        <v/>
      </c>
      <c r="AI173" s="1" t="str">
        <f t="shared" si="45"/>
        <v/>
      </c>
      <c r="AJ173" s="1" t="str">
        <f t="shared" si="45"/>
        <v/>
      </c>
      <c r="AK173" s="1" t="str">
        <f t="shared" si="45"/>
        <v/>
      </c>
      <c r="AL173" s="1" t="str">
        <f t="shared" si="45"/>
        <v/>
      </c>
      <c r="AM173" s="1">
        <f t="shared" si="45"/>
        <v>8.3374999999999986</v>
      </c>
      <c r="AN173" s="52" t="str">
        <f t="shared" si="45"/>
        <v/>
      </c>
      <c r="AO173" s="1">
        <f t="shared" si="45"/>
        <v>166.62857142857143</v>
      </c>
      <c r="AP173" s="1" t="str">
        <f t="shared" si="45"/>
        <v/>
      </c>
      <c r="AQ173" s="1">
        <f t="shared" si="45"/>
        <v>3333.3333333333335</v>
      </c>
      <c r="AR173" s="1">
        <f t="shared" si="45"/>
        <v>20000</v>
      </c>
      <c r="AS173" s="1" t="str">
        <f t="shared" si="45"/>
        <v/>
      </c>
      <c r="AT173" s="1" t="str">
        <f t="shared" si="45"/>
        <v/>
      </c>
      <c r="AU173" s="1" t="str">
        <f t="shared" si="45"/>
        <v/>
      </c>
      <c r="AV173" s="1">
        <f t="shared" si="45"/>
        <v>204.48</v>
      </c>
      <c r="AW173" s="1">
        <f t="shared" si="38"/>
        <v>204.47999999999996</v>
      </c>
      <c r="AX173" s="1" t="str">
        <f t="shared" si="38"/>
        <v/>
      </c>
      <c r="AY173" s="1" t="str">
        <f t="shared" si="38"/>
        <v/>
      </c>
      <c r="AZ173" s="1">
        <f t="shared" si="38"/>
        <v>170.4</v>
      </c>
      <c r="BA173" s="1">
        <f t="shared" si="38"/>
        <v>8.3374999999999986</v>
      </c>
      <c r="BB173" s="1">
        <f t="shared" si="38"/>
        <v>331.93579243676419</v>
      </c>
      <c r="BC173" s="1">
        <f t="shared" si="38"/>
        <v>288.35817275119132</v>
      </c>
    </row>
    <row r="174" spans="1:55" x14ac:dyDescent="0.25">
      <c r="A174" s="30" t="s">
        <v>60</v>
      </c>
      <c r="B174" s="31" t="s">
        <v>13</v>
      </c>
      <c r="C174" s="32" t="s">
        <v>61</v>
      </c>
      <c r="D174" s="31" t="s">
        <v>78</v>
      </c>
      <c r="E174" s="31"/>
      <c r="F174" s="51">
        <f t="shared" ref="F174:K174" si="46">F156</f>
        <v>53.45765345765345</v>
      </c>
      <c r="G174" s="51">
        <f t="shared" si="46"/>
        <v>0</v>
      </c>
      <c r="H174" s="51">
        <f t="shared" si="46"/>
        <v>5.35</v>
      </c>
      <c r="I174" s="51">
        <f t="shared" si="46"/>
        <v>29</v>
      </c>
      <c r="J174" s="51">
        <f t="shared" si="46"/>
        <v>53.475935828876999</v>
      </c>
      <c r="K174" s="51">
        <f t="shared" si="46"/>
        <v>29</v>
      </c>
      <c r="L174" s="52">
        <f t="shared" si="41"/>
        <v>0</v>
      </c>
      <c r="M174" s="51">
        <f t="shared" si="41"/>
        <v>0</v>
      </c>
      <c r="N174" s="51">
        <f t="shared" si="41"/>
        <v>0</v>
      </c>
      <c r="O174" s="51">
        <f t="shared" si="41"/>
        <v>0</v>
      </c>
      <c r="P174" s="51">
        <f t="shared" si="41"/>
        <v>100000</v>
      </c>
      <c r="Q174" s="51">
        <f t="shared" si="41"/>
        <v>940</v>
      </c>
      <c r="R174" s="51">
        <f t="shared" si="41"/>
        <v>0</v>
      </c>
      <c r="S174" s="51">
        <f t="shared" si="41"/>
        <v>0</v>
      </c>
      <c r="T174" s="51">
        <f t="shared" si="41"/>
        <v>0</v>
      </c>
      <c r="U174" s="51">
        <f t="shared" si="41"/>
        <v>0</v>
      </c>
      <c r="V174" s="51">
        <f t="shared" si="41"/>
        <v>0</v>
      </c>
      <c r="W174" s="51">
        <f t="shared" si="41"/>
        <v>0</v>
      </c>
      <c r="X174" s="55">
        <f t="shared" si="41"/>
        <v>426</v>
      </c>
      <c r="Y174" s="59">
        <f t="shared" si="41"/>
        <v>28.999999999999996</v>
      </c>
      <c r="Z174" s="51">
        <f t="shared" si="41"/>
        <v>1314.15977826113</v>
      </c>
      <c r="AA174" s="51">
        <f t="shared" si="41"/>
        <v>373.21747150618751</v>
      </c>
      <c r="AC174" s="30" t="s">
        <v>60</v>
      </c>
      <c r="AD174" s="31" t="s">
        <v>13</v>
      </c>
      <c r="AE174" s="32" t="s">
        <v>61</v>
      </c>
      <c r="AF174" s="31" t="s">
        <v>78</v>
      </c>
      <c r="AG174" s="31"/>
      <c r="AH174" s="1" t="str">
        <f t="shared" si="45"/>
        <v/>
      </c>
      <c r="AI174" s="1" t="str">
        <f t="shared" si="45"/>
        <v/>
      </c>
      <c r="AJ174" s="1" t="str">
        <f t="shared" si="45"/>
        <v/>
      </c>
      <c r="AK174" s="1">
        <f t="shared" si="45"/>
        <v>7.6544217687074827</v>
      </c>
      <c r="AL174" s="1" t="str">
        <f t="shared" si="45"/>
        <v/>
      </c>
      <c r="AM174" s="1">
        <f t="shared" si="45"/>
        <v>8.3374999999999986</v>
      </c>
      <c r="AN174" s="52" t="str">
        <f t="shared" si="45"/>
        <v/>
      </c>
      <c r="AO174" s="1" t="str">
        <f t="shared" si="45"/>
        <v/>
      </c>
      <c r="AP174" s="1" t="str">
        <f t="shared" si="45"/>
        <v/>
      </c>
      <c r="AQ174" s="1" t="str">
        <f t="shared" si="45"/>
        <v/>
      </c>
      <c r="AR174" s="1">
        <f t="shared" si="45"/>
        <v>20000</v>
      </c>
      <c r="AS174" s="1">
        <f t="shared" si="45"/>
        <v>470</v>
      </c>
      <c r="AT174" s="1" t="str">
        <f t="shared" si="45"/>
        <v/>
      </c>
      <c r="AU174" s="1" t="str">
        <f t="shared" si="45"/>
        <v/>
      </c>
      <c r="AV174" s="1" t="str">
        <f t="shared" si="45"/>
        <v/>
      </c>
      <c r="AW174" s="1" t="str">
        <f t="shared" si="38"/>
        <v/>
      </c>
      <c r="AX174" s="1" t="str">
        <f t="shared" si="38"/>
        <v/>
      </c>
      <c r="AY174" s="1" t="str">
        <f t="shared" si="38"/>
        <v/>
      </c>
      <c r="AZ174" s="1">
        <f t="shared" si="38"/>
        <v>170.39999999999998</v>
      </c>
      <c r="BA174" s="1">
        <f t="shared" si="38"/>
        <v>7.800534759358289</v>
      </c>
      <c r="BB174" s="1">
        <f t="shared" si="38"/>
        <v>445.11863457231823</v>
      </c>
      <c r="BC174" s="1">
        <f t="shared" si="38"/>
        <v>124.93190870041316</v>
      </c>
    </row>
    <row r="175" spans="1:55" ht="15.75" thickBot="1" x14ac:dyDescent="0.3">
      <c r="A175" s="33" t="s">
        <v>60</v>
      </c>
      <c r="B175" s="34" t="s">
        <v>13</v>
      </c>
      <c r="C175" s="35" t="s">
        <v>61</v>
      </c>
      <c r="D175" s="34" t="s">
        <v>79</v>
      </c>
      <c r="E175" s="31"/>
      <c r="F175" s="51">
        <f>F156</f>
        <v>53.45765345765345</v>
      </c>
      <c r="G175" s="51">
        <f t="shared" ref="G175:K176" si="47">G156</f>
        <v>0</v>
      </c>
      <c r="H175" s="51">
        <f t="shared" si="47"/>
        <v>5.35</v>
      </c>
      <c r="I175" s="51">
        <f t="shared" si="47"/>
        <v>29</v>
      </c>
      <c r="J175" s="51">
        <f t="shared" si="47"/>
        <v>53.475935828876999</v>
      </c>
      <c r="K175" s="51">
        <f t="shared" si="47"/>
        <v>29</v>
      </c>
      <c r="L175" s="52">
        <f t="shared" si="41"/>
        <v>0</v>
      </c>
      <c r="M175" s="51">
        <f t="shared" si="41"/>
        <v>0</v>
      </c>
      <c r="N175" s="51">
        <f t="shared" si="41"/>
        <v>0</v>
      </c>
      <c r="O175" s="51">
        <f t="shared" si="41"/>
        <v>0</v>
      </c>
      <c r="P175" s="51">
        <f t="shared" si="41"/>
        <v>0</v>
      </c>
      <c r="Q175" s="51">
        <f t="shared" si="41"/>
        <v>0</v>
      </c>
      <c r="R175" s="51">
        <f t="shared" si="41"/>
        <v>0</v>
      </c>
      <c r="S175" s="51">
        <f t="shared" si="41"/>
        <v>0</v>
      </c>
      <c r="T175" s="51">
        <f t="shared" si="41"/>
        <v>0</v>
      </c>
      <c r="U175" s="51">
        <f t="shared" si="41"/>
        <v>0</v>
      </c>
      <c r="V175" s="51">
        <f t="shared" si="41"/>
        <v>0</v>
      </c>
      <c r="W175" s="51">
        <f t="shared" si="41"/>
        <v>0</v>
      </c>
      <c r="X175" s="55">
        <f t="shared" si="41"/>
        <v>0</v>
      </c>
      <c r="Y175" s="59">
        <f t="shared" si="41"/>
        <v>0</v>
      </c>
      <c r="Z175" s="51">
        <f t="shared" si="41"/>
        <v>0</v>
      </c>
      <c r="AA175" s="51">
        <f t="shared" si="41"/>
        <v>0</v>
      </c>
      <c r="AC175" s="33" t="s">
        <v>60</v>
      </c>
      <c r="AD175" s="34" t="s">
        <v>13</v>
      </c>
      <c r="AE175" s="35" t="s">
        <v>61</v>
      </c>
      <c r="AF175" s="34" t="s">
        <v>79</v>
      </c>
      <c r="AG175" s="31"/>
      <c r="AH175" s="1" t="str">
        <f t="shared" si="45"/>
        <v/>
      </c>
      <c r="AI175" s="1" t="str">
        <f t="shared" si="45"/>
        <v/>
      </c>
      <c r="AJ175" s="1" t="str">
        <f t="shared" si="45"/>
        <v/>
      </c>
      <c r="AK175" s="1" t="str">
        <f t="shared" si="45"/>
        <v/>
      </c>
      <c r="AL175" s="1" t="str">
        <f t="shared" si="45"/>
        <v/>
      </c>
      <c r="AM175" s="1" t="str">
        <f t="shared" si="45"/>
        <v/>
      </c>
      <c r="AN175" s="52" t="str">
        <f t="shared" si="45"/>
        <v/>
      </c>
      <c r="AO175" s="1" t="str">
        <f t="shared" si="45"/>
        <v/>
      </c>
      <c r="AP175" s="1" t="str">
        <f t="shared" si="45"/>
        <v/>
      </c>
      <c r="AQ175" s="1" t="str">
        <f t="shared" si="45"/>
        <v/>
      </c>
      <c r="AR175" s="1" t="str">
        <f t="shared" si="45"/>
        <v/>
      </c>
      <c r="AS175" s="1" t="str">
        <f t="shared" si="45"/>
        <v/>
      </c>
      <c r="AT175" s="1" t="str">
        <f t="shared" si="45"/>
        <v/>
      </c>
      <c r="AU175" s="1" t="str">
        <f t="shared" si="45"/>
        <v/>
      </c>
      <c r="AV175" s="1" t="str">
        <f t="shared" si="45"/>
        <v/>
      </c>
      <c r="AW175" s="1" t="str">
        <f t="shared" si="38"/>
        <v/>
      </c>
      <c r="AX175" s="1" t="str">
        <f t="shared" si="38"/>
        <v/>
      </c>
      <c r="AY175" s="1" t="str">
        <f t="shared" si="38"/>
        <v/>
      </c>
      <c r="AZ175" s="1" t="str">
        <f t="shared" si="38"/>
        <v/>
      </c>
      <c r="BA175" s="1" t="str">
        <f t="shared" si="38"/>
        <v/>
      </c>
      <c r="BB175" s="1" t="str">
        <f t="shared" si="38"/>
        <v/>
      </c>
      <c r="BC175" s="1" t="str">
        <f t="shared" si="38"/>
        <v/>
      </c>
    </row>
    <row r="176" spans="1:55" x14ac:dyDescent="0.25">
      <c r="A176" s="30" t="s">
        <v>60</v>
      </c>
      <c r="B176" s="31" t="s">
        <v>13</v>
      </c>
      <c r="C176" s="32" t="s">
        <v>62</v>
      </c>
      <c r="D176" s="31" t="s">
        <v>75</v>
      </c>
      <c r="E176" s="31"/>
      <c r="F176" s="51">
        <f>F157</f>
        <v>47.382920110192842</v>
      </c>
      <c r="G176" s="51">
        <f t="shared" si="47"/>
        <v>25.641025641025642</v>
      </c>
      <c r="H176" s="51">
        <f t="shared" si="47"/>
        <v>5.741463414634147</v>
      </c>
      <c r="I176" s="51">
        <f t="shared" si="47"/>
        <v>20</v>
      </c>
      <c r="J176" s="51">
        <f t="shared" si="47"/>
        <v>0</v>
      </c>
      <c r="K176" s="51">
        <f t="shared" si="47"/>
        <v>0</v>
      </c>
      <c r="L176" s="52">
        <f t="shared" si="41"/>
        <v>0</v>
      </c>
      <c r="M176" s="51">
        <f t="shared" si="41"/>
        <v>0</v>
      </c>
      <c r="N176" s="51">
        <f t="shared" si="41"/>
        <v>0</v>
      </c>
      <c r="O176" s="51">
        <f t="shared" si="41"/>
        <v>0</v>
      </c>
      <c r="P176" s="51">
        <f t="shared" si="41"/>
        <v>0</v>
      </c>
      <c r="Q176" s="51">
        <f t="shared" si="41"/>
        <v>0</v>
      </c>
      <c r="R176" s="51">
        <f t="shared" si="41"/>
        <v>0</v>
      </c>
      <c r="S176" s="51">
        <f t="shared" si="41"/>
        <v>0</v>
      </c>
      <c r="T176" s="51">
        <f t="shared" si="41"/>
        <v>0</v>
      </c>
      <c r="U176" s="51">
        <f t="shared" si="41"/>
        <v>0</v>
      </c>
      <c r="V176" s="51">
        <f t="shared" si="41"/>
        <v>0</v>
      </c>
      <c r="W176" s="51">
        <f t="shared" si="41"/>
        <v>0</v>
      </c>
      <c r="X176" s="55">
        <f t="shared" si="41"/>
        <v>0</v>
      </c>
      <c r="Y176" s="59">
        <f t="shared" si="41"/>
        <v>12.155371900826447</v>
      </c>
      <c r="Z176" s="51">
        <f t="shared" si="41"/>
        <v>0</v>
      </c>
      <c r="AA176" s="51">
        <f t="shared" si="41"/>
        <v>12.155371900826447</v>
      </c>
      <c r="AC176" s="30" t="s">
        <v>60</v>
      </c>
      <c r="AD176" s="31" t="s">
        <v>13</v>
      </c>
      <c r="AE176" s="32" t="s">
        <v>62</v>
      </c>
      <c r="AF176" s="31" t="s">
        <v>75</v>
      </c>
      <c r="AG176" s="31"/>
      <c r="AH176" s="1" t="str">
        <f t="shared" si="45"/>
        <v/>
      </c>
      <c r="AI176" s="1">
        <f t="shared" si="45"/>
        <v>7.1589430225543884</v>
      </c>
      <c r="AJ176" s="1">
        <f t="shared" si="45"/>
        <v>1.9317073170731707</v>
      </c>
      <c r="AK176" s="1" t="str">
        <f t="shared" si="45"/>
        <v/>
      </c>
      <c r="AL176" s="1" t="str">
        <f t="shared" si="45"/>
        <v/>
      </c>
      <c r="AM176" s="1" t="str">
        <f t="shared" si="45"/>
        <v/>
      </c>
      <c r="AN176" s="52" t="str">
        <f t="shared" si="45"/>
        <v/>
      </c>
      <c r="AO176" s="1" t="str">
        <f t="shared" si="45"/>
        <v/>
      </c>
      <c r="AP176" s="1" t="str">
        <f t="shared" si="45"/>
        <v/>
      </c>
      <c r="AQ176" s="1" t="str">
        <f t="shared" si="45"/>
        <v/>
      </c>
      <c r="AR176" s="1" t="str">
        <f t="shared" si="45"/>
        <v/>
      </c>
      <c r="AS176" s="1" t="str">
        <f t="shared" si="45"/>
        <v/>
      </c>
      <c r="AT176" s="1" t="str">
        <f t="shared" si="45"/>
        <v/>
      </c>
      <c r="AU176" s="1" t="str">
        <f t="shared" si="45"/>
        <v/>
      </c>
      <c r="AV176" s="1" t="str">
        <f t="shared" si="45"/>
        <v/>
      </c>
      <c r="AW176" s="1" t="str">
        <f t="shared" si="38"/>
        <v/>
      </c>
      <c r="AX176" s="1" t="str">
        <f t="shared" si="38"/>
        <v/>
      </c>
      <c r="AY176" s="1" t="str">
        <f t="shared" si="38"/>
        <v/>
      </c>
      <c r="AZ176" s="1" t="str">
        <f t="shared" si="38"/>
        <v/>
      </c>
      <c r="BA176" s="1">
        <f t="shared" si="38"/>
        <v>3.6165188254514145</v>
      </c>
      <c r="BB176" s="1" t="str">
        <f t="shared" si="38"/>
        <v/>
      </c>
      <c r="BC176" s="1">
        <f t="shared" si="38"/>
        <v>3.6165188254514145</v>
      </c>
    </row>
    <row r="177" spans="1:55" x14ac:dyDescent="0.25">
      <c r="A177" s="30" t="s">
        <v>60</v>
      </c>
      <c r="B177" s="31" t="s">
        <v>13</v>
      </c>
      <c r="C177" s="32" t="s">
        <v>62</v>
      </c>
      <c r="D177" s="31" t="s">
        <v>76</v>
      </c>
      <c r="E177" s="31"/>
      <c r="F177" s="51">
        <f t="shared" ref="F177:K177" si="48">F157</f>
        <v>47.382920110192842</v>
      </c>
      <c r="G177" s="51">
        <f t="shared" si="48"/>
        <v>25.641025641025642</v>
      </c>
      <c r="H177" s="51">
        <f t="shared" si="48"/>
        <v>5.741463414634147</v>
      </c>
      <c r="I177" s="51">
        <f t="shared" si="48"/>
        <v>20</v>
      </c>
      <c r="J177" s="51">
        <f t="shared" si="48"/>
        <v>0</v>
      </c>
      <c r="K177" s="51">
        <f t="shared" si="48"/>
        <v>0</v>
      </c>
      <c r="L177" s="52">
        <f t="shared" si="41"/>
        <v>0</v>
      </c>
      <c r="M177" s="51">
        <f t="shared" si="41"/>
        <v>0</v>
      </c>
      <c r="N177" s="51">
        <f t="shared" si="41"/>
        <v>0</v>
      </c>
      <c r="O177" s="51">
        <f t="shared" si="41"/>
        <v>0</v>
      </c>
      <c r="P177" s="51">
        <f t="shared" si="41"/>
        <v>54285.71428571429</v>
      </c>
      <c r="Q177" s="51">
        <f t="shared" si="41"/>
        <v>0</v>
      </c>
      <c r="R177" s="51">
        <f t="shared" si="41"/>
        <v>0</v>
      </c>
      <c r="S177" s="51">
        <f t="shared" si="41"/>
        <v>0</v>
      </c>
      <c r="T177" s="51">
        <f t="shared" si="41"/>
        <v>0</v>
      </c>
      <c r="U177" s="51">
        <f t="shared" si="41"/>
        <v>0</v>
      </c>
      <c r="V177" s="51">
        <f t="shared" si="41"/>
        <v>0</v>
      </c>
      <c r="W177" s="51">
        <f t="shared" si="41"/>
        <v>0</v>
      </c>
      <c r="X177" s="55">
        <f t="shared" si="41"/>
        <v>0</v>
      </c>
      <c r="Y177" s="59">
        <f t="shared" si="41"/>
        <v>9.3604529251415389</v>
      </c>
      <c r="Z177" s="51">
        <f t="shared" si="41"/>
        <v>54285.71428571429</v>
      </c>
      <c r="AA177" s="51">
        <f t="shared" si="41"/>
        <v>29.270030917570612</v>
      </c>
      <c r="AC177" s="30" t="s">
        <v>60</v>
      </c>
      <c r="AD177" s="31" t="s">
        <v>13</v>
      </c>
      <c r="AE177" s="32" t="s">
        <v>62</v>
      </c>
      <c r="AF177" s="31" t="s">
        <v>76</v>
      </c>
      <c r="AG177" s="31"/>
      <c r="AH177" s="1">
        <f t="shared" si="45"/>
        <v>14.188209366391186</v>
      </c>
      <c r="AI177" s="1">
        <f t="shared" si="45"/>
        <v>7.1589430225543884</v>
      </c>
      <c r="AJ177" s="1">
        <f t="shared" si="45"/>
        <v>1.9317073170731707</v>
      </c>
      <c r="AK177" s="1" t="str">
        <f t="shared" si="45"/>
        <v/>
      </c>
      <c r="AL177" s="1" t="str">
        <f t="shared" si="45"/>
        <v/>
      </c>
      <c r="AM177" s="1" t="str">
        <f t="shared" si="45"/>
        <v/>
      </c>
      <c r="AN177" s="52" t="str">
        <f t="shared" si="45"/>
        <v/>
      </c>
      <c r="AO177" s="1" t="str">
        <f t="shared" si="45"/>
        <v/>
      </c>
      <c r="AP177" s="1" t="str">
        <f t="shared" si="45"/>
        <v/>
      </c>
      <c r="AQ177" s="1" t="str">
        <f t="shared" si="45"/>
        <v/>
      </c>
      <c r="AR177" s="1">
        <f t="shared" si="45"/>
        <v>11428.571428571429</v>
      </c>
      <c r="AS177" s="1" t="str">
        <f t="shared" si="45"/>
        <v/>
      </c>
      <c r="AT177" s="1" t="str">
        <f t="shared" si="45"/>
        <v/>
      </c>
      <c r="AU177" s="1" t="str">
        <f t="shared" si="45"/>
        <v/>
      </c>
      <c r="AV177" s="1" t="str">
        <f t="shared" si="45"/>
        <v/>
      </c>
      <c r="AW177" s="1" t="str">
        <f t="shared" si="38"/>
        <v/>
      </c>
      <c r="AX177" s="1" t="str">
        <f t="shared" si="38"/>
        <v/>
      </c>
      <c r="AY177" s="1" t="str">
        <f t="shared" si="38"/>
        <v/>
      </c>
      <c r="AZ177" s="1" t="str">
        <f t="shared" si="38"/>
        <v/>
      </c>
      <c r="BA177" s="1">
        <f t="shared" si="38"/>
        <v>2.9325109506175853</v>
      </c>
      <c r="BB177" s="1">
        <f t="shared" si="38"/>
        <v>11428.571428571429</v>
      </c>
      <c r="BC177" s="1">
        <f t="shared" si="38"/>
        <v>7.1236482153739482</v>
      </c>
    </row>
    <row r="178" spans="1:55" x14ac:dyDescent="0.25">
      <c r="A178" s="30" t="s">
        <v>60</v>
      </c>
      <c r="B178" s="31" t="s">
        <v>13</v>
      </c>
      <c r="C178" s="32" t="s">
        <v>62</v>
      </c>
      <c r="D178" s="31" t="s">
        <v>77</v>
      </c>
      <c r="E178" s="31"/>
      <c r="F178" s="51">
        <f t="shared" ref="F178:K178" si="49">F157</f>
        <v>47.382920110192842</v>
      </c>
      <c r="G178" s="51">
        <f t="shared" si="49"/>
        <v>25.641025641025642</v>
      </c>
      <c r="H178" s="51">
        <f t="shared" si="49"/>
        <v>5.741463414634147</v>
      </c>
      <c r="I178" s="51">
        <f t="shared" si="49"/>
        <v>20</v>
      </c>
      <c r="J178" s="51">
        <f t="shared" si="49"/>
        <v>0</v>
      </c>
      <c r="K178" s="51">
        <f t="shared" si="49"/>
        <v>0</v>
      </c>
      <c r="L178" s="52">
        <f t="shared" si="41"/>
        <v>0</v>
      </c>
      <c r="M178" s="51">
        <f t="shared" si="41"/>
        <v>0</v>
      </c>
      <c r="N178" s="51">
        <f t="shared" si="41"/>
        <v>0</v>
      </c>
      <c r="O178" s="51">
        <f t="shared" si="41"/>
        <v>0</v>
      </c>
      <c r="P178" s="51">
        <f t="shared" si="41"/>
        <v>0</v>
      </c>
      <c r="Q178" s="51">
        <f t="shared" si="41"/>
        <v>0</v>
      </c>
      <c r="R178" s="51">
        <f t="shared" si="41"/>
        <v>0</v>
      </c>
      <c r="S178" s="51">
        <f t="shared" si="41"/>
        <v>0</v>
      </c>
      <c r="T178" s="51">
        <f t="shared" si="41"/>
        <v>0</v>
      </c>
      <c r="U178" s="51">
        <f t="shared" si="41"/>
        <v>0</v>
      </c>
      <c r="V178" s="51">
        <f t="shared" si="41"/>
        <v>0</v>
      </c>
      <c r="W178" s="51">
        <f t="shared" si="41"/>
        <v>0</v>
      </c>
      <c r="X178" s="55">
        <f t="shared" si="41"/>
        <v>0</v>
      </c>
      <c r="Y178" s="59">
        <f t="shared" si="41"/>
        <v>0</v>
      </c>
      <c r="Z178" s="51">
        <f t="shared" si="41"/>
        <v>0</v>
      </c>
      <c r="AA178" s="51">
        <f t="shared" si="41"/>
        <v>0</v>
      </c>
      <c r="AC178" s="30" t="s">
        <v>60</v>
      </c>
      <c r="AD178" s="31" t="s">
        <v>13</v>
      </c>
      <c r="AE178" s="32" t="s">
        <v>62</v>
      </c>
      <c r="AF178" s="31" t="s">
        <v>77</v>
      </c>
      <c r="AG178" s="31"/>
      <c r="AH178" s="1" t="str">
        <f t="shared" si="45"/>
        <v/>
      </c>
      <c r="AI178" s="1" t="str">
        <f t="shared" si="45"/>
        <v/>
      </c>
      <c r="AJ178" s="1" t="str">
        <f t="shared" si="45"/>
        <v/>
      </c>
      <c r="AK178" s="1" t="str">
        <f t="shared" si="45"/>
        <v/>
      </c>
      <c r="AL178" s="1" t="str">
        <f t="shared" si="45"/>
        <v/>
      </c>
      <c r="AM178" s="1" t="str">
        <f t="shared" si="45"/>
        <v/>
      </c>
      <c r="AN178" s="52" t="str">
        <f t="shared" si="45"/>
        <v/>
      </c>
      <c r="AO178" s="1" t="str">
        <f t="shared" si="45"/>
        <v/>
      </c>
      <c r="AP178" s="1" t="str">
        <f t="shared" si="45"/>
        <v/>
      </c>
      <c r="AQ178" s="1" t="str">
        <f t="shared" si="45"/>
        <v/>
      </c>
      <c r="AR178" s="1" t="str">
        <f t="shared" si="45"/>
        <v/>
      </c>
      <c r="AS178" s="1" t="str">
        <f t="shared" si="45"/>
        <v/>
      </c>
      <c r="AT178" s="1" t="str">
        <f t="shared" si="45"/>
        <v/>
      </c>
      <c r="AU178" s="1" t="str">
        <f t="shared" si="45"/>
        <v/>
      </c>
      <c r="AV178" s="1" t="str">
        <f t="shared" si="45"/>
        <v/>
      </c>
      <c r="AW178" s="1" t="str">
        <f t="shared" si="38"/>
        <v/>
      </c>
      <c r="AX178" s="1" t="str">
        <f t="shared" si="38"/>
        <v/>
      </c>
      <c r="AY178" s="1" t="str">
        <f t="shared" si="38"/>
        <v/>
      </c>
      <c r="AZ178" s="1" t="str">
        <f t="shared" si="38"/>
        <v/>
      </c>
      <c r="BA178" s="1" t="str">
        <f t="shared" si="38"/>
        <v/>
      </c>
      <c r="BB178" s="1" t="str">
        <f t="shared" si="38"/>
        <v/>
      </c>
      <c r="BC178" s="1" t="str">
        <f t="shared" si="38"/>
        <v/>
      </c>
    </row>
    <row r="179" spans="1:55" x14ac:dyDescent="0.25">
      <c r="A179" s="30" t="s">
        <v>60</v>
      </c>
      <c r="B179" s="31" t="s">
        <v>13</v>
      </c>
      <c r="C179" s="32" t="s">
        <v>62</v>
      </c>
      <c r="D179" s="31" t="s">
        <v>78</v>
      </c>
      <c r="E179" s="31"/>
      <c r="F179" s="51">
        <f t="shared" ref="F179:K179" si="50">F157</f>
        <v>47.382920110192842</v>
      </c>
      <c r="G179" s="51">
        <f t="shared" si="50"/>
        <v>25.641025641025642</v>
      </c>
      <c r="H179" s="51">
        <f t="shared" si="50"/>
        <v>5.741463414634147</v>
      </c>
      <c r="I179" s="51">
        <f t="shared" si="50"/>
        <v>20</v>
      </c>
      <c r="J179" s="51">
        <f t="shared" si="50"/>
        <v>0</v>
      </c>
      <c r="K179" s="51">
        <f t="shared" si="50"/>
        <v>0</v>
      </c>
      <c r="L179" s="52">
        <f t="shared" si="41"/>
        <v>0</v>
      </c>
      <c r="M179" s="51">
        <f t="shared" si="41"/>
        <v>0</v>
      </c>
      <c r="N179" s="51">
        <f t="shared" si="41"/>
        <v>0</v>
      </c>
      <c r="O179" s="51">
        <f t="shared" si="41"/>
        <v>0</v>
      </c>
      <c r="P179" s="51">
        <f t="shared" si="41"/>
        <v>0</v>
      </c>
      <c r="Q179" s="51">
        <f t="shared" si="41"/>
        <v>0</v>
      </c>
      <c r="R179" s="51">
        <f t="shared" si="41"/>
        <v>0</v>
      </c>
      <c r="S179" s="51">
        <f t="shared" si="41"/>
        <v>0</v>
      </c>
      <c r="T179" s="51">
        <f t="shared" si="41"/>
        <v>0</v>
      </c>
      <c r="U179" s="51">
        <f t="shared" si="41"/>
        <v>0</v>
      </c>
      <c r="V179" s="51">
        <f t="shared" si="41"/>
        <v>0</v>
      </c>
      <c r="W179" s="51">
        <f t="shared" si="41"/>
        <v>0</v>
      </c>
      <c r="X179" s="55">
        <f t="shared" si="41"/>
        <v>0</v>
      </c>
      <c r="Y179" s="59">
        <f t="shared" si="41"/>
        <v>0</v>
      </c>
      <c r="Z179" s="51">
        <f t="shared" ref="L179:AA180" si="51">IF(Z224&gt;0,Z44/Z224,0)</f>
        <v>0</v>
      </c>
      <c r="AA179" s="51">
        <f t="shared" si="51"/>
        <v>0</v>
      </c>
      <c r="AC179" s="30" t="s">
        <v>60</v>
      </c>
      <c r="AD179" s="31" t="s">
        <v>13</v>
      </c>
      <c r="AE179" s="32" t="s">
        <v>62</v>
      </c>
      <c r="AF179" s="31" t="s">
        <v>78</v>
      </c>
      <c r="AG179" s="31"/>
      <c r="AH179" s="1" t="str">
        <f t="shared" si="45"/>
        <v/>
      </c>
      <c r="AI179" s="1" t="str">
        <f t="shared" si="45"/>
        <v/>
      </c>
      <c r="AJ179" s="1" t="str">
        <f t="shared" si="45"/>
        <v/>
      </c>
      <c r="AK179" s="1" t="str">
        <f t="shared" si="45"/>
        <v/>
      </c>
      <c r="AL179" s="1" t="str">
        <f t="shared" si="45"/>
        <v/>
      </c>
      <c r="AM179" s="1" t="str">
        <f t="shared" si="45"/>
        <v/>
      </c>
      <c r="AN179" s="52" t="str">
        <f t="shared" si="45"/>
        <v/>
      </c>
      <c r="AO179" s="1" t="str">
        <f t="shared" si="45"/>
        <v/>
      </c>
      <c r="AP179" s="1" t="str">
        <f t="shared" si="45"/>
        <v/>
      </c>
      <c r="AQ179" s="1" t="str">
        <f t="shared" si="45"/>
        <v/>
      </c>
      <c r="AR179" s="1" t="str">
        <f t="shared" si="45"/>
        <v/>
      </c>
      <c r="AS179" s="1" t="str">
        <f t="shared" si="45"/>
        <v/>
      </c>
      <c r="AT179" s="1" t="str">
        <f t="shared" si="45"/>
        <v/>
      </c>
      <c r="AU179" s="1" t="str">
        <f t="shared" si="45"/>
        <v/>
      </c>
      <c r="AV179" s="1" t="str">
        <f t="shared" si="45"/>
        <v/>
      </c>
      <c r="AW179" s="1" t="str">
        <f t="shared" si="38"/>
        <v/>
      </c>
      <c r="AX179" s="1" t="str">
        <f t="shared" si="38"/>
        <v/>
      </c>
      <c r="AY179" s="1" t="str">
        <f t="shared" si="38"/>
        <v/>
      </c>
      <c r="AZ179" s="1" t="str">
        <f t="shared" si="38"/>
        <v/>
      </c>
      <c r="BA179" s="1" t="str">
        <f t="shared" si="38"/>
        <v/>
      </c>
      <c r="BB179" s="1" t="str">
        <f t="shared" si="38"/>
        <v/>
      </c>
      <c r="BC179" s="1" t="str">
        <f t="shared" si="38"/>
        <v/>
      </c>
    </row>
    <row r="180" spans="1:55" ht="15.75" thickBot="1" x14ac:dyDescent="0.3">
      <c r="A180" s="33" t="s">
        <v>60</v>
      </c>
      <c r="B180" s="34" t="s">
        <v>13</v>
      </c>
      <c r="C180" s="32" t="s">
        <v>62</v>
      </c>
      <c r="D180" s="34" t="s">
        <v>79</v>
      </c>
      <c r="E180" s="31"/>
      <c r="F180" s="51">
        <f t="shared" ref="F180:K180" si="52">F157</f>
        <v>47.382920110192842</v>
      </c>
      <c r="G180" s="51">
        <f t="shared" si="52"/>
        <v>25.641025641025642</v>
      </c>
      <c r="H180" s="51">
        <f t="shared" si="52"/>
        <v>5.741463414634147</v>
      </c>
      <c r="I180" s="51">
        <f t="shared" si="52"/>
        <v>20</v>
      </c>
      <c r="J180" s="51">
        <f t="shared" si="52"/>
        <v>0</v>
      </c>
      <c r="K180" s="51">
        <f t="shared" si="52"/>
        <v>0</v>
      </c>
      <c r="L180" s="52">
        <f t="shared" si="51"/>
        <v>0</v>
      </c>
      <c r="M180" s="51">
        <f t="shared" si="51"/>
        <v>0</v>
      </c>
      <c r="N180" s="51">
        <f t="shared" si="51"/>
        <v>0</v>
      </c>
      <c r="O180" s="51">
        <f t="shared" si="51"/>
        <v>0</v>
      </c>
      <c r="P180" s="51">
        <f t="shared" si="51"/>
        <v>0</v>
      </c>
      <c r="Q180" s="51">
        <f t="shared" si="51"/>
        <v>0</v>
      </c>
      <c r="R180" s="51">
        <f t="shared" si="51"/>
        <v>0</v>
      </c>
      <c r="S180" s="51">
        <f t="shared" si="51"/>
        <v>0</v>
      </c>
      <c r="T180" s="51">
        <f t="shared" si="51"/>
        <v>0</v>
      </c>
      <c r="U180" s="51">
        <f t="shared" si="51"/>
        <v>0</v>
      </c>
      <c r="V180" s="51">
        <f t="shared" si="51"/>
        <v>0</v>
      </c>
      <c r="W180" s="51">
        <f t="shared" si="51"/>
        <v>0</v>
      </c>
      <c r="X180" s="55">
        <f t="shared" si="51"/>
        <v>0</v>
      </c>
      <c r="Y180" s="59">
        <f t="shared" si="51"/>
        <v>0</v>
      </c>
      <c r="Z180" s="51">
        <f t="shared" si="51"/>
        <v>0</v>
      </c>
      <c r="AA180" s="51">
        <f t="shared" si="51"/>
        <v>0</v>
      </c>
      <c r="AC180" s="33" t="s">
        <v>60</v>
      </c>
      <c r="AD180" s="34" t="s">
        <v>13</v>
      </c>
      <c r="AE180" s="32" t="s">
        <v>62</v>
      </c>
      <c r="AF180" s="34" t="s">
        <v>79</v>
      </c>
      <c r="AG180" s="31"/>
      <c r="AH180" s="1" t="str">
        <f t="shared" si="45"/>
        <v/>
      </c>
      <c r="AI180" s="1" t="str">
        <f t="shared" si="45"/>
        <v/>
      </c>
      <c r="AJ180" s="1" t="str">
        <f t="shared" si="45"/>
        <v/>
      </c>
      <c r="AK180" s="1" t="str">
        <f t="shared" si="45"/>
        <v/>
      </c>
      <c r="AL180" s="1" t="str">
        <f t="shared" si="45"/>
        <v/>
      </c>
      <c r="AM180" s="1" t="str">
        <f t="shared" si="45"/>
        <v/>
      </c>
      <c r="AN180" s="52" t="str">
        <f t="shared" si="45"/>
        <v/>
      </c>
      <c r="AO180" s="1" t="str">
        <f t="shared" si="45"/>
        <v/>
      </c>
      <c r="AP180" s="1" t="str">
        <f t="shared" si="45"/>
        <v/>
      </c>
      <c r="AQ180" s="1" t="str">
        <f t="shared" si="45"/>
        <v/>
      </c>
      <c r="AR180" s="1" t="str">
        <f t="shared" si="45"/>
        <v/>
      </c>
      <c r="AS180" s="1" t="str">
        <f t="shared" si="45"/>
        <v/>
      </c>
      <c r="AT180" s="1" t="str">
        <f t="shared" si="45"/>
        <v/>
      </c>
      <c r="AU180" s="1" t="str">
        <f t="shared" si="45"/>
        <v/>
      </c>
      <c r="AV180" s="1" t="str">
        <f t="shared" si="45"/>
        <v/>
      </c>
      <c r="AW180" s="1" t="str">
        <f t="shared" si="38"/>
        <v/>
      </c>
      <c r="AX180" s="1" t="str">
        <f t="shared" si="38"/>
        <v/>
      </c>
      <c r="AY180" s="1" t="str">
        <f t="shared" si="38"/>
        <v/>
      </c>
      <c r="AZ180" s="1" t="str">
        <f t="shared" si="38"/>
        <v/>
      </c>
      <c r="BA180" s="1" t="str">
        <f t="shared" si="38"/>
        <v/>
      </c>
      <c r="BB180" s="1" t="str">
        <f t="shared" si="38"/>
        <v/>
      </c>
      <c r="BC180" s="1" t="str">
        <f t="shared" si="38"/>
        <v/>
      </c>
    </row>
    <row r="181" spans="1:55" x14ac:dyDescent="0.25">
      <c r="F181" s="99">
        <v>170</v>
      </c>
      <c r="G181" s="99">
        <v>230</v>
      </c>
      <c r="H181" s="99">
        <v>1900</v>
      </c>
      <c r="M181" s="5" t="s">
        <v>126</v>
      </c>
      <c r="N181" s="5">
        <v>0.6</v>
      </c>
    </row>
    <row r="182" spans="1:55" x14ac:dyDescent="0.25">
      <c r="D182" s="41" t="s">
        <v>35</v>
      </c>
      <c r="E182" s="41"/>
      <c r="M182" s="24" t="s">
        <v>81</v>
      </c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AF182" s="41" t="s">
        <v>101</v>
      </c>
      <c r="AG182" s="41"/>
      <c r="AO182" s="24" t="s">
        <v>81</v>
      </c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</row>
    <row r="183" spans="1:55" x14ac:dyDescent="0.25">
      <c r="F183" s="23" t="s">
        <v>44</v>
      </c>
      <c r="G183" s="23"/>
      <c r="H183" s="23"/>
      <c r="I183" s="23"/>
      <c r="J183" s="23"/>
      <c r="K183" s="23"/>
      <c r="L183" s="7" t="s">
        <v>30</v>
      </c>
      <c r="M183" s="24" t="s">
        <v>46</v>
      </c>
      <c r="N183" s="24"/>
      <c r="O183" s="24"/>
      <c r="P183" s="24"/>
      <c r="Q183" s="24"/>
      <c r="R183" s="24" t="s">
        <v>47</v>
      </c>
      <c r="S183" s="24"/>
      <c r="T183" s="24"/>
      <c r="U183" s="24"/>
      <c r="V183" s="24"/>
      <c r="W183" s="24"/>
      <c r="X183" s="24"/>
      <c r="Y183" s="44" t="s">
        <v>85</v>
      </c>
      <c r="Z183" s="44" t="s">
        <v>48</v>
      </c>
      <c r="AA183" s="44" t="s">
        <v>3</v>
      </c>
      <c r="AH183" s="23" t="s">
        <v>44</v>
      </c>
      <c r="AI183" s="23"/>
      <c r="AJ183" s="23"/>
      <c r="AK183" s="23"/>
      <c r="AL183" s="23"/>
      <c r="AM183" s="23"/>
      <c r="AN183" s="7" t="s">
        <v>30</v>
      </c>
      <c r="AO183" s="24" t="s">
        <v>46</v>
      </c>
      <c r="AP183" s="24"/>
      <c r="AQ183" s="24"/>
      <c r="AR183" s="24"/>
      <c r="AS183" s="24"/>
      <c r="AT183" s="24" t="s">
        <v>47</v>
      </c>
      <c r="AU183" s="24"/>
      <c r="AV183" s="24"/>
      <c r="AW183" s="24"/>
      <c r="AX183" s="24"/>
      <c r="AY183" s="24"/>
      <c r="AZ183" s="24"/>
      <c r="BA183" s="44" t="s">
        <v>85</v>
      </c>
      <c r="BB183" s="44" t="s">
        <v>48</v>
      </c>
      <c r="BC183" s="44" t="s">
        <v>3</v>
      </c>
    </row>
    <row r="184" spans="1:55" ht="63" x14ac:dyDescent="0.25">
      <c r="F184" s="38" t="s">
        <v>36</v>
      </c>
      <c r="G184" s="38" t="s">
        <v>37</v>
      </c>
      <c r="H184" s="38" t="s">
        <v>38</v>
      </c>
      <c r="I184" s="38" t="s">
        <v>80</v>
      </c>
      <c r="J184" s="38" t="s">
        <v>39</v>
      </c>
      <c r="K184" s="38" t="s">
        <v>45</v>
      </c>
      <c r="L184" s="39" t="s">
        <v>16</v>
      </c>
      <c r="M184" s="40" t="s">
        <v>34</v>
      </c>
      <c r="N184" s="40" t="s">
        <v>5</v>
      </c>
      <c r="O184" s="40" t="s">
        <v>7</v>
      </c>
      <c r="P184" s="40" t="s">
        <v>8</v>
      </c>
      <c r="Q184" s="40" t="s">
        <v>40</v>
      </c>
      <c r="R184" s="40" t="s">
        <v>41</v>
      </c>
      <c r="S184" s="40" t="s">
        <v>42</v>
      </c>
      <c r="T184" s="40" t="s">
        <v>31</v>
      </c>
      <c r="U184" s="40" t="s">
        <v>43</v>
      </c>
      <c r="V184" s="40" t="s">
        <v>82</v>
      </c>
      <c r="W184" s="40" t="s">
        <v>87</v>
      </c>
      <c r="X184" s="40" t="s">
        <v>83</v>
      </c>
      <c r="Y184" s="45" t="s">
        <v>3</v>
      </c>
      <c r="Z184" s="45" t="s">
        <v>3</v>
      </c>
      <c r="AA184" s="45" t="s">
        <v>3</v>
      </c>
      <c r="AH184" s="38" t="s">
        <v>36</v>
      </c>
      <c r="AI184" s="38" t="s">
        <v>37</v>
      </c>
      <c r="AJ184" s="38" t="s">
        <v>38</v>
      </c>
      <c r="AK184" s="38" t="s">
        <v>80</v>
      </c>
      <c r="AL184" s="38" t="s">
        <v>39</v>
      </c>
      <c r="AM184" s="38" t="s">
        <v>45</v>
      </c>
      <c r="AN184" s="39" t="s">
        <v>16</v>
      </c>
      <c r="AO184" s="40" t="s">
        <v>34</v>
      </c>
      <c r="AP184" s="40" t="s">
        <v>5</v>
      </c>
      <c r="AQ184" s="40" t="s">
        <v>7</v>
      </c>
      <c r="AR184" s="40" t="s">
        <v>8</v>
      </c>
      <c r="AS184" s="40" t="s">
        <v>40</v>
      </c>
      <c r="AT184" s="40" t="s">
        <v>41</v>
      </c>
      <c r="AU184" s="40" t="s">
        <v>42</v>
      </c>
      <c r="AV184" s="40" t="s">
        <v>31</v>
      </c>
      <c r="AW184" s="40" t="s">
        <v>43</v>
      </c>
      <c r="AX184" s="40" t="s">
        <v>82</v>
      </c>
      <c r="AY184" s="40" t="s">
        <v>87</v>
      </c>
      <c r="AZ184" s="40" t="s">
        <v>83</v>
      </c>
      <c r="BA184" s="45" t="s">
        <v>3</v>
      </c>
      <c r="BB184" s="45" t="s">
        <v>86</v>
      </c>
      <c r="BC184" s="45" t="s">
        <v>3</v>
      </c>
    </row>
    <row r="185" spans="1:55" x14ac:dyDescent="0.25">
      <c r="A185" s="15" t="s">
        <v>51</v>
      </c>
      <c r="B185" s="2"/>
      <c r="C185" s="2"/>
      <c r="F185" s="1">
        <f t="shared" ref="F185:X185" si="53">F187+F188+F189</f>
        <v>0</v>
      </c>
      <c r="G185" s="1">
        <f t="shared" si="53"/>
        <v>0</v>
      </c>
      <c r="H185" s="1">
        <f t="shared" si="53"/>
        <v>0</v>
      </c>
      <c r="I185" s="1">
        <f t="shared" si="53"/>
        <v>0</v>
      </c>
      <c r="J185" s="1">
        <f t="shared" si="53"/>
        <v>0</v>
      </c>
      <c r="K185" s="1">
        <f t="shared" si="53"/>
        <v>0</v>
      </c>
      <c r="L185" s="52">
        <f t="shared" si="53"/>
        <v>0</v>
      </c>
      <c r="M185" s="1">
        <f t="shared" si="53"/>
        <v>0</v>
      </c>
      <c r="N185" s="1">
        <f t="shared" si="53"/>
        <v>0</v>
      </c>
      <c r="O185" s="1">
        <f t="shared" si="53"/>
        <v>0</v>
      </c>
      <c r="P185" s="1">
        <f t="shared" si="53"/>
        <v>0</v>
      </c>
      <c r="Q185" s="1">
        <f t="shared" si="53"/>
        <v>0</v>
      </c>
      <c r="R185" s="1">
        <f t="shared" si="53"/>
        <v>0</v>
      </c>
      <c r="S185" s="1">
        <f t="shared" si="53"/>
        <v>0</v>
      </c>
      <c r="T185" s="1">
        <f t="shared" si="53"/>
        <v>0</v>
      </c>
      <c r="U185" s="1">
        <f t="shared" si="53"/>
        <v>0</v>
      </c>
      <c r="V185" s="1">
        <f t="shared" si="53"/>
        <v>0</v>
      </c>
      <c r="W185" s="1">
        <f t="shared" si="53"/>
        <v>0</v>
      </c>
      <c r="X185" s="1">
        <f t="shared" si="53"/>
        <v>0</v>
      </c>
      <c r="Y185" s="58">
        <f t="shared" ref="Y185:Y225" si="54">SUM(F185:K185)</f>
        <v>0</v>
      </c>
      <c r="Z185" s="1">
        <f t="shared" ref="Z185:Z225" si="55">SUM(M185:X185)</f>
        <v>0</v>
      </c>
      <c r="AA185" s="1">
        <f t="shared" ref="AA185:AA225" si="56">L185+Y185+Z185</f>
        <v>0</v>
      </c>
      <c r="AC185" s="15" t="s">
        <v>51</v>
      </c>
      <c r="AD185" s="2"/>
      <c r="AE185" s="2"/>
      <c r="AH185" s="1" t="str">
        <f t="shared" ref="AH185:AW200" si="57">IF(F185&gt;0,F230/F185*1000,"")</f>
        <v/>
      </c>
      <c r="AI185" s="1" t="str">
        <f t="shared" si="57"/>
        <v/>
      </c>
      <c r="AJ185" s="1" t="str">
        <f t="shared" si="57"/>
        <v/>
      </c>
      <c r="AK185" s="1" t="str">
        <f t="shared" si="57"/>
        <v/>
      </c>
      <c r="AL185" s="1" t="str">
        <f t="shared" si="57"/>
        <v/>
      </c>
      <c r="AM185" s="1" t="str">
        <f t="shared" si="57"/>
        <v/>
      </c>
      <c r="AN185" s="52" t="str">
        <f t="shared" si="57"/>
        <v/>
      </c>
      <c r="AO185" s="1" t="str">
        <f t="shared" si="57"/>
        <v/>
      </c>
      <c r="AP185" s="1" t="str">
        <f t="shared" si="57"/>
        <v/>
      </c>
      <c r="AQ185" s="1" t="str">
        <f t="shared" si="57"/>
        <v/>
      </c>
      <c r="AR185" s="1" t="str">
        <f t="shared" si="57"/>
        <v/>
      </c>
      <c r="AS185" s="1" t="str">
        <f t="shared" si="57"/>
        <v/>
      </c>
      <c r="AT185" s="1" t="str">
        <f t="shared" si="57"/>
        <v/>
      </c>
      <c r="AU185" s="1" t="str">
        <f t="shared" si="57"/>
        <v/>
      </c>
      <c r="AV185" s="1" t="str">
        <f t="shared" si="57"/>
        <v/>
      </c>
      <c r="AW185" s="1" t="str">
        <f t="shared" si="57"/>
        <v/>
      </c>
      <c r="AX185" s="1" t="str">
        <f t="shared" ref="AX185:BC200" si="58">IF(V185&gt;0,V230/V185*1000,"")</f>
        <v/>
      </c>
      <c r="AY185" s="1" t="str">
        <f t="shared" si="58"/>
        <v/>
      </c>
      <c r="AZ185" s="1" t="str">
        <f t="shared" si="58"/>
        <v/>
      </c>
      <c r="BA185" s="1" t="str">
        <f t="shared" si="58"/>
        <v/>
      </c>
      <c r="BB185" s="1" t="str">
        <f t="shared" si="58"/>
        <v/>
      </c>
      <c r="BC185" s="1" t="str">
        <f t="shared" si="58"/>
        <v/>
      </c>
    </row>
    <row r="186" spans="1:55" x14ac:dyDescent="0.25">
      <c r="A186" s="30" t="s">
        <v>60</v>
      </c>
      <c r="B186" s="2"/>
      <c r="C186" s="2"/>
      <c r="F186" s="1">
        <f>F190+F191+F192+F193</f>
        <v>165</v>
      </c>
      <c r="G186" s="1">
        <f t="shared" ref="G186:X186" si="59">G190+G191+G192+G193</f>
        <v>195</v>
      </c>
      <c r="H186" s="1">
        <f t="shared" si="59"/>
        <v>1925</v>
      </c>
      <c r="I186" s="1">
        <f t="shared" si="59"/>
        <v>101.37931034482759</v>
      </c>
      <c r="J186" s="1">
        <f t="shared" si="59"/>
        <v>160.93968253968256</v>
      </c>
      <c r="K186" s="1">
        <f t="shared" si="59"/>
        <v>856.79302507836985</v>
      </c>
      <c r="L186" s="52">
        <f t="shared" si="59"/>
        <v>350</v>
      </c>
      <c r="M186" s="1">
        <f t="shared" si="59"/>
        <v>57.738791423001942</v>
      </c>
      <c r="N186" s="1">
        <f t="shared" si="59"/>
        <v>2.9000000000000004</v>
      </c>
      <c r="O186" s="1">
        <f t="shared" si="59"/>
        <v>0.3</v>
      </c>
      <c r="P186" s="1">
        <f t="shared" si="59"/>
        <v>0.5</v>
      </c>
      <c r="Q186" s="1">
        <f t="shared" si="59"/>
        <v>37.104018912529547</v>
      </c>
      <c r="R186" s="1">
        <f t="shared" si="59"/>
        <v>39.205138236828375</v>
      </c>
      <c r="S186" s="1">
        <f t="shared" si="59"/>
        <v>2.4500000000000002</v>
      </c>
      <c r="T186" s="1">
        <f t="shared" si="59"/>
        <v>41.507088508059859</v>
      </c>
      <c r="U186" s="1">
        <f t="shared" si="59"/>
        <v>13.115308009674207</v>
      </c>
      <c r="V186" s="1">
        <f t="shared" si="59"/>
        <v>10.144583978969605</v>
      </c>
      <c r="W186" s="1">
        <f t="shared" si="59"/>
        <v>19.366197183098592</v>
      </c>
      <c r="X186" s="54">
        <f t="shared" si="59"/>
        <v>31.879722781131232</v>
      </c>
      <c r="Y186" s="58">
        <f t="shared" si="54"/>
        <v>3404.1120179628797</v>
      </c>
      <c r="Z186" s="1">
        <f t="shared" si="55"/>
        <v>256.21084903329336</v>
      </c>
      <c r="AA186" s="1">
        <f t="shared" si="56"/>
        <v>4010.3228669961732</v>
      </c>
      <c r="AC186" s="30" t="s">
        <v>60</v>
      </c>
      <c r="AD186" s="2"/>
      <c r="AE186" s="2"/>
      <c r="AH186" s="1">
        <f t="shared" si="57"/>
        <v>289.56228956228955</v>
      </c>
      <c r="AI186" s="1">
        <f t="shared" si="57"/>
        <v>142.45014245014247</v>
      </c>
      <c r="AJ186" s="1">
        <f t="shared" si="57"/>
        <v>32.696715049656234</v>
      </c>
      <c r="AK186" s="1">
        <f t="shared" si="57"/>
        <v>170.58823529411762</v>
      </c>
      <c r="AL186" s="1">
        <f t="shared" si="57"/>
        <v>1014.8050226815577</v>
      </c>
      <c r="AM186" s="1">
        <f t="shared" si="57"/>
        <v>46.942688478991769</v>
      </c>
      <c r="AN186" s="52">
        <f t="shared" si="57"/>
        <v>18750</v>
      </c>
      <c r="AO186" s="1">
        <f t="shared" si="57"/>
        <v>6552.0669217495688</v>
      </c>
      <c r="AP186" s="1">
        <f t="shared" si="57"/>
        <v>9068.3023872679041</v>
      </c>
      <c r="AQ186" s="1">
        <f t="shared" si="57"/>
        <v>55555.555555555562</v>
      </c>
      <c r="AR186" s="1">
        <f t="shared" si="57"/>
        <v>377777.77777777775</v>
      </c>
      <c r="AS186" s="1">
        <f t="shared" si="57"/>
        <v>26174.805443043733</v>
      </c>
      <c r="AT186" s="1">
        <f t="shared" si="57"/>
        <v>11498.752598752601</v>
      </c>
      <c r="AU186" s="1">
        <f t="shared" si="57"/>
        <v>2222.2222222222222</v>
      </c>
      <c r="AV186" s="1">
        <f t="shared" si="57"/>
        <v>11779.718031700926</v>
      </c>
      <c r="AW186" s="1">
        <f t="shared" si="57"/>
        <v>10343.422114608555</v>
      </c>
      <c r="AX186" s="1">
        <f t="shared" si="58"/>
        <v>11981.528202595131</v>
      </c>
      <c r="AY186" s="1">
        <f t="shared" si="58"/>
        <v>10784.896584896585</v>
      </c>
      <c r="AZ186" s="1">
        <f t="shared" si="58"/>
        <v>7693.8491423442119</v>
      </c>
      <c r="BA186" s="1">
        <f t="shared" si="58"/>
        <v>105.55863439109457</v>
      </c>
      <c r="BB186" s="1">
        <f t="shared" si="58"/>
        <v>12637.614575795091</v>
      </c>
      <c r="BC186" s="1">
        <f t="shared" si="58"/>
        <v>2533.3938720401175</v>
      </c>
    </row>
    <row r="187" spans="1:55" x14ac:dyDescent="0.25">
      <c r="A187" s="15" t="s">
        <v>51</v>
      </c>
      <c r="B187" s="16" t="s">
        <v>52</v>
      </c>
      <c r="C187" s="2"/>
      <c r="F187" s="1">
        <f>F194+F195+F196</f>
        <v>0</v>
      </c>
      <c r="G187" s="1">
        <f t="shared" ref="G187:X187" si="60">G194+G195+G196</f>
        <v>0</v>
      </c>
      <c r="H187" s="1">
        <f t="shared" si="60"/>
        <v>0</v>
      </c>
      <c r="I187" s="1">
        <f t="shared" si="60"/>
        <v>0</v>
      </c>
      <c r="J187" s="1">
        <f t="shared" si="60"/>
        <v>0</v>
      </c>
      <c r="K187" s="1">
        <f t="shared" si="60"/>
        <v>0</v>
      </c>
      <c r="L187" s="52">
        <f t="shared" si="60"/>
        <v>0</v>
      </c>
      <c r="M187" s="1">
        <f t="shared" si="60"/>
        <v>0</v>
      </c>
      <c r="N187" s="1">
        <f t="shared" si="60"/>
        <v>0</v>
      </c>
      <c r="O187" s="1">
        <f t="shared" si="60"/>
        <v>0</v>
      </c>
      <c r="P187" s="1">
        <f t="shared" si="60"/>
        <v>0</v>
      </c>
      <c r="Q187" s="1">
        <f t="shared" si="60"/>
        <v>0</v>
      </c>
      <c r="R187" s="1">
        <f t="shared" si="60"/>
        <v>0</v>
      </c>
      <c r="S187" s="1">
        <f t="shared" si="60"/>
        <v>0</v>
      </c>
      <c r="T187" s="1">
        <f t="shared" si="60"/>
        <v>0</v>
      </c>
      <c r="U187" s="1">
        <f t="shared" si="60"/>
        <v>0</v>
      </c>
      <c r="V187" s="1">
        <f t="shared" si="60"/>
        <v>0</v>
      </c>
      <c r="W187" s="1">
        <f t="shared" si="60"/>
        <v>0</v>
      </c>
      <c r="X187" s="54">
        <f t="shared" si="60"/>
        <v>0</v>
      </c>
      <c r="Y187" s="58">
        <f t="shared" si="54"/>
        <v>0</v>
      </c>
      <c r="Z187" s="1">
        <f t="shared" si="55"/>
        <v>0</v>
      </c>
      <c r="AA187" s="1">
        <f t="shared" si="56"/>
        <v>0</v>
      </c>
      <c r="AC187" s="15" t="s">
        <v>51</v>
      </c>
      <c r="AD187" s="16" t="s">
        <v>52</v>
      </c>
      <c r="AE187" s="2"/>
      <c r="AH187" s="1" t="str">
        <f t="shared" si="57"/>
        <v/>
      </c>
      <c r="AI187" s="1" t="str">
        <f t="shared" si="57"/>
        <v/>
      </c>
      <c r="AJ187" s="1" t="str">
        <f t="shared" si="57"/>
        <v/>
      </c>
      <c r="AK187" s="1" t="str">
        <f t="shared" si="57"/>
        <v/>
      </c>
      <c r="AL187" s="1" t="str">
        <f t="shared" si="57"/>
        <v/>
      </c>
      <c r="AM187" s="1" t="str">
        <f t="shared" si="57"/>
        <v/>
      </c>
      <c r="AN187" s="52" t="str">
        <f t="shared" si="57"/>
        <v/>
      </c>
      <c r="AO187" s="1" t="str">
        <f t="shared" si="57"/>
        <v/>
      </c>
      <c r="AP187" s="1" t="str">
        <f t="shared" si="57"/>
        <v/>
      </c>
      <c r="AQ187" s="1" t="str">
        <f t="shared" si="57"/>
        <v/>
      </c>
      <c r="AR187" s="1" t="str">
        <f t="shared" si="57"/>
        <v/>
      </c>
      <c r="AS187" s="1" t="str">
        <f t="shared" si="57"/>
        <v/>
      </c>
      <c r="AT187" s="1" t="str">
        <f t="shared" si="57"/>
        <v/>
      </c>
      <c r="AU187" s="1" t="str">
        <f t="shared" si="57"/>
        <v/>
      </c>
      <c r="AV187" s="1" t="str">
        <f t="shared" si="57"/>
        <v/>
      </c>
      <c r="AW187" s="1" t="str">
        <f t="shared" si="57"/>
        <v/>
      </c>
      <c r="AX187" s="1" t="str">
        <f t="shared" si="58"/>
        <v/>
      </c>
      <c r="AY187" s="1" t="str">
        <f t="shared" si="58"/>
        <v/>
      </c>
      <c r="AZ187" s="1" t="str">
        <f t="shared" si="58"/>
        <v/>
      </c>
      <c r="BA187" s="1" t="str">
        <f t="shared" si="58"/>
        <v/>
      </c>
      <c r="BB187" s="1" t="str">
        <f t="shared" si="58"/>
        <v/>
      </c>
      <c r="BC187" s="1" t="str">
        <f t="shared" si="58"/>
        <v/>
      </c>
    </row>
    <row r="188" spans="1:55" x14ac:dyDescent="0.25">
      <c r="A188" s="15" t="s">
        <v>51</v>
      </c>
      <c r="B188" s="16" t="s">
        <v>56</v>
      </c>
      <c r="C188" s="2"/>
      <c r="F188" s="1">
        <f>F197+F198+F199</f>
        <v>0</v>
      </c>
      <c r="G188" s="1">
        <f t="shared" ref="G188:X188" si="61">G197+G198+G199</f>
        <v>0</v>
      </c>
      <c r="H188" s="1">
        <f t="shared" si="61"/>
        <v>0</v>
      </c>
      <c r="I188" s="1">
        <f t="shared" si="61"/>
        <v>0</v>
      </c>
      <c r="J188" s="1">
        <f t="shared" si="61"/>
        <v>0</v>
      </c>
      <c r="K188" s="1">
        <f t="shared" si="61"/>
        <v>0</v>
      </c>
      <c r="L188" s="52">
        <f t="shared" si="61"/>
        <v>0</v>
      </c>
      <c r="M188" s="1">
        <f t="shared" si="61"/>
        <v>0</v>
      </c>
      <c r="N188" s="1">
        <f t="shared" si="61"/>
        <v>0</v>
      </c>
      <c r="O188" s="1">
        <f t="shared" si="61"/>
        <v>0</v>
      </c>
      <c r="P188" s="1">
        <f t="shared" si="61"/>
        <v>0</v>
      </c>
      <c r="Q188" s="1">
        <f t="shared" si="61"/>
        <v>0</v>
      </c>
      <c r="R188" s="1">
        <f t="shared" si="61"/>
        <v>0</v>
      </c>
      <c r="S188" s="1">
        <f t="shared" si="61"/>
        <v>0</v>
      </c>
      <c r="T188" s="1">
        <f t="shared" si="61"/>
        <v>0</v>
      </c>
      <c r="U188" s="1">
        <f t="shared" si="61"/>
        <v>0</v>
      </c>
      <c r="V188" s="1">
        <f t="shared" si="61"/>
        <v>0</v>
      </c>
      <c r="W188" s="1">
        <f t="shared" si="61"/>
        <v>0</v>
      </c>
      <c r="X188" s="54">
        <f t="shared" si="61"/>
        <v>0</v>
      </c>
      <c r="Y188" s="58">
        <f t="shared" si="54"/>
        <v>0</v>
      </c>
      <c r="Z188" s="1">
        <f t="shared" si="55"/>
        <v>0</v>
      </c>
      <c r="AA188" s="1">
        <f t="shared" si="56"/>
        <v>0</v>
      </c>
      <c r="AC188" s="15" t="s">
        <v>51</v>
      </c>
      <c r="AD188" s="16" t="s">
        <v>56</v>
      </c>
      <c r="AE188" s="2"/>
      <c r="AH188" s="1" t="str">
        <f t="shared" si="57"/>
        <v/>
      </c>
      <c r="AI188" s="1" t="str">
        <f t="shared" si="57"/>
        <v/>
      </c>
      <c r="AJ188" s="1" t="str">
        <f t="shared" si="57"/>
        <v/>
      </c>
      <c r="AK188" s="1" t="str">
        <f t="shared" si="57"/>
        <v/>
      </c>
      <c r="AL188" s="1" t="str">
        <f t="shared" si="57"/>
        <v/>
      </c>
      <c r="AM188" s="1" t="str">
        <f t="shared" si="57"/>
        <v/>
      </c>
      <c r="AN188" s="52" t="str">
        <f t="shared" si="57"/>
        <v/>
      </c>
      <c r="AO188" s="1" t="str">
        <f t="shared" si="57"/>
        <v/>
      </c>
      <c r="AP188" s="1" t="str">
        <f t="shared" si="57"/>
        <v/>
      </c>
      <c r="AQ188" s="1" t="str">
        <f t="shared" si="57"/>
        <v/>
      </c>
      <c r="AR188" s="1" t="str">
        <f t="shared" si="57"/>
        <v/>
      </c>
      <c r="AS188" s="1" t="str">
        <f t="shared" si="57"/>
        <v/>
      </c>
      <c r="AT188" s="1" t="str">
        <f t="shared" si="57"/>
        <v/>
      </c>
      <c r="AU188" s="1" t="str">
        <f t="shared" si="57"/>
        <v/>
      </c>
      <c r="AV188" s="1" t="str">
        <f t="shared" si="57"/>
        <v/>
      </c>
      <c r="AW188" s="1" t="str">
        <f t="shared" si="57"/>
        <v/>
      </c>
      <c r="AX188" s="1" t="str">
        <f t="shared" si="58"/>
        <v/>
      </c>
      <c r="AY188" s="1" t="str">
        <f t="shared" si="58"/>
        <v/>
      </c>
      <c r="AZ188" s="1" t="str">
        <f t="shared" si="58"/>
        <v/>
      </c>
      <c r="BA188" s="1" t="str">
        <f t="shared" si="58"/>
        <v/>
      </c>
      <c r="BB188" s="1" t="str">
        <f t="shared" si="58"/>
        <v/>
      </c>
      <c r="BC188" s="1" t="str">
        <f t="shared" si="58"/>
        <v/>
      </c>
    </row>
    <row r="189" spans="1:55" x14ac:dyDescent="0.25">
      <c r="A189" s="15" t="s">
        <v>51</v>
      </c>
      <c r="B189" s="16" t="s">
        <v>9</v>
      </c>
      <c r="C189" s="2"/>
      <c r="F189" s="1">
        <f>F200</f>
        <v>0</v>
      </c>
      <c r="G189" s="1">
        <f t="shared" ref="G189:X189" si="62">G200</f>
        <v>0</v>
      </c>
      <c r="H189" s="1">
        <f t="shared" si="62"/>
        <v>0</v>
      </c>
      <c r="I189" s="1">
        <f t="shared" si="62"/>
        <v>0</v>
      </c>
      <c r="J189" s="1">
        <f t="shared" si="62"/>
        <v>0</v>
      </c>
      <c r="K189" s="1">
        <f t="shared" si="62"/>
        <v>0</v>
      </c>
      <c r="L189" s="52">
        <f t="shared" si="62"/>
        <v>0</v>
      </c>
      <c r="M189" s="1">
        <f t="shared" si="62"/>
        <v>0</v>
      </c>
      <c r="N189" s="1">
        <f t="shared" si="62"/>
        <v>0</v>
      </c>
      <c r="O189" s="1">
        <f t="shared" si="62"/>
        <v>0</v>
      </c>
      <c r="P189" s="1">
        <f t="shared" si="62"/>
        <v>0</v>
      </c>
      <c r="Q189" s="1">
        <f t="shared" si="62"/>
        <v>0</v>
      </c>
      <c r="R189" s="1">
        <f t="shared" si="62"/>
        <v>0</v>
      </c>
      <c r="S189" s="1">
        <f t="shared" si="62"/>
        <v>0</v>
      </c>
      <c r="T189" s="1">
        <f t="shared" si="62"/>
        <v>0</v>
      </c>
      <c r="U189" s="1">
        <f t="shared" si="62"/>
        <v>0</v>
      </c>
      <c r="V189" s="1">
        <f t="shared" si="62"/>
        <v>0</v>
      </c>
      <c r="W189" s="1">
        <f t="shared" si="62"/>
        <v>0</v>
      </c>
      <c r="X189" s="54">
        <f t="shared" si="62"/>
        <v>0</v>
      </c>
      <c r="Y189" s="58">
        <f t="shared" si="54"/>
        <v>0</v>
      </c>
      <c r="Z189" s="1">
        <f t="shared" si="55"/>
        <v>0</v>
      </c>
      <c r="AA189" s="1">
        <f t="shared" si="56"/>
        <v>0</v>
      </c>
      <c r="AC189" s="15" t="s">
        <v>51</v>
      </c>
      <c r="AD189" s="16" t="s">
        <v>9</v>
      </c>
      <c r="AE189" s="2"/>
      <c r="AH189" s="1" t="str">
        <f t="shared" si="57"/>
        <v/>
      </c>
      <c r="AI189" s="1" t="str">
        <f t="shared" si="57"/>
        <v/>
      </c>
      <c r="AJ189" s="1" t="str">
        <f t="shared" si="57"/>
        <v/>
      </c>
      <c r="AK189" s="1" t="str">
        <f t="shared" si="57"/>
        <v/>
      </c>
      <c r="AL189" s="1" t="str">
        <f t="shared" si="57"/>
        <v/>
      </c>
      <c r="AM189" s="1" t="str">
        <f t="shared" si="57"/>
        <v/>
      </c>
      <c r="AN189" s="52" t="str">
        <f t="shared" si="57"/>
        <v/>
      </c>
      <c r="AO189" s="1" t="str">
        <f t="shared" si="57"/>
        <v/>
      </c>
      <c r="AP189" s="1" t="str">
        <f t="shared" si="57"/>
        <v/>
      </c>
      <c r="AQ189" s="1" t="str">
        <f t="shared" si="57"/>
        <v/>
      </c>
      <c r="AR189" s="1" t="str">
        <f t="shared" si="57"/>
        <v/>
      </c>
      <c r="AS189" s="1" t="str">
        <f t="shared" si="57"/>
        <v/>
      </c>
      <c r="AT189" s="1" t="str">
        <f t="shared" si="57"/>
        <v/>
      </c>
      <c r="AU189" s="1" t="str">
        <f t="shared" si="57"/>
        <v/>
      </c>
      <c r="AV189" s="1" t="str">
        <f t="shared" si="57"/>
        <v/>
      </c>
      <c r="AW189" s="1" t="str">
        <f t="shared" si="57"/>
        <v/>
      </c>
      <c r="AX189" s="1" t="str">
        <f t="shared" si="58"/>
        <v/>
      </c>
      <c r="AY189" s="1" t="str">
        <f t="shared" si="58"/>
        <v/>
      </c>
      <c r="AZ189" s="1" t="str">
        <f t="shared" si="58"/>
        <v/>
      </c>
      <c r="BA189" s="1" t="str">
        <f t="shared" si="58"/>
        <v/>
      </c>
      <c r="BB189" s="1" t="str">
        <f t="shared" si="58"/>
        <v/>
      </c>
      <c r="BC189" s="1" t="str">
        <f t="shared" si="58"/>
        <v/>
      </c>
    </row>
    <row r="190" spans="1:55" x14ac:dyDescent="0.25">
      <c r="A190" s="30" t="s">
        <v>60</v>
      </c>
      <c r="B190" s="32" t="s">
        <v>13</v>
      </c>
      <c r="C190" s="2"/>
      <c r="F190" s="51">
        <f>F201+F202+F203</f>
        <v>165</v>
      </c>
      <c r="G190" s="51">
        <f t="shared" ref="G190:X190" si="63">G201+G202+G203</f>
        <v>195</v>
      </c>
      <c r="H190" s="51">
        <f t="shared" si="63"/>
        <v>1925</v>
      </c>
      <c r="I190" s="51">
        <f t="shared" si="63"/>
        <v>101.37931034482759</v>
      </c>
      <c r="J190" s="51">
        <f t="shared" si="63"/>
        <v>37.400000000000006</v>
      </c>
      <c r="K190" s="51">
        <f t="shared" si="63"/>
        <v>27.586206896551722</v>
      </c>
      <c r="L190" s="52">
        <f t="shared" si="63"/>
        <v>0</v>
      </c>
      <c r="M190" s="51">
        <f t="shared" si="63"/>
        <v>10.37037037037037</v>
      </c>
      <c r="N190" s="51">
        <f t="shared" si="63"/>
        <v>1.8</v>
      </c>
      <c r="O190" s="51">
        <f t="shared" si="63"/>
        <v>0.3</v>
      </c>
      <c r="P190" s="51">
        <f t="shared" si="63"/>
        <v>0.5</v>
      </c>
      <c r="Q190" s="51">
        <f t="shared" si="63"/>
        <v>1.1702127659574468</v>
      </c>
      <c r="R190" s="51">
        <f t="shared" si="63"/>
        <v>2.6897496087636936</v>
      </c>
      <c r="S190" s="51">
        <f t="shared" si="63"/>
        <v>0</v>
      </c>
      <c r="T190" s="51">
        <f t="shared" si="63"/>
        <v>1.5649452269170581</v>
      </c>
      <c r="U190" s="51">
        <f t="shared" si="63"/>
        <v>2.4452269170579033</v>
      </c>
      <c r="V190" s="51">
        <f t="shared" si="63"/>
        <v>0.11737089201877934</v>
      </c>
      <c r="W190" s="51">
        <f t="shared" si="63"/>
        <v>2.7386541471048513</v>
      </c>
      <c r="X190" s="55">
        <f t="shared" si="63"/>
        <v>11.737089201877934</v>
      </c>
      <c r="Y190" s="59">
        <f t="shared" si="54"/>
        <v>2451.3655172413792</v>
      </c>
      <c r="Z190" s="51">
        <f t="shared" si="55"/>
        <v>35.433619130068038</v>
      </c>
      <c r="AA190" s="51">
        <f t="shared" si="56"/>
        <v>2486.7991363714473</v>
      </c>
      <c r="AB190" s="97">
        <v>5200</v>
      </c>
      <c r="AC190" s="30" t="s">
        <v>60</v>
      </c>
      <c r="AD190" s="32" t="s">
        <v>13</v>
      </c>
      <c r="AE190" s="2"/>
      <c r="AH190" s="1">
        <f t="shared" si="57"/>
        <v>289.56228956228955</v>
      </c>
      <c r="AI190" s="1">
        <f t="shared" si="57"/>
        <v>142.45014245014247</v>
      </c>
      <c r="AJ190" s="1">
        <f t="shared" si="57"/>
        <v>32.696715049656234</v>
      </c>
      <c r="AK190" s="1">
        <f t="shared" si="57"/>
        <v>170.58823529411762</v>
      </c>
      <c r="AL190" s="1">
        <f t="shared" si="57"/>
        <v>314.56432840515885</v>
      </c>
      <c r="AM190" s="1">
        <f t="shared" si="57"/>
        <v>170.58823529411765</v>
      </c>
      <c r="AN190" s="52" t="str">
        <f t="shared" si="57"/>
        <v/>
      </c>
      <c r="AO190" s="1">
        <f t="shared" si="57"/>
        <v>2222.2222222222217</v>
      </c>
      <c r="AP190" s="1">
        <f t="shared" si="57"/>
        <v>5208.333333333333</v>
      </c>
      <c r="AQ190" s="1">
        <f t="shared" si="57"/>
        <v>55555.555555555562</v>
      </c>
      <c r="AR190" s="1">
        <f t="shared" si="57"/>
        <v>377777.77777777775</v>
      </c>
      <c r="AS190" s="1">
        <f t="shared" si="57"/>
        <v>5222.2222222222217</v>
      </c>
      <c r="AT190" s="1">
        <f t="shared" si="57"/>
        <v>2366.6666666666665</v>
      </c>
      <c r="AU190" s="1" t="str">
        <f t="shared" si="57"/>
        <v/>
      </c>
      <c r="AV190" s="1">
        <f t="shared" si="57"/>
        <v>2366.6666666666665</v>
      </c>
      <c r="AW190" s="1">
        <f t="shared" si="57"/>
        <v>2366.6666666666661</v>
      </c>
      <c r="AX190" s="1">
        <f t="shared" si="58"/>
        <v>2366.6666666666665</v>
      </c>
      <c r="AY190" s="1">
        <f t="shared" si="58"/>
        <v>2366.6666666666665</v>
      </c>
      <c r="AZ190" s="1">
        <f t="shared" si="58"/>
        <v>2366.6666666666665</v>
      </c>
      <c r="BA190" s="1">
        <f t="shared" si="58"/>
        <v>70.271624813564927</v>
      </c>
      <c r="BB190" s="1">
        <f t="shared" si="58"/>
        <v>8310.7641811561007</v>
      </c>
      <c r="BC190" s="1">
        <f t="shared" si="58"/>
        <v>187.68781272154891</v>
      </c>
    </row>
    <row r="191" spans="1:55" x14ac:dyDescent="0.25">
      <c r="A191" s="30" t="s">
        <v>60</v>
      </c>
      <c r="B191" s="31" t="s">
        <v>23</v>
      </c>
      <c r="C191" s="2"/>
      <c r="F191" s="51">
        <f>F204+F205+F206</f>
        <v>0</v>
      </c>
      <c r="G191" s="51">
        <f t="shared" ref="G191:X191" si="64">G204+G205+G206</f>
        <v>0</v>
      </c>
      <c r="H191" s="51">
        <f t="shared" si="64"/>
        <v>0</v>
      </c>
      <c r="I191" s="51">
        <f t="shared" si="64"/>
        <v>0</v>
      </c>
      <c r="J191" s="51">
        <f t="shared" si="64"/>
        <v>41.694444444444443</v>
      </c>
      <c r="K191" s="51">
        <f t="shared" si="64"/>
        <v>829.20681818181811</v>
      </c>
      <c r="L191" s="52">
        <f t="shared" si="64"/>
        <v>0</v>
      </c>
      <c r="M191" s="51">
        <f t="shared" si="64"/>
        <v>0</v>
      </c>
      <c r="N191" s="51">
        <f t="shared" si="64"/>
        <v>1.1000000000000001</v>
      </c>
      <c r="O191" s="51">
        <f t="shared" si="64"/>
        <v>0</v>
      </c>
      <c r="P191" s="51">
        <f t="shared" si="64"/>
        <v>0</v>
      </c>
      <c r="Q191" s="51">
        <f t="shared" si="64"/>
        <v>0</v>
      </c>
      <c r="R191" s="51">
        <f t="shared" si="64"/>
        <v>0</v>
      </c>
      <c r="S191" s="51">
        <f t="shared" si="64"/>
        <v>2.4500000000000002</v>
      </c>
      <c r="T191" s="51">
        <f t="shared" si="64"/>
        <v>1.6009852216748768</v>
      </c>
      <c r="U191" s="51">
        <f t="shared" si="64"/>
        <v>0</v>
      </c>
      <c r="V191" s="51">
        <f t="shared" si="64"/>
        <v>0.24630541871921183</v>
      </c>
      <c r="W191" s="51">
        <f t="shared" si="64"/>
        <v>0</v>
      </c>
      <c r="X191" s="55">
        <f t="shared" si="64"/>
        <v>1</v>
      </c>
      <c r="Y191" s="59">
        <f t="shared" si="54"/>
        <v>870.90126262626256</v>
      </c>
      <c r="Z191" s="51">
        <f t="shared" si="55"/>
        <v>6.3972906403940888</v>
      </c>
      <c r="AA191" s="51">
        <f t="shared" si="56"/>
        <v>877.29855326665665</v>
      </c>
      <c r="AC191" s="30" t="s">
        <v>60</v>
      </c>
      <c r="AD191" s="31" t="s">
        <v>23</v>
      </c>
      <c r="AE191" s="2"/>
      <c r="AH191" s="1" t="str">
        <f t="shared" si="57"/>
        <v/>
      </c>
      <c r="AI191" s="1" t="str">
        <f t="shared" si="57"/>
        <v/>
      </c>
      <c r="AJ191" s="1" t="str">
        <f t="shared" si="57"/>
        <v/>
      </c>
      <c r="AK191" s="1" t="str">
        <f t="shared" si="57"/>
        <v/>
      </c>
      <c r="AL191" s="1">
        <f t="shared" si="57"/>
        <v>886.79341977143429</v>
      </c>
      <c r="AM191" s="1">
        <f t="shared" si="57"/>
        <v>42.829225394162876</v>
      </c>
      <c r="AN191" s="52" t="str">
        <f t="shared" si="57"/>
        <v/>
      </c>
      <c r="AO191" s="1" t="str">
        <f t="shared" si="57"/>
        <v/>
      </c>
      <c r="AP191" s="1">
        <f t="shared" si="57"/>
        <v>15384.615384615383</v>
      </c>
      <c r="AQ191" s="1" t="str">
        <f t="shared" si="57"/>
        <v/>
      </c>
      <c r="AR191" s="1" t="str">
        <f t="shared" si="57"/>
        <v/>
      </c>
      <c r="AS191" s="1" t="str">
        <f t="shared" si="57"/>
        <v/>
      </c>
      <c r="AT191" s="1" t="str">
        <f t="shared" si="57"/>
        <v/>
      </c>
      <c r="AU191" s="1">
        <f t="shared" si="57"/>
        <v>2222.2222222222222</v>
      </c>
      <c r="AV191" s="1">
        <f t="shared" si="57"/>
        <v>11600.000000000002</v>
      </c>
      <c r="AW191" s="1" t="str">
        <f t="shared" si="57"/>
        <v/>
      </c>
      <c r="AX191" s="1">
        <f t="shared" si="58"/>
        <v>9022.2222222222226</v>
      </c>
      <c r="AY191" s="1" t="str">
        <f t="shared" si="58"/>
        <v/>
      </c>
      <c r="AZ191" s="1">
        <f t="shared" si="58"/>
        <v>2222.2222222222222</v>
      </c>
      <c r="BA191" s="1">
        <f t="shared" si="58"/>
        <v>83.234056258054096</v>
      </c>
      <c r="BB191" s="1">
        <f t="shared" si="58"/>
        <v>7094.1585953328922</v>
      </c>
      <c r="BC191" s="1">
        <f t="shared" si="58"/>
        <v>134.35795446503104</v>
      </c>
    </row>
    <row r="192" spans="1:55" x14ac:dyDescent="0.25">
      <c r="A192" s="30" t="s">
        <v>60</v>
      </c>
      <c r="B192" s="31" t="s">
        <v>65</v>
      </c>
      <c r="C192" s="46"/>
      <c r="F192" s="51">
        <f>F207+F208+F209</f>
        <v>0</v>
      </c>
      <c r="G192" s="51">
        <f t="shared" ref="G192:X192" si="65">G207+G208+G209</f>
        <v>0</v>
      </c>
      <c r="H192" s="51">
        <f t="shared" si="65"/>
        <v>0</v>
      </c>
      <c r="I192" s="51">
        <f t="shared" si="65"/>
        <v>0</v>
      </c>
      <c r="J192" s="51">
        <f t="shared" si="65"/>
        <v>81.845238095238102</v>
      </c>
      <c r="K192" s="51">
        <f t="shared" si="65"/>
        <v>0</v>
      </c>
      <c r="L192" s="52">
        <f t="shared" si="65"/>
        <v>350</v>
      </c>
      <c r="M192" s="51">
        <f t="shared" si="65"/>
        <v>47.368421052631575</v>
      </c>
      <c r="N192" s="51">
        <f t="shared" si="65"/>
        <v>0</v>
      </c>
      <c r="O192" s="51">
        <f t="shared" si="65"/>
        <v>0</v>
      </c>
      <c r="P192" s="51">
        <f t="shared" si="65"/>
        <v>0</v>
      </c>
      <c r="Q192" s="51">
        <f t="shared" si="65"/>
        <v>35.933806146572103</v>
      </c>
      <c r="R192" s="51">
        <f t="shared" si="65"/>
        <v>36.515388628064684</v>
      </c>
      <c r="S192" s="51">
        <f t="shared" si="65"/>
        <v>0</v>
      </c>
      <c r="T192" s="51">
        <f t="shared" si="65"/>
        <v>38.341158059467922</v>
      </c>
      <c r="U192" s="51">
        <f t="shared" si="65"/>
        <v>10.670081092616304</v>
      </c>
      <c r="V192" s="51">
        <f t="shared" si="65"/>
        <v>9.7809076682316132</v>
      </c>
      <c r="W192" s="51">
        <f t="shared" si="65"/>
        <v>16.627543035993742</v>
      </c>
      <c r="X192" s="55">
        <f t="shared" si="65"/>
        <v>15.649452269170579</v>
      </c>
      <c r="Y192" s="59">
        <f t="shared" si="54"/>
        <v>81.845238095238102</v>
      </c>
      <c r="Z192" s="51">
        <f t="shared" si="55"/>
        <v>210.88675795274852</v>
      </c>
      <c r="AA192" s="51">
        <f t="shared" si="56"/>
        <v>642.73199604798663</v>
      </c>
      <c r="AC192" s="30" t="s">
        <v>60</v>
      </c>
      <c r="AD192" s="31" t="s">
        <v>65</v>
      </c>
      <c r="AE192" s="46"/>
      <c r="AH192" s="1" t="str">
        <f t="shared" si="57"/>
        <v/>
      </c>
      <c r="AI192" s="1" t="str">
        <f t="shared" si="57"/>
        <v/>
      </c>
      <c r="AJ192" s="1" t="str">
        <f t="shared" si="57"/>
        <v/>
      </c>
      <c r="AK192" s="1" t="str">
        <f t="shared" si="57"/>
        <v/>
      </c>
      <c r="AL192" s="1">
        <f t="shared" si="57"/>
        <v>1400</v>
      </c>
      <c r="AM192" s="1" t="str">
        <f t="shared" si="57"/>
        <v/>
      </c>
      <c r="AN192" s="52">
        <f t="shared" si="57"/>
        <v>18750</v>
      </c>
      <c r="AO192" s="1">
        <f t="shared" si="57"/>
        <v>7500</v>
      </c>
      <c r="AP192" s="1" t="str">
        <f t="shared" si="57"/>
        <v/>
      </c>
      <c r="AQ192" s="1" t="str">
        <f t="shared" si="57"/>
        <v/>
      </c>
      <c r="AR192" s="1" t="str">
        <f t="shared" si="57"/>
        <v/>
      </c>
      <c r="AS192" s="1">
        <f t="shared" si="57"/>
        <v>26857.142857142855</v>
      </c>
      <c r="AT192" s="1">
        <f t="shared" si="57"/>
        <v>12171.428571428572</v>
      </c>
      <c r="AU192" s="1" t="str">
        <f t="shared" si="57"/>
        <v/>
      </c>
      <c r="AV192" s="1">
        <f t="shared" si="57"/>
        <v>12171.428571428571</v>
      </c>
      <c r="AW192" s="1">
        <f t="shared" si="57"/>
        <v>12171.428571428571</v>
      </c>
      <c r="AX192" s="1">
        <f t="shared" si="58"/>
        <v>12171.428571428571</v>
      </c>
      <c r="AY192" s="1">
        <f t="shared" si="58"/>
        <v>12171.428571428571</v>
      </c>
      <c r="AZ192" s="1">
        <f t="shared" si="58"/>
        <v>12171.428571428571</v>
      </c>
      <c r="BA192" s="1">
        <f t="shared" si="58"/>
        <v>1400</v>
      </c>
      <c r="BB192" s="1">
        <f t="shared" si="58"/>
        <v>13624.508972269765</v>
      </c>
      <c r="BC192" s="1">
        <f t="shared" si="58"/>
        <v>14858.933300218663</v>
      </c>
    </row>
    <row r="193" spans="1:55" ht="15.75" thickBot="1" x14ac:dyDescent="0.3">
      <c r="A193" s="48" t="s">
        <v>60</v>
      </c>
      <c r="B193" s="49" t="s">
        <v>9</v>
      </c>
      <c r="C193" s="50"/>
      <c r="D193" s="50"/>
      <c r="E193" s="50"/>
      <c r="F193" s="53">
        <f>F210</f>
        <v>0</v>
      </c>
      <c r="G193" s="53">
        <f t="shared" ref="G193:X193" si="66">G210</f>
        <v>0</v>
      </c>
      <c r="H193" s="53">
        <f t="shared" si="66"/>
        <v>0</v>
      </c>
      <c r="I193" s="53">
        <f t="shared" si="66"/>
        <v>0</v>
      </c>
      <c r="J193" s="53">
        <f t="shared" si="66"/>
        <v>0</v>
      </c>
      <c r="K193" s="53">
        <f t="shared" si="66"/>
        <v>0</v>
      </c>
      <c r="L193" s="62">
        <f t="shared" si="66"/>
        <v>0</v>
      </c>
      <c r="M193" s="53">
        <f t="shared" si="66"/>
        <v>0</v>
      </c>
      <c r="N193" s="53">
        <f t="shared" si="66"/>
        <v>0</v>
      </c>
      <c r="O193" s="53">
        <f t="shared" si="66"/>
        <v>0</v>
      </c>
      <c r="P193" s="53">
        <f t="shared" si="66"/>
        <v>0</v>
      </c>
      <c r="Q193" s="53">
        <f t="shared" si="66"/>
        <v>0</v>
      </c>
      <c r="R193" s="53">
        <f t="shared" si="66"/>
        <v>0</v>
      </c>
      <c r="S193" s="53">
        <f t="shared" si="66"/>
        <v>0</v>
      </c>
      <c r="T193" s="53">
        <f t="shared" si="66"/>
        <v>0</v>
      </c>
      <c r="U193" s="53">
        <f t="shared" si="66"/>
        <v>0</v>
      </c>
      <c r="V193" s="53">
        <f t="shared" si="66"/>
        <v>0</v>
      </c>
      <c r="W193" s="53">
        <f t="shared" si="66"/>
        <v>0</v>
      </c>
      <c r="X193" s="56">
        <f t="shared" si="66"/>
        <v>3.4931813100827185</v>
      </c>
      <c r="Y193" s="60">
        <f t="shared" si="54"/>
        <v>0</v>
      </c>
      <c r="Z193" s="53">
        <f t="shared" si="55"/>
        <v>3.4931813100827185</v>
      </c>
      <c r="AA193" s="53">
        <f t="shared" si="56"/>
        <v>3.4931813100827185</v>
      </c>
      <c r="AC193" s="48" t="s">
        <v>60</v>
      </c>
      <c r="AD193" s="49" t="s">
        <v>9</v>
      </c>
      <c r="AE193" s="50"/>
      <c r="AF193" s="50"/>
      <c r="AG193" s="50"/>
      <c r="AH193" s="1" t="str">
        <f t="shared" si="57"/>
        <v/>
      </c>
      <c r="AI193" s="1" t="str">
        <f t="shared" si="57"/>
        <v/>
      </c>
      <c r="AJ193" s="1" t="str">
        <f t="shared" si="57"/>
        <v/>
      </c>
      <c r="AK193" s="1" t="str">
        <f t="shared" si="57"/>
        <v/>
      </c>
      <c r="AL193" s="1" t="str">
        <f t="shared" si="57"/>
        <v/>
      </c>
      <c r="AM193" s="1" t="str">
        <f t="shared" si="57"/>
        <v/>
      </c>
      <c r="AN193" s="52" t="str">
        <f t="shared" si="57"/>
        <v/>
      </c>
      <c r="AO193" s="1" t="str">
        <f t="shared" si="57"/>
        <v/>
      </c>
      <c r="AP193" s="1" t="str">
        <f t="shared" si="57"/>
        <v/>
      </c>
      <c r="AQ193" s="1" t="str">
        <f t="shared" si="57"/>
        <v/>
      </c>
      <c r="AR193" s="1" t="str">
        <f t="shared" si="57"/>
        <v/>
      </c>
      <c r="AS193" s="1" t="str">
        <f t="shared" si="57"/>
        <v/>
      </c>
      <c r="AT193" s="1" t="str">
        <f t="shared" si="57"/>
        <v/>
      </c>
      <c r="AU193" s="1" t="str">
        <f t="shared" si="57"/>
        <v/>
      </c>
      <c r="AV193" s="1" t="str">
        <f t="shared" si="57"/>
        <v/>
      </c>
      <c r="AW193" s="1" t="str">
        <f t="shared" si="57"/>
        <v/>
      </c>
      <c r="AX193" s="1" t="str">
        <f t="shared" si="58"/>
        <v/>
      </c>
      <c r="AY193" s="1" t="str">
        <f t="shared" si="58"/>
        <v/>
      </c>
      <c r="AZ193" s="1">
        <f t="shared" si="58"/>
        <v>7100</v>
      </c>
      <c r="BA193" s="1" t="str">
        <f t="shared" si="58"/>
        <v/>
      </c>
      <c r="BB193" s="1">
        <f t="shared" si="58"/>
        <v>7100</v>
      </c>
      <c r="BC193" s="1">
        <f t="shared" si="58"/>
        <v>7100</v>
      </c>
    </row>
    <row r="194" spans="1:55" ht="15.75" thickTop="1" x14ac:dyDescent="0.25">
      <c r="A194" s="15" t="s">
        <v>51</v>
      </c>
      <c r="B194" s="16" t="s">
        <v>52</v>
      </c>
      <c r="C194" s="16" t="s">
        <v>53</v>
      </c>
      <c r="D194" s="2"/>
      <c r="E194" s="2"/>
      <c r="F194" s="47">
        <v>0</v>
      </c>
      <c r="G194" s="47">
        <v>0</v>
      </c>
      <c r="H194" s="47">
        <v>0</v>
      </c>
      <c r="I194" s="47">
        <v>0</v>
      </c>
      <c r="J194" s="47">
        <v>0</v>
      </c>
      <c r="K194" s="47">
        <v>0</v>
      </c>
      <c r="L194" s="63">
        <v>0</v>
      </c>
      <c r="M194" s="47">
        <v>0</v>
      </c>
      <c r="N194" s="47">
        <v>0</v>
      </c>
      <c r="O194" s="47">
        <v>0</v>
      </c>
      <c r="P194" s="47">
        <v>0</v>
      </c>
      <c r="Q194" s="47">
        <v>0</v>
      </c>
      <c r="R194" s="47">
        <v>0</v>
      </c>
      <c r="S194" s="47">
        <v>0</v>
      </c>
      <c r="T194" s="47">
        <v>0</v>
      </c>
      <c r="U194" s="47">
        <v>0</v>
      </c>
      <c r="V194" s="47">
        <v>0</v>
      </c>
      <c r="W194" s="47">
        <v>0</v>
      </c>
      <c r="X194" s="57">
        <v>0</v>
      </c>
      <c r="Y194" s="61">
        <f t="shared" si="54"/>
        <v>0</v>
      </c>
      <c r="Z194" s="47">
        <f t="shared" si="55"/>
        <v>0</v>
      </c>
      <c r="AA194" s="47">
        <f t="shared" si="56"/>
        <v>0</v>
      </c>
      <c r="AC194" s="15" t="s">
        <v>51</v>
      </c>
      <c r="AD194" s="16" t="s">
        <v>52</v>
      </c>
      <c r="AE194" s="16" t="s">
        <v>53</v>
      </c>
      <c r="AF194" s="2"/>
      <c r="AG194" s="2"/>
      <c r="AH194" s="90" t="str">
        <f t="shared" si="57"/>
        <v/>
      </c>
      <c r="AI194" s="90" t="str">
        <f t="shared" si="57"/>
        <v/>
      </c>
      <c r="AJ194" s="90" t="str">
        <f t="shared" si="57"/>
        <v/>
      </c>
      <c r="AK194" s="90" t="str">
        <f t="shared" si="57"/>
        <v/>
      </c>
      <c r="AL194" s="90" t="str">
        <f t="shared" si="57"/>
        <v/>
      </c>
      <c r="AM194" s="90" t="str">
        <f t="shared" si="57"/>
        <v/>
      </c>
      <c r="AN194" s="90" t="str">
        <f t="shared" si="57"/>
        <v/>
      </c>
      <c r="AO194" s="90" t="str">
        <f t="shared" si="57"/>
        <v/>
      </c>
      <c r="AP194" s="90" t="str">
        <f t="shared" si="57"/>
        <v/>
      </c>
      <c r="AQ194" s="90" t="str">
        <f t="shared" si="57"/>
        <v/>
      </c>
      <c r="AR194" s="90" t="str">
        <f t="shared" si="57"/>
        <v/>
      </c>
      <c r="AS194" s="90" t="str">
        <f t="shared" si="57"/>
        <v/>
      </c>
      <c r="AT194" s="90" t="str">
        <f t="shared" si="57"/>
        <v/>
      </c>
      <c r="AU194" s="90" t="str">
        <f t="shared" si="57"/>
        <v/>
      </c>
      <c r="AV194" s="90" t="str">
        <f t="shared" si="57"/>
        <v/>
      </c>
      <c r="AW194" s="90" t="str">
        <f t="shared" si="57"/>
        <v/>
      </c>
      <c r="AX194" s="90" t="str">
        <f t="shared" si="58"/>
        <v/>
      </c>
      <c r="AY194" s="90" t="str">
        <f t="shared" si="58"/>
        <v/>
      </c>
      <c r="AZ194" s="90" t="str">
        <f t="shared" si="58"/>
        <v/>
      </c>
      <c r="BA194" s="90" t="str">
        <f t="shared" si="58"/>
        <v/>
      </c>
      <c r="BB194" s="90" t="str">
        <f t="shared" si="58"/>
        <v/>
      </c>
      <c r="BC194" s="90" t="str">
        <f t="shared" si="58"/>
        <v/>
      </c>
    </row>
    <row r="195" spans="1:55" x14ac:dyDescent="0.25">
      <c r="A195" s="15" t="s">
        <v>51</v>
      </c>
      <c r="B195" s="16" t="s">
        <v>52</v>
      </c>
      <c r="C195" s="16" t="s">
        <v>54</v>
      </c>
      <c r="D195" s="2"/>
      <c r="E195" s="2"/>
      <c r="F195" s="47">
        <v>0</v>
      </c>
      <c r="G195" s="47">
        <v>0</v>
      </c>
      <c r="H195" s="1">
        <v>0</v>
      </c>
      <c r="I195" s="1">
        <v>0</v>
      </c>
      <c r="J195" s="1">
        <v>0</v>
      </c>
      <c r="K195" s="1">
        <v>0</v>
      </c>
      <c r="L195" s="52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54">
        <v>0</v>
      </c>
      <c r="Y195" s="58">
        <f t="shared" si="54"/>
        <v>0</v>
      </c>
      <c r="Z195" s="1">
        <f t="shared" si="55"/>
        <v>0</v>
      </c>
      <c r="AA195" s="1">
        <f t="shared" si="56"/>
        <v>0</v>
      </c>
      <c r="AC195" s="15" t="s">
        <v>51</v>
      </c>
      <c r="AD195" s="16" t="s">
        <v>52</v>
      </c>
      <c r="AE195" s="16" t="s">
        <v>54</v>
      </c>
      <c r="AF195" s="2"/>
      <c r="AG195" s="2"/>
      <c r="AH195" s="90" t="str">
        <f t="shared" si="57"/>
        <v/>
      </c>
      <c r="AI195" s="90" t="str">
        <f t="shared" si="57"/>
        <v/>
      </c>
      <c r="AJ195" s="90" t="str">
        <f t="shared" si="57"/>
        <v/>
      </c>
      <c r="AK195" s="90" t="str">
        <f t="shared" si="57"/>
        <v/>
      </c>
      <c r="AL195" s="90" t="str">
        <f t="shared" si="57"/>
        <v/>
      </c>
      <c r="AM195" s="90" t="str">
        <f t="shared" si="57"/>
        <v/>
      </c>
      <c r="AN195" s="90" t="str">
        <f t="shared" si="57"/>
        <v/>
      </c>
      <c r="AO195" s="90" t="str">
        <f t="shared" si="57"/>
        <v/>
      </c>
      <c r="AP195" s="90" t="str">
        <f t="shared" si="57"/>
        <v/>
      </c>
      <c r="AQ195" s="90" t="str">
        <f t="shared" si="57"/>
        <v/>
      </c>
      <c r="AR195" s="90" t="str">
        <f t="shared" si="57"/>
        <v/>
      </c>
      <c r="AS195" s="90" t="str">
        <f t="shared" si="57"/>
        <v/>
      </c>
      <c r="AT195" s="90" t="str">
        <f t="shared" si="57"/>
        <v/>
      </c>
      <c r="AU195" s="90" t="str">
        <f t="shared" si="57"/>
        <v/>
      </c>
      <c r="AV195" s="90" t="str">
        <f t="shared" si="57"/>
        <v/>
      </c>
      <c r="AW195" s="90" t="str">
        <f t="shared" si="57"/>
        <v/>
      </c>
      <c r="AX195" s="90" t="str">
        <f t="shared" si="58"/>
        <v/>
      </c>
      <c r="AY195" s="90" t="str">
        <f t="shared" si="58"/>
        <v/>
      </c>
      <c r="AZ195" s="90" t="str">
        <f t="shared" si="58"/>
        <v/>
      </c>
      <c r="BA195" s="90" t="str">
        <f t="shared" si="58"/>
        <v/>
      </c>
      <c r="BB195" s="90" t="str">
        <f t="shared" si="58"/>
        <v/>
      </c>
      <c r="BC195" s="90" t="str">
        <f t="shared" si="58"/>
        <v/>
      </c>
    </row>
    <row r="196" spans="1:55" x14ac:dyDescent="0.25">
      <c r="A196" s="15" t="s">
        <v>51</v>
      </c>
      <c r="B196" s="16" t="s">
        <v>52</v>
      </c>
      <c r="C196" s="16" t="s">
        <v>55</v>
      </c>
      <c r="D196" s="2"/>
      <c r="E196" s="2"/>
      <c r="F196" s="47">
        <v>0</v>
      </c>
      <c r="G196" s="47">
        <v>0</v>
      </c>
      <c r="H196" s="1">
        <v>0</v>
      </c>
      <c r="I196" s="1">
        <v>0</v>
      </c>
      <c r="J196" s="1">
        <v>0</v>
      </c>
      <c r="K196" s="1">
        <v>0</v>
      </c>
      <c r="L196" s="52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54">
        <v>0</v>
      </c>
      <c r="Y196" s="58">
        <f t="shared" si="54"/>
        <v>0</v>
      </c>
      <c r="Z196" s="1">
        <f t="shared" si="55"/>
        <v>0</v>
      </c>
      <c r="AA196" s="1">
        <f t="shared" si="56"/>
        <v>0</v>
      </c>
      <c r="AC196" s="15" t="s">
        <v>51</v>
      </c>
      <c r="AD196" s="16" t="s">
        <v>52</v>
      </c>
      <c r="AE196" s="16" t="s">
        <v>55</v>
      </c>
      <c r="AF196" s="2"/>
      <c r="AG196" s="2"/>
      <c r="AH196" s="90" t="str">
        <f t="shared" si="57"/>
        <v/>
      </c>
      <c r="AI196" s="90" t="str">
        <f t="shared" si="57"/>
        <v/>
      </c>
      <c r="AJ196" s="90" t="str">
        <f t="shared" si="57"/>
        <v/>
      </c>
      <c r="AK196" s="90" t="str">
        <f t="shared" si="57"/>
        <v/>
      </c>
      <c r="AL196" s="90" t="str">
        <f t="shared" si="57"/>
        <v/>
      </c>
      <c r="AM196" s="90" t="str">
        <f t="shared" si="57"/>
        <v/>
      </c>
      <c r="AN196" s="90" t="str">
        <f t="shared" si="57"/>
        <v/>
      </c>
      <c r="AO196" s="90" t="str">
        <f t="shared" si="57"/>
        <v/>
      </c>
      <c r="AP196" s="90" t="str">
        <f t="shared" si="57"/>
        <v/>
      </c>
      <c r="AQ196" s="90" t="str">
        <f t="shared" si="57"/>
        <v/>
      </c>
      <c r="AR196" s="90" t="str">
        <f t="shared" si="57"/>
        <v/>
      </c>
      <c r="AS196" s="90" t="str">
        <f t="shared" si="57"/>
        <v/>
      </c>
      <c r="AT196" s="90" t="str">
        <f t="shared" si="57"/>
        <v/>
      </c>
      <c r="AU196" s="90" t="str">
        <f t="shared" si="57"/>
        <v/>
      </c>
      <c r="AV196" s="90" t="str">
        <f t="shared" si="57"/>
        <v/>
      </c>
      <c r="AW196" s="90" t="str">
        <f t="shared" si="57"/>
        <v/>
      </c>
      <c r="AX196" s="90" t="str">
        <f t="shared" si="58"/>
        <v/>
      </c>
      <c r="AY196" s="90" t="str">
        <f t="shared" si="58"/>
        <v/>
      </c>
      <c r="AZ196" s="90" t="str">
        <f t="shared" si="58"/>
        <v/>
      </c>
      <c r="BA196" s="90" t="str">
        <f t="shared" si="58"/>
        <v/>
      </c>
      <c r="BB196" s="90" t="str">
        <f t="shared" si="58"/>
        <v/>
      </c>
      <c r="BC196" s="90" t="str">
        <f t="shared" si="58"/>
        <v/>
      </c>
    </row>
    <row r="197" spans="1:55" x14ac:dyDescent="0.25">
      <c r="A197" s="25" t="s">
        <v>51</v>
      </c>
      <c r="B197" s="26" t="s">
        <v>56</v>
      </c>
      <c r="C197" s="26" t="s">
        <v>57</v>
      </c>
      <c r="D197" s="2"/>
      <c r="E197" s="2"/>
      <c r="F197" s="47">
        <v>0</v>
      </c>
      <c r="G197" s="47">
        <v>0</v>
      </c>
      <c r="H197" s="1">
        <v>0</v>
      </c>
      <c r="I197" s="1">
        <v>0</v>
      </c>
      <c r="J197" s="1">
        <v>0</v>
      </c>
      <c r="K197" s="1">
        <v>0</v>
      </c>
      <c r="L197" s="52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54">
        <v>0</v>
      </c>
      <c r="Y197" s="58">
        <f t="shared" si="54"/>
        <v>0</v>
      </c>
      <c r="Z197" s="1">
        <f t="shared" si="55"/>
        <v>0</v>
      </c>
      <c r="AA197" s="1">
        <f t="shared" si="56"/>
        <v>0</v>
      </c>
      <c r="AC197" s="25" t="s">
        <v>51</v>
      </c>
      <c r="AD197" s="26" t="s">
        <v>56</v>
      </c>
      <c r="AE197" s="26" t="s">
        <v>57</v>
      </c>
      <c r="AF197" s="2"/>
      <c r="AG197" s="2"/>
      <c r="AH197" s="90" t="str">
        <f t="shared" si="57"/>
        <v/>
      </c>
      <c r="AI197" s="90" t="str">
        <f t="shared" si="57"/>
        <v/>
      </c>
      <c r="AJ197" s="90" t="str">
        <f t="shared" si="57"/>
        <v/>
      </c>
      <c r="AK197" s="90" t="str">
        <f t="shared" si="57"/>
        <v/>
      </c>
      <c r="AL197" s="90" t="str">
        <f t="shared" si="57"/>
        <v/>
      </c>
      <c r="AM197" s="90" t="str">
        <f t="shared" si="57"/>
        <v/>
      </c>
      <c r="AN197" s="90" t="str">
        <f t="shared" si="57"/>
        <v/>
      </c>
      <c r="AO197" s="90" t="str">
        <f t="shared" si="57"/>
        <v/>
      </c>
      <c r="AP197" s="90" t="str">
        <f t="shared" si="57"/>
        <v/>
      </c>
      <c r="AQ197" s="90" t="str">
        <f t="shared" si="57"/>
        <v/>
      </c>
      <c r="AR197" s="90" t="str">
        <f t="shared" si="57"/>
        <v/>
      </c>
      <c r="AS197" s="90" t="str">
        <f t="shared" si="57"/>
        <v/>
      </c>
      <c r="AT197" s="90" t="str">
        <f t="shared" si="57"/>
        <v/>
      </c>
      <c r="AU197" s="90" t="str">
        <f t="shared" si="57"/>
        <v/>
      </c>
      <c r="AV197" s="90" t="str">
        <f t="shared" si="57"/>
        <v/>
      </c>
      <c r="AW197" s="90" t="str">
        <f t="shared" si="57"/>
        <v/>
      </c>
      <c r="AX197" s="90" t="str">
        <f t="shared" si="58"/>
        <v/>
      </c>
      <c r="AY197" s="90" t="str">
        <f t="shared" si="58"/>
        <v/>
      </c>
      <c r="AZ197" s="90" t="str">
        <f t="shared" si="58"/>
        <v/>
      </c>
      <c r="BA197" s="90" t="str">
        <f t="shared" si="58"/>
        <v/>
      </c>
      <c r="BB197" s="90" t="str">
        <f t="shared" si="58"/>
        <v/>
      </c>
      <c r="BC197" s="90" t="str">
        <f t="shared" si="58"/>
        <v/>
      </c>
    </row>
    <row r="198" spans="1:55" x14ac:dyDescent="0.25">
      <c r="A198" s="15" t="s">
        <v>51</v>
      </c>
      <c r="B198" s="16" t="s">
        <v>56</v>
      </c>
      <c r="C198" s="27" t="s">
        <v>58</v>
      </c>
      <c r="D198" s="2"/>
      <c r="E198" s="2"/>
      <c r="F198" s="47">
        <v>0</v>
      </c>
      <c r="G198" s="47">
        <v>0</v>
      </c>
      <c r="H198" s="1">
        <v>0</v>
      </c>
      <c r="I198" s="1">
        <v>0</v>
      </c>
      <c r="J198" s="1">
        <v>0</v>
      </c>
      <c r="K198" s="1">
        <v>0</v>
      </c>
      <c r="L198" s="52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54">
        <v>0</v>
      </c>
      <c r="Y198" s="58">
        <f t="shared" si="54"/>
        <v>0</v>
      </c>
      <c r="Z198" s="1">
        <f t="shared" si="55"/>
        <v>0</v>
      </c>
      <c r="AA198" s="1">
        <f t="shared" si="56"/>
        <v>0</v>
      </c>
      <c r="AC198" s="15" t="s">
        <v>51</v>
      </c>
      <c r="AD198" s="16" t="s">
        <v>56</v>
      </c>
      <c r="AE198" s="27" t="s">
        <v>58</v>
      </c>
      <c r="AF198" s="2"/>
      <c r="AG198" s="2"/>
      <c r="AH198" s="90" t="str">
        <f t="shared" si="57"/>
        <v/>
      </c>
      <c r="AI198" s="90" t="str">
        <f t="shared" si="57"/>
        <v/>
      </c>
      <c r="AJ198" s="90" t="str">
        <f t="shared" si="57"/>
        <v/>
      </c>
      <c r="AK198" s="90" t="str">
        <f t="shared" si="57"/>
        <v/>
      </c>
      <c r="AL198" s="90" t="str">
        <f t="shared" si="57"/>
        <v/>
      </c>
      <c r="AM198" s="90" t="str">
        <f t="shared" si="57"/>
        <v/>
      </c>
      <c r="AN198" s="90" t="str">
        <f t="shared" si="57"/>
        <v/>
      </c>
      <c r="AO198" s="90" t="str">
        <f t="shared" si="57"/>
        <v/>
      </c>
      <c r="AP198" s="90" t="str">
        <f t="shared" si="57"/>
        <v/>
      </c>
      <c r="AQ198" s="90" t="str">
        <f t="shared" si="57"/>
        <v/>
      </c>
      <c r="AR198" s="90" t="str">
        <f t="shared" si="57"/>
        <v/>
      </c>
      <c r="AS198" s="90" t="str">
        <f t="shared" si="57"/>
        <v/>
      </c>
      <c r="AT198" s="90" t="str">
        <f t="shared" si="57"/>
        <v/>
      </c>
      <c r="AU198" s="90" t="str">
        <f t="shared" si="57"/>
        <v/>
      </c>
      <c r="AV198" s="90" t="str">
        <f t="shared" si="57"/>
        <v/>
      </c>
      <c r="AW198" s="90" t="str">
        <f t="shared" si="57"/>
        <v/>
      </c>
      <c r="AX198" s="90" t="str">
        <f t="shared" si="58"/>
        <v/>
      </c>
      <c r="AY198" s="90" t="str">
        <f t="shared" si="58"/>
        <v/>
      </c>
      <c r="AZ198" s="90" t="str">
        <f t="shared" si="58"/>
        <v/>
      </c>
      <c r="BA198" s="90" t="str">
        <f t="shared" si="58"/>
        <v/>
      </c>
      <c r="BB198" s="90" t="str">
        <f t="shared" si="58"/>
        <v/>
      </c>
      <c r="BC198" s="90" t="str">
        <f t="shared" si="58"/>
        <v/>
      </c>
    </row>
    <row r="199" spans="1:55" x14ac:dyDescent="0.25">
      <c r="A199" s="15" t="s">
        <v>51</v>
      </c>
      <c r="B199" s="16" t="s">
        <v>9</v>
      </c>
      <c r="C199" s="27" t="s">
        <v>59</v>
      </c>
      <c r="D199" s="2"/>
      <c r="E199" s="2"/>
      <c r="F199" s="47">
        <v>0</v>
      </c>
      <c r="G199" s="47">
        <v>0</v>
      </c>
      <c r="H199" s="1">
        <v>0</v>
      </c>
      <c r="I199" s="1">
        <v>0</v>
      </c>
      <c r="J199" s="1">
        <v>0</v>
      </c>
      <c r="K199" s="1">
        <v>0</v>
      </c>
      <c r="L199" s="52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54">
        <v>0</v>
      </c>
      <c r="Y199" s="58">
        <f t="shared" si="54"/>
        <v>0</v>
      </c>
      <c r="Z199" s="1">
        <f t="shared" si="55"/>
        <v>0</v>
      </c>
      <c r="AA199" s="1">
        <f t="shared" si="56"/>
        <v>0</v>
      </c>
      <c r="AC199" s="15" t="s">
        <v>51</v>
      </c>
      <c r="AD199" s="16" t="s">
        <v>9</v>
      </c>
      <c r="AE199" s="27" t="s">
        <v>59</v>
      </c>
      <c r="AF199" s="2"/>
      <c r="AG199" s="2"/>
      <c r="AH199" s="90" t="str">
        <f t="shared" si="57"/>
        <v/>
      </c>
      <c r="AI199" s="90" t="str">
        <f t="shared" si="57"/>
        <v/>
      </c>
      <c r="AJ199" s="90" t="str">
        <f t="shared" si="57"/>
        <v/>
      </c>
      <c r="AK199" s="90" t="str">
        <f t="shared" si="57"/>
        <v/>
      </c>
      <c r="AL199" s="90" t="str">
        <f t="shared" si="57"/>
        <v/>
      </c>
      <c r="AM199" s="90" t="str">
        <f t="shared" si="57"/>
        <v/>
      </c>
      <c r="AN199" s="90" t="str">
        <f t="shared" si="57"/>
        <v/>
      </c>
      <c r="AO199" s="90" t="str">
        <f t="shared" si="57"/>
        <v/>
      </c>
      <c r="AP199" s="90" t="str">
        <f t="shared" si="57"/>
        <v/>
      </c>
      <c r="AQ199" s="90" t="str">
        <f t="shared" si="57"/>
        <v/>
      </c>
      <c r="AR199" s="90" t="str">
        <f t="shared" si="57"/>
        <v/>
      </c>
      <c r="AS199" s="90" t="str">
        <f t="shared" si="57"/>
        <v/>
      </c>
      <c r="AT199" s="90" t="str">
        <f t="shared" si="57"/>
        <v/>
      </c>
      <c r="AU199" s="90" t="str">
        <f t="shared" si="57"/>
        <v/>
      </c>
      <c r="AV199" s="90" t="str">
        <f t="shared" si="57"/>
        <v/>
      </c>
      <c r="AW199" s="90" t="str">
        <f t="shared" si="57"/>
        <v/>
      </c>
      <c r="AX199" s="90" t="str">
        <f t="shared" si="58"/>
        <v/>
      </c>
      <c r="AY199" s="90" t="str">
        <f t="shared" si="58"/>
        <v/>
      </c>
      <c r="AZ199" s="90" t="str">
        <f t="shared" si="58"/>
        <v/>
      </c>
      <c r="BA199" s="90" t="str">
        <f t="shared" si="58"/>
        <v/>
      </c>
      <c r="BB199" s="90" t="str">
        <f t="shared" si="58"/>
        <v/>
      </c>
      <c r="BC199" s="90" t="str">
        <f t="shared" si="58"/>
        <v/>
      </c>
    </row>
    <row r="200" spans="1:55" x14ac:dyDescent="0.25">
      <c r="A200" s="15" t="s">
        <v>51</v>
      </c>
      <c r="B200" s="16" t="s">
        <v>9</v>
      </c>
      <c r="C200" s="27" t="s">
        <v>9</v>
      </c>
      <c r="D200" s="2"/>
      <c r="E200" s="2"/>
      <c r="F200" s="47">
        <v>0</v>
      </c>
      <c r="G200" s="47">
        <v>0</v>
      </c>
      <c r="H200" s="1">
        <v>0</v>
      </c>
      <c r="I200" s="1">
        <v>0</v>
      </c>
      <c r="J200" s="1">
        <v>0</v>
      </c>
      <c r="K200" s="1">
        <v>0</v>
      </c>
      <c r="L200" s="52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54">
        <v>0</v>
      </c>
      <c r="Y200" s="58">
        <f t="shared" si="54"/>
        <v>0</v>
      </c>
      <c r="Z200" s="1">
        <f t="shared" si="55"/>
        <v>0</v>
      </c>
      <c r="AA200" s="1">
        <f t="shared" si="56"/>
        <v>0</v>
      </c>
      <c r="AC200" s="15" t="s">
        <v>51</v>
      </c>
      <c r="AD200" s="16" t="s">
        <v>9</v>
      </c>
      <c r="AE200" s="27" t="s">
        <v>9</v>
      </c>
      <c r="AF200" s="2"/>
      <c r="AG200" s="2"/>
      <c r="AH200" s="90" t="str">
        <f t="shared" si="57"/>
        <v/>
      </c>
      <c r="AI200" s="90" t="str">
        <f t="shared" si="57"/>
        <v/>
      </c>
      <c r="AJ200" s="90" t="str">
        <f t="shared" si="57"/>
        <v/>
      </c>
      <c r="AK200" s="90" t="str">
        <f t="shared" si="57"/>
        <v/>
      </c>
      <c r="AL200" s="90" t="str">
        <f t="shared" si="57"/>
        <v/>
      </c>
      <c r="AM200" s="90" t="str">
        <f t="shared" si="57"/>
        <v/>
      </c>
      <c r="AN200" s="90" t="str">
        <f t="shared" si="57"/>
        <v/>
      </c>
      <c r="AO200" s="90" t="str">
        <f t="shared" si="57"/>
        <v/>
      </c>
      <c r="AP200" s="90" t="str">
        <f t="shared" si="57"/>
        <v/>
      </c>
      <c r="AQ200" s="90" t="str">
        <f t="shared" si="57"/>
        <v/>
      </c>
      <c r="AR200" s="90" t="str">
        <f t="shared" si="57"/>
        <v/>
      </c>
      <c r="AS200" s="90" t="str">
        <f t="shared" si="57"/>
        <v/>
      </c>
      <c r="AT200" s="90" t="str">
        <f t="shared" si="57"/>
        <v/>
      </c>
      <c r="AU200" s="90" t="str">
        <f t="shared" si="57"/>
        <v/>
      </c>
      <c r="AV200" s="90" t="str">
        <f t="shared" si="57"/>
        <v/>
      </c>
      <c r="AW200" s="90" t="str">
        <f t="shared" ref="AW200:BC225" si="67">IF(U200&gt;0,U245/U200*1000,"")</f>
        <v/>
      </c>
      <c r="AX200" s="90" t="str">
        <f t="shared" si="58"/>
        <v/>
      </c>
      <c r="AY200" s="90" t="str">
        <f t="shared" si="58"/>
        <v/>
      </c>
      <c r="AZ200" s="90" t="str">
        <f t="shared" si="58"/>
        <v/>
      </c>
      <c r="BA200" s="90" t="str">
        <f t="shared" si="58"/>
        <v/>
      </c>
      <c r="BB200" s="90" t="str">
        <f t="shared" si="58"/>
        <v/>
      </c>
      <c r="BC200" s="90" t="str">
        <f t="shared" si="58"/>
        <v/>
      </c>
    </row>
    <row r="201" spans="1:55" x14ac:dyDescent="0.25">
      <c r="A201" s="28" t="s">
        <v>60</v>
      </c>
      <c r="B201" s="29" t="s">
        <v>13</v>
      </c>
      <c r="C201" s="29" t="s">
        <v>61</v>
      </c>
      <c r="D201" s="2"/>
      <c r="E201" s="2"/>
      <c r="F201" s="103">
        <f>165*0.78</f>
        <v>128.70000000000002</v>
      </c>
      <c r="G201" s="51">
        <v>0</v>
      </c>
      <c r="H201" s="91">
        <v>900</v>
      </c>
      <c r="I201" s="77">
        <f>I21/I156</f>
        <v>101.37931034482759</v>
      </c>
      <c r="J201" s="83">
        <f>68*0.55</f>
        <v>37.400000000000006</v>
      </c>
      <c r="K201" s="77">
        <f>K21/K156</f>
        <v>27.586206896551722</v>
      </c>
      <c r="L201" s="52">
        <v>0</v>
      </c>
      <c r="M201" s="80">
        <f>M21/M156</f>
        <v>10.37037037037037</v>
      </c>
      <c r="N201" s="107">
        <v>1.8</v>
      </c>
      <c r="O201" s="107">
        <v>0.3</v>
      </c>
      <c r="P201" s="107">
        <f>0.5*0.3</f>
        <v>0.15</v>
      </c>
      <c r="Q201" s="84">
        <f t="shared" ref="Q201:X201" si="68">Q21/Q156</f>
        <v>1.1702127659574468</v>
      </c>
      <c r="R201" s="80">
        <f t="shared" si="68"/>
        <v>2.6897496087636936</v>
      </c>
      <c r="S201" s="51">
        <v>0</v>
      </c>
      <c r="T201" s="80">
        <f t="shared" si="68"/>
        <v>1.5649452269170581</v>
      </c>
      <c r="U201" s="80">
        <f t="shared" si="68"/>
        <v>2.4452269170579033</v>
      </c>
      <c r="V201" s="80">
        <f t="shared" si="68"/>
        <v>0.11737089201877934</v>
      </c>
      <c r="W201" s="80">
        <f t="shared" si="68"/>
        <v>2.7386541471048513</v>
      </c>
      <c r="X201" s="80">
        <f t="shared" si="68"/>
        <v>11.737089201877934</v>
      </c>
      <c r="Y201" s="59">
        <f t="shared" si="54"/>
        <v>1195.0655172413794</v>
      </c>
      <c r="Z201" s="51">
        <f t="shared" si="55"/>
        <v>35.083619130068037</v>
      </c>
      <c r="AA201" s="51">
        <f t="shared" si="56"/>
        <v>1230.1491363714474</v>
      </c>
      <c r="AB201" s="5" t="s">
        <v>124</v>
      </c>
      <c r="AC201" s="28" t="s">
        <v>60</v>
      </c>
      <c r="AD201" s="29" t="s">
        <v>13</v>
      </c>
      <c r="AE201" s="29" t="s">
        <v>61</v>
      </c>
      <c r="AF201" s="2"/>
      <c r="AG201" s="2"/>
      <c r="AH201" s="1">
        <f t="shared" ref="AH201:AV217" si="69">IF(F201&gt;0,F246/F201*1000,"")</f>
        <v>296.98696365363026</v>
      </c>
      <c r="AI201" s="1" t="str">
        <f t="shared" si="69"/>
        <v/>
      </c>
      <c r="AJ201" s="1">
        <f t="shared" si="69"/>
        <v>31.47058823529412</v>
      </c>
      <c r="AK201" s="1">
        <f t="shared" si="69"/>
        <v>170.58823529411762</v>
      </c>
      <c r="AL201" s="1">
        <f t="shared" si="69"/>
        <v>314.56432840515885</v>
      </c>
      <c r="AM201" s="1">
        <f t="shared" si="69"/>
        <v>170.58823529411765</v>
      </c>
      <c r="AN201" s="52" t="str">
        <f t="shared" si="69"/>
        <v/>
      </c>
      <c r="AO201" s="1">
        <f t="shared" si="69"/>
        <v>2222.2222222222217</v>
      </c>
      <c r="AP201" s="1">
        <f t="shared" si="69"/>
        <v>5208.333333333333</v>
      </c>
      <c r="AQ201" s="1">
        <f t="shared" si="69"/>
        <v>55555.555555555562</v>
      </c>
      <c r="AR201" s="1">
        <f t="shared" si="69"/>
        <v>555555.5555555555</v>
      </c>
      <c r="AS201" s="1">
        <f t="shared" si="69"/>
        <v>5222.2222222222217</v>
      </c>
      <c r="AT201" s="1">
        <f t="shared" si="69"/>
        <v>2366.6666666666665</v>
      </c>
      <c r="AU201" s="1" t="str">
        <f t="shared" si="69"/>
        <v/>
      </c>
      <c r="AV201" s="1">
        <f t="shared" si="69"/>
        <v>2366.6666666666665</v>
      </c>
      <c r="AW201" s="1">
        <f t="shared" si="67"/>
        <v>2366.6666666666661</v>
      </c>
      <c r="AX201" s="1">
        <f t="shared" si="67"/>
        <v>2366.6666666666665</v>
      </c>
      <c r="AY201" s="1">
        <f t="shared" si="67"/>
        <v>2366.6666666666665</v>
      </c>
      <c r="AZ201" s="1">
        <f t="shared" si="67"/>
        <v>2366.6666666666665</v>
      </c>
      <c r="BA201" s="1">
        <f t="shared" si="67"/>
        <v>0</v>
      </c>
      <c r="BB201" s="1">
        <f t="shared" si="67"/>
        <v>0</v>
      </c>
      <c r="BC201" s="1">
        <f t="shared" si="67"/>
        <v>0</v>
      </c>
    </row>
    <row r="202" spans="1:55" x14ac:dyDescent="0.25">
      <c r="A202" s="36" t="s">
        <v>60</v>
      </c>
      <c r="B202" s="37" t="s">
        <v>13</v>
      </c>
      <c r="C202" s="29" t="s">
        <v>62</v>
      </c>
      <c r="D202" s="2"/>
      <c r="E202" s="2"/>
      <c r="F202" s="103">
        <f>165*0.22</f>
        <v>36.299999999999997</v>
      </c>
      <c r="G202" s="91">
        <v>195</v>
      </c>
      <c r="H202" s="91">
        <f>2050*0.5</f>
        <v>1025</v>
      </c>
      <c r="I202" s="51">
        <v>0</v>
      </c>
      <c r="J202" s="51">
        <v>0</v>
      </c>
      <c r="K202" s="51">
        <v>0</v>
      </c>
      <c r="L202" s="52">
        <v>0</v>
      </c>
      <c r="M202" s="51">
        <v>0</v>
      </c>
      <c r="N202" s="51">
        <v>0</v>
      </c>
      <c r="O202" s="51">
        <v>0</v>
      </c>
      <c r="P202" s="107">
        <f>0.5*0.7</f>
        <v>0.35</v>
      </c>
      <c r="Q202" s="51">
        <v>0</v>
      </c>
      <c r="R202" s="51">
        <v>0</v>
      </c>
      <c r="S202" s="51">
        <v>0</v>
      </c>
      <c r="T202" s="51">
        <v>0</v>
      </c>
      <c r="U202" s="51">
        <v>0</v>
      </c>
      <c r="V202" s="51">
        <v>0</v>
      </c>
      <c r="W202" s="51">
        <v>0</v>
      </c>
      <c r="X202" s="55">
        <v>0</v>
      </c>
      <c r="Y202" s="59">
        <f t="shared" si="54"/>
        <v>1256.3</v>
      </c>
      <c r="Z202" s="51">
        <f t="shared" si="55"/>
        <v>0.35</v>
      </c>
      <c r="AA202" s="51">
        <f t="shared" si="56"/>
        <v>1256.6499999999999</v>
      </c>
      <c r="AC202" s="36" t="s">
        <v>60</v>
      </c>
      <c r="AD202" s="37" t="s">
        <v>13</v>
      </c>
      <c r="AE202" s="29" t="s">
        <v>62</v>
      </c>
      <c r="AF202" s="2"/>
      <c r="AG202" s="2"/>
      <c r="AH202" s="1">
        <f t="shared" si="69"/>
        <v>263.23844505662692</v>
      </c>
      <c r="AI202" s="1">
        <f t="shared" si="69"/>
        <v>142.45014245014247</v>
      </c>
      <c r="AJ202" s="1">
        <f t="shared" si="69"/>
        <v>33.77331420373028</v>
      </c>
      <c r="AK202" s="1" t="str">
        <f t="shared" si="69"/>
        <v/>
      </c>
      <c r="AL202" s="1" t="str">
        <f t="shared" si="69"/>
        <v/>
      </c>
      <c r="AM202" s="1" t="str">
        <f t="shared" si="69"/>
        <v/>
      </c>
      <c r="AN202" s="52" t="str">
        <f t="shared" si="69"/>
        <v/>
      </c>
      <c r="AO202" s="1" t="str">
        <f t="shared" si="69"/>
        <v/>
      </c>
      <c r="AP202" s="1" t="str">
        <f t="shared" si="69"/>
        <v/>
      </c>
      <c r="AQ202" s="1" t="str">
        <f t="shared" si="69"/>
        <v/>
      </c>
      <c r="AR202" s="1">
        <f t="shared" si="69"/>
        <v>301587.3015873016</v>
      </c>
      <c r="AS202" s="1" t="str">
        <f t="shared" si="69"/>
        <v/>
      </c>
      <c r="AT202" s="1" t="str">
        <f t="shared" si="69"/>
        <v/>
      </c>
      <c r="AU202" s="1" t="str">
        <f t="shared" si="69"/>
        <v/>
      </c>
      <c r="AV202" s="1" t="str">
        <f t="shared" si="69"/>
        <v/>
      </c>
      <c r="AW202" s="1" t="str">
        <f t="shared" si="67"/>
        <v/>
      </c>
      <c r="AX202" s="1" t="str">
        <f t="shared" si="67"/>
        <v/>
      </c>
      <c r="AY202" s="1" t="str">
        <f t="shared" si="67"/>
        <v/>
      </c>
      <c r="AZ202" s="1" t="str">
        <f t="shared" si="67"/>
        <v/>
      </c>
      <c r="BA202" s="1">
        <f t="shared" si="67"/>
        <v>0</v>
      </c>
      <c r="BB202" s="1">
        <f t="shared" si="67"/>
        <v>0</v>
      </c>
      <c r="BC202" s="1">
        <f t="shared" si="67"/>
        <v>0</v>
      </c>
    </row>
    <row r="203" spans="1:55" x14ac:dyDescent="0.25">
      <c r="A203" s="30" t="s">
        <v>60</v>
      </c>
      <c r="B203" s="31" t="s">
        <v>13</v>
      </c>
      <c r="C203" s="32" t="s">
        <v>63</v>
      </c>
      <c r="D203" s="2"/>
      <c r="E203" s="2"/>
      <c r="F203" s="51">
        <v>0</v>
      </c>
      <c r="G203" s="51">
        <v>0</v>
      </c>
      <c r="H203" s="51">
        <v>0</v>
      </c>
      <c r="I203" s="51">
        <v>0</v>
      </c>
      <c r="J203" s="51">
        <v>0</v>
      </c>
      <c r="K203" s="51">
        <v>0</v>
      </c>
      <c r="L203" s="52">
        <v>0</v>
      </c>
      <c r="M203" s="51">
        <v>0</v>
      </c>
      <c r="N203" s="51">
        <v>0</v>
      </c>
      <c r="O203" s="51">
        <v>0</v>
      </c>
      <c r="P203" s="51">
        <v>0</v>
      </c>
      <c r="Q203" s="51">
        <v>0</v>
      </c>
      <c r="R203" s="51">
        <v>0</v>
      </c>
      <c r="S203" s="51">
        <v>0</v>
      </c>
      <c r="T203" s="51">
        <v>0</v>
      </c>
      <c r="U203" s="51">
        <v>0</v>
      </c>
      <c r="V203" s="51">
        <v>0</v>
      </c>
      <c r="W203" s="51">
        <v>0</v>
      </c>
      <c r="X203" s="55">
        <v>0</v>
      </c>
      <c r="Y203" s="59">
        <f t="shared" si="54"/>
        <v>0</v>
      </c>
      <c r="Z203" s="51">
        <f t="shared" si="55"/>
        <v>0</v>
      </c>
      <c r="AA203" s="51">
        <f t="shared" si="56"/>
        <v>0</v>
      </c>
      <c r="AC203" s="30" t="s">
        <v>60</v>
      </c>
      <c r="AD203" s="31" t="s">
        <v>13</v>
      </c>
      <c r="AE203" s="32" t="s">
        <v>63</v>
      </c>
      <c r="AF203" s="2"/>
      <c r="AG203" s="2"/>
      <c r="AH203" s="1" t="str">
        <f t="shared" si="69"/>
        <v/>
      </c>
      <c r="AI203" s="1" t="str">
        <f t="shared" si="69"/>
        <v/>
      </c>
      <c r="AJ203" s="1" t="str">
        <f t="shared" si="69"/>
        <v/>
      </c>
      <c r="AK203" s="1" t="str">
        <f t="shared" si="69"/>
        <v/>
      </c>
      <c r="AL203" s="1" t="str">
        <f t="shared" si="69"/>
        <v/>
      </c>
      <c r="AM203" s="1" t="str">
        <f t="shared" si="69"/>
        <v/>
      </c>
      <c r="AN203" s="52" t="str">
        <f t="shared" si="69"/>
        <v/>
      </c>
      <c r="AO203" s="1" t="str">
        <f t="shared" si="69"/>
        <v/>
      </c>
      <c r="AP203" s="1" t="str">
        <f t="shared" si="69"/>
        <v/>
      </c>
      <c r="AQ203" s="1" t="str">
        <f t="shared" si="69"/>
        <v/>
      </c>
      <c r="AR203" s="1" t="str">
        <f t="shared" si="69"/>
        <v/>
      </c>
      <c r="AS203" s="1" t="str">
        <f t="shared" si="69"/>
        <v/>
      </c>
      <c r="AT203" s="1" t="str">
        <f t="shared" si="69"/>
        <v/>
      </c>
      <c r="AU203" s="1" t="str">
        <f t="shared" si="69"/>
        <v/>
      </c>
      <c r="AV203" s="1" t="str">
        <f t="shared" si="69"/>
        <v/>
      </c>
      <c r="AW203" s="1" t="str">
        <f t="shared" si="67"/>
        <v/>
      </c>
      <c r="AX203" s="1" t="str">
        <f t="shared" si="67"/>
        <v/>
      </c>
      <c r="AY203" s="1" t="str">
        <f t="shared" si="67"/>
        <v/>
      </c>
      <c r="AZ203" s="1" t="str">
        <f t="shared" si="67"/>
        <v/>
      </c>
      <c r="BA203" s="1" t="str">
        <f t="shared" si="67"/>
        <v/>
      </c>
      <c r="BB203" s="1" t="str">
        <f t="shared" si="67"/>
        <v/>
      </c>
      <c r="BC203" s="1" t="str">
        <f t="shared" si="67"/>
        <v/>
      </c>
    </row>
    <row r="204" spans="1:55" x14ac:dyDescent="0.25">
      <c r="A204" s="30" t="s">
        <v>60</v>
      </c>
      <c r="B204" s="32" t="s">
        <v>23</v>
      </c>
      <c r="C204" s="31" t="s">
        <v>50</v>
      </c>
      <c r="D204" s="2"/>
      <c r="E204" s="2"/>
      <c r="F204" s="64">
        <v>0</v>
      </c>
      <c r="G204" s="51">
        <v>0</v>
      </c>
      <c r="H204" s="51">
        <v>0</v>
      </c>
      <c r="I204" s="51">
        <v>0</v>
      </c>
      <c r="J204" s="80">
        <f>J24/J159</f>
        <v>0.44444444444444442</v>
      </c>
      <c r="K204" s="77">
        <f>K24/K159</f>
        <v>818.18181818181813</v>
      </c>
      <c r="L204" s="52">
        <v>0</v>
      </c>
      <c r="M204" s="51">
        <v>0</v>
      </c>
      <c r="N204" s="107">
        <v>1.1000000000000001</v>
      </c>
      <c r="O204" s="51">
        <v>0</v>
      </c>
      <c r="P204" s="51">
        <v>0</v>
      </c>
      <c r="Q204" s="51">
        <v>0</v>
      </c>
      <c r="R204" s="51">
        <v>0</v>
      </c>
      <c r="S204" s="51">
        <v>0</v>
      </c>
      <c r="T204" s="51">
        <v>0</v>
      </c>
      <c r="U204" s="51">
        <v>0</v>
      </c>
      <c r="V204" s="51">
        <v>0</v>
      </c>
      <c r="W204" s="51">
        <v>0</v>
      </c>
      <c r="X204" s="55">
        <v>0</v>
      </c>
      <c r="Y204" s="59">
        <f t="shared" si="54"/>
        <v>818.62626262626259</v>
      </c>
      <c r="Z204" s="51">
        <f t="shared" si="55"/>
        <v>1.1000000000000001</v>
      </c>
      <c r="AA204" s="51">
        <f t="shared" si="56"/>
        <v>819.72626262626261</v>
      </c>
      <c r="AB204" s="64">
        <v>1200</v>
      </c>
      <c r="AC204" s="30" t="s">
        <v>60</v>
      </c>
      <c r="AD204" s="32" t="s">
        <v>23</v>
      </c>
      <c r="AE204" s="31" t="s">
        <v>50</v>
      </c>
      <c r="AF204" s="2"/>
      <c r="AG204" s="2"/>
      <c r="AH204" s="1" t="str">
        <f t="shared" si="69"/>
        <v/>
      </c>
      <c r="AI204" s="1" t="str">
        <f t="shared" si="69"/>
        <v/>
      </c>
      <c r="AJ204" s="1" t="str">
        <f t="shared" si="69"/>
        <v/>
      </c>
      <c r="AK204" s="1" t="str">
        <f t="shared" si="69"/>
        <v/>
      </c>
      <c r="AL204" s="1">
        <f t="shared" si="69"/>
        <v>692.30769230769238</v>
      </c>
      <c r="AM204" s="1">
        <f t="shared" si="69"/>
        <v>31.428571428571431</v>
      </c>
      <c r="AN204" s="52" t="str">
        <f t="shared" si="69"/>
        <v/>
      </c>
      <c r="AO204" s="1" t="str">
        <f t="shared" si="69"/>
        <v/>
      </c>
      <c r="AP204" s="1">
        <f t="shared" si="69"/>
        <v>15384.615384615383</v>
      </c>
      <c r="AQ204" s="1" t="str">
        <f t="shared" si="69"/>
        <v/>
      </c>
      <c r="AR204" s="1" t="str">
        <f t="shared" si="69"/>
        <v/>
      </c>
      <c r="AS204" s="1" t="str">
        <f t="shared" si="69"/>
        <v/>
      </c>
      <c r="AT204" s="1" t="str">
        <f t="shared" si="69"/>
        <v/>
      </c>
      <c r="AU204" s="1" t="str">
        <f t="shared" si="69"/>
        <v/>
      </c>
      <c r="AV204" s="1" t="str">
        <f t="shared" si="69"/>
        <v/>
      </c>
      <c r="AW204" s="1" t="str">
        <f t="shared" si="67"/>
        <v/>
      </c>
      <c r="AX204" s="1" t="str">
        <f t="shared" si="67"/>
        <v/>
      </c>
      <c r="AY204" s="1" t="str">
        <f t="shared" si="67"/>
        <v/>
      </c>
      <c r="AZ204" s="1" t="str">
        <f t="shared" si="67"/>
        <v/>
      </c>
      <c r="BA204" s="1">
        <f t="shared" si="67"/>
        <v>0</v>
      </c>
      <c r="BB204" s="1">
        <f t="shared" si="67"/>
        <v>0</v>
      </c>
      <c r="BC204" s="1">
        <f t="shared" si="67"/>
        <v>0</v>
      </c>
    </row>
    <row r="205" spans="1:55" x14ac:dyDescent="0.25">
      <c r="A205" s="30" t="s">
        <v>60</v>
      </c>
      <c r="B205" s="32" t="s">
        <v>23</v>
      </c>
      <c r="C205" s="31" t="s">
        <v>49</v>
      </c>
      <c r="D205" s="2"/>
      <c r="E205" s="2"/>
      <c r="F205" s="51">
        <v>0</v>
      </c>
      <c r="G205" s="51">
        <v>0</v>
      </c>
      <c r="H205" s="51">
        <v>0</v>
      </c>
      <c r="I205" s="51">
        <v>0</v>
      </c>
      <c r="J205" s="80">
        <f>J25/J160</f>
        <v>41.25</v>
      </c>
      <c r="K205" s="80">
        <f>K25/K160</f>
        <v>11.025</v>
      </c>
      <c r="L205" s="52">
        <v>0</v>
      </c>
      <c r="M205" s="51">
        <v>0</v>
      </c>
      <c r="N205" s="51">
        <v>0</v>
      </c>
      <c r="O205" s="51">
        <v>0</v>
      </c>
      <c r="P205" s="51">
        <v>0</v>
      </c>
      <c r="Q205" s="51">
        <v>0</v>
      </c>
      <c r="R205" s="51">
        <v>0</v>
      </c>
      <c r="S205" s="77">
        <f t="shared" ref="S205:X205" si="70">S25/S160</f>
        <v>2.4500000000000002</v>
      </c>
      <c r="T205" s="80">
        <f t="shared" si="70"/>
        <v>1.6009852216748768</v>
      </c>
      <c r="U205" s="86">
        <v>0</v>
      </c>
      <c r="V205" s="80">
        <f t="shared" si="70"/>
        <v>0.24630541871921183</v>
      </c>
      <c r="W205" s="86">
        <v>0</v>
      </c>
      <c r="X205" s="80">
        <f t="shared" si="70"/>
        <v>1</v>
      </c>
      <c r="Y205" s="59">
        <f t="shared" si="54"/>
        <v>52.274999999999999</v>
      </c>
      <c r="Z205" s="51">
        <f t="shared" si="55"/>
        <v>5.2972906403940883</v>
      </c>
      <c r="AA205" s="51">
        <f t="shared" si="56"/>
        <v>57.572290640394087</v>
      </c>
      <c r="AB205" s="97">
        <v>900</v>
      </c>
      <c r="AC205" s="30" t="s">
        <v>60</v>
      </c>
      <c r="AD205" s="32" t="s">
        <v>23</v>
      </c>
      <c r="AE205" s="31" t="s">
        <v>49</v>
      </c>
      <c r="AF205" s="2"/>
      <c r="AG205" s="2"/>
      <c r="AH205" s="1" t="str">
        <f t="shared" si="69"/>
        <v/>
      </c>
      <c r="AI205" s="1" t="str">
        <f t="shared" si="69"/>
        <v/>
      </c>
      <c r="AJ205" s="1" t="str">
        <f t="shared" si="69"/>
        <v/>
      </c>
      <c r="AK205" s="1" t="str">
        <f t="shared" si="69"/>
        <v/>
      </c>
      <c r="AL205" s="1">
        <f t="shared" si="69"/>
        <v>888.8888888888888</v>
      </c>
      <c r="AM205" s="1">
        <f t="shared" si="69"/>
        <v>888.88888888888891</v>
      </c>
      <c r="AN205" s="52" t="str">
        <f t="shared" si="69"/>
        <v/>
      </c>
      <c r="AO205" s="1" t="str">
        <f t="shared" si="69"/>
        <v/>
      </c>
      <c r="AP205" s="1" t="str">
        <f t="shared" si="69"/>
        <v/>
      </c>
      <c r="AQ205" s="1" t="str">
        <f t="shared" si="69"/>
        <v/>
      </c>
      <c r="AR205" s="1" t="str">
        <f t="shared" si="69"/>
        <v/>
      </c>
      <c r="AS205" s="1" t="str">
        <f t="shared" si="69"/>
        <v/>
      </c>
      <c r="AT205" s="1" t="str">
        <f t="shared" si="69"/>
        <v/>
      </c>
      <c r="AU205" s="1">
        <f t="shared" si="69"/>
        <v>2222.2222222222222</v>
      </c>
      <c r="AV205" s="1">
        <f t="shared" si="69"/>
        <v>11600.000000000002</v>
      </c>
      <c r="AW205" s="1" t="str">
        <f t="shared" si="67"/>
        <v/>
      </c>
      <c r="AX205" s="1">
        <f t="shared" si="67"/>
        <v>9022.2222222222226</v>
      </c>
      <c r="AY205" s="1" t="str">
        <f t="shared" si="67"/>
        <v/>
      </c>
      <c r="AZ205" s="1">
        <f t="shared" si="67"/>
        <v>2222.2222222222222</v>
      </c>
      <c r="BA205" s="1">
        <f t="shared" si="67"/>
        <v>0</v>
      </c>
      <c r="BB205" s="1">
        <f t="shared" si="67"/>
        <v>0</v>
      </c>
      <c r="BC205" s="1">
        <f t="shared" si="67"/>
        <v>0</v>
      </c>
    </row>
    <row r="206" spans="1:55" x14ac:dyDescent="0.25">
      <c r="A206" s="30" t="s">
        <v>60</v>
      </c>
      <c r="B206" s="32" t="s">
        <v>23</v>
      </c>
      <c r="C206" s="31" t="s">
        <v>64</v>
      </c>
      <c r="D206" s="2"/>
      <c r="E206" s="2"/>
      <c r="F206" s="51">
        <v>0</v>
      </c>
      <c r="G206" s="51">
        <v>0</v>
      </c>
      <c r="H206" s="51">
        <v>0</v>
      </c>
      <c r="I206" s="51">
        <v>0</v>
      </c>
      <c r="J206" s="51">
        <v>0</v>
      </c>
      <c r="K206" s="51">
        <v>0</v>
      </c>
      <c r="L206" s="52">
        <v>0</v>
      </c>
      <c r="M206" s="51">
        <v>0</v>
      </c>
      <c r="N206" s="51">
        <v>0</v>
      </c>
      <c r="O206" s="51">
        <v>0</v>
      </c>
      <c r="P206" s="51">
        <v>0</v>
      </c>
      <c r="Q206" s="51">
        <v>0</v>
      </c>
      <c r="R206" s="51">
        <v>0</v>
      </c>
      <c r="S206" s="51">
        <v>0</v>
      </c>
      <c r="T206" s="51">
        <v>0</v>
      </c>
      <c r="U206" s="51">
        <v>0</v>
      </c>
      <c r="V206" s="51">
        <v>0</v>
      </c>
      <c r="W206" s="51">
        <v>0</v>
      </c>
      <c r="X206" s="55">
        <v>0</v>
      </c>
      <c r="Y206" s="59">
        <f t="shared" si="54"/>
        <v>0</v>
      </c>
      <c r="Z206" s="51">
        <f t="shared" si="55"/>
        <v>0</v>
      </c>
      <c r="AA206" s="51">
        <f t="shared" si="56"/>
        <v>0</v>
      </c>
      <c r="AC206" s="30" t="s">
        <v>60</v>
      </c>
      <c r="AD206" s="32" t="s">
        <v>23</v>
      </c>
      <c r="AE206" s="31" t="s">
        <v>64</v>
      </c>
      <c r="AF206" s="2"/>
      <c r="AG206" s="2"/>
      <c r="AH206" s="1" t="str">
        <f t="shared" si="69"/>
        <v/>
      </c>
      <c r="AI206" s="1" t="str">
        <f t="shared" si="69"/>
        <v/>
      </c>
      <c r="AJ206" s="1" t="str">
        <f t="shared" si="69"/>
        <v/>
      </c>
      <c r="AK206" s="1" t="str">
        <f t="shared" si="69"/>
        <v/>
      </c>
      <c r="AL206" s="1" t="str">
        <f t="shared" si="69"/>
        <v/>
      </c>
      <c r="AM206" s="1" t="str">
        <f t="shared" si="69"/>
        <v/>
      </c>
      <c r="AN206" s="52" t="str">
        <f t="shared" si="69"/>
        <v/>
      </c>
      <c r="AO206" s="1" t="str">
        <f t="shared" si="69"/>
        <v/>
      </c>
      <c r="AP206" s="1" t="str">
        <f t="shared" si="69"/>
        <v/>
      </c>
      <c r="AQ206" s="1" t="str">
        <f t="shared" si="69"/>
        <v/>
      </c>
      <c r="AR206" s="1" t="str">
        <f t="shared" si="69"/>
        <v/>
      </c>
      <c r="AS206" s="1" t="str">
        <f t="shared" si="69"/>
        <v/>
      </c>
      <c r="AT206" s="1" t="str">
        <f t="shared" si="69"/>
        <v/>
      </c>
      <c r="AU206" s="1" t="str">
        <f t="shared" si="69"/>
        <v/>
      </c>
      <c r="AV206" s="1" t="str">
        <f t="shared" si="69"/>
        <v/>
      </c>
      <c r="AW206" s="1" t="str">
        <f t="shared" si="67"/>
        <v/>
      </c>
      <c r="AX206" s="1" t="str">
        <f t="shared" si="67"/>
        <v/>
      </c>
      <c r="AY206" s="1" t="str">
        <f t="shared" si="67"/>
        <v/>
      </c>
      <c r="AZ206" s="1" t="str">
        <f t="shared" si="67"/>
        <v/>
      </c>
      <c r="BA206" s="1" t="str">
        <f t="shared" si="67"/>
        <v/>
      </c>
      <c r="BB206" s="1" t="str">
        <f t="shared" si="67"/>
        <v/>
      </c>
      <c r="BC206" s="1" t="str">
        <f t="shared" si="67"/>
        <v/>
      </c>
    </row>
    <row r="207" spans="1:55" x14ac:dyDescent="0.25">
      <c r="A207" s="30" t="s">
        <v>60</v>
      </c>
      <c r="B207" s="32" t="s">
        <v>65</v>
      </c>
      <c r="C207" s="31" t="s">
        <v>66</v>
      </c>
      <c r="D207" s="2"/>
      <c r="E207" s="2"/>
      <c r="F207" s="51">
        <v>0</v>
      </c>
      <c r="G207" s="51">
        <v>0</v>
      </c>
      <c r="H207" s="51">
        <v>0</v>
      </c>
      <c r="I207" s="51">
        <v>0</v>
      </c>
      <c r="J207" s="80">
        <f>J27/J162</f>
        <v>81.845238095238102</v>
      </c>
      <c r="K207" s="51">
        <v>0</v>
      </c>
      <c r="L207" s="52">
        <v>0</v>
      </c>
      <c r="M207" s="81">
        <f>M27/M162</f>
        <v>47.368421052631575</v>
      </c>
      <c r="N207" s="51">
        <v>0</v>
      </c>
      <c r="O207" s="51">
        <v>0</v>
      </c>
      <c r="P207" s="51">
        <v>0</v>
      </c>
      <c r="Q207" s="51">
        <v>0</v>
      </c>
      <c r="R207" s="51">
        <v>0</v>
      </c>
      <c r="S207" s="51">
        <v>0</v>
      </c>
      <c r="T207" s="51">
        <v>0</v>
      </c>
      <c r="U207" s="51">
        <v>0</v>
      </c>
      <c r="V207" s="51">
        <v>0</v>
      </c>
      <c r="W207" s="51">
        <v>0</v>
      </c>
      <c r="X207" s="55">
        <v>0</v>
      </c>
      <c r="Y207" s="59">
        <f t="shared" si="54"/>
        <v>81.845238095238102</v>
      </c>
      <c r="Z207" s="51">
        <f t="shared" si="55"/>
        <v>47.368421052631575</v>
      </c>
      <c r="AA207" s="51">
        <f t="shared" si="56"/>
        <v>129.21365914786969</v>
      </c>
      <c r="AC207" s="30" t="s">
        <v>60</v>
      </c>
      <c r="AD207" s="32" t="s">
        <v>65</v>
      </c>
      <c r="AE207" s="31" t="s">
        <v>66</v>
      </c>
      <c r="AF207" s="2"/>
      <c r="AG207" s="2"/>
      <c r="AH207" s="1" t="str">
        <f t="shared" si="69"/>
        <v/>
      </c>
      <c r="AI207" s="1" t="str">
        <f t="shared" si="69"/>
        <v/>
      </c>
      <c r="AJ207" s="1" t="str">
        <f t="shared" si="69"/>
        <v/>
      </c>
      <c r="AK207" s="1" t="str">
        <f t="shared" si="69"/>
        <v/>
      </c>
      <c r="AL207" s="1">
        <f t="shared" si="69"/>
        <v>1400</v>
      </c>
      <c r="AM207" s="1" t="str">
        <f t="shared" si="69"/>
        <v/>
      </c>
      <c r="AN207" s="52" t="str">
        <f t="shared" si="69"/>
        <v/>
      </c>
      <c r="AO207" s="1">
        <f t="shared" si="69"/>
        <v>7500</v>
      </c>
      <c r="AP207" s="1" t="str">
        <f t="shared" si="69"/>
        <v/>
      </c>
      <c r="AQ207" s="1" t="str">
        <f t="shared" si="69"/>
        <v/>
      </c>
      <c r="AR207" s="1" t="str">
        <f t="shared" si="69"/>
        <v/>
      </c>
      <c r="AS207" s="1" t="str">
        <f t="shared" si="69"/>
        <v/>
      </c>
      <c r="AT207" s="1" t="str">
        <f t="shared" si="69"/>
        <v/>
      </c>
      <c r="AU207" s="1" t="str">
        <f t="shared" si="69"/>
        <v/>
      </c>
      <c r="AV207" s="1" t="str">
        <f t="shared" si="69"/>
        <v/>
      </c>
      <c r="AW207" s="1" t="str">
        <f t="shared" si="67"/>
        <v/>
      </c>
      <c r="AX207" s="1" t="str">
        <f t="shared" si="67"/>
        <v/>
      </c>
      <c r="AY207" s="1" t="str">
        <f t="shared" si="67"/>
        <v/>
      </c>
      <c r="AZ207" s="1" t="str">
        <f t="shared" si="67"/>
        <v/>
      </c>
      <c r="BA207" s="1">
        <f t="shared" si="67"/>
        <v>0</v>
      </c>
      <c r="BB207" s="1">
        <f t="shared" si="67"/>
        <v>0</v>
      </c>
      <c r="BC207" s="1">
        <f t="shared" si="67"/>
        <v>0</v>
      </c>
    </row>
    <row r="208" spans="1:55" x14ac:dyDescent="0.25">
      <c r="A208" s="30" t="s">
        <v>60</v>
      </c>
      <c r="B208" s="32" t="s">
        <v>65</v>
      </c>
      <c r="C208" s="31" t="s">
        <v>67</v>
      </c>
      <c r="D208" s="2"/>
      <c r="E208" s="2"/>
      <c r="F208" s="51">
        <v>0</v>
      </c>
      <c r="G208" s="51">
        <v>0</v>
      </c>
      <c r="H208" s="51">
        <v>0</v>
      </c>
      <c r="I208" s="51">
        <v>0</v>
      </c>
      <c r="J208" s="51">
        <v>0</v>
      </c>
      <c r="K208" s="51">
        <v>0</v>
      </c>
      <c r="L208" s="52">
        <v>0</v>
      </c>
      <c r="M208" s="51">
        <v>0</v>
      </c>
      <c r="N208" s="51">
        <v>0</v>
      </c>
      <c r="O208" s="51">
        <v>0</v>
      </c>
      <c r="P208" s="51">
        <v>0</v>
      </c>
      <c r="Q208" s="80">
        <f>Q28/Q163</f>
        <v>35.933806146572103</v>
      </c>
      <c r="R208" s="80">
        <f>R28/R163</f>
        <v>36.515388628064684</v>
      </c>
      <c r="S208" s="51">
        <v>0</v>
      </c>
      <c r="T208" s="80">
        <f>T28/T163</f>
        <v>38.341158059467922</v>
      </c>
      <c r="U208" s="80">
        <f>U28/U163</f>
        <v>10.670081092616304</v>
      </c>
      <c r="V208" s="80">
        <f>V28/V163</f>
        <v>9.7809076682316132</v>
      </c>
      <c r="W208" s="80">
        <f>W28/W163</f>
        <v>16.627543035993742</v>
      </c>
      <c r="X208" s="80">
        <f>X28/X163</f>
        <v>15.649452269170579</v>
      </c>
      <c r="Y208" s="59">
        <f t="shared" si="54"/>
        <v>0</v>
      </c>
      <c r="Z208" s="51">
        <f t="shared" si="55"/>
        <v>163.51833690011694</v>
      </c>
      <c r="AA208" s="51">
        <f t="shared" si="56"/>
        <v>163.51833690011694</v>
      </c>
      <c r="AC208" s="30" t="s">
        <v>60</v>
      </c>
      <c r="AD208" s="32" t="s">
        <v>65</v>
      </c>
      <c r="AE208" s="31" t="s">
        <v>67</v>
      </c>
      <c r="AF208" s="2"/>
      <c r="AG208" s="2"/>
      <c r="AH208" s="1" t="str">
        <f t="shared" si="69"/>
        <v/>
      </c>
      <c r="AI208" s="1" t="str">
        <f t="shared" si="69"/>
        <v/>
      </c>
      <c r="AJ208" s="1" t="str">
        <f t="shared" si="69"/>
        <v/>
      </c>
      <c r="AK208" s="1" t="str">
        <f t="shared" si="69"/>
        <v/>
      </c>
      <c r="AL208" s="1" t="str">
        <f t="shared" si="69"/>
        <v/>
      </c>
      <c r="AM208" s="1" t="str">
        <f t="shared" si="69"/>
        <v/>
      </c>
      <c r="AN208" s="52" t="str">
        <f t="shared" si="69"/>
        <v/>
      </c>
      <c r="AO208" s="1" t="str">
        <f t="shared" si="69"/>
        <v/>
      </c>
      <c r="AP208" s="1" t="str">
        <f t="shared" si="69"/>
        <v/>
      </c>
      <c r="AQ208" s="1" t="str">
        <f t="shared" si="69"/>
        <v/>
      </c>
      <c r="AR208" s="1" t="str">
        <f t="shared" si="69"/>
        <v/>
      </c>
      <c r="AS208" s="1">
        <f t="shared" si="69"/>
        <v>26857.142857142855</v>
      </c>
      <c r="AT208" s="1">
        <f t="shared" si="69"/>
        <v>12171.428571428572</v>
      </c>
      <c r="AU208" s="1" t="str">
        <f t="shared" si="69"/>
        <v/>
      </c>
      <c r="AV208" s="1">
        <f t="shared" si="69"/>
        <v>12171.428571428571</v>
      </c>
      <c r="AW208" s="1">
        <f t="shared" si="67"/>
        <v>12171.428571428571</v>
      </c>
      <c r="AX208" s="1">
        <f t="shared" si="67"/>
        <v>12171.428571428571</v>
      </c>
      <c r="AY208" s="1">
        <f t="shared" si="67"/>
        <v>12171.428571428571</v>
      </c>
      <c r="AZ208" s="1">
        <f t="shared" si="67"/>
        <v>12171.428571428571</v>
      </c>
      <c r="BA208" s="1" t="str">
        <f t="shared" si="67"/>
        <v/>
      </c>
      <c r="BB208" s="1">
        <f t="shared" si="67"/>
        <v>0</v>
      </c>
      <c r="BC208" s="1">
        <f t="shared" si="67"/>
        <v>0</v>
      </c>
    </row>
    <row r="209" spans="1:55" x14ac:dyDescent="0.25">
      <c r="A209" s="30" t="s">
        <v>60</v>
      </c>
      <c r="B209" s="32" t="s">
        <v>65</v>
      </c>
      <c r="C209" s="31" t="s">
        <v>68</v>
      </c>
      <c r="D209" s="2"/>
      <c r="E209" s="2"/>
      <c r="F209" s="51">
        <v>0</v>
      </c>
      <c r="G209" s="51">
        <v>0</v>
      </c>
      <c r="H209" s="51">
        <v>0</v>
      </c>
      <c r="I209" s="51">
        <v>0</v>
      </c>
      <c r="J209" s="51">
        <v>0</v>
      </c>
      <c r="K209" s="51">
        <v>0</v>
      </c>
      <c r="L209" s="80">
        <f>L29/L164</f>
        <v>350</v>
      </c>
      <c r="M209" s="51">
        <v>0</v>
      </c>
      <c r="N209" s="51">
        <v>0</v>
      </c>
      <c r="O209" s="51">
        <v>0</v>
      </c>
      <c r="P209" s="51">
        <v>0</v>
      </c>
      <c r="Q209" s="51">
        <v>0</v>
      </c>
      <c r="R209" s="51">
        <v>0</v>
      </c>
      <c r="S209" s="51">
        <v>0</v>
      </c>
      <c r="T209" s="51">
        <v>0</v>
      </c>
      <c r="U209" s="51">
        <v>0</v>
      </c>
      <c r="V209" s="51">
        <v>0</v>
      </c>
      <c r="W209" s="51">
        <v>0</v>
      </c>
      <c r="X209" s="55">
        <v>0</v>
      </c>
      <c r="Y209" s="59">
        <f t="shared" si="54"/>
        <v>0</v>
      </c>
      <c r="Z209" s="51">
        <f t="shared" si="55"/>
        <v>0</v>
      </c>
      <c r="AA209" s="51">
        <f t="shared" si="56"/>
        <v>350</v>
      </c>
      <c r="AC209" s="30" t="s">
        <v>60</v>
      </c>
      <c r="AD209" s="32" t="s">
        <v>65</v>
      </c>
      <c r="AE209" s="31" t="s">
        <v>68</v>
      </c>
      <c r="AF209" s="2"/>
      <c r="AG209" s="2"/>
      <c r="AH209" s="1" t="str">
        <f t="shared" si="69"/>
        <v/>
      </c>
      <c r="AI209" s="1" t="str">
        <f t="shared" si="69"/>
        <v/>
      </c>
      <c r="AJ209" s="1" t="str">
        <f t="shared" si="69"/>
        <v/>
      </c>
      <c r="AK209" s="1" t="str">
        <f t="shared" si="69"/>
        <v/>
      </c>
      <c r="AL209" s="1" t="str">
        <f t="shared" si="69"/>
        <v/>
      </c>
      <c r="AM209" s="1" t="str">
        <f t="shared" si="69"/>
        <v/>
      </c>
      <c r="AN209" s="52">
        <f t="shared" si="69"/>
        <v>18750</v>
      </c>
      <c r="AO209" s="1" t="str">
        <f t="shared" si="69"/>
        <v/>
      </c>
      <c r="AP209" s="1" t="str">
        <f t="shared" si="69"/>
        <v/>
      </c>
      <c r="AQ209" s="1" t="str">
        <f t="shared" si="69"/>
        <v/>
      </c>
      <c r="AR209" s="1" t="str">
        <f t="shared" si="69"/>
        <v/>
      </c>
      <c r="AS209" s="1" t="str">
        <f t="shared" si="69"/>
        <v/>
      </c>
      <c r="AT209" s="1" t="str">
        <f t="shared" si="69"/>
        <v/>
      </c>
      <c r="AU209" s="1" t="str">
        <f t="shared" si="69"/>
        <v/>
      </c>
      <c r="AV209" s="1" t="str">
        <f t="shared" si="69"/>
        <v/>
      </c>
      <c r="AW209" s="1" t="str">
        <f t="shared" si="67"/>
        <v/>
      </c>
      <c r="AX209" s="1" t="str">
        <f t="shared" si="67"/>
        <v/>
      </c>
      <c r="AY209" s="1" t="str">
        <f t="shared" si="67"/>
        <v/>
      </c>
      <c r="AZ209" s="1" t="str">
        <f t="shared" si="67"/>
        <v/>
      </c>
      <c r="BA209" s="1" t="str">
        <f t="shared" si="67"/>
        <v/>
      </c>
      <c r="BB209" s="1" t="str">
        <f t="shared" si="67"/>
        <v/>
      </c>
      <c r="BC209" s="1">
        <f t="shared" si="67"/>
        <v>0</v>
      </c>
    </row>
    <row r="210" spans="1:55" x14ac:dyDescent="0.25">
      <c r="A210" s="30" t="s">
        <v>60</v>
      </c>
      <c r="B210" s="32" t="s">
        <v>9</v>
      </c>
      <c r="C210" s="31" t="s">
        <v>69</v>
      </c>
      <c r="D210" s="2"/>
      <c r="E210" s="2"/>
      <c r="F210" s="51">
        <v>0</v>
      </c>
      <c r="G210" s="51">
        <v>0</v>
      </c>
      <c r="H210" s="51">
        <v>0</v>
      </c>
      <c r="I210" s="51">
        <v>0</v>
      </c>
      <c r="J210" s="51">
        <v>0</v>
      </c>
      <c r="K210" s="51">
        <v>0</v>
      </c>
      <c r="L210" s="52">
        <v>0</v>
      </c>
      <c r="M210" s="51">
        <v>0</v>
      </c>
      <c r="N210" s="51">
        <v>0</v>
      </c>
      <c r="O210" s="51">
        <v>0</v>
      </c>
      <c r="P210" s="51">
        <v>0</v>
      </c>
      <c r="Q210" s="51">
        <v>0</v>
      </c>
      <c r="R210" s="51">
        <v>0</v>
      </c>
      <c r="S210" s="51">
        <v>0</v>
      </c>
      <c r="T210" s="51">
        <v>0</v>
      </c>
      <c r="U210" s="51">
        <v>0</v>
      </c>
      <c r="V210" s="51">
        <v>0</v>
      </c>
      <c r="W210" s="51">
        <v>0</v>
      </c>
      <c r="X210" s="80">
        <f>X30/X165</f>
        <v>3.4931813100827185</v>
      </c>
      <c r="Y210" s="80">
        <f t="shared" si="54"/>
        <v>0</v>
      </c>
      <c r="Z210" s="80">
        <f t="shared" si="55"/>
        <v>3.4931813100827185</v>
      </c>
      <c r="AA210" s="51">
        <f t="shared" si="56"/>
        <v>3.4931813100827185</v>
      </c>
      <c r="AC210" s="30" t="s">
        <v>60</v>
      </c>
      <c r="AD210" s="32" t="s">
        <v>9</v>
      </c>
      <c r="AE210" s="31" t="s">
        <v>69</v>
      </c>
      <c r="AF210" s="2"/>
      <c r="AG210" s="2"/>
      <c r="AH210" s="1" t="str">
        <f t="shared" si="69"/>
        <v/>
      </c>
      <c r="AI210" s="1" t="str">
        <f t="shared" si="69"/>
        <v/>
      </c>
      <c r="AJ210" s="1" t="str">
        <f t="shared" si="69"/>
        <v/>
      </c>
      <c r="AK210" s="1" t="str">
        <f t="shared" si="69"/>
        <v/>
      </c>
      <c r="AL210" s="1" t="str">
        <f t="shared" si="69"/>
        <v/>
      </c>
      <c r="AM210" s="1" t="str">
        <f t="shared" si="69"/>
        <v/>
      </c>
      <c r="AN210" s="52" t="str">
        <f t="shared" si="69"/>
        <v/>
      </c>
      <c r="AO210" s="1" t="str">
        <f t="shared" si="69"/>
        <v/>
      </c>
      <c r="AP210" s="1" t="str">
        <f t="shared" si="69"/>
        <v/>
      </c>
      <c r="AQ210" s="1" t="str">
        <f t="shared" si="69"/>
        <v/>
      </c>
      <c r="AR210" s="1" t="str">
        <f t="shared" si="69"/>
        <v/>
      </c>
      <c r="AS210" s="1" t="str">
        <f t="shared" si="69"/>
        <v/>
      </c>
      <c r="AT210" s="1" t="str">
        <f t="shared" si="69"/>
        <v/>
      </c>
      <c r="AU210" s="1" t="str">
        <f t="shared" si="69"/>
        <v/>
      </c>
      <c r="AV210" s="1" t="str">
        <f t="shared" si="69"/>
        <v/>
      </c>
      <c r="AW210" s="1" t="str">
        <f t="shared" si="67"/>
        <v/>
      </c>
      <c r="AX210" s="1" t="str">
        <f t="shared" si="67"/>
        <v/>
      </c>
      <c r="AY210" s="1" t="str">
        <f t="shared" si="67"/>
        <v/>
      </c>
      <c r="AZ210" s="1">
        <f t="shared" si="67"/>
        <v>7100</v>
      </c>
      <c r="BA210" s="1" t="str">
        <f t="shared" si="67"/>
        <v/>
      </c>
      <c r="BB210" s="1">
        <f t="shared" si="67"/>
        <v>0</v>
      </c>
      <c r="BC210" s="1">
        <f t="shared" si="67"/>
        <v>0</v>
      </c>
    </row>
    <row r="211" spans="1:55" x14ac:dyDescent="0.25">
      <c r="A211" s="15" t="s">
        <v>51</v>
      </c>
      <c r="B211" s="16" t="s">
        <v>56</v>
      </c>
      <c r="C211" s="27" t="s">
        <v>57</v>
      </c>
      <c r="D211" s="16" t="s">
        <v>70</v>
      </c>
      <c r="E211" s="16"/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52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54">
        <v>0</v>
      </c>
      <c r="Y211" s="58">
        <f t="shared" si="54"/>
        <v>0</v>
      </c>
      <c r="Z211" s="1">
        <f t="shared" si="55"/>
        <v>0</v>
      </c>
      <c r="AA211" s="1">
        <f t="shared" si="56"/>
        <v>0</v>
      </c>
      <c r="AC211" s="15" t="s">
        <v>51</v>
      </c>
      <c r="AD211" s="16" t="s">
        <v>56</v>
      </c>
      <c r="AE211" s="27" t="s">
        <v>57</v>
      </c>
      <c r="AF211" s="16" t="s">
        <v>70</v>
      </c>
      <c r="AG211" s="16"/>
      <c r="AH211" s="90" t="str">
        <f t="shared" si="69"/>
        <v/>
      </c>
      <c r="AI211" s="90" t="str">
        <f t="shared" si="69"/>
        <v/>
      </c>
      <c r="AJ211" s="90" t="str">
        <f t="shared" si="69"/>
        <v/>
      </c>
      <c r="AK211" s="90" t="str">
        <f t="shared" si="69"/>
        <v/>
      </c>
      <c r="AL211" s="90" t="str">
        <f t="shared" si="69"/>
        <v/>
      </c>
      <c r="AM211" s="90" t="str">
        <f t="shared" si="69"/>
        <v/>
      </c>
      <c r="AN211" s="90" t="str">
        <f t="shared" si="69"/>
        <v/>
      </c>
      <c r="AO211" s="90" t="str">
        <f t="shared" si="69"/>
        <v/>
      </c>
      <c r="AP211" s="90" t="str">
        <f t="shared" si="69"/>
        <v/>
      </c>
      <c r="AQ211" s="90" t="str">
        <f t="shared" si="69"/>
        <v/>
      </c>
      <c r="AR211" s="90" t="str">
        <f t="shared" si="69"/>
        <v/>
      </c>
      <c r="AS211" s="90" t="str">
        <f t="shared" si="69"/>
        <v/>
      </c>
      <c r="AT211" s="90" t="str">
        <f t="shared" si="69"/>
        <v/>
      </c>
      <c r="AU211" s="90" t="str">
        <f t="shared" si="69"/>
        <v/>
      </c>
      <c r="AV211" s="90" t="str">
        <f t="shared" si="69"/>
        <v/>
      </c>
      <c r="AW211" s="90" t="str">
        <f t="shared" si="67"/>
        <v/>
      </c>
      <c r="AX211" s="90" t="str">
        <f t="shared" si="67"/>
        <v/>
      </c>
      <c r="AY211" s="90" t="str">
        <f t="shared" si="67"/>
        <v/>
      </c>
      <c r="AZ211" s="90" t="str">
        <f t="shared" si="67"/>
        <v/>
      </c>
      <c r="BA211" s="90" t="str">
        <f t="shared" si="67"/>
        <v/>
      </c>
      <c r="BB211" s="90" t="str">
        <f t="shared" si="67"/>
        <v/>
      </c>
      <c r="BC211" s="90" t="str">
        <f t="shared" si="67"/>
        <v/>
      </c>
    </row>
    <row r="212" spans="1:55" x14ac:dyDescent="0.25">
      <c r="A212" s="15" t="s">
        <v>51</v>
      </c>
      <c r="B212" s="16" t="s">
        <v>56</v>
      </c>
      <c r="C212" s="27" t="s">
        <v>57</v>
      </c>
      <c r="D212" s="16" t="s">
        <v>71</v>
      </c>
      <c r="E212" s="16"/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52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54">
        <v>0</v>
      </c>
      <c r="Y212" s="58">
        <f t="shared" si="54"/>
        <v>0</v>
      </c>
      <c r="Z212" s="1">
        <f t="shared" si="55"/>
        <v>0</v>
      </c>
      <c r="AA212" s="1">
        <f t="shared" si="56"/>
        <v>0</v>
      </c>
      <c r="AC212" s="15" t="s">
        <v>51</v>
      </c>
      <c r="AD212" s="16" t="s">
        <v>56</v>
      </c>
      <c r="AE212" s="27" t="s">
        <v>57</v>
      </c>
      <c r="AF212" s="16" t="s">
        <v>71</v>
      </c>
      <c r="AG212" s="16"/>
      <c r="AH212" s="90" t="str">
        <f t="shared" si="69"/>
        <v/>
      </c>
      <c r="AI212" s="90" t="str">
        <f t="shared" si="69"/>
        <v/>
      </c>
      <c r="AJ212" s="90" t="str">
        <f t="shared" si="69"/>
        <v/>
      </c>
      <c r="AK212" s="90" t="str">
        <f t="shared" si="69"/>
        <v/>
      </c>
      <c r="AL212" s="90" t="str">
        <f t="shared" si="69"/>
        <v/>
      </c>
      <c r="AM212" s="90" t="str">
        <f t="shared" si="69"/>
        <v/>
      </c>
      <c r="AN212" s="90" t="str">
        <f t="shared" si="69"/>
        <v/>
      </c>
      <c r="AO212" s="90" t="str">
        <f t="shared" si="69"/>
        <v/>
      </c>
      <c r="AP212" s="90" t="str">
        <f t="shared" si="69"/>
        <v/>
      </c>
      <c r="AQ212" s="90" t="str">
        <f t="shared" si="69"/>
        <v/>
      </c>
      <c r="AR212" s="90" t="str">
        <f t="shared" si="69"/>
        <v/>
      </c>
      <c r="AS212" s="90" t="str">
        <f t="shared" si="69"/>
        <v/>
      </c>
      <c r="AT212" s="90" t="str">
        <f t="shared" si="69"/>
        <v/>
      </c>
      <c r="AU212" s="90" t="str">
        <f t="shared" si="69"/>
        <v/>
      </c>
      <c r="AV212" s="90" t="str">
        <f t="shared" si="69"/>
        <v/>
      </c>
      <c r="AW212" s="90" t="str">
        <f t="shared" si="67"/>
        <v/>
      </c>
      <c r="AX212" s="90" t="str">
        <f t="shared" si="67"/>
        <v/>
      </c>
      <c r="AY212" s="90" t="str">
        <f t="shared" si="67"/>
        <v/>
      </c>
      <c r="AZ212" s="90" t="str">
        <f t="shared" si="67"/>
        <v/>
      </c>
      <c r="BA212" s="90" t="str">
        <f t="shared" si="67"/>
        <v/>
      </c>
      <c r="BB212" s="90" t="str">
        <f t="shared" si="67"/>
        <v/>
      </c>
      <c r="BC212" s="90" t="str">
        <f t="shared" si="67"/>
        <v/>
      </c>
    </row>
    <row r="213" spans="1:55" x14ac:dyDescent="0.25">
      <c r="A213" s="15" t="s">
        <v>51</v>
      </c>
      <c r="B213" s="16" t="s">
        <v>56</v>
      </c>
      <c r="C213" s="27" t="s">
        <v>27</v>
      </c>
      <c r="D213" s="16" t="s">
        <v>72</v>
      </c>
      <c r="E213" s="16"/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52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54">
        <v>0</v>
      </c>
      <c r="Y213" s="58">
        <f t="shared" si="54"/>
        <v>0</v>
      </c>
      <c r="Z213" s="1">
        <f t="shared" si="55"/>
        <v>0</v>
      </c>
      <c r="AA213" s="1">
        <f t="shared" si="56"/>
        <v>0</v>
      </c>
      <c r="AC213" s="15" t="s">
        <v>51</v>
      </c>
      <c r="AD213" s="16" t="s">
        <v>56</v>
      </c>
      <c r="AE213" s="27" t="s">
        <v>27</v>
      </c>
      <c r="AF213" s="16" t="s">
        <v>72</v>
      </c>
      <c r="AG213" s="16"/>
      <c r="AH213" s="90" t="str">
        <f t="shared" si="69"/>
        <v/>
      </c>
      <c r="AI213" s="90" t="str">
        <f t="shared" si="69"/>
        <v/>
      </c>
      <c r="AJ213" s="90" t="str">
        <f t="shared" si="69"/>
        <v/>
      </c>
      <c r="AK213" s="90" t="str">
        <f t="shared" si="69"/>
        <v/>
      </c>
      <c r="AL213" s="90" t="str">
        <f t="shared" si="69"/>
        <v/>
      </c>
      <c r="AM213" s="90" t="str">
        <f t="shared" si="69"/>
        <v/>
      </c>
      <c r="AN213" s="90" t="str">
        <f t="shared" si="69"/>
        <v/>
      </c>
      <c r="AO213" s="90" t="str">
        <f t="shared" si="69"/>
        <v/>
      </c>
      <c r="AP213" s="90" t="str">
        <f t="shared" si="69"/>
        <v/>
      </c>
      <c r="AQ213" s="90" t="str">
        <f t="shared" si="69"/>
        <v/>
      </c>
      <c r="AR213" s="90" t="str">
        <f t="shared" si="69"/>
        <v/>
      </c>
      <c r="AS213" s="90" t="str">
        <f t="shared" si="69"/>
        <v/>
      </c>
      <c r="AT213" s="90" t="str">
        <f t="shared" si="69"/>
        <v/>
      </c>
      <c r="AU213" s="90" t="str">
        <f t="shared" si="69"/>
        <v/>
      </c>
      <c r="AV213" s="90" t="str">
        <f t="shared" si="69"/>
        <v/>
      </c>
      <c r="AW213" s="90" t="str">
        <f t="shared" si="67"/>
        <v/>
      </c>
      <c r="AX213" s="90" t="str">
        <f t="shared" si="67"/>
        <v/>
      </c>
      <c r="AY213" s="90" t="str">
        <f t="shared" si="67"/>
        <v/>
      </c>
      <c r="AZ213" s="90" t="str">
        <f t="shared" si="67"/>
        <v/>
      </c>
      <c r="BA213" s="90" t="str">
        <f t="shared" si="67"/>
        <v/>
      </c>
      <c r="BB213" s="90" t="str">
        <f t="shared" si="67"/>
        <v/>
      </c>
      <c r="BC213" s="90" t="str">
        <f t="shared" si="67"/>
        <v/>
      </c>
    </row>
    <row r="214" spans="1:55" x14ac:dyDescent="0.25">
      <c r="A214" s="15" t="s">
        <v>51</v>
      </c>
      <c r="B214" s="16" t="s">
        <v>56</v>
      </c>
      <c r="C214" s="27" t="s">
        <v>57</v>
      </c>
      <c r="D214" s="16" t="s">
        <v>73</v>
      </c>
      <c r="E214" s="16"/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52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54">
        <v>0</v>
      </c>
      <c r="Y214" s="58">
        <f t="shared" si="54"/>
        <v>0</v>
      </c>
      <c r="Z214" s="1">
        <f t="shared" si="55"/>
        <v>0</v>
      </c>
      <c r="AA214" s="1">
        <f t="shared" si="56"/>
        <v>0</v>
      </c>
      <c r="AC214" s="15" t="s">
        <v>51</v>
      </c>
      <c r="AD214" s="16" t="s">
        <v>56</v>
      </c>
      <c r="AE214" s="27" t="s">
        <v>57</v>
      </c>
      <c r="AF214" s="16" t="s">
        <v>73</v>
      </c>
      <c r="AG214" s="16"/>
      <c r="AH214" s="90" t="str">
        <f t="shared" si="69"/>
        <v/>
      </c>
      <c r="AI214" s="90" t="str">
        <f t="shared" si="69"/>
        <v/>
      </c>
      <c r="AJ214" s="90" t="str">
        <f t="shared" si="69"/>
        <v/>
      </c>
      <c r="AK214" s="90" t="str">
        <f t="shared" si="69"/>
        <v/>
      </c>
      <c r="AL214" s="90" t="str">
        <f t="shared" si="69"/>
        <v/>
      </c>
      <c r="AM214" s="90" t="str">
        <f t="shared" si="69"/>
        <v/>
      </c>
      <c r="AN214" s="90" t="str">
        <f t="shared" si="69"/>
        <v/>
      </c>
      <c r="AO214" s="90" t="str">
        <f t="shared" si="69"/>
        <v/>
      </c>
      <c r="AP214" s="90" t="str">
        <f t="shared" si="69"/>
        <v/>
      </c>
      <c r="AQ214" s="90" t="str">
        <f t="shared" si="69"/>
        <v/>
      </c>
      <c r="AR214" s="90" t="str">
        <f t="shared" si="69"/>
        <v/>
      </c>
      <c r="AS214" s="90" t="str">
        <f t="shared" si="69"/>
        <v/>
      </c>
      <c r="AT214" s="90" t="str">
        <f t="shared" si="69"/>
        <v/>
      </c>
      <c r="AU214" s="90" t="str">
        <f t="shared" si="69"/>
        <v/>
      </c>
      <c r="AV214" s="90" t="str">
        <f t="shared" si="69"/>
        <v/>
      </c>
      <c r="AW214" s="90" t="str">
        <f t="shared" si="67"/>
        <v/>
      </c>
      <c r="AX214" s="90" t="str">
        <f t="shared" si="67"/>
        <v/>
      </c>
      <c r="AY214" s="90" t="str">
        <f t="shared" si="67"/>
        <v/>
      </c>
      <c r="AZ214" s="90" t="str">
        <f t="shared" si="67"/>
        <v/>
      </c>
      <c r="BA214" s="90" t="str">
        <f t="shared" si="67"/>
        <v/>
      </c>
      <c r="BB214" s="90" t="str">
        <f t="shared" si="67"/>
        <v/>
      </c>
      <c r="BC214" s="90" t="str">
        <f t="shared" si="67"/>
        <v/>
      </c>
    </row>
    <row r="215" spans="1:55" x14ac:dyDescent="0.25">
      <c r="A215" s="15" t="s">
        <v>51</v>
      </c>
      <c r="B215" s="16" t="s">
        <v>56</v>
      </c>
      <c r="C215" s="27" t="s">
        <v>57</v>
      </c>
      <c r="D215" s="16" t="s">
        <v>74</v>
      </c>
      <c r="E215" s="16"/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52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54">
        <v>0</v>
      </c>
      <c r="Y215" s="58">
        <f t="shared" si="54"/>
        <v>0</v>
      </c>
      <c r="Z215" s="1">
        <f t="shared" si="55"/>
        <v>0</v>
      </c>
      <c r="AA215" s="1">
        <f t="shared" si="56"/>
        <v>0</v>
      </c>
      <c r="AC215" s="15" t="s">
        <v>51</v>
      </c>
      <c r="AD215" s="16" t="s">
        <v>56</v>
      </c>
      <c r="AE215" s="27" t="s">
        <v>57</v>
      </c>
      <c r="AF215" s="16" t="s">
        <v>74</v>
      </c>
      <c r="AG215" s="16"/>
      <c r="AH215" s="90" t="str">
        <f t="shared" si="69"/>
        <v/>
      </c>
      <c r="AI215" s="90" t="str">
        <f t="shared" si="69"/>
        <v/>
      </c>
      <c r="AJ215" s="90" t="str">
        <f t="shared" si="69"/>
        <v/>
      </c>
      <c r="AK215" s="90" t="str">
        <f t="shared" si="69"/>
        <v/>
      </c>
      <c r="AL215" s="90" t="str">
        <f t="shared" si="69"/>
        <v/>
      </c>
      <c r="AM215" s="90" t="str">
        <f t="shared" si="69"/>
        <v/>
      </c>
      <c r="AN215" s="90" t="str">
        <f t="shared" si="69"/>
        <v/>
      </c>
      <c r="AO215" s="90" t="str">
        <f t="shared" si="69"/>
        <v/>
      </c>
      <c r="AP215" s="90" t="str">
        <f t="shared" si="69"/>
        <v/>
      </c>
      <c r="AQ215" s="90" t="str">
        <f t="shared" si="69"/>
        <v/>
      </c>
      <c r="AR215" s="90" t="str">
        <f t="shared" si="69"/>
        <v/>
      </c>
      <c r="AS215" s="90" t="str">
        <f t="shared" si="69"/>
        <v/>
      </c>
      <c r="AT215" s="90" t="str">
        <f t="shared" si="69"/>
        <v/>
      </c>
      <c r="AU215" s="90" t="str">
        <f t="shared" si="69"/>
        <v/>
      </c>
      <c r="AV215" s="90" t="str">
        <f t="shared" si="69"/>
        <v/>
      </c>
      <c r="AW215" s="90" t="str">
        <f t="shared" si="67"/>
        <v/>
      </c>
      <c r="AX215" s="90" t="str">
        <f t="shared" si="67"/>
        <v/>
      </c>
      <c r="AY215" s="90" t="str">
        <f t="shared" si="67"/>
        <v/>
      </c>
      <c r="AZ215" s="90" t="str">
        <f t="shared" si="67"/>
        <v/>
      </c>
      <c r="BA215" s="90" t="str">
        <f t="shared" si="67"/>
        <v/>
      </c>
      <c r="BB215" s="90" t="str">
        <f t="shared" si="67"/>
        <v/>
      </c>
      <c r="BC215" s="90" t="str">
        <f t="shared" si="67"/>
        <v/>
      </c>
    </row>
    <row r="216" spans="1:55" x14ac:dyDescent="0.25">
      <c r="A216" s="30" t="s">
        <v>60</v>
      </c>
      <c r="B216" s="31" t="s">
        <v>13</v>
      </c>
      <c r="C216" s="32" t="s">
        <v>61</v>
      </c>
      <c r="D216" s="31" t="s">
        <v>75</v>
      </c>
      <c r="E216" s="31"/>
      <c r="F216" s="51">
        <f>F201*0.5</f>
        <v>64.350000000000009</v>
      </c>
      <c r="G216" s="73"/>
      <c r="H216" s="51">
        <f>H201</f>
        <v>900</v>
      </c>
      <c r="I216" s="51">
        <f>I201*0.7</f>
        <v>70.965517241379303</v>
      </c>
      <c r="J216" s="51">
        <f>J201*0.3</f>
        <v>11.22</v>
      </c>
      <c r="K216" s="51">
        <f>K201*0.8</f>
        <v>22.068965517241381</v>
      </c>
      <c r="L216" s="52">
        <v>0</v>
      </c>
      <c r="M216" s="73">
        <f>M201*0.1</f>
        <v>1.037037037037037</v>
      </c>
      <c r="N216" s="73">
        <v>0</v>
      </c>
      <c r="O216" s="73">
        <v>0</v>
      </c>
      <c r="P216" s="73">
        <v>0</v>
      </c>
      <c r="Q216" s="73"/>
      <c r="R216" s="73"/>
      <c r="S216" s="51"/>
      <c r="T216" s="51"/>
      <c r="U216" s="51"/>
      <c r="V216" s="51"/>
      <c r="W216" s="51">
        <f>W201</f>
        <v>2.7386541471048513</v>
      </c>
      <c r="X216" s="55">
        <f>X201*0.1</f>
        <v>1.1737089201877935</v>
      </c>
      <c r="Y216" s="59">
        <f t="shared" si="54"/>
        <v>1068.6044827586209</v>
      </c>
      <c r="Z216" s="51">
        <f t="shared" si="55"/>
        <v>4.9494001043296816</v>
      </c>
      <c r="AA216" s="51">
        <f t="shared" si="56"/>
        <v>1073.5538828629506</v>
      </c>
      <c r="AC216" s="30" t="s">
        <v>60</v>
      </c>
      <c r="AD216" s="31" t="s">
        <v>13</v>
      </c>
      <c r="AE216" s="32" t="s">
        <v>61</v>
      </c>
      <c r="AF216" s="31" t="s">
        <v>75</v>
      </c>
      <c r="AG216" s="31"/>
      <c r="AH216" s="1">
        <f t="shared" si="69"/>
        <v>296.98696365363026</v>
      </c>
      <c r="AI216" s="1" t="str">
        <f t="shared" si="69"/>
        <v/>
      </c>
      <c r="AJ216" s="1">
        <f t="shared" si="69"/>
        <v>31.47058823529412</v>
      </c>
      <c r="AK216" s="1">
        <f t="shared" si="69"/>
        <v>170.58823529411762</v>
      </c>
      <c r="AL216" s="1">
        <f t="shared" si="69"/>
        <v>314.56432840515885</v>
      </c>
      <c r="AM216" s="1">
        <f t="shared" si="69"/>
        <v>170.58823529411765</v>
      </c>
      <c r="AN216" s="52" t="str">
        <f t="shared" si="69"/>
        <v/>
      </c>
      <c r="AO216" s="1">
        <f t="shared" si="69"/>
        <v>2222.2222222222217</v>
      </c>
      <c r="AP216" s="1" t="str">
        <f t="shared" si="69"/>
        <v/>
      </c>
      <c r="AQ216" s="1" t="str">
        <f t="shared" si="69"/>
        <v/>
      </c>
      <c r="AR216" s="1" t="str">
        <f t="shared" si="69"/>
        <v/>
      </c>
      <c r="AS216" s="1" t="str">
        <f t="shared" si="69"/>
        <v/>
      </c>
      <c r="AT216" s="1" t="str">
        <f t="shared" si="69"/>
        <v/>
      </c>
      <c r="AU216" s="1" t="str">
        <f t="shared" si="69"/>
        <v/>
      </c>
      <c r="AV216" s="1" t="str">
        <f t="shared" si="69"/>
        <v/>
      </c>
      <c r="AW216" s="1" t="str">
        <f t="shared" si="67"/>
        <v/>
      </c>
      <c r="AX216" s="1" t="str">
        <f t="shared" si="67"/>
        <v/>
      </c>
      <c r="AY216" s="1">
        <f t="shared" si="67"/>
        <v>2366.6666666666665</v>
      </c>
      <c r="AZ216" s="1">
        <f t="shared" si="67"/>
        <v>2366.6666666666665</v>
      </c>
      <c r="BA216" s="1">
        <f t="shared" si="67"/>
        <v>0</v>
      </c>
      <c r="BB216" s="1">
        <f t="shared" si="67"/>
        <v>0</v>
      </c>
      <c r="BC216" s="1">
        <f t="shared" si="67"/>
        <v>0</v>
      </c>
    </row>
    <row r="217" spans="1:55" x14ac:dyDescent="0.25">
      <c r="A217" s="30" t="s">
        <v>60</v>
      </c>
      <c r="B217" s="31" t="s">
        <v>13</v>
      </c>
      <c r="C217" s="32" t="s">
        <v>61</v>
      </c>
      <c r="D217" s="31" t="s">
        <v>76</v>
      </c>
      <c r="E217" s="31"/>
      <c r="F217" s="51">
        <f>F201*0.5</f>
        <v>64.350000000000009</v>
      </c>
      <c r="G217" s="51">
        <v>0</v>
      </c>
      <c r="H217" s="51">
        <v>0</v>
      </c>
      <c r="I217" s="51">
        <f>I201*0.25</f>
        <v>25.344827586206897</v>
      </c>
      <c r="J217" s="51">
        <f>J201*0.7</f>
        <v>26.180000000000003</v>
      </c>
      <c r="K217" s="51">
        <f>K201*0.05</f>
        <v>1.3793103448275863</v>
      </c>
      <c r="L217" s="52">
        <v>0</v>
      </c>
      <c r="M217" s="73">
        <f>M201*0.4</f>
        <v>4.1481481481481479</v>
      </c>
      <c r="N217" s="73">
        <f>N201</f>
        <v>1.8</v>
      </c>
      <c r="O217" s="73">
        <f>O201*0.3</f>
        <v>0.09</v>
      </c>
      <c r="P217" s="73">
        <f>P201*0.2</f>
        <v>0.03</v>
      </c>
      <c r="Q217" s="73"/>
      <c r="R217" s="73">
        <f>R201</f>
        <v>2.6897496087636936</v>
      </c>
      <c r="S217" s="51"/>
      <c r="T217" s="51"/>
      <c r="U217" s="51"/>
      <c r="V217" s="51"/>
      <c r="W217" s="51"/>
      <c r="X217" s="55">
        <f>X201*0.1</f>
        <v>1.1737089201877935</v>
      </c>
      <c r="Y217" s="59">
        <f t="shared" si="54"/>
        <v>117.25413793103451</v>
      </c>
      <c r="Z217" s="51">
        <f t="shared" si="55"/>
        <v>9.9316066770996354</v>
      </c>
      <c r="AA217" s="51">
        <f t="shared" si="56"/>
        <v>127.18574460813414</v>
      </c>
      <c r="AC217" s="30" t="s">
        <v>60</v>
      </c>
      <c r="AD217" s="31" t="s">
        <v>13</v>
      </c>
      <c r="AE217" s="32" t="s">
        <v>61</v>
      </c>
      <c r="AF217" s="31" t="s">
        <v>76</v>
      </c>
      <c r="AG217" s="31"/>
      <c r="AH217" s="1">
        <f t="shared" si="69"/>
        <v>296.98696365363026</v>
      </c>
      <c r="AI217" s="1" t="str">
        <f t="shared" si="69"/>
        <v/>
      </c>
      <c r="AJ217" s="1" t="str">
        <f t="shared" si="69"/>
        <v/>
      </c>
      <c r="AK217" s="1">
        <f t="shared" si="69"/>
        <v>170.58823529411762</v>
      </c>
      <c r="AL217" s="1">
        <f t="shared" si="69"/>
        <v>314.56432840515885</v>
      </c>
      <c r="AM217" s="1">
        <f t="shared" si="69"/>
        <v>170.58823529411765</v>
      </c>
      <c r="AN217" s="52" t="str">
        <f t="shared" si="69"/>
        <v/>
      </c>
      <c r="AO217" s="1">
        <f t="shared" si="69"/>
        <v>2222.2222222222217</v>
      </c>
      <c r="AP217" s="1">
        <f t="shared" si="69"/>
        <v>5208.333333333333</v>
      </c>
      <c r="AQ217" s="1">
        <f t="shared" si="69"/>
        <v>55555.555555555555</v>
      </c>
      <c r="AR217" s="1">
        <f t="shared" si="69"/>
        <v>555555.55555555562</v>
      </c>
      <c r="AS217" s="1" t="str">
        <f t="shared" si="69"/>
        <v/>
      </c>
      <c r="AT217" s="1">
        <f t="shared" si="69"/>
        <v>2366.6666666666665</v>
      </c>
      <c r="AU217" s="1" t="str">
        <f t="shared" si="69"/>
        <v/>
      </c>
      <c r="AV217" s="1" t="str">
        <f t="shared" si="69"/>
        <v/>
      </c>
      <c r="AW217" s="1" t="str">
        <f t="shared" si="67"/>
        <v/>
      </c>
      <c r="AX217" s="1" t="str">
        <f t="shared" si="67"/>
        <v/>
      </c>
      <c r="AY217" s="1" t="str">
        <f t="shared" si="67"/>
        <v/>
      </c>
      <c r="AZ217" s="1">
        <f t="shared" si="67"/>
        <v>2366.6666666666665</v>
      </c>
      <c r="BA217" s="1">
        <f t="shared" si="67"/>
        <v>0</v>
      </c>
      <c r="BB217" s="1">
        <f t="shared" si="67"/>
        <v>0</v>
      </c>
      <c r="BC217" s="1">
        <f t="shared" si="67"/>
        <v>0</v>
      </c>
    </row>
    <row r="218" spans="1:55" x14ac:dyDescent="0.25">
      <c r="A218" s="30" t="s">
        <v>60</v>
      </c>
      <c r="B218" s="31" t="s">
        <v>13</v>
      </c>
      <c r="C218" s="32" t="s">
        <v>61</v>
      </c>
      <c r="D218" s="31" t="s">
        <v>77</v>
      </c>
      <c r="E218" s="31"/>
      <c r="F218" s="51">
        <v>0</v>
      </c>
      <c r="G218" s="51">
        <v>0</v>
      </c>
      <c r="H218" s="51">
        <v>0</v>
      </c>
      <c r="I218" s="51">
        <v>0</v>
      </c>
      <c r="J218" s="51">
        <v>0</v>
      </c>
      <c r="K218" s="51">
        <f>K201*0.1</f>
        <v>2.7586206896551726</v>
      </c>
      <c r="L218" s="52">
        <v>0</v>
      </c>
      <c r="M218" s="73">
        <f>M201*0.5</f>
        <v>5.1851851851851851</v>
      </c>
      <c r="N218" s="73">
        <v>0</v>
      </c>
      <c r="O218" s="73">
        <f>O201*0.7</f>
        <v>0.21</v>
      </c>
      <c r="P218" s="73">
        <f>P201*0.7</f>
        <v>0.105</v>
      </c>
      <c r="Q218" s="73"/>
      <c r="R218" s="73"/>
      <c r="S218" s="51"/>
      <c r="T218" s="51">
        <f>T201</f>
        <v>1.5649452269170581</v>
      </c>
      <c r="U218" s="51">
        <f>U201</f>
        <v>2.4452269170579033</v>
      </c>
      <c r="V218" s="51"/>
      <c r="W218" s="51"/>
      <c r="X218" s="55">
        <f>X201*0.7</f>
        <v>8.215962441314554</v>
      </c>
      <c r="Y218" s="59">
        <f t="shared" si="54"/>
        <v>2.7586206896551726</v>
      </c>
      <c r="Z218" s="51">
        <f t="shared" si="55"/>
        <v>17.726319770474703</v>
      </c>
      <c r="AA218" s="51">
        <f t="shared" si="56"/>
        <v>20.484940460129877</v>
      </c>
      <c r="AC218" s="30" t="s">
        <v>60</v>
      </c>
      <c r="AD218" s="31" t="s">
        <v>13</v>
      </c>
      <c r="AE218" s="32" t="s">
        <v>61</v>
      </c>
      <c r="AF218" s="31" t="s">
        <v>77</v>
      </c>
      <c r="AG218" s="31"/>
      <c r="AH218" s="1" t="str">
        <f t="shared" ref="AH218:AV225" si="71">IF(F218&gt;0,F263/F218*1000,"")</f>
        <v/>
      </c>
      <c r="AI218" s="1" t="str">
        <f t="shared" si="71"/>
        <v/>
      </c>
      <c r="AJ218" s="1" t="str">
        <f t="shared" si="71"/>
        <v/>
      </c>
      <c r="AK218" s="1" t="str">
        <f t="shared" si="71"/>
        <v/>
      </c>
      <c r="AL218" s="1" t="str">
        <f t="shared" si="71"/>
        <v/>
      </c>
      <c r="AM218" s="1">
        <f t="shared" si="71"/>
        <v>170.58823529411765</v>
      </c>
      <c r="AN218" s="52" t="str">
        <f t="shared" si="71"/>
        <v/>
      </c>
      <c r="AO218" s="1">
        <f t="shared" si="71"/>
        <v>2222.2222222222217</v>
      </c>
      <c r="AP218" s="1" t="str">
        <f t="shared" si="71"/>
        <v/>
      </c>
      <c r="AQ218" s="1">
        <f t="shared" si="71"/>
        <v>55555.555555555555</v>
      </c>
      <c r="AR218" s="1">
        <f t="shared" si="71"/>
        <v>555555.5555555555</v>
      </c>
      <c r="AS218" s="1" t="str">
        <f t="shared" si="71"/>
        <v/>
      </c>
      <c r="AT218" s="1" t="str">
        <f t="shared" si="71"/>
        <v/>
      </c>
      <c r="AU218" s="1" t="str">
        <f t="shared" si="71"/>
        <v/>
      </c>
      <c r="AV218" s="1">
        <f t="shared" si="71"/>
        <v>2366.6666666666665</v>
      </c>
      <c r="AW218" s="1">
        <f t="shared" si="67"/>
        <v>2366.6666666666661</v>
      </c>
      <c r="AX218" s="1" t="str">
        <f t="shared" si="67"/>
        <v/>
      </c>
      <c r="AY218" s="1" t="str">
        <f t="shared" si="67"/>
        <v/>
      </c>
      <c r="AZ218" s="1">
        <f t="shared" si="67"/>
        <v>2366.6666666666661</v>
      </c>
      <c r="BA218" s="1">
        <f t="shared" si="67"/>
        <v>0</v>
      </c>
      <c r="BB218" s="1">
        <f t="shared" si="67"/>
        <v>0</v>
      </c>
      <c r="BC218" s="1">
        <f t="shared" si="67"/>
        <v>0</v>
      </c>
    </row>
    <row r="219" spans="1:55" x14ac:dyDescent="0.25">
      <c r="A219" s="30" t="s">
        <v>60</v>
      </c>
      <c r="B219" s="31" t="s">
        <v>13</v>
      </c>
      <c r="C219" s="32" t="s">
        <v>61</v>
      </c>
      <c r="D219" s="31" t="s">
        <v>78</v>
      </c>
      <c r="E219" s="31"/>
      <c r="F219" s="51">
        <v>0</v>
      </c>
      <c r="G219" s="51">
        <v>0</v>
      </c>
      <c r="H219" s="51">
        <v>0</v>
      </c>
      <c r="I219" s="51">
        <f>I201*0.05</f>
        <v>5.0689655172413799</v>
      </c>
      <c r="J219" s="51">
        <v>0</v>
      </c>
      <c r="K219" s="51">
        <f>K201*0.05</f>
        <v>1.3793103448275863</v>
      </c>
      <c r="L219" s="52">
        <v>0</v>
      </c>
      <c r="M219" s="73">
        <f>M201*0</f>
        <v>0</v>
      </c>
      <c r="N219" s="73">
        <v>0</v>
      </c>
      <c r="O219" s="73">
        <f>O201*0</f>
        <v>0</v>
      </c>
      <c r="P219" s="73">
        <f>(P201)*0.1</f>
        <v>1.4999999999999999E-2</v>
      </c>
      <c r="Q219" s="73">
        <f>Q201</f>
        <v>1.1702127659574468</v>
      </c>
      <c r="R219" s="73"/>
      <c r="S219" s="51"/>
      <c r="T219" s="51"/>
      <c r="U219" s="51"/>
      <c r="V219" s="51"/>
      <c r="W219" s="51"/>
      <c r="X219" s="55">
        <f>X201*0.1</f>
        <v>1.1737089201877935</v>
      </c>
      <c r="Y219" s="59">
        <f t="shared" si="54"/>
        <v>6.4482758620689662</v>
      </c>
      <c r="Z219" s="51">
        <f t="shared" si="55"/>
        <v>2.3589216861452402</v>
      </c>
      <c r="AA219" s="51">
        <f t="shared" si="56"/>
        <v>8.8071975482142069</v>
      </c>
      <c r="AC219" s="30" t="s">
        <v>60</v>
      </c>
      <c r="AD219" s="31" t="s">
        <v>13</v>
      </c>
      <c r="AE219" s="32" t="s">
        <v>61</v>
      </c>
      <c r="AF219" s="31" t="s">
        <v>78</v>
      </c>
      <c r="AG219" s="31"/>
      <c r="AH219" s="1" t="str">
        <f t="shared" si="71"/>
        <v/>
      </c>
      <c r="AI219" s="1" t="str">
        <f t="shared" si="71"/>
        <v/>
      </c>
      <c r="AJ219" s="1" t="str">
        <f t="shared" si="71"/>
        <v/>
      </c>
      <c r="AK219" s="1">
        <f t="shared" si="71"/>
        <v>170.58823529411762</v>
      </c>
      <c r="AL219" s="1" t="str">
        <f t="shared" si="71"/>
        <v/>
      </c>
      <c r="AM219" s="1">
        <f t="shared" si="71"/>
        <v>170.58823529411765</v>
      </c>
      <c r="AN219" s="52" t="str">
        <f t="shared" si="71"/>
        <v/>
      </c>
      <c r="AO219" s="1" t="str">
        <f t="shared" si="71"/>
        <v/>
      </c>
      <c r="AP219" s="1" t="str">
        <f t="shared" si="71"/>
        <v/>
      </c>
      <c r="AQ219" s="1" t="str">
        <f t="shared" si="71"/>
        <v/>
      </c>
      <c r="AR219" s="1">
        <f t="shared" si="71"/>
        <v>555555.55555555562</v>
      </c>
      <c r="AS219" s="1">
        <f t="shared" si="71"/>
        <v>5222.2222222222217</v>
      </c>
      <c r="AT219" s="1" t="str">
        <f t="shared" si="71"/>
        <v/>
      </c>
      <c r="AU219" s="1" t="str">
        <f t="shared" si="71"/>
        <v/>
      </c>
      <c r="AV219" s="1" t="str">
        <f t="shared" si="71"/>
        <v/>
      </c>
      <c r="AW219" s="1" t="str">
        <f t="shared" si="67"/>
        <v/>
      </c>
      <c r="AX219" s="1" t="str">
        <f t="shared" si="67"/>
        <v/>
      </c>
      <c r="AY219" s="1" t="str">
        <f t="shared" si="67"/>
        <v/>
      </c>
      <c r="AZ219" s="1">
        <f t="shared" si="67"/>
        <v>2366.6666666666665</v>
      </c>
      <c r="BA219" s="1">
        <f t="shared" si="67"/>
        <v>0</v>
      </c>
      <c r="BB219" s="1">
        <f t="shared" si="67"/>
        <v>0</v>
      </c>
      <c r="BC219" s="1">
        <f t="shared" si="67"/>
        <v>0</v>
      </c>
    </row>
    <row r="220" spans="1:55" ht="15.75" thickBot="1" x14ac:dyDescent="0.3">
      <c r="A220" s="33" t="s">
        <v>60</v>
      </c>
      <c r="B220" s="34" t="s">
        <v>13</v>
      </c>
      <c r="C220" s="35" t="s">
        <v>61</v>
      </c>
      <c r="D220" s="34" t="s">
        <v>79</v>
      </c>
      <c r="E220" s="31"/>
      <c r="F220" s="51">
        <v>0</v>
      </c>
      <c r="G220" s="51">
        <v>0</v>
      </c>
      <c r="H220" s="51">
        <v>0</v>
      </c>
      <c r="I220" s="51">
        <v>0</v>
      </c>
      <c r="J220" s="51">
        <v>0</v>
      </c>
      <c r="K220" s="51">
        <v>0</v>
      </c>
      <c r="L220" s="52">
        <v>0</v>
      </c>
      <c r="M220" s="51">
        <v>0</v>
      </c>
      <c r="N220" s="51">
        <v>0</v>
      </c>
      <c r="O220" s="51">
        <v>0</v>
      </c>
      <c r="P220" s="51">
        <v>0</v>
      </c>
      <c r="Q220" s="51">
        <v>0</v>
      </c>
      <c r="R220" s="51">
        <v>0</v>
      </c>
      <c r="S220" s="51">
        <v>0</v>
      </c>
      <c r="T220" s="51">
        <v>0</v>
      </c>
      <c r="U220" s="51">
        <v>0</v>
      </c>
      <c r="V220" s="51">
        <v>0</v>
      </c>
      <c r="W220" s="51">
        <v>0</v>
      </c>
      <c r="X220" s="55">
        <v>0</v>
      </c>
      <c r="Y220" s="59">
        <f t="shared" si="54"/>
        <v>0</v>
      </c>
      <c r="Z220" s="51">
        <f t="shared" si="55"/>
        <v>0</v>
      </c>
      <c r="AA220" s="51">
        <f t="shared" si="56"/>
        <v>0</v>
      </c>
      <c r="AC220" s="33" t="s">
        <v>60</v>
      </c>
      <c r="AD220" s="34" t="s">
        <v>13</v>
      </c>
      <c r="AE220" s="35" t="s">
        <v>61</v>
      </c>
      <c r="AF220" s="34" t="s">
        <v>79</v>
      </c>
      <c r="AG220" s="31"/>
      <c r="AH220" s="1" t="str">
        <f t="shared" si="71"/>
        <v/>
      </c>
      <c r="AI220" s="1" t="str">
        <f t="shared" si="71"/>
        <v/>
      </c>
      <c r="AJ220" s="1" t="str">
        <f t="shared" si="71"/>
        <v/>
      </c>
      <c r="AK220" s="1" t="str">
        <f t="shared" si="71"/>
        <v/>
      </c>
      <c r="AL220" s="1" t="str">
        <f t="shared" si="71"/>
        <v/>
      </c>
      <c r="AM220" s="1" t="str">
        <f t="shared" si="71"/>
        <v/>
      </c>
      <c r="AN220" s="52" t="str">
        <f t="shared" si="71"/>
        <v/>
      </c>
      <c r="AO220" s="1" t="str">
        <f t="shared" si="71"/>
        <v/>
      </c>
      <c r="AP220" s="1" t="str">
        <f t="shared" si="71"/>
        <v/>
      </c>
      <c r="AQ220" s="1" t="str">
        <f t="shared" si="71"/>
        <v/>
      </c>
      <c r="AR220" s="1" t="str">
        <f t="shared" si="71"/>
        <v/>
      </c>
      <c r="AS220" s="1" t="str">
        <f t="shared" si="71"/>
        <v/>
      </c>
      <c r="AT220" s="1" t="str">
        <f t="shared" si="71"/>
        <v/>
      </c>
      <c r="AU220" s="1" t="str">
        <f t="shared" si="71"/>
        <v/>
      </c>
      <c r="AV220" s="1" t="str">
        <f t="shared" si="71"/>
        <v/>
      </c>
      <c r="AW220" s="1" t="str">
        <f t="shared" si="67"/>
        <v/>
      </c>
      <c r="AX220" s="1" t="str">
        <f t="shared" si="67"/>
        <v/>
      </c>
      <c r="AY220" s="1" t="str">
        <f t="shared" si="67"/>
        <v/>
      </c>
      <c r="AZ220" s="1" t="str">
        <f t="shared" si="67"/>
        <v/>
      </c>
      <c r="BA220" s="1" t="str">
        <f t="shared" si="67"/>
        <v/>
      </c>
      <c r="BB220" s="1" t="str">
        <f t="shared" si="67"/>
        <v/>
      </c>
      <c r="BC220" s="1" t="str">
        <f t="shared" si="67"/>
        <v/>
      </c>
    </row>
    <row r="221" spans="1:55" x14ac:dyDescent="0.25">
      <c r="A221" s="30" t="s">
        <v>60</v>
      </c>
      <c r="B221" s="31" t="s">
        <v>13</v>
      </c>
      <c r="C221" s="32" t="s">
        <v>62</v>
      </c>
      <c r="D221" s="31" t="s">
        <v>75</v>
      </c>
      <c r="E221" s="31"/>
      <c r="F221" s="51"/>
      <c r="G221" s="73">
        <f>G202*0.5</f>
        <v>97.5</v>
      </c>
      <c r="H221" s="51">
        <f>H202*0.2</f>
        <v>205</v>
      </c>
      <c r="I221" s="51">
        <v>0</v>
      </c>
      <c r="J221" s="51">
        <v>0</v>
      </c>
      <c r="K221" s="51">
        <v>0</v>
      </c>
      <c r="L221" s="52">
        <v>0</v>
      </c>
      <c r="M221" s="51">
        <v>0</v>
      </c>
      <c r="N221" s="51">
        <v>0</v>
      </c>
      <c r="O221" s="51">
        <v>0</v>
      </c>
      <c r="P221" s="51">
        <v>0</v>
      </c>
      <c r="Q221" s="51">
        <v>0</v>
      </c>
      <c r="R221" s="51">
        <v>0</v>
      </c>
      <c r="S221" s="51">
        <v>0</v>
      </c>
      <c r="T221" s="51">
        <v>0</v>
      </c>
      <c r="U221" s="51">
        <v>0</v>
      </c>
      <c r="V221" s="51">
        <v>0</v>
      </c>
      <c r="W221" s="51">
        <v>0</v>
      </c>
      <c r="X221" s="55">
        <v>0</v>
      </c>
      <c r="Y221" s="59">
        <f t="shared" si="54"/>
        <v>302.5</v>
      </c>
      <c r="Z221" s="51">
        <f t="shared" si="55"/>
        <v>0</v>
      </c>
      <c r="AA221" s="51">
        <f t="shared" si="56"/>
        <v>302.5</v>
      </c>
      <c r="AC221" s="30" t="s">
        <v>60</v>
      </c>
      <c r="AD221" s="31" t="s">
        <v>13</v>
      </c>
      <c r="AE221" s="32" t="s">
        <v>62</v>
      </c>
      <c r="AF221" s="31" t="s">
        <v>75</v>
      </c>
      <c r="AG221" s="31"/>
      <c r="AH221" s="1" t="str">
        <f t="shared" si="71"/>
        <v/>
      </c>
      <c r="AI221" s="1">
        <f t="shared" si="71"/>
        <v>142.45014245014247</v>
      </c>
      <c r="AJ221" s="1">
        <f t="shared" si="71"/>
        <v>33.77331420373028</v>
      </c>
      <c r="AK221" s="1" t="str">
        <f t="shared" si="71"/>
        <v/>
      </c>
      <c r="AL221" s="1" t="str">
        <f t="shared" si="71"/>
        <v/>
      </c>
      <c r="AM221" s="1" t="str">
        <f t="shared" si="71"/>
        <v/>
      </c>
      <c r="AN221" s="52" t="str">
        <f t="shared" si="71"/>
        <v/>
      </c>
      <c r="AO221" s="1" t="str">
        <f t="shared" si="71"/>
        <v/>
      </c>
      <c r="AP221" s="1" t="str">
        <f t="shared" si="71"/>
        <v/>
      </c>
      <c r="AQ221" s="1" t="str">
        <f t="shared" si="71"/>
        <v/>
      </c>
      <c r="AR221" s="1" t="str">
        <f t="shared" si="71"/>
        <v/>
      </c>
      <c r="AS221" s="1" t="str">
        <f t="shared" si="71"/>
        <v/>
      </c>
      <c r="AT221" s="1" t="str">
        <f t="shared" si="71"/>
        <v/>
      </c>
      <c r="AU221" s="1" t="str">
        <f t="shared" si="71"/>
        <v/>
      </c>
      <c r="AV221" s="1" t="str">
        <f t="shared" si="71"/>
        <v/>
      </c>
      <c r="AW221" s="1" t="str">
        <f t="shared" si="67"/>
        <v/>
      </c>
      <c r="AX221" s="1" t="str">
        <f t="shared" si="67"/>
        <v/>
      </c>
      <c r="AY221" s="1" t="str">
        <f t="shared" si="67"/>
        <v/>
      </c>
      <c r="AZ221" s="1" t="str">
        <f t="shared" si="67"/>
        <v/>
      </c>
      <c r="BA221" s="1">
        <f t="shared" si="67"/>
        <v>0</v>
      </c>
      <c r="BB221" s="1" t="str">
        <f t="shared" si="67"/>
        <v/>
      </c>
      <c r="BC221" s="1">
        <f t="shared" si="67"/>
        <v>0</v>
      </c>
    </row>
    <row r="222" spans="1:55" x14ac:dyDescent="0.25">
      <c r="A222" s="30" t="s">
        <v>60</v>
      </c>
      <c r="B222" s="31" t="s">
        <v>13</v>
      </c>
      <c r="C222" s="32" t="s">
        <v>62</v>
      </c>
      <c r="D222" s="31" t="s">
        <v>76</v>
      </c>
      <c r="E222" s="31"/>
      <c r="F222" s="51">
        <f>F202</f>
        <v>36.299999999999997</v>
      </c>
      <c r="G222" s="51">
        <f>G202*0.5</f>
        <v>97.5</v>
      </c>
      <c r="H222" s="51">
        <f>H202*0.8</f>
        <v>820</v>
      </c>
      <c r="I222" s="51">
        <v>0</v>
      </c>
      <c r="J222" s="51">
        <v>0</v>
      </c>
      <c r="K222" s="51">
        <v>0</v>
      </c>
      <c r="L222" s="52">
        <v>0</v>
      </c>
      <c r="M222" s="51">
        <v>0</v>
      </c>
      <c r="N222" s="51">
        <v>0</v>
      </c>
      <c r="O222" s="51">
        <v>0</v>
      </c>
      <c r="P222" s="51">
        <f>P202</f>
        <v>0.35</v>
      </c>
      <c r="Q222" s="51">
        <v>0</v>
      </c>
      <c r="R222" s="51">
        <v>0</v>
      </c>
      <c r="S222" s="51">
        <v>0</v>
      </c>
      <c r="T222" s="51">
        <v>0</v>
      </c>
      <c r="U222" s="51">
        <v>0</v>
      </c>
      <c r="V222" s="51">
        <v>0</v>
      </c>
      <c r="W222" s="51">
        <v>0</v>
      </c>
      <c r="X222" s="55">
        <v>0</v>
      </c>
      <c r="Y222" s="59">
        <f t="shared" si="54"/>
        <v>953.8</v>
      </c>
      <c r="Z222" s="51">
        <f t="shared" si="55"/>
        <v>0.35</v>
      </c>
      <c r="AA222" s="51">
        <f t="shared" si="56"/>
        <v>954.15</v>
      </c>
      <c r="AC222" s="30" t="s">
        <v>60</v>
      </c>
      <c r="AD222" s="31" t="s">
        <v>13</v>
      </c>
      <c r="AE222" s="32" t="s">
        <v>62</v>
      </c>
      <c r="AF222" s="31" t="s">
        <v>76</v>
      </c>
      <c r="AG222" s="31"/>
      <c r="AH222" s="1">
        <f t="shared" si="71"/>
        <v>263.23844505662692</v>
      </c>
      <c r="AI222" s="1">
        <f t="shared" si="71"/>
        <v>142.45014245014247</v>
      </c>
      <c r="AJ222" s="1">
        <f t="shared" si="71"/>
        <v>33.77331420373028</v>
      </c>
      <c r="AK222" s="1" t="str">
        <f t="shared" si="71"/>
        <v/>
      </c>
      <c r="AL222" s="1" t="str">
        <f t="shared" si="71"/>
        <v/>
      </c>
      <c r="AM222" s="1" t="str">
        <f t="shared" si="71"/>
        <v/>
      </c>
      <c r="AN222" s="52" t="str">
        <f t="shared" si="71"/>
        <v/>
      </c>
      <c r="AO222" s="1" t="str">
        <f t="shared" si="71"/>
        <v/>
      </c>
      <c r="AP222" s="1" t="str">
        <f t="shared" si="71"/>
        <v/>
      </c>
      <c r="AQ222" s="1" t="str">
        <f t="shared" si="71"/>
        <v/>
      </c>
      <c r="AR222" s="1">
        <f t="shared" si="71"/>
        <v>301587.3015873016</v>
      </c>
      <c r="AS222" s="1" t="str">
        <f t="shared" si="71"/>
        <v/>
      </c>
      <c r="AT222" s="1" t="str">
        <f t="shared" si="71"/>
        <v/>
      </c>
      <c r="AU222" s="1" t="str">
        <f t="shared" si="71"/>
        <v/>
      </c>
      <c r="AV222" s="1" t="str">
        <f t="shared" si="71"/>
        <v/>
      </c>
      <c r="AW222" s="1" t="str">
        <f t="shared" si="67"/>
        <v/>
      </c>
      <c r="AX222" s="1" t="str">
        <f t="shared" si="67"/>
        <v/>
      </c>
      <c r="AY222" s="1" t="str">
        <f t="shared" si="67"/>
        <v/>
      </c>
      <c r="AZ222" s="1" t="str">
        <f t="shared" si="67"/>
        <v/>
      </c>
      <c r="BA222" s="1">
        <f t="shared" si="67"/>
        <v>0</v>
      </c>
      <c r="BB222" s="1">
        <f t="shared" si="67"/>
        <v>0</v>
      </c>
      <c r="BC222" s="1">
        <f t="shared" si="67"/>
        <v>0</v>
      </c>
    </row>
    <row r="223" spans="1:55" x14ac:dyDescent="0.25">
      <c r="A223" s="30" t="s">
        <v>60</v>
      </c>
      <c r="B223" s="31" t="s">
        <v>13</v>
      </c>
      <c r="C223" s="32" t="s">
        <v>62</v>
      </c>
      <c r="D223" s="31" t="s">
        <v>77</v>
      </c>
      <c r="E223" s="31"/>
      <c r="F223" s="51">
        <v>0</v>
      </c>
      <c r="G223" s="51">
        <v>0</v>
      </c>
      <c r="H223" s="51">
        <v>0</v>
      </c>
      <c r="I223" s="51">
        <v>0</v>
      </c>
      <c r="J223" s="51">
        <v>0</v>
      </c>
      <c r="K223" s="51">
        <v>0</v>
      </c>
      <c r="L223" s="52">
        <v>0</v>
      </c>
      <c r="M223" s="51">
        <v>0</v>
      </c>
      <c r="N223" s="51">
        <v>0</v>
      </c>
      <c r="O223" s="51">
        <v>0</v>
      </c>
      <c r="P223" s="51">
        <v>0</v>
      </c>
      <c r="Q223" s="51">
        <v>0</v>
      </c>
      <c r="R223" s="51">
        <v>0</v>
      </c>
      <c r="S223" s="51">
        <v>0</v>
      </c>
      <c r="T223" s="51">
        <v>0</v>
      </c>
      <c r="U223" s="51">
        <v>0</v>
      </c>
      <c r="V223" s="51">
        <v>0</v>
      </c>
      <c r="W223" s="51">
        <v>0</v>
      </c>
      <c r="X223" s="55">
        <v>0</v>
      </c>
      <c r="Y223" s="59">
        <f t="shared" si="54"/>
        <v>0</v>
      </c>
      <c r="Z223" s="51">
        <f t="shared" si="55"/>
        <v>0</v>
      </c>
      <c r="AA223" s="51">
        <f t="shared" si="56"/>
        <v>0</v>
      </c>
      <c r="AC223" s="30" t="s">
        <v>60</v>
      </c>
      <c r="AD223" s="31" t="s">
        <v>13</v>
      </c>
      <c r="AE223" s="32" t="s">
        <v>62</v>
      </c>
      <c r="AF223" s="31" t="s">
        <v>77</v>
      </c>
      <c r="AG223" s="31"/>
      <c r="AH223" s="1" t="str">
        <f t="shared" si="71"/>
        <v/>
      </c>
      <c r="AI223" s="1" t="str">
        <f t="shared" si="71"/>
        <v/>
      </c>
      <c r="AJ223" s="1" t="str">
        <f t="shared" si="71"/>
        <v/>
      </c>
      <c r="AK223" s="1" t="str">
        <f t="shared" si="71"/>
        <v/>
      </c>
      <c r="AL223" s="1" t="str">
        <f t="shared" si="71"/>
        <v/>
      </c>
      <c r="AM223" s="1" t="str">
        <f t="shared" si="71"/>
        <v/>
      </c>
      <c r="AN223" s="52" t="str">
        <f t="shared" si="71"/>
        <v/>
      </c>
      <c r="AO223" s="1" t="str">
        <f t="shared" si="71"/>
        <v/>
      </c>
      <c r="AP223" s="1" t="str">
        <f t="shared" si="71"/>
        <v/>
      </c>
      <c r="AQ223" s="1" t="str">
        <f t="shared" si="71"/>
        <v/>
      </c>
      <c r="AR223" s="1" t="str">
        <f t="shared" si="71"/>
        <v/>
      </c>
      <c r="AS223" s="1" t="str">
        <f t="shared" si="71"/>
        <v/>
      </c>
      <c r="AT223" s="1" t="str">
        <f t="shared" si="71"/>
        <v/>
      </c>
      <c r="AU223" s="1" t="str">
        <f t="shared" si="71"/>
        <v/>
      </c>
      <c r="AV223" s="1" t="str">
        <f t="shared" si="71"/>
        <v/>
      </c>
      <c r="AW223" s="1" t="str">
        <f t="shared" si="67"/>
        <v/>
      </c>
      <c r="AX223" s="1" t="str">
        <f t="shared" si="67"/>
        <v/>
      </c>
      <c r="AY223" s="1" t="str">
        <f t="shared" si="67"/>
        <v/>
      </c>
      <c r="AZ223" s="1" t="str">
        <f t="shared" si="67"/>
        <v/>
      </c>
      <c r="BA223" s="1" t="str">
        <f t="shared" si="67"/>
        <v/>
      </c>
      <c r="BB223" s="1" t="str">
        <f t="shared" si="67"/>
        <v/>
      </c>
      <c r="BC223" s="1" t="str">
        <f t="shared" si="67"/>
        <v/>
      </c>
    </row>
    <row r="224" spans="1:55" x14ac:dyDescent="0.25">
      <c r="A224" s="30" t="s">
        <v>60</v>
      </c>
      <c r="B224" s="31" t="s">
        <v>13</v>
      </c>
      <c r="C224" s="32" t="s">
        <v>62</v>
      </c>
      <c r="D224" s="31" t="s">
        <v>78</v>
      </c>
      <c r="E224" s="31"/>
      <c r="F224" s="51">
        <v>0</v>
      </c>
      <c r="G224" s="51">
        <v>0</v>
      </c>
      <c r="H224" s="51">
        <v>0</v>
      </c>
      <c r="I224" s="51">
        <v>0</v>
      </c>
      <c r="J224" s="51">
        <v>0</v>
      </c>
      <c r="K224" s="51">
        <v>0</v>
      </c>
      <c r="L224" s="52">
        <v>0</v>
      </c>
      <c r="M224" s="51">
        <v>0</v>
      </c>
      <c r="N224" s="51">
        <v>0</v>
      </c>
      <c r="O224" s="51">
        <v>0</v>
      </c>
      <c r="P224" s="51">
        <v>0</v>
      </c>
      <c r="Q224" s="51">
        <v>0</v>
      </c>
      <c r="R224" s="51">
        <v>0</v>
      </c>
      <c r="S224" s="51">
        <v>0</v>
      </c>
      <c r="T224" s="51">
        <v>0</v>
      </c>
      <c r="U224" s="51">
        <v>0</v>
      </c>
      <c r="V224" s="51">
        <v>0</v>
      </c>
      <c r="W224" s="51">
        <v>0</v>
      </c>
      <c r="X224" s="55">
        <v>0</v>
      </c>
      <c r="Y224" s="59">
        <f t="shared" si="54"/>
        <v>0</v>
      </c>
      <c r="Z224" s="51">
        <f t="shared" si="55"/>
        <v>0</v>
      </c>
      <c r="AA224" s="51">
        <f t="shared" si="56"/>
        <v>0</v>
      </c>
      <c r="AC224" s="30" t="s">
        <v>60</v>
      </c>
      <c r="AD224" s="31" t="s">
        <v>13</v>
      </c>
      <c r="AE224" s="32" t="s">
        <v>62</v>
      </c>
      <c r="AF224" s="31" t="s">
        <v>78</v>
      </c>
      <c r="AG224" s="31"/>
      <c r="AH224" s="1" t="str">
        <f t="shared" si="71"/>
        <v/>
      </c>
      <c r="AI224" s="1" t="str">
        <f t="shared" si="71"/>
        <v/>
      </c>
      <c r="AJ224" s="1" t="str">
        <f t="shared" si="71"/>
        <v/>
      </c>
      <c r="AK224" s="1" t="str">
        <f t="shared" si="71"/>
        <v/>
      </c>
      <c r="AL224" s="1" t="str">
        <f t="shared" si="71"/>
        <v/>
      </c>
      <c r="AM224" s="1" t="str">
        <f t="shared" si="71"/>
        <v/>
      </c>
      <c r="AN224" s="52" t="str">
        <f t="shared" si="71"/>
        <v/>
      </c>
      <c r="AO224" s="1" t="str">
        <f t="shared" si="71"/>
        <v/>
      </c>
      <c r="AP224" s="1" t="str">
        <f t="shared" si="71"/>
        <v/>
      </c>
      <c r="AQ224" s="1" t="str">
        <f t="shared" si="71"/>
        <v/>
      </c>
      <c r="AR224" s="1" t="str">
        <f t="shared" si="71"/>
        <v/>
      </c>
      <c r="AS224" s="1" t="str">
        <f t="shared" si="71"/>
        <v/>
      </c>
      <c r="AT224" s="1" t="str">
        <f t="shared" si="71"/>
        <v/>
      </c>
      <c r="AU224" s="1" t="str">
        <f t="shared" si="71"/>
        <v/>
      </c>
      <c r="AV224" s="1" t="str">
        <f t="shared" si="71"/>
        <v/>
      </c>
      <c r="AW224" s="1" t="str">
        <f t="shared" si="67"/>
        <v/>
      </c>
      <c r="AX224" s="1" t="str">
        <f t="shared" si="67"/>
        <v/>
      </c>
      <c r="AY224" s="1" t="str">
        <f t="shared" si="67"/>
        <v/>
      </c>
      <c r="AZ224" s="1" t="str">
        <f t="shared" si="67"/>
        <v/>
      </c>
      <c r="BA224" s="1" t="str">
        <f t="shared" si="67"/>
        <v/>
      </c>
      <c r="BB224" s="1" t="str">
        <f t="shared" si="67"/>
        <v/>
      </c>
      <c r="BC224" s="1" t="str">
        <f t="shared" si="67"/>
        <v/>
      </c>
    </row>
    <row r="225" spans="1:55" ht="15.75" thickBot="1" x14ac:dyDescent="0.3">
      <c r="A225" s="33" t="s">
        <v>60</v>
      </c>
      <c r="B225" s="34" t="s">
        <v>13</v>
      </c>
      <c r="C225" s="32" t="s">
        <v>62</v>
      </c>
      <c r="D225" s="34" t="s">
        <v>79</v>
      </c>
      <c r="E225" s="31"/>
      <c r="F225" s="51">
        <v>0</v>
      </c>
      <c r="G225" s="51">
        <v>0</v>
      </c>
      <c r="H225" s="51">
        <v>0</v>
      </c>
      <c r="I225" s="51">
        <v>0</v>
      </c>
      <c r="J225" s="51">
        <v>0</v>
      </c>
      <c r="K225" s="51">
        <v>0</v>
      </c>
      <c r="L225" s="52">
        <v>0</v>
      </c>
      <c r="M225" s="51">
        <v>0</v>
      </c>
      <c r="N225" s="51">
        <v>0</v>
      </c>
      <c r="O225" s="51">
        <v>0</v>
      </c>
      <c r="P225" s="51">
        <v>0</v>
      </c>
      <c r="Q225" s="51">
        <v>0</v>
      </c>
      <c r="R225" s="51">
        <v>0</v>
      </c>
      <c r="S225" s="51">
        <v>0</v>
      </c>
      <c r="T225" s="51">
        <v>0</v>
      </c>
      <c r="U225" s="51">
        <v>0</v>
      </c>
      <c r="V225" s="51">
        <v>0</v>
      </c>
      <c r="W225" s="51">
        <v>0</v>
      </c>
      <c r="X225" s="55">
        <v>0</v>
      </c>
      <c r="Y225" s="59">
        <f t="shared" si="54"/>
        <v>0</v>
      </c>
      <c r="Z225" s="51">
        <f t="shared" si="55"/>
        <v>0</v>
      </c>
      <c r="AA225" s="51">
        <f t="shared" si="56"/>
        <v>0</v>
      </c>
      <c r="AC225" s="33" t="s">
        <v>60</v>
      </c>
      <c r="AD225" s="34" t="s">
        <v>13</v>
      </c>
      <c r="AE225" s="32" t="s">
        <v>62</v>
      </c>
      <c r="AF225" s="34" t="s">
        <v>79</v>
      </c>
      <c r="AG225" s="31"/>
      <c r="AH225" s="1" t="str">
        <f t="shared" si="71"/>
        <v/>
      </c>
      <c r="AI225" s="1" t="str">
        <f t="shared" si="71"/>
        <v/>
      </c>
      <c r="AJ225" s="1" t="str">
        <f t="shared" si="71"/>
        <v/>
      </c>
      <c r="AK225" s="1" t="str">
        <f t="shared" si="71"/>
        <v/>
      </c>
      <c r="AL225" s="1" t="str">
        <f t="shared" si="71"/>
        <v/>
      </c>
      <c r="AM225" s="1" t="str">
        <f t="shared" si="71"/>
        <v/>
      </c>
      <c r="AN225" s="52" t="str">
        <f t="shared" si="71"/>
        <v/>
      </c>
      <c r="AO225" s="1" t="str">
        <f t="shared" si="71"/>
        <v/>
      </c>
      <c r="AP225" s="1" t="str">
        <f t="shared" si="71"/>
        <v/>
      </c>
      <c r="AQ225" s="1" t="str">
        <f t="shared" si="71"/>
        <v/>
      </c>
      <c r="AR225" s="1" t="str">
        <f t="shared" si="71"/>
        <v/>
      </c>
      <c r="AS225" s="1" t="str">
        <f t="shared" si="71"/>
        <v/>
      </c>
      <c r="AT225" s="1" t="str">
        <f t="shared" si="71"/>
        <v/>
      </c>
      <c r="AU225" s="1" t="str">
        <f t="shared" si="71"/>
        <v/>
      </c>
      <c r="AV225" s="1" t="str">
        <f t="shared" si="71"/>
        <v/>
      </c>
      <c r="AW225" s="1" t="str">
        <f t="shared" si="67"/>
        <v/>
      </c>
      <c r="AX225" s="1" t="str">
        <f t="shared" si="67"/>
        <v/>
      </c>
      <c r="AY225" s="1" t="str">
        <f t="shared" si="67"/>
        <v/>
      </c>
      <c r="AZ225" s="1" t="str">
        <f t="shared" si="67"/>
        <v/>
      </c>
      <c r="BA225" s="1" t="str">
        <f t="shared" si="67"/>
        <v/>
      </c>
      <c r="BB225" s="1" t="str">
        <f t="shared" si="67"/>
        <v/>
      </c>
      <c r="BC225" s="1" t="str">
        <f t="shared" si="67"/>
        <v/>
      </c>
    </row>
    <row r="227" spans="1:55" x14ac:dyDescent="0.25">
      <c r="D227" s="41" t="s">
        <v>33</v>
      </c>
      <c r="E227" s="41"/>
      <c r="M227" s="24" t="s">
        <v>81</v>
      </c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</row>
    <row r="228" spans="1:55" x14ac:dyDescent="0.25">
      <c r="F228" s="23" t="s">
        <v>44</v>
      </c>
      <c r="G228" s="23"/>
      <c r="H228" s="23"/>
      <c r="I228" s="23"/>
      <c r="J228" s="23"/>
      <c r="K228" s="23"/>
      <c r="L228" s="7" t="s">
        <v>30</v>
      </c>
      <c r="M228" s="24" t="s">
        <v>46</v>
      </c>
      <c r="N228" s="24"/>
      <c r="O228" s="24"/>
      <c r="P228" s="24"/>
      <c r="Q228" s="24"/>
      <c r="R228" s="24" t="s">
        <v>47</v>
      </c>
      <c r="S228" s="24"/>
      <c r="T228" s="24"/>
      <c r="U228" s="24"/>
      <c r="V228" s="24"/>
      <c r="W228" s="24"/>
      <c r="X228" s="24"/>
      <c r="Y228" s="44" t="s">
        <v>85</v>
      </c>
      <c r="Z228" s="44" t="s">
        <v>48</v>
      </c>
      <c r="AA228" s="44" t="s">
        <v>3</v>
      </c>
    </row>
    <row r="229" spans="1:55" ht="63" x14ac:dyDescent="0.25">
      <c r="F229" s="38" t="s">
        <v>36</v>
      </c>
      <c r="G229" s="38" t="s">
        <v>37</v>
      </c>
      <c r="H229" s="38" t="s">
        <v>38</v>
      </c>
      <c r="I229" s="38" t="s">
        <v>80</v>
      </c>
      <c r="J229" s="38" t="s">
        <v>39</v>
      </c>
      <c r="K229" s="38" t="s">
        <v>45</v>
      </c>
      <c r="L229" s="39" t="s">
        <v>16</v>
      </c>
      <c r="M229" s="40" t="s">
        <v>34</v>
      </c>
      <c r="N229" s="40" t="s">
        <v>5</v>
      </c>
      <c r="O229" s="40" t="s">
        <v>7</v>
      </c>
      <c r="P229" s="40" t="s">
        <v>8</v>
      </c>
      <c r="Q229" s="40" t="s">
        <v>40</v>
      </c>
      <c r="R229" s="40" t="s">
        <v>41</v>
      </c>
      <c r="S229" s="40" t="s">
        <v>42</v>
      </c>
      <c r="T229" s="40" t="s">
        <v>31</v>
      </c>
      <c r="U229" s="40" t="s">
        <v>43</v>
      </c>
      <c r="V229" s="40" t="s">
        <v>82</v>
      </c>
      <c r="W229" s="40" t="s">
        <v>87</v>
      </c>
      <c r="X229" s="40" t="s">
        <v>83</v>
      </c>
      <c r="Y229" s="45" t="s">
        <v>3</v>
      </c>
      <c r="Z229" s="45" t="s">
        <v>86</v>
      </c>
      <c r="AA229" s="45" t="s">
        <v>3</v>
      </c>
    </row>
    <row r="230" spans="1:55" x14ac:dyDescent="0.25">
      <c r="A230" s="15" t="s">
        <v>51</v>
      </c>
      <c r="B230" s="2"/>
      <c r="C230" s="2"/>
      <c r="F230" s="1">
        <f t="shared" ref="F230:X230" si="72">F232+F233+F234</f>
        <v>0</v>
      </c>
      <c r="G230" s="1">
        <f t="shared" si="72"/>
        <v>0</v>
      </c>
      <c r="H230" s="1">
        <f t="shared" si="72"/>
        <v>0</v>
      </c>
      <c r="I230" s="1">
        <f t="shared" si="72"/>
        <v>0</v>
      </c>
      <c r="J230" s="1">
        <f t="shared" si="72"/>
        <v>0</v>
      </c>
      <c r="K230" s="1">
        <f t="shared" si="72"/>
        <v>0</v>
      </c>
      <c r="L230" s="52">
        <f t="shared" si="72"/>
        <v>0</v>
      </c>
      <c r="M230" s="1">
        <f t="shared" si="72"/>
        <v>0</v>
      </c>
      <c r="N230" s="1">
        <f t="shared" si="72"/>
        <v>0</v>
      </c>
      <c r="O230" s="1">
        <f t="shared" si="72"/>
        <v>0</v>
      </c>
      <c r="P230" s="1">
        <f t="shared" si="72"/>
        <v>0</v>
      </c>
      <c r="Q230" s="1">
        <f t="shared" si="72"/>
        <v>0</v>
      </c>
      <c r="R230" s="1">
        <f t="shared" si="72"/>
        <v>0</v>
      </c>
      <c r="S230" s="1">
        <f t="shared" si="72"/>
        <v>0</v>
      </c>
      <c r="T230" s="1">
        <f t="shared" si="72"/>
        <v>0</v>
      </c>
      <c r="U230" s="1">
        <f t="shared" si="72"/>
        <v>0</v>
      </c>
      <c r="V230" s="1">
        <f t="shared" si="72"/>
        <v>0</v>
      </c>
      <c r="W230" s="1">
        <f t="shared" si="72"/>
        <v>0</v>
      </c>
      <c r="X230" s="1">
        <f t="shared" si="72"/>
        <v>0</v>
      </c>
      <c r="Y230" s="58">
        <f t="shared" ref="Y230:Y238" si="73">SUM(F230:K230)</f>
        <v>0</v>
      </c>
      <c r="Z230" s="1">
        <f t="shared" ref="Z230:Z238" si="74">SUM(M230:X230)</f>
        <v>0</v>
      </c>
      <c r="AA230" s="1">
        <f t="shared" ref="AA230:AA238" si="75">L230+Y230+Z230</f>
        <v>0</v>
      </c>
    </row>
    <row r="231" spans="1:55" x14ac:dyDescent="0.25">
      <c r="A231" s="30" t="s">
        <v>60</v>
      </c>
      <c r="B231" s="2"/>
      <c r="C231" s="2"/>
      <c r="F231" s="1">
        <f>F235+F236+F237+F238</f>
        <v>47.777777777777779</v>
      </c>
      <c r="G231" s="1">
        <f t="shared" ref="G231:X231" si="76">G235+G236+G237+G238</f>
        <v>27.777777777777779</v>
      </c>
      <c r="H231" s="1">
        <f t="shared" si="76"/>
        <v>62.941176470588246</v>
      </c>
      <c r="I231" s="1">
        <f t="shared" si="76"/>
        <v>17.294117647058822</v>
      </c>
      <c r="J231" s="1">
        <f t="shared" si="76"/>
        <v>163.32239819004525</v>
      </c>
      <c r="K231" s="1">
        <f t="shared" si="76"/>
        <v>40.220168067226894</v>
      </c>
      <c r="L231" s="52">
        <f t="shared" si="76"/>
        <v>6562.5</v>
      </c>
      <c r="M231" s="1">
        <f t="shared" si="76"/>
        <v>378.30842538444875</v>
      </c>
      <c r="N231" s="1">
        <f t="shared" si="76"/>
        <v>26.298076923076923</v>
      </c>
      <c r="O231" s="1">
        <f t="shared" si="76"/>
        <v>16.666666666666668</v>
      </c>
      <c r="P231" s="1">
        <f t="shared" si="76"/>
        <v>188.88888888888889</v>
      </c>
      <c r="Q231" s="1">
        <f t="shared" si="76"/>
        <v>971.19047619047603</v>
      </c>
      <c r="R231" s="1">
        <f t="shared" si="76"/>
        <v>450.81018518518522</v>
      </c>
      <c r="S231" s="1">
        <f t="shared" si="76"/>
        <v>5.4444444444444446</v>
      </c>
      <c r="T231" s="1">
        <f t="shared" si="76"/>
        <v>488.94179894179899</v>
      </c>
      <c r="U231" s="1">
        <f t="shared" si="76"/>
        <v>135.6571669071669</v>
      </c>
      <c r="V231" s="1">
        <f t="shared" si="76"/>
        <v>121.54761904761905</v>
      </c>
      <c r="W231" s="1">
        <f t="shared" si="76"/>
        <v>208.8624338624339</v>
      </c>
      <c r="X231" s="54">
        <f t="shared" si="76"/>
        <v>245.27777777777777</v>
      </c>
      <c r="Y231" s="58">
        <f t="shared" si="73"/>
        <v>359.33341593047476</v>
      </c>
      <c r="Z231" s="1">
        <f t="shared" si="74"/>
        <v>3237.8939602199839</v>
      </c>
      <c r="AA231" s="1">
        <f t="shared" si="75"/>
        <v>10159.727376150458</v>
      </c>
    </row>
    <row r="232" spans="1:55" x14ac:dyDescent="0.25">
      <c r="A232" s="15" t="s">
        <v>51</v>
      </c>
      <c r="B232" s="16" t="s">
        <v>52</v>
      </c>
      <c r="C232" s="2"/>
      <c r="F232" s="1">
        <f>F239+F240+F241</f>
        <v>0</v>
      </c>
      <c r="G232" s="1">
        <f t="shared" ref="G232:X232" si="77">G239+G240+G241</f>
        <v>0</v>
      </c>
      <c r="H232" s="1">
        <f t="shared" si="77"/>
        <v>0</v>
      </c>
      <c r="I232" s="1">
        <f t="shared" si="77"/>
        <v>0</v>
      </c>
      <c r="J232" s="1">
        <f t="shared" si="77"/>
        <v>0</v>
      </c>
      <c r="K232" s="1">
        <f t="shared" si="77"/>
        <v>0</v>
      </c>
      <c r="L232" s="52">
        <f t="shared" si="77"/>
        <v>0</v>
      </c>
      <c r="M232" s="1">
        <f t="shared" si="77"/>
        <v>0</v>
      </c>
      <c r="N232" s="1">
        <f t="shared" si="77"/>
        <v>0</v>
      </c>
      <c r="O232" s="1">
        <f t="shared" si="77"/>
        <v>0</v>
      </c>
      <c r="P232" s="1">
        <f t="shared" si="77"/>
        <v>0</v>
      </c>
      <c r="Q232" s="1">
        <f t="shared" si="77"/>
        <v>0</v>
      </c>
      <c r="R232" s="1">
        <f t="shared" si="77"/>
        <v>0</v>
      </c>
      <c r="S232" s="1">
        <f t="shared" si="77"/>
        <v>0</v>
      </c>
      <c r="T232" s="1">
        <f t="shared" si="77"/>
        <v>0</v>
      </c>
      <c r="U232" s="1">
        <f t="shared" si="77"/>
        <v>0</v>
      </c>
      <c r="V232" s="1">
        <f t="shared" si="77"/>
        <v>0</v>
      </c>
      <c r="W232" s="1">
        <f t="shared" si="77"/>
        <v>0</v>
      </c>
      <c r="X232" s="54">
        <f t="shared" si="77"/>
        <v>0</v>
      </c>
      <c r="Y232" s="58">
        <f t="shared" si="73"/>
        <v>0</v>
      </c>
      <c r="Z232" s="1">
        <f t="shared" si="74"/>
        <v>0</v>
      </c>
      <c r="AA232" s="1">
        <f t="shared" si="75"/>
        <v>0</v>
      </c>
    </row>
    <row r="233" spans="1:55" x14ac:dyDescent="0.25">
      <c r="A233" s="15" t="s">
        <v>51</v>
      </c>
      <c r="B233" s="16" t="s">
        <v>56</v>
      </c>
      <c r="C233" s="2"/>
      <c r="F233" s="1">
        <f>F242+F243+F244</f>
        <v>0</v>
      </c>
      <c r="G233" s="1">
        <f t="shared" ref="G233:X233" si="78">G242+G243+G244</f>
        <v>0</v>
      </c>
      <c r="H233" s="1">
        <f t="shared" si="78"/>
        <v>0</v>
      </c>
      <c r="I233" s="1">
        <f t="shared" si="78"/>
        <v>0</v>
      </c>
      <c r="J233" s="1">
        <f t="shared" si="78"/>
        <v>0</v>
      </c>
      <c r="K233" s="1">
        <f t="shared" si="78"/>
        <v>0</v>
      </c>
      <c r="L233" s="52">
        <f t="shared" si="78"/>
        <v>0</v>
      </c>
      <c r="M233" s="1">
        <f t="shared" si="78"/>
        <v>0</v>
      </c>
      <c r="N233" s="1">
        <f t="shared" si="78"/>
        <v>0</v>
      </c>
      <c r="O233" s="1">
        <f t="shared" si="78"/>
        <v>0</v>
      </c>
      <c r="P233" s="1">
        <f t="shared" si="78"/>
        <v>0</v>
      </c>
      <c r="Q233" s="1">
        <f t="shared" si="78"/>
        <v>0</v>
      </c>
      <c r="R233" s="1">
        <f t="shared" si="78"/>
        <v>0</v>
      </c>
      <c r="S233" s="1">
        <f t="shared" si="78"/>
        <v>0</v>
      </c>
      <c r="T233" s="1">
        <f t="shared" si="78"/>
        <v>0</v>
      </c>
      <c r="U233" s="1">
        <f t="shared" si="78"/>
        <v>0</v>
      </c>
      <c r="V233" s="1">
        <f t="shared" si="78"/>
        <v>0</v>
      </c>
      <c r="W233" s="1">
        <f t="shared" si="78"/>
        <v>0</v>
      </c>
      <c r="X233" s="54">
        <f t="shared" si="78"/>
        <v>0</v>
      </c>
      <c r="Y233" s="58">
        <f t="shared" si="73"/>
        <v>0</v>
      </c>
      <c r="Z233" s="1">
        <f t="shared" si="74"/>
        <v>0</v>
      </c>
      <c r="AA233" s="1">
        <f t="shared" si="75"/>
        <v>0</v>
      </c>
    </row>
    <row r="234" spans="1:55" x14ac:dyDescent="0.25">
      <c r="A234" s="15" t="s">
        <v>51</v>
      </c>
      <c r="B234" s="16" t="s">
        <v>9</v>
      </c>
      <c r="C234" s="2"/>
      <c r="F234" s="1">
        <f>F245</f>
        <v>0</v>
      </c>
      <c r="G234" s="1">
        <f t="shared" ref="G234:X234" si="79">G245</f>
        <v>0</v>
      </c>
      <c r="H234" s="1">
        <f t="shared" si="79"/>
        <v>0</v>
      </c>
      <c r="I234" s="1">
        <f t="shared" si="79"/>
        <v>0</v>
      </c>
      <c r="J234" s="1">
        <f t="shared" si="79"/>
        <v>0</v>
      </c>
      <c r="K234" s="1">
        <f t="shared" si="79"/>
        <v>0</v>
      </c>
      <c r="L234" s="52">
        <f t="shared" si="79"/>
        <v>0</v>
      </c>
      <c r="M234" s="1">
        <f t="shared" si="79"/>
        <v>0</v>
      </c>
      <c r="N234" s="1">
        <f t="shared" si="79"/>
        <v>0</v>
      </c>
      <c r="O234" s="1">
        <f t="shared" si="79"/>
        <v>0</v>
      </c>
      <c r="P234" s="1">
        <f t="shared" si="79"/>
        <v>0</v>
      </c>
      <c r="Q234" s="1">
        <f t="shared" si="79"/>
        <v>0</v>
      </c>
      <c r="R234" s="1">
        <f t="shared" si="79"/>
        <v>0</v>
      </c>
      <c r="S234" s="1">
        <f t="shared" si="79"/>
        <v>0</v>
      </c>
      <c r="T234" s="1">
        <f t="shared" si="79"/>
        <v>0</v>
      </c>
      <c r="U234" s="1">
        <f t="shared" si="79"/>
        <v>0</v>
      </c>
      <c r="V234" s="1">
        <f t="shared" si="79"/>
        <v>0</v>
      </c>
      <c r="W234" s="1">
        <f t="shared" si="79"/>
        <v>0</v>
      </c>
      <c r="X234" s="54">
        <f t="shared" si="79"/>
        <v>0</v>
      </c>
      <c r="Y234" s="58">
        <f t="shared" si="73"/>
        <v>0</v>
      </c>
      <c r="Z234" s="1">
        <f t="shared" si="74"/>
        <v>0</v>
      </c>
      <c r="AA234" s="1">
        <f t="shared" si="75"/>
        <v>0</v>
      </c>
    </row>
    <row r="235" spans="1:55" x14ac:dyDescent="0.25">
      <c r="A235" s="30" t="s">
        <v>60</v>
      </c>
      <c r="B235" s="32" t="s">
        <v>13</v>
      </c>
      <c r="C235" s="2"/>
      <c r="F235" s="51">
        <f>F246+F247+F248</f>
        <v>47.777777777777779</v>
      </c>
      <c r="G235" s="51">
        <f t="shared" ref="G235:X235" si="80">G246+G247+G248</f>
        <v>27.777777777777779</v>
      </c>
      <c r="H235" s="51">
        <f t="shared" si="80"/>
        <v>62.941176470588246</v>
      </c>
      <c r="I235" s="51">
        <f t="shared" si="80"/>
        <v>17.294117647058822</v>
      </c>
      <c r="J235" s="51">
        <f t="shared" si="80"/>
        <v>11.764705882352942</v>
      </c>
      <c r="K235" s="51">
        <f t="shared" si="80"/>
        <v>4.7058823529411766</v>
      </c>
      <c r="L235" s="52">
        <f t="shared" si="80"/>
        <v>0</v>
      </c>
      <c r="M235" s="51">
        <f t="shared" si="80"/>
        <v>23.045267489711932</v>
      </c>
      <c r="N235" s="51">
        <f t="shared" si="80"/>
        <v>9.375</v>
      </c>
      <c r="O235" s="51">
        <f t="shared" si="80"/>
        <v>16.666666666666668</v>
      </c>
      <c r="P235" s="51">
        <f t="shared" si="80"/>
        <v>188.88888888888889</v>
      </c>
      <c r="Q235" s="51">
        <f t="shared" si="80"/>
        <v>6.1111111111111107</v>
      </c>
      <c r="R235" s="51">
        <f t="shared" si="80"/>
        <v>6.3657407407407414</v>
      </c>
      <c r="S235" s="51">
        <f t="shared" si="80"/>
        <v>0</v>
      </c>
      <c r="T235" s="51">
        <f t="shared" si="80"/>
        <v>3.7037037037037042</v>
      </c>
      <c r="U235" s="51">
        <f t="shared" si="80"/>
        <v>5.7870370370370372</v>
      </c>
      <c r="V235" s="51">
        <f t="shared" si="80"/>
        <v>0.27777777777777779</v>
      </c>
      <c r="W235" s="51">
        <f t="shared" si="80"/>
        <v>6.4814814814814818</v>
      </c>
      <c r="X235" s="55">
        <f t="shared" si="80"/>
        <v>27.777777777777779</v>
      </c>
      <c r="Y235" s="59">
        <f t="shared" si="73"/>
        <v>172.26143790849673</v>
      </c>
      <c r="Z235" s="51">
        <f t="shared" si="74"/>
        <v>294.48045267489704</v>
      </c>
      <c r="AA235" s="51">
        <f t="shared" si="75"/>
        <v>466.7418905833938</v>
      </c>
    </row>
    <row r="236" spans="1:55" x14ac:dyDescent="0.25">
      <c r="A236" s="30" t="s">
        <v>60</v>
      </c>
      <c r="B236" s="31" t="s">
        <v>23</v>
      </c>
      <c r="C236" s="2"/>
      <c r="F236" s="51">
        <f>F249+F250+F251</f>
        <v>0</v>
      </c>
      <c r="G236" s="51">
        <f t="shared" ref="G236:X236" si="81">G249+G250+G251</f>
        <v>0</v>
      </c>
      <c r="H236" s="51">
        <f t="shared" si="81"/>
        <v>0</v>
      </c>
      <c r="I236" s="51">
        <f t="shared" si="81"/>
        <v>0</v>
      </c>
      <c r="J236" s="51">
        <f t="shared" si="81"/>
        <v>36.974358974358971</v>
      </c>
      <c r="K236" s="51">
        <f t="shared" si="81"/>
        <v>35.51428571428572</v>
      </c>
      <c r="L236" s="52">
        <f t="shared" si="81"/>
        <v>0</v>
      </c>
      <c r="M236" s="51">
        <f t="shared" si="81"/>
        <v>0</v>
      </c>
      <c r="N236" s="51">
        <f t="shared" si="81"/>
        <v>16.923076923076923</v>
      </c>
      <c r="O236" s="51">
        <f t="shared" si="81"/>
        <v>0</v>
      </c>
      <c r="P236" s="51">
        <f t="shared" si="81"/>
        <v>0</v>
      </c>
      <c r="Q236" s="51">
        <f t="shared" si="81"/>
        <v>0</v>
      </c>
      <c r="R236" s="51">
        <f t="shared" si="81"/>
        <v>0</v>
      </c>
      <c r="S236" s="51">
        <f t="shared" si="81"/>
        <v>5.4444444444444446</v>
      </c>
      <c r="T236" s="51">
        <f t="shared" si="81"/>
        <v>18.571428571428573</v>
      </c>
      <c r="U236" s="51">
        <f t="shared" si="81"/>
        <v>0</v>
      </c>
      <c r="V236" s="51">
        <f t="shared" si="81"/>
        <v>2.2222222222222223</v>
      </c>
      <c r="W236" s="51">
        <f t="shared" si="81"/>
        <v>0</v>
      </c>
      <c r="X236" s="55">
        <f t="shared" si="81"/>
        <v>2.2222222222222223</v>
      </c>
      <c r="Y236" s="59">
        <f t="shared" si="73"/>
        <v>72.488644688644683</v>
      </c>
      <c r="Z236" s="51">
        <f t="shared" si="74"/>
        <v>45.383394383394389</v>
      </c>
      <c r="AA236" s="51">
        <f t="shared" si="75"/>
        <v>117.87203907203907</v>
      </c>
    </row>
    <row r="237" spans="1:55" x14ac:dyDescent="0.25">
      <c r="A237" s="30" t="s">
        <v>60</v>
      </c>
      <c r="B237" s="31" t="s">
        <v>65</v>
      </c>
      <c r="C237" s="46"/>
      <c r="F237" s="51">
        <f>F252+F253+F254</f>
        <v>0</v>
      </c>
      <c r="G237" s="51">
        <f t="shared" ref="G237:X237" si="82">G252+G253+G254</f>
        <v>0</v>
      </c>
      <c r="H237" s="51">
        <f t="shared" si="82"/>
        <v>0</v>
      </c>
      <c r="I237" s="51">
        <f t="shared" si="82"/>
        <v>0</v>
      </c>
      <c r="J237" s="51">
        <f t="shared" si="82"/>
        <v>114.58333333333334</v>
      </c>
      <c r="K237" s="51">
        <f t="shared" si="82"/>
        <v>0</v>
      </c>
      <c r="L237" s="52">
        <f t="shared" si="82"/>
        <v>6562.5</v>
      </c>
      <c r="M237" s="51">
        <f t="shared" si="82"/>
        <v>355.26315789473682</v>
      </c>
      <c r="N237" s="51">
        <f t="shared" si="82"/>
        <v>0</v>
      </c>
      <c r="O237" s="51">
        <f t="shared" si="82"/>
        <v>0</v>
      </c>
      <c r="P237" s="51">
        <f t="shared" si="82"/>
        <v>0</v>
      </c>
      <c r="Q237" s="51">
        <f t="shared" si="82"/>
        <v>965.07936507936495</v>
      </c>
      <c r="R237" s="51">
        <f t="shared" si="82"/>
        <v>444.44444444444446</v>
      </c>
      <c r="S237" s="51">
        <f t="shared" si="82"/>
        <v>0</v>
      </c>
      <c r="T237" s="51">
        <f t="shared" si="82"/>
        <v>466.66666666666669</v>
      </c>
      <c r="U237" s="51">
        <f t="shared" si="82"/>
        <v>129.87012987012986</v>
      </c>
      <c r="V237" s="51">
        <f t="shared" si="82"/>
        <v>119.04761904761905</v>
      </c>
      <c r="W237" s="51">
        <f t="shared" si="82"/>
        <v>202.38095238095241</v>
      </c>
      <c r="X237" s="55">
        <f t="shared" si="82"/>
        <v>190.47619047619048</v>
      </c>
      <c r="Y237" s="59">
        <f t="shared" si="73"/>
        <v>114.58333333333334</v>
      </c>
      <c r="Z237" s="51">
        <f t="shared" si="74"/>
        <v>2873.2285258601046</v>
      </c>
      <c r="AA237" s="51">
        <f t="shared" si="75"/>
        <v>9550.3118591934381</v>
      </c>
    </row>
    <row r="238" spans="1:55" ht="15.75" thickBot="1" x14ac:dyDescent="0.3">
      <c r="A238" s="48" t="s">
        <v>60</v>
      </c>
      <c r="B238" s="49" t="s">
        <v>9</v>
      </c>
      <c r="C238" s="50"/>
      <c r="D238" s="50"/>
      <c r="E238" s="50"/>
      <c r="F238" s="53">
        <f>F255</f>
        <v>0</v>
      </c>
      <c r="G238" s="53">
        <f t="shared" ref="G238:X238" si="83">G255</f>
        <v>0</v>
      </c>
      <c r="H238" s="53">
        <f t="shared" si="83"/>
        <v>0</v>
      </c>
      <c r="I238" s="53">
        <f t="shared" si="83"/>
        <v>0</v>
      </c>
      <c r="J238" s="53">
        <f t="shared" si="83"/>
        <v>0</v>
      </c>
      <c r="K238" s="53">
        <f t="shared" si="83"/>
        <v>0</v>
      </c>
      <c r="L238" s="62">
        <f t="shared" si="83"/>
        <v>0</v>
      </c>
      <c r="M238" s="53">
        <f t="shared" si="83"/>
        <v>0</v>
      </c>
      <c r="N238" s="53">
        <f t="shared" si="83"/>
        <v>0</v>
      </c>
      <c r="O238" s="53">
        <f t="shared" si="83"/>
        <v>0</v>
      </c>
      <c r="P238" s="53">
        <f t="shared" si="83"/>
        <v>0</v>
      </c>
      <c r="Q238" s="53">
        <f t="shared" si="83"/>
        <v>0</v>
      </c>
      <c r="R238" s="53">
        <f t="shared" si="83"/>
        <v>0</v>
      </c>
      <c r="S238" s="53">
        <f t="shared" si="83"/>
        <v>0</v>
      </c>
      <c r="T238" s="53">
        <f t="shared" si="83"/>
        <v>0</v>
      </c>
      <c r="U238" s="53">
        <f t="shared" si="83"/>
        <v>0</v>
      </c>
      <c r="V238" s="53">
        <f t="shared" si="83"/>
        <v>0</v>
      </c>
      <c r="W238" s="53">
        <f t="shared" si="83"/>
        <v>0</v>
      </c>
      <c r="X238" s="56">
        <f t="shared" si="83"/>
        <v>24.801587301587301</v>
      </c>
      <c r="Y238" s="60">
        <f t="shared" si="73"/>
        <v>0</v>
      </c>
      <c r="Z238" s="53">
        <f t="shared" si="74"/>
        <v>24.801587301587301</v>
      </c>
      <c r="AA238" s="53">
        <f t="shared" si="75"/>
        <v>24.801587301587301</v>
      </c>
    </row>
    <row r="239" spans="1:55" ht="15.75" thickTop="1" x14ac:dyDescent="0.25">
      <c r="A239" s="15" t="s">
        <v>51</v>
      </c>
      <c r="B239" s="16" t="s">
        <v>52</v>
      </c>
      <c r="C239" s="16" t="s">
        <v>53</v>
      </c>
      <c r="D239" s="2"/>
      <c r="E239" s="2"/>
      <c r="F239" s="47">
        <f t="shared" ref="F239:AA250" si="84">IF(F284&gt;0,F14/F284,0)</f>
        <v>0</v>
      </c>
      <c r="G239" s="47">
        <f t="shared" si="84"/>
        <v>0</v>
      </c>
      <c r="H239" s="47">
        <f t="shared" si="84"/>
        <v>0</v>
      </c>
      <c r="I239" s="47">
        <f t="shared" si="84"/>
        <v>0</v>
      </c>
      <c r="J239" s="47">
        <f t="shared" si="84"/>
        <v>0</v>
      </c>
      <c r="K239" s="47">
        <f t="shared" si="84"/>
        <v>0</v>
      </c>
      <c r="L239" s="63">
        <f t="shared" si="84"/>
        <v>0</v>
      </c>
      <c r="M239" s="47">
        <f t="shared" si="84"/>
        <v>0</v>
      </c>
      <c r="N239" s="47">
        <f t="shared" si="84"/>
        <v>0</v>
      </c>
      <c r="O239" s="47">
        <f t="shared" si="84"/>
        <v>0</v>
      </c>
      <c r="P239" s="47">
        <f t="shared" si="84"/>
        <v>0</v>
      </c>
      <c r="Q239" s="47">
        <f t="shared" si="84"/>
        <v>0</v>
      </c>
      <c r="R239" s="47">
        <f t="shared" si="84"/>
        <v>0</v>
      </c>
      <c r="S239" s="47">
        <f t="shared" si="84"/>
        <v>0</v>
      </c>
      <c r="T239" s="47">
        <f t="shared" si="84"/>
        <v>0</v>
      </c>
      <c r="U239" s="47">
        <f t="shared" si="84"/>
        <v>0</v>
      </c>
      <c r="V239" s="47">
        <f t="shared" si="84"/>
        <v>0</v>
      </c>
      <c r="W239" s="47">
        <f t="shared" si="84"/>
        <v>0</v>
      </c>
      <c r="X239" s="57">
        <f t="shared" si="84"/>
        <v>0</v>
      </c>
      <c r="Y239" s="61">
        <f t="shared" si="84"/>
        <v>0</v>
      </c>
      <c r="Z239" s="47">
        <f t="shared" si="84"/>
        <v>0</v>
      </c>
      <c r="AA239" s="47">
        <f t="shared" si="84"/>
        <v>0</v>
      </c>
    </row>
    <row r="240" spans="1:55" x14ac:dyDescent="0.25">
      <c r="A240" s="15" t="s">
        <v>51</v>
      </c>
      <c r="B240" s="16" t="s">
        <v>52</v>
      </c>
      <c r="C240" s="16" t="s">
        <v>54</v>
      </c>
      <c r="D240" s="2"/>
      <c r="E240" s="2"/>
      <c r="F240" s="1">
        <f t="shared" si="84"/>
        <v>0</v>
      </c>
      <c r="G240" s="1">
        <f t="shared" si="84"/>
        <v>0</v>
      </c>
      <c r="H240" s="1">
        <f t="shared" si="84"/>
        <v>0</v>
      </c>
      <c r="I240" s="1">
        <f t="shared" si="84"/>
        <v>0</v>
      </c>
      <c r="J240" s="1">
        <f t="shared" si="84"/>
        <v>0</v>
      </c>
      <c r="K240" s="1">
        <f t="shared" si="84"/>
        <v>0</v>
      </c>
      <c r="L240" s="52">
        <f t="shared" si="84"/>
        <v>0</v>
      </c>
      <c r="M240" s="1">
        <f t="shared" si="84"/>
        <v>0</v>
      </c>
      <c r="N240" s="1">
        <f t="shared" si="84"/>
        <v>0</v>
      </c>
      <c r="O240" s="1">
        <f t="shared" si="84"/>
        <v>0</v>
      </c>
      <c r="P240" s="1">
        <f t="shared" si="84"/>
        <v>0</v>
      </c>
      <c r="Q240" s="1">
        <f t="shared" si="84"/>
        <v>0</v>
      </c>
      <c r="R240" s="1">
        <f t="shared" si="84"/>
        <v>0</v>
      </c>
      <c r="S240" s="1">
        <f t="shared" si="84"/>
        <v>0</v>
      </c>
      <c r="T240" s="1">
        <f t="shared" si="84"/>
        <v>0</v>
      </c>
      <c r="U240" s="1">
        <f t="shared" si="84"/>
        <v>0</v>
      </c>
      <c r="V240" s="1">
        <f t="shared" si="84"/>
        <v>0</v>
      </c>
      <c r="W240" s="1">
        <f t="shared" si="84"/>
        <v>0</v>
      </c>
      <c r="X240" s="54">
        <f t="shared" si="84"/>
        <v>0</v>
      </c>
      <c r="Y240" s="58">
        <f t="shared" si="84"/>
        <v>0</v>
      </c>
      <c r="Z240" s="1">
        <f t="shared" si="84"/>
        <v>0</v>
      </c>
      <c r="AA240" s="1">
        <f t="shared" si="84"/>
        <v>0</v>
      </c>
    </row>
    <row r="241" spans="1:29" x14ac:dyDescent="0.25">
      <c r="A241" s="15" t="s">
        <v>51</v>
      </c>
      <c r="B241" s="16" t="s">
        <v>52</v>
      </c>
      <c r="C241" s="16" t="s">
        <v>55</v>
      </c>
      <c r="D241" s="2"/>
      <c r="E241" s="2"/>
      <c r="F241" s="1">
        <f t="shared" si="84"/>
        <v>0</v>
      </c>
      <c r="G241" s="1">
        <f t="shared" si="84"/>
        <v>0</v>
      </c>
      <c r="H241" s="1">
        <f t="shared" si="84"/>
        <v>0</v>
      </c>
      <c r="I241" s="1">
        <f t="shared" si="84"/>
        <v>0</v>
      </c>
      <c r="J241" s="1">
        <f t="shared" si="84"/>
        <v>0</v>
      </c>
      <c r="K241" s="1">
        <f t="shared" si="84"/>
        <v>0</v>
      </c>
      <c r="L241" s="52">
        <f t="shared" si="84"/>
        <v>0</v>
      </c>
      <c r="M241" s="1">
        <f t="shared" si="84"/>
        <v>0</v>
      </c>
      <c r="N241" s="1">
        <f t="shared" si="84"/>
        <v>0</v>
      </c>
      <c r="O241" s="1">
        <f t="shared" si="84"/>
        <v>0</v>
      </c>
      <c r="P241" s="1">
        <f t="shared" si="84"/>
        <v>0</v>
      </c>
      <c r="Q241" s="1">
        <f t="shared" si="84"/>
        <v>0</v>
      </c>
      <c r="R241" s="1">
        <f t="shared" si="84"/>
        <v>0</v>
      </c>
      <c r="S241" s="1">
        <f t="shared" si="84"/>
        <v>0</v>
      </c>
      <c r="T241" s="1">
        <f t="shared" si="84"/>
        <v>0</v>
      </c>
      <c r="U241" s="1">
        <f t="shared" si="84"/>
        <v>0</v>
      </c>
      <c r="V241" s="1">
        <f t="shared" si="84"/>
        <v>0</v>
      </c>
      <c r="W241" s="1">
        <f t="shared" si="84"/>
        <v>0</v>
      </c>
      <c r="X241" s="54">
        <f t="shared" si="84"/>
        <v>0</v>
      </c>
      <c r="Y241" s="58">
        <f t="shared" si="84"/>
        <v>0</v>
      </c>
      <c r="Z241" s="1">
        <f t="shared" si="84"/>
        <v>0</v>
      </c>
      <c r="AA241" s="1">
        <f t="shared" si="84"/>
        <v>0</v>
      </c>
    </row>
    <row r="242" spans="1:29" x14ac:dyDescent="0.25">
      <c r="A242" s="25" t="s">
        <v>51</v>
      </c>
      <c r="B242" s="26" t="s">
        <v>56</v>
      </c>
      <c r="C242" s="26" t="s">
        <v>57</v>
      </c>
      <c r="D242" s="2"/>
      <c r="E242" s="2"/>
      <c r="F242" s="1">
        <f t="shared" si="84"/>
        <v>0</v>
      </c>
      <c r="G242" s="1">
        <f t="shared" si="84"/>
        <v>0</v>
      </c>
      <c r="H242" s="1">
        <f t="shared" si="84"/>
        <v>0</v>
      </c>
      <c r="I242" s="1">
        <f t="shared" si="84"/>
        <v>0</v>
      </c>
      <c r="J242" s="1">
        <f t="shared" si="84"/>
        <v>0</v>
      </c>
      <c r="K242" s="1">
        <f t="shared" si="84"/>
        <v>0</v>
      </c>
      <c r="L242" s="52">
        <f t="shared" si="84"/>
        <v>0</v>
      </c>
      <c r="M242" s="1">
        <f t="shared" si="84"/>
        <v>0</v>
      </c>
      <c r="N242" s="1">
        <f t="shared" si="84"/>
        <v>0</v>
      </c>
      <c r="O242" s="1">
        <f t="shared" si="84"/>
        <v>0</v>
      </c>
      <c r="P242" s="1">
        <f t="shared" si="84"/>
        <v>0</v>
      </c>
      <c r="Q242" s="1">
        <f t="shared" si="84"/>
        <v>0</v>
      </c>
      <c r="R242" s="1">
        <f t="shared" si="84"/>
        <v>0</v>
      </c>
      <c r="S242" s="1">
        <f t="shared" si="84"/>
        <v>0</v>
      </c>
      <c r="T242" s="1">
        <f t="shared" si="84"/>
        <v>0</v>
      </c>
      <c r="U242" s="1">
        <f t="shared" si="84"/>
        <v>0</v>
      </c>
      <c r="V242" s="1">
        <f t="shared" si="84"/>
        <v>0</v>
      </c>
      <c r="W242" s="1">
        <f t="shared" si="84"/>
        <v>0</v>
      </c>
      <c r="X242" s="54">
        <f t="shared" si="84"/>
        <v>0</v>
      </c>
      <c r="Y242" s="58">
        <f t="shared" si="84"/>
        <v>0</v>
      </c>
      <c r="Z242" s="1">
        <f t="shared" si="84"/>
        <v>0</v>
      </c>
      <c r="AA242" s="1">
        <f t="shared" si="84"/>
        <v>0</v>
      </c>
    </row>
    <row r="243" spans="1:29" x14ac:dyDescent="0.25">
      <c r="A243" s="15" t="s">
        <v>51</v>
      </c>
      <c r="B243" s="16" t="s">
        <v>56</v>
      </c>
      <c r="C243" s="27" t="s">
        <v>58</v>
      </c>
      <c r="D243" s="2"/>
      <c r="E243" s="2"/>
      <c r="F243" s="1">
        <f t="shared" si="84"/>
        <v>0</v>
      </c>
      <c r="G243" s="1">
        <f t="shared" si="84"/>
        <v>0</v>
      </c>
      <c r="H243" s="1">
        <f t="shared" si="84"/>
        <v>0</v>
      </c>
      <c r="I243" s="1">
        <f t="shared" si="84"/>
        <v>0</v>
      </c>
      <c r="J243" s="1">
        <f t="shared" si="84"/>
        <v>0</v>
      </c>
      <c r="K243" s="1">
        <f t="shared" si="84"/>
        <v>0</v>
      </c>
      <c r="L243" s="52">
        <f t="shared" si="84"/>
        <v>0</v>
      </c>
      <c r="M243" s="1">
        <f t="shared" si="84"/>
        <v>0</v>
      </c>
      <c r="N243" s="1">
        <f t="shared" si="84"/>
        <v>0</v>
      </c>
      <c r="O243" s="1">
        <f t="shared" si="84"/>
        <v>0</v>
      </c>
      <c r="P243" s="1">
        <f t="shared" si="84"/>
        <v>0</v>
      </c>
      <c r="Q243" s="1">
        <f t="shared" si="84"/>
        <v>0</v>
      </c>
      <c r="R243" s="1">
        <f t="shared" si="84"/>
        <v>0</v>
      </c>
      <c r="S243" s="1">
        <f t="shared" si="84"/>
        <v>0</v>
      </c>
      <c r="T243" s="1">
        <f t="shared" si="84"/>
        <v>0</v>
      </c>
      <c r="U243" s="1">
        <f t="shared" si="84"/>
        <v>0</v>
      </c>
      <c r="V243" s="1">
        <f t="shared" si="84"/>
        <v>0</v>
      </c>
      <c r="W243" s="1">
        <f t="shared" si="84"/>
        <v>0</v>
      </c>
      <c r="X243" s="54">
        <f t="shared" si="84"/>
        <v>0</v>
      </c>
      <c r="Y243" s="58">
        <f t="shared" si="84"/>
        <v>0</v>
      </c>
      <c r="Z243" s="1">
        <f t="shared" si="84"/>
        <v>0</v>
      </c>
      <c r="AA243" s="1">
        <f t="shared" si="84"/>
        <v>0</v>
      </c>
    </row>
    <row r="244" spans="1:29" x14ac:dyDescent="0.25">
      <c r="A244" s="15" t="s">
        <v>51</v>
      </c>
      <c r="B244" s="16" t="s">
        <v>9</v>
      </c>
      <c r="C244" s="27" t="s">
        <v>59</v>
      </c>
      <c r="D244" s="2"/>
      <c r="E244" s="2"/>
      <c r="F244" s="1">
        <f t="shared" si="84"/>
        <v>0</v>
      </c>
      <c r="G244" s="1">
        <f t="shared" si="84"/>
        <v>0</v>
      </c>
      <c r="H244" s="1">
        <f t="shared" si="84"/>
        <v>0</v>
      </c>
      <c r="I244" s="1">
        <f t="shared" si="84"/>
        <v>0</v>
      </c>
      <c r="J244" s="1">
        <f t="shared" si="84"/>
        <v>0</v>
      </c>
      <c r="K244" s="1">
        <f t="shared" si="84"/>
        <v>0</v>
      </c>
      <c r="L244" s="52">
        <f t="shared" si="84"/>
        <v>0</v>
      </c>
      <c r="M244" s="1">
        <f t="shared" si="84"/>
        <v>0</v>
      </c>
      <c r="N244" s="1">
        <f t="shared" si="84"/>
        <v>0</v>
      </c>
      <c r="O244" s="1">
        <f t="shared" si="84"/>
        <v>0</v>
      </c>
      <c r="P244" s="1">
        <f t="shared" si="84"/>
        <v>0</v>
      </c>
      <c r="Q244" s="1">
        <f t="shared" si="84"/>
        <v>0</v>
      </c>
      <c r="R244" s="1">
        <f t="shared" si="84"/>
        <v>0</v>
      </c>
      <c r="S244" s="1">
        <f t="shared" si="84"/>
        <v>0</v>
      </c>
      <c r="T244" s="1">
        <f t="shared" si="84"/>
        <v>0</v>
      </c>
      <c r="U244" s="1">
        <f t="shared" si="84"/>
        <v>0</v>
      </c>
      <c r="V244" s="1">
        <f t="shared" si="84"/>
        <v>0</v>
      </c>
      <c r="W244" s="1">
        <f t="shared" si="84"/>
        <v>0</v>
      </c>
      <c r="X244" s="54">
        <f t="shared" si="84"/>
        <v>0</v>
      </c>
      <c r="Y244" s="58">
        <f t="shared" si="84"/>
        <v>0</v>
      </c>
      <c r="Z244" s="1">
        <f t="shared" si="84"/>
        <v>0</v>
      </c>
      <c r="AA244" s="1">
        <f t="shared" si="84"/>
        <v>0</v>
      </c>
    </row>
    <row r="245" spans="1:29" x14ac:dyDescent="0.25">
      <c r="A245" s="15" t="s">
        <v>51</v>
      </c>
      <c r="B245" s="16" t="s">
        <v>9</v>
      </c>
      <c r="C245" s="27" t="s">
        <v>9</v>
      </c>
      <c r="D245" s="2"/>
      <c r="E245" s="2"/>
      <c r="F245" s="1">
        <f t="shared" si="84"/>
        <v>0</v>
      </c>
      <c r="G245" s="1">
        <f t="shared" si="84"/>
        <v>0</v>
      </c>
      <c r="H245" s="1">
        <f t="shared" si="84"/>
        <v>0</v>
      </c>
      <c r="I245" s="1">
        <f t="shared" si="84"/>
        <v>0</v>
      </c>
      <c r="J245" s="1">
        <f t="shared" si="84"/>
        <v>0</v>
      </c>
      <c r="K245" s="1">
        <f t="shared" si="84"/>
        <v>0</v>
      </c>
      <c r="L245" s="52">
        <f t="shared" si="84"/>
        <v>0</v>
      </c>
      <c r="M245" s="1">
        <f t="shared" si="84"/>
        <v>0</v>
      </c>
      <c r="N245" s="1">
        <f t="shared" si="84"/>
        <v>0</v>
      </c>
      <c r="O245" s="1">
        <f t="shared" si="84"/>
        <v>0</v>
      </c>
      <c r="P245" s="1">
        <f t="shared" si="84"/>
        <v>0</v>
      </c>
      <c r="Q245" s="1">
        <f t="shared" si="84"/>
        <v>0</v>
      </c>
      <c r="R245" s="1">
        <f t="shared" si="84"/>
        <v>0</v>
      </c>
      <c r="S245" s="1">
        <f t="shared" si="84"/>
        <v>0</v>
      </c>
      <c r="T245" s="1">
        <f t="shared" si="84"/>
        <v>0</v>
      </c>
      <c r="U245" s="1">
        <f t="shared" si="84"/>
        <v>0</v>
      </c>
      <c r="V245" s="1">
        <f t="shared" si="84"/>
        <v>0</v>
      </c>
      <c r="W245" s="1">
        <f t="shared" si="84"/>
        <v>0</v>
      </c>
      <c r="X245" s="54">
        <f t="shared" si="84"/>
        <v>0</v>
      </c>
      <c r="Y245" s="58">
        <f t="shared" si="84"/>
        <v>0</v>
      </c>
      <c r="Z245" s="1">
        <f t="shared" si="84"/>
        <v>0</v>
      </c>
      <c r="AA245" s="1">
        <f t="shared" si="84"/>
        <v>0</v>
      </c>
    </row>
    <row r="246" spans="1:29" x14ac:dyDescent="0.25">
      <c r="A246" s="28" t="s">
        <v>60</v>
      </c>
      <c r="B246" s="29" t="s">
        <v>13</v>
      </c>
      <c r="C246" s="29" t="s">
        <v>61</v>
      </c>
      <c r="D246" s="2"/>
      <c r="E246" s="2"/>
      <c r="F246" s="86">
        <f t="shared" si="84"/>
        <v>38.222222222222221</v>
      </c>
      <c r="G246" s="86">
        <f t="shared" si="84"/>
        <v>0</v>
      </c>
      <c r="H246" s="86">
        <f t="shared" si="84"/>
        <v>28.323529411764707</v>
      </c>
      <c r="I246" s="86">
        <f t="shared" si="84"/>
        <v>17.294117647058822</v>
      </c>
      <c r="J246" s="86">
        <f t="shared" si="84"/>
        <v>11.764705882352942</v>
      </c>
      <c r="K246" s="51">
        <f t="shared" si="84"/>
        <v>4.7058823529411766</v>
      </c>
      <c r="L246" s="52">
        <f t="shared" si="84"/>
        <v>0</v>
      </c>
      <c r="M246" s="85">
        <f t="shared" si="84"/>
        <v>23.045267489711932</v>
      </c>
      <c r="N246" s="85">
        <f t="shared" si="84"/>
        <v>9.375</v>
      </c>
      <c r="O246" s="85">
        <f t="shared" si="84"/>
        <v>16.666666666666668</v>
      </c>
      <c r="P246" s="85">
        <f t="shared" si="84"/>
        <v>83.333333333333329</v>
      </c>
      <c r="Q246" s="85">
        <f t="shared" si="84"/>
        <v>6.1111111111111107</v>
      </c>
      <c r="R246" s="85">
        <f t="shared" si="84"/>
        <v>6.3657407407407414</v>
      </c>
      <c r="S246" s="85">
        <f t="shared" si="84"/>
        <v>0</v>
      </c>
      <c r="T246" s="85">
        <f t="shared" si="84"/>
        <v>3.7037037037037042</v>
      </c>
      <c r="U246" s="85">
        <f t="shared" si="84"/>
        <v>5.7870370370370372</v>
      </c>
      <c r="V246" s="85">
        <f t="shared" si="84"/>
        <v>0.27777777777777779</v>
      </c>
      <c r="W246" s="85">
        <f t="shared" si="84"/>
        <v>6.4814814814814818</v>
      </c>
      <c r="X246" s="87">
        <f t="shared" si="84"/>
        <v>27.777777777777779</v>
      </c>
      <c r="Y246" s="59">
        <f t="shared" si="84"/>
        <v>0</v>
      </c>
      <c r="Z246" s="51">
        <f t="shared" si="84"/>
        <v>0</v>
      </c>
      <c r="AA246" s="51">
        <f t="shared" si="84"/>
        <v>0</v>
      </c>
    </row>
    <row r="247" spans="1:29" x14ac:dyDescent="0.25">
      <c r="A247" s="36" t="s">
        <v>60</v>
      </c>
      <c r="B247" s="37" t="s">
        <v>13</v>
      </c>
      <c r="C247" s="29" t="s">
        <v>62</v>
      </c>
      <c r="D247" s="2"/>
      <c r="E247" s="2"/>
      <c r="F247" s="86">
        <f t="shared" si="84"/>
        <v>9.5555555555555554</v>
      </c>
      <c r="G247" s="86">
        <f t="shared" si="84"/>
        <v>27.777777777777779</v>
      </c>
      <c r="H247" s="86">
        <f t="shared" si="84"/>
        <v>34.617647058823536</v>
      </c>
      <c r="I247" s="51">
        <f t="shared" si="84"/>
        <v>0</v>
      </c>
      <c r="J247" s="51">
        <f t="shared" si="84"/>
        <v>0</v>
      </c>
      <c r="K247" s="51">
        <f t="shared" si="84"/>
        <v>0</v>
      </c>
      <c r="L247" s="52">
        <f t="shared" si="84"/>
        <v>0</v>
      </c>
      <c r="M247" s="51">
        <f t="shared" si="84"/>
        <v>0</v>
      </c>
      <c r="N247" s="51">
        <f t="shared" si="84"/>
        <v>0</v>
      </c>
      <c r="O247" s="51">
        <f t="shared" si="84"/>
        <v>0</v>
      </c>
      <c r="P247" s="85">
        <f>IF(P292&gt;0,P22/P292,0)</f>
        <v>105.55555555555556</v>
      </c>
      <c r="Q247" s="51">
        <f t="shared" si="84"/>
        <v>0</v>
      </c>
      <c r="R247" s="51">
        <f t="shared" si="84"/>
        <v>0</v>
      </c>
      <c r="S247" s="51">
        <f t="shared" si="84"/>
        <v>0</v>
      </c>
      <c r="T247" s="51">
        <f t="shared" si="84"/>
        <v>0</v>
      </c>
      <c r="U247" s="51">
        <f t="shared" si="84"/>
        <v>0</v>
      </c>
      <c r="V247" s="51">
        <f t="shared" si="84"/>
        <v>0</v>
      </c>
      <c r="W247" s="51">
        <f t="shared" si="84"/>
        <v>0</v>
      </c>
      <c r="X247" s="55">
        <f t="shared" si="84"/>
        <v>0</v>
      </c>
      <c r="Y247" s="59">
        <f t="shared" si="84"/>
        <v>0</v>
      </c>
      <c r="Z247" s="51">
        <f t="shared" si="84"/>
        <v>0</v>
      </c>
      <c r="AA247" s="51">
        <f t="shared" si="84"/>
        <v>0</v>
      </c>
    </row>
    <row r="248" spans="1:29" x14ac:dyDescent="0.25">
      <c r="A248" s="30" t="s">
        <v>60</v>
      </c>
      <c r="B248" s="31" t="s">
        <v>13</v>
      </c>
      <c r="C248" s="32" t="s">
        <v>63</v>
      </c>
      <c r="D248" s="2"/>
      <c r="E248" s="2"/>
      <c r="F248" s="51">
        <f t="shared" si="84"/>
        <v>0</v>
      </c>
      <c r="G248" s="51">
        <f t="shared" si="84"/>
        <v>0</v>
      </c>
      <c r="H248" s="51">
        <f t="shared" si="84"/>
        <v>0</v>
      </c>
      <c r="I248" s="51">
        <f t="shared" si="84"/>
        <v>0</v>
      </c>
      <c r="J248" s="51">
        <f t="shared" si="84"/>
        <v>0</v>
      </c>
      <c r="K248" s="51">
        <f t="shared" si="84"/>
        <v>0</v>
      </c>
      <c r="L248" s="52">
        <f t="shared" si="84"/>
        <v>0</v>
      </c>
      <c r="M248" s="51">
        <f t="shared" si="84"/>
        <v>0</v>
      </c>
      <c r="N248" s="51">
        <f t="shared" si="84"/>
        <v>0</v>
      </c>
      <c r="O248" s="51">
        <f t="shared" si="84"/>
        <v>0</v>
      </c>
      <c r="P248" s="51">
        <f t="shared" si="84"/>
        <v>0</v>
      </c>
      <c r="Q248" s="51">
        <f t="shared" si="84"/>
        <v>0</v>
      </c>
      <c r="R248" s="51">
        <f t="shared" si="84"/>
        <v>0</v>
      </c>
      <c r="S248" s="51">
        <f t="shared" si="84"/>
        <v>0</v>
      </c>
      <c r="T248" s="51">
        <f t="shared" si="84"/>
        <v>0</v>
      </c>
      <c r="U248" s="51">
        <f t="shared" si="84"/>
        <v>0</v>
      </c>
      <c r="V248" s="51">
        <f t="shared" si="84"/>
        <v>0</v>
      </c>
      <c r="W248" s="51">
        <f t="shared" si="84"/>
        <v>0</v>
      </c>
      <c r="X248" s="55">
        <f t="shared" si="84"/>
        <v>0</v>
      </c>
      <c r="Y248" s="59">
        <f t="shared" si="84"/>
        <v>0</v>
      </c>
      <c r="Z248" s="51">
        <f t="shared" si="84"/>
        <v>0</v>
      </c>
      <c r="AA248" s="51">
        <f t="shared" si="84"/>
        <v>0</v>
      </c>
    </row>
    <row r="249" spans="1:29" x14ac:dyDescent="0.25">
      <c r="A249" s="30" t="s">
        <v>60</v>
      </c>
      <c r="B249" s="32" t="s">
        <v>23</v>
      </c>
      <c r="C249" s="31" t="s">
        <v>50</v>
      </c>
      <c r="D249" s="2"/>
      <c r="E249" s="2"/>
      <c r="F249" s="51">
        <f t="shared" si="84"/>
        <v>0</v>
      </c>
      <c r="G249" s="51">
        <f t="shared" si="84"/>
        <v>0</v>
      </c>
      <c r="H249" s="51">
        <f t="shared" si="84"/>
        <v>0</v>
      </c>
      <c r="I249" s="51">
        <f t="shared" si="84"/>
        <v>0</v>
      </c>
      <c r="J249" s="86">
        <f t="shared" si="84"/>
        <v>0.30769230769230771</v>
      </c>
      <c r="K249" s="51">
        <f t="shared" si="84"/>
        <v>25.714285714285715</v>
      </c>
      <c r="L249" s="52">
        <f t="shared" si="84"/>
        <v>0</v>
      </c>
      <c r="M249" s="51">
        <f t="shared" si="84"/>
        <v>0</v>
      </c>
      <c r="N249" s="86">
        <f t="shared" si="84"/>
        <v>16.923076923076923</v>
      </c>
      <c r="O249" s="51">
        <f t="shared" si="84"/>
        <v>0</v>
      </c>
      <c r="P249" s="51">
        <f t="shared" si="84"/>
        <v>0</v>
      </c>
      <c r="Q249" s="51">
        <f t="shared" si="84"/>
        <v>0</v>
      </c>
      <c r="R249" s="51">
        <f t="shared" si="84"/>
        <v>0</v>
      </c>
      <c r="S249" s="51">
        <f t="shared" si="84"/>
        <v>0</v>
      </c>
      <c r="T249" s="51">
        <f t="shared" si="84"/>
        <v>0</v>
      </c>
      <c r="U249" s="51">
        <f t="shared" si="84"/>
        <v>0</v>
      </c>
      <c r="V249" s="51">
        <f t="shared" si="84"/>
        <v>0</v>
      </c>
      <c r="W249" s="51">
        <f t="shared" si="84"/>
        <v>0</v>
      </c>
      <c r="X249" s="55">
        <f t="shared" si="84"/>
        <v>0</v>
      </c>
      <c r="Y249" s="59">
        <f t="shared" si="84"/>
        <v>0</v>
      </c>
      <c r="Z249" s="51">
        <f t="shared" si="84"/>
        <v>0</v>
      </c>
      <c r="AA249" s="51">
        <f t="shared" si="84"/>
        <v>0</v>
      </c>
    </row>
    <row r="250" spans="1:29" x14ac:dyDescent="0.25">
      <c r="A250" s="30" t="s">
        <v>60</v>
      </c>
      <c r="B250" s="32" t="s">
        <v>23</v>
      </c>
      <c r="C250" s="31" t="s">
        <v>49</v>
      </c>
      <c r="D250" s="2"/>
      <c r="E250" s="2"/>
      <c r="F250" s="51">
        <f t="shared" si="84"/>
        <v>0</v>
      </c>
      <c r="G250" s="51">
        <f t="shared" si="84"/>
        <v>0</v>
      </c>
      <c r="H250" s="51">
        <f t="shared" si="84"/>
        <v>0</v>
      </c>
      <c r="I250" s="51">
        <f t="shared" si="84"/>
        <v>0</v>
      </c>
      <c r="J250" s="86">
        <f t="shared" si="84"/>
        <v>36.666666666666664</v>
      </c>
      <c r="K250" s="51">
        <f t="shared" si="84"/>
        <v>9.8000000000000007</v>
      </c>
      <c r="L250" s="52">
        <f t="shared" si="84"/>
        <v>0</v>
      </c>
      <c r="M250" s="51">
        <f t="shared" si="84"/>
        <v>0</v>
      </c>
      <c r="N250" s="51">
        <f t="shared" si="84"/>
        <v>0</v>
      </c>
      <c r="O250" s="51">
        <f t="shared" si="84"/>
        <v>0</v>
      </c>
      <c r="P250" s="51">
        <f t="shared" si="84"/>
        <v>0</v>
      </c>
      <c r="Q250" s="51">
        <f t="shared" si="84"/>
        <v>0</v>
      </c>
      <c r="R250" s="51">
        <f t="shared" si="84"/>
        <v>0</v>
      </c>
      <c r="S250" s="51">
        <f t="shared" si="84"/>
        <v>5.4444444444444446</v>
      </c>
      <c r="T250" s="51">
        <f t="shared" ref="G250:AA265" si="85">IF(T295&gt;0,T25/T295,0)</f>
        <v>18.571428571428573</v>
      </c>
      <c r="U250" s="51">
        <f t="shared" si="85"/>
        <v>0</v>
      </c>
      <c r="V250" s="51">
        <f t="shared" si="85"/>
        <v>2.2222222222222223</v>
      </c>
      <c r="W250" s="51">
        <f t="shared" si="85"/>
        <v>0</v>
      </c>
      <c r="X250" s="95">
        <f t="shared" si="85"/>
        <v>2.2222222222222223</v>
      </c>
      <c r="Y250" s="59">
        <f t="shared" si="85"/>
        <v>0</v>
      </c>
      <c r="Z250" s="51">
        <f t="shared" si="85"/>
        <v>0</v>
      </c>
      <c r="AA250" s="51">
        <f t="shared" si="85"/>
        <v>0</v>
      </c>
      <c r="AC250" s="14">
        <f>28.5*0.26</f>
        <v>7.41</v>
      </c>
    </row>
    <row r="251" spans="1:29" x14ac:dyDescent="0.25">
      <c r="A251" s="30" t="s">
        <v>60</v>
      </c>
      <c r="B251" s="32" t="s">
        <v>23</v>
      </c>
      <c r="C251" s="31" t="s">
        <v>64</v>
      </c>
      <c r="D251" s="2"/>
      <c r="E251" s="2"/>
      <c r="F251" s="51">
        <f t="shared" ref="F251:F260" si="86">IF(F296&gt;0,F26/F296,0)</f>
        <v>0</v>
      </c>
      <c r="G251" s="51">
        <f t="shared" si="85"/>
        <v>0</v>
      </c>
      <c r="H251" s="51">
        <f t="shared" si="85"/>
        <v>0</v>
      </c>
      <c r="I251" s="51">
        <f t="shared" si="85"/>
        <v>0</v>
      </c>
      <c r="J251" s="86">
        <f t="shared" si="85"/>
        <v>0</v>
      </c>
      <c r="K251" s="51">
        <f t="shared" si="85"/>
        <v>0</v>
      </c>
      <c r="L251" s="52">
        <f t="shared" si="85"/>
        <v>0</v>
      </c>
      <c r="M251" s="51">
        <f t="shared" si="85"/>
        <v>0</v>
      </c>
      <c r="N251" s="51">
        <f t="shared" si="85"/>
        <v>0</v>
      </c>
      <c r="O251" s="51">
        <f t="shared" si="85"/>
        <v>0</v>
      </c>
      <c r="P251" s="51">
        <f t="shared" si="85"/>
        <v>0</v>
      </c>
      <c r="Q251" s="51">
        <f t="shared" si="85"/>
        <v>0</v>
      </c>
      <c r="R251" s="51">
        <f t="shared" si="85"/>
        <v>0</v>
      </c>
      <c r="S251" s="51">
        <f t="shared" si="85"/>
        <v>0</v>
      </c>
      <c r="T251" s="51">
        <f t="shared" si="85"/>
        <v>0</v>
      </c>
      <c r="U251" s="51">
        <f t="shared" si="85"/>
        <v>0</v>
      </c>
      <c r="V251" s="51">
        <f t="shared" si="85"/>
        <v>0</v>
      </c>
      <c r="W251" s="51">
        <f t="shared" si="85"/>
        <v>0</v>
      </c>
      <c r="X251" s="55">
        <f t="shared" si="85"/>
        <v>0</v>
      </c>
      <c r="Y251" s="59">
        <f t="shared" si="85"/>
        <v>0</v>
      </c>
      <c r="Z251" s="51">
        <f t="shared" si="85"/>
        <v>0</v>
      </c>
      <c r="AA251" s="51">
        <f t="shared" si="85"/>
        <v>0</v>
      </c>
    </row>
    <row r="252" spans="1:29" x14ac:dyDescent="0.25">
      <c r="A252" s="30" t="s">
        <v>60</v>
      </c>
      <c r="B252" s="32" t="s">
        <v>65</v>
      </c>
      <c r="C252" s="31" t="s">
        <v>66</v>
      </c>
      <c r="D252" s="2"/>
      <c r="E252" s="2"/>
      <c r="F252" s="51">
        <f t="shared" si="86"/>
        <v>0</v>
      </c>
      <c r="G252" s="51">
        <f t="shared" si="85"/>
        <v>0</v>
      </c>
      <c r="H252" s="51">
        <f t="shared" si="85"/>
        <v>0</v>
      </c>
      <c r="I252" s="51">
        <f t="shared" si="85"/>
        <v>0</v>
      </c>
      <c r="J252" s="86">
        <f t="shared" si="85"/>
        <v>114.58333333333334</v>
      </c>
      <c r="K252" s="51">
        <f t="shared" si="85"/>
        <v>0</v>
      </c>
      <c r="L252" s="52">
        <f t="shared" si="85"/>
        <v>0</v>
      </c>
      <c r="M252" s="73">
        <f t="shared" si="85"/>
        <v>355.26315789473682</v>
      </c>
      <c r="N252" s="51">
        <f t="shared" si="85"/>
        <v>0</v>
      </c>
      <c r="O252" s="51">
        <f t="shared" si="85"/>
        <v>0</v>
      </c>
      <c r="P252" s="51">
        <f t="shared" si="85"/>
        <v>0</v>
      </c>
      <c r="Q252" s="51">
        <f t="shared" si="85"/>
        <v>0</v>
      </c>
      <c r="R252" s="51">
        <f t="shared" si="85"/>
        <v>0</v>
      </c>
      <c r="S252" s="51">
        <f t="shared" si="85"/>
        <v>0</v>
      </c>
      <c r="T252" s="51">
        <f t="shared" si="85"/>
        <v>0</v>
      </c>
      <c r="U252" s="51">
        <f t="shared" si="85"/>
        <v>0</v>
      </c>
      <c r="V252" s="51">
        <f t="shared" si="85"/>
        <v>0</v>
      </c>
      <c r="W252" s="51">
        <f t="shared" si="85"/>
        <v>0</v>
      </c>
      <c r="X252" s="55">
        <f t="shared" si="85"/>
        <v>0</v>
      </c>
      <c r="Y252" s="59">
        <f t="shared" si="85"/>
        <v>0</v>
      </c>
      <c r="Z252" s="51">
        <f t="shared" si="85"/>
        <v>0</v>
      </c>
      <c r="AA252" s="51">
        <f t="shared" si="85"/>
        <v>0</v>
      </c>
    </row>
    <row r="253" spans="1:29" x14ac:dyDescent="0.25">
      <c r="A253" s="30" t="s">
        <v>60</v>
      </c>
      <c r="B253" s="32" t="s">
        <v>65</v>
      </c>
      <c r="C253" s="31" t="s">
        <v>67</v>
      </c>
      <c r="D253" s="2"/>
      <c r="E253" s="2"/>
      <c r="F253" s="51">
        <f t="shared" si="86"/>
        <v>0</v>
      </c>
      <c r="G253" s="51">
        <f t="shared" si="85"/>
        <v>0</v>
      </c>
      <c r="H253" s="51">
        <f t="shared" si="85"/>
        <v>0</v>
      </c>
      <c r="I253" s="51">
        <f t="shared" si="85"/>
        <v>0</v>
      </c>
      <c r="J253" s="51">
        <f t="shared" si="85"/>
        <v>0</v>
      </c>
      <c r="K253" s="51">
        <f t="shared" si="85"/>
        <v>0</v>
      </c>
      <c r="L253" s="52">
        <f t="shared" si="85"/>
        <v>0</v>
      </c>
      <c r="M253" s="51">
        <f t="shared" si="85"/>
        <v>0</v>
      </c>
      <c r="N253" s="51">
        <f t="shared" si="85"/>
        <v>0</v>
      </c>
      <c r="O253" s="51">
        <f t="shared" si="85"/>
        <v>0</v>
      </c>
      <c r="P253" s="51">
        <f t="shared" si="85"/>
        <v>0</v>
      </c>
      <c r="Q253" s="73">
        <f t="shared" si="85"/>
        <v>965.07936507936495</v>
      </c>
      <c r="R253" s="73">
        <f t="shared" si="85"/>
        <v>444.44444444444446</v>
      </c>
      <c r="S253" s="73">
        <f t="shared" si="85"/>
        <v>0</v>
      </c>
      <c r="T253" s="73">
        <f t="shared" si="85"/>
        <v>466.66666666666669</v>
      </c>
      <c r="U253" s="73">
        <f t="shared" si="85"/>
        <v>129.87012987012986</v>
      </c>
      <c r="V253" s="73">
        <f t="shared" si="85"/>
        <v>119.04761904761905</v>
      </c>
      <c r="W253" s="73">
        <f t="shared" si="85"/>
        <v>202.38095238095241</v>
      </c>
      <c r="X253" s="89">
        <f t="shared" si="85"/>
        <v>190.47619047619048</v>
      </c>
      <c r="Y253" s="59">
        <f t="shared" si="85"/>
        <v>0</v>
      </c>
      <c r="Z253" s="51">
        <f t="shared" si="85"/>
        <v>0</v>
      </c>
      <c r="AA253" s="51">
        <f t="shared" si="85"/>
        <v>0</v>
      </c>
    </row>
    <row r="254" spans="1:29" x14ac:dyDescent="0.25">
      <c r="A254" s="30" t="s">
        <v>60</v>
      </c>
      <c r="B254" s="32" t="s">
        <v>65</v>
      </c>
      <c r="C254" s="31" t="s">
        <v>68</v>
      </c>
      <c r="D254" s="2"/>
      <c r="E254" s="2"/>
      <c r="F254" s="51">
        <f t="shared" si="86"/>
        <v>0</v>
      </c>
      <c r="G254" s="51">
        <f t="shared" si="85"/>
        <v>0</v>
      </c>
      <c r="H254" s="51">
        <f t="shared" si="85"/>
        <v>0</v>
      </c>
      <c r="I254" s="51">
        <f t="shared" si="85"/>
        <v>0</v>
      </c>
      <c r="J254" s="51">
        <f t="shared" si="85"/>
        <v>0</v>
      </c>
      <c r="K254" s="51">
        <f t="shared" si="85"/>
        <v>0</v>
      </c>
      <c r="L254" s="88">
        <f t="shared" si="85"/>
        <v>6562.5</v>
      </c>
      <c r="M254" s="51">
        <f t="shared" si="85"/>
        <v>0</v>
      </c>
      <c r="N254" s="51">
        <f t="shared" si="85"/>
        <v>0</v>
      </c>
      <c r="O254" s="51">
        <f t="shared" si="85"/>
        <v>0</v>
      </c>
      <c r="P254" s="51">
        <f t="shared" si="85"/>
        <v>0</v>
      </c>
      <c r="Q254" s="51">
        <f t="shared" si="85"/>
        <v>0</v>
      </c>
      <c r="R254" s="51">
        <f t="shared" si="85"/>
        <v>0</v>
      </c>
      <c r="S254" s="51">
        <f t="shared" si="85"/>
        <v>0</v>
      </c>
      <c r="T254" s="51">
        <f t="shared" si="85"/>
        <v>0</v>
      </c>
      <c r="U254" s="51">
        <f t="shared" si="85"/>
        <v>0</v>
      </c>
      <c r="V254" s="51">
        <f t="shared" si="85"/>
        <v>0</v>
      </c>
      <c r="W254" s="51">
        <f t="shared" si="85"/>
        <v>0</v>
      </c>
      <c r="X254" s="55">
        <f t="shared" si="85"/>
        <v>0</v>
      </c>
      <c r="Y254" s="59">
        <f t="shared" si="85"/>
        <v>0</v>
      </c>
      <c r="Z254" s="51">
        <f t="shared" si="85"/>
        <v>0</v>
      </c>
      <c r="AA254" s="51">
        <f t="shared" si="85"/>
        <v>0</v>
      </c>
    </row>
    <row r="255" spans="1:29" x14ac:dyDescent="0.25">
      <c r="A255" s="30" t="s">
        <v>60</v>
      </c>
      <c r="B255" s="32" t="s">
        <v>9</v>
      </c>
      <c r="C255" s="31" t="s">
        <v>69</v>
      </c>
      <c r="D255" s="2"/>
      <c r="E255" s="2"/>
      <c r="F255" s="51">
        <f t="shared" si="86"/>
        <v>0</v>
      </c>
      <c r="G255" s="51">
        <f t="shared" si="85"/>
        <v>0</v>
      </c>
      <c r="H255" s="51">
        <f t="shared" si="85"/>
        <v>0</v>
      </c>
      <c r="I255" s="51">
        <f t="shared" si="85"/>
        <v>0</v>
      </c>
      <c r="J255" s="51">
        <f t="shared" si="85"/>
        <v>0</v>
      </c>
      <c r="K255" s="51">
        <f t="shared" si="85"/>
        <v>0</v>
      </c>
      <c r="L255" s="52">
        <f t="shared" si="85"/>
        <v>0</v>
      </c>
      <c r="M255" s="51">
        <f t="shared" si="85"/>
        <v>0</v>
      </c>
      <c r="N255" s="51">
        <f t="shared" si="85"/>
        <v>0</v>
      </c>
      <c r="O255" s="51">
        <f t="shared" si="85"/>
        <v>0</v>
      </c>
      <c r="P255" s="51">
        <f t="shared" si="85"/>
        <v>0</v>
      </c>
      <c r="Q255" s="51">
        <f t="shared" si="85"/>
        <v>0</v>
      </c>
      <c r="R255" s="51">
        <f t="shared" si="85"/>
        <v>0</v>
      </c>
      <c r="S255" s="51">
        <f t="shared" si="85"/>
        <v>0</v>
      </c>
      <c r="T255" s="51">
        <f t="shared" si="85"/>
        <v>0</v>
      </c>
      <c r="U255" s="51">
        <f t="shared" si="85"/>
        <v>0</v>
      </c>
      <c r="V255" s="51">
        <f t="shared" si="85"/>
        <v>0</v>
      </c>
      <c r="W255" s="51">
        <f t="shared" si="85"/>
        <v>0</v>
      </c>
      <c r="X255" s="89">
        <f t="shared" si="85"/>
        <v>24.801587301587301</v>
      </c>
      <c r="Y255" s="59">
        <f t="shared" si="85"/>
        <v>0</v>
      </c>
      <c r="Z255" s="51">
        <f t="shared" si="85"/>
        <v>0</v>
      </c>
      <c r="AA255" s="51">
        <f t="shared" si="85"/>
        <v>0</v>
      </c>
    </row>
    <row r="256" spans="1:29" x14ac:dyDescent="0.25">
      <c r="A256" s="15" t="s">
        <v>51</v>
      </c>
      <c r="B256" s="16" t="s">
        <v>56</v>
      </c>
      <c r="C256" s="27" t="s">
        <v>57</v>
      </c>
      <c r="D256" s="16" t="s">
        <v>70</v>
      </c>
      <c r="E256" s="16"/>
      <c r="F256" s="1">
        <f t="shared" si="86"/>
        <v>0</v>
      </c>
      <c r="G256" s="1">
        <f t="shared" si="85"/>
        <v>0</v>
      </c>
      <c r="H256" s="1">
        <f t="shared" si="85"/>
        <v>0</v>
      </c>
      <c r="I256" s="1">
        <f t="shared" si="85"/>
        <v>0</v>
      </c>
      <c r="J256" s="1">
        <f t="shared" si="85"/>
        <v>0</v>
      </c>
      <c r="K256" s="1">
        <f t="shared" si="85"/>
        <v>0</v>
      </c>
      <c r="L256" s="52">
        <f t="shared" si="85"/>
        <v>0</v>
      </c>
      <c r="M256" s="1">
        <f t="shared" si="85"/>
        <v>0</v>
      </c>
      <c r="N256" s="1">
        <f t="shared" si="85"/>
        <v>0</v>
      </c>
      <c r="O256" s="1">
        <f t="shared" si="85"/>
        <v>0</v>
      </c>
      <c r="P256" s="1">
        <f t="shared" si="85"/>
        <v>0</v>
      </c>
      <c r="Q256" s="1">
        <f t="shared" si="85"/>
        <v>0</v>
      </c>
      <c r="R256" s="1">
        <f t="shared" si="85"/>
        <v>0</v>
      </c>
      <c r="S256" s="1">
        <f t="shared" si="85"/>
        <v>0</v>
      </c>
      <c r="T256" s="1">
        <f t="shared" si="85"/>
        <v>0</v>
      </c>
      <c r="U256" s="1">
        <f t="shared" si="85"/>
        <v>0</v>
      </c>
      <c r="V256" s="1">
        <f t="shared" si="85"/>
        <v>0</v>
      </c>
      <c r="W256" s="1">
        <f t="shared" si="85"/>
        <v>0</v>
      </c>
      <c r="X256" s="54">
        <f t="shared" si="85"/>
        <v>0</v>
      </c>
      <c r="Y256" s="58">
        <f t="shared" si="85"/>
        <v>0</v>
      </c>
      <c r="Z256" s="1">
        <f t="shared" si="85"/>
        <v>0</v>
      </c>
      <c r="AA256" s="1">
        <f t="shared" si="85"/>
        <v>0</v>
      </c>
    </row>
    <row r="257" spans="1:27" x14ac:dyDescent="0.25">
      <c r="A257" s="15" t="s">
        <v>51</v>
      </c>
      <c r="B257" s="16" t="s">
        <v>56</v>
      </c>
      <c r="C257" s="27" t="s">
        <v>57</v>
      </c>
      <c r="D257" s="16" t="s">
        <v>71</v>
      </c>
      <c r="E257" s="16"/>
      <c r="F257" s="1">
        <f t="shared" si="86"/>
        <v>0</v>
      </c>
      <c r="G257" s="1">
        <f t="shared" si="85"/>
        <v>0</v>
      </c>
      <c r="H257" s="1">
        <f t="shared" si="85"/>
        <v>0</v>
      </c>
      <c r="I257" s="1">
        <f t="shared" si="85"/>
        <v>0</v>
      </c>
      <c r="J257" s="1">
        <f t="shared" si="85"/>
        <v>0</v>
      </c>
      <c r="K257" s="1">
        <f t="shared" si="85"/>
        <v>0</v>
      </c>
      <c r="L257" s="52">
        <f t="shared" si="85"/>
        <v>0</v>
      </c>
      <c r="M257" s="1">
        <f t="shared" si="85"/>
        <v>0</v>
      </c>
      <c r="N257" s="1">
        <f t="shared" si="85"/>
        <v>0</v>
      </c>
      <c r="O257" s="1">
        <f t="shared" si="85"/>
        <v>0</v>
      </c>
      <c r="P257" s="1">
        <f t="shared" si="85"/>
        <v>0</v>
      </c>
      <c r="Q257" s="1">
        <f t="shared" si="85"/>
        <v>0</v>
      </c>
      <c r="R257" s="1">
        <f t="shared" si="85"/>
        <v>0</v>
      </c>
      <c r="S257" s="1">
        <f t="shared" si="85"/>
        <v>0</v>
      </c>
      <c r="T257" s="1">
        <f t="shared" si="85"/>
        <v>0</v>
      </c>
      <c r="U257" s="1">
        <f t="shared" si="85"/>
        <v>0</v>
      </c>
      <c r="V257" s="1">
        <f t="shared" si="85"/>
        <v>0</v>
      </c>
      <c r="W257" s="1">
        <f t="shared" si="85"/>
        <v>0</v>
      </c>
      <c r="X257" s="54">
        <f t="shared" si="85"/>
        <v>0</v>
      </c>
      <c r="Y257" s="58">
        <f t="shared" si="85"/>
        <v>0</v>
      </c>
      <c r="Z257" s="1">
        <f t="shared" si="85"/>
        <v>0</v>
      </c>
      <c r="AA257" s="1">
        <f t="shared" si="85"/>
        <v>0</v>
      </c>
    </row>
    <row r="258" spans="1:27" x14ac:dyDescent="0.25">
      <c r="A258" s="15" t="s">
        <v>51</v>
      </c>
      <c r="B258" s="16" t="s">
        <v>56</v>
      </c>
      <c r="C258" s="27" t="s">
        <v>27</v>
      </c>
      <c r="D258" s="16" t="s">
        <v>72</v>
      </c>
      <c r="E258" s="16"/>
      <c r="F258" s="1">
        <f t="shared" si="86"/>
        <v>0</v>
      </c>
      <c r="G258" s="1">
        <f t="shared" si="85"/>
        <v>0</v>
      </c>
      <c r="H258" s="1">
        <f t="shared" si="85"/>
        <v>0</v>
      </c>
      <c r="I258" s="1">
        <f t="shared" si="85"/>
        <v>0</v>
      </c>
      <c r="J258" s="1">
        <f t="shared" si="85"/>
        <v>0</v>
      </c>
      <c r="K258" s="1">
        <f t="shared" si="85"/>
        <v>0</v>
      </c>
      <c r="L258" s="52">
        <f t="shared" si="85"/>
        <v>0</v>
      </c>
      <c r="M258" s="1">
        <f t="shared" si="85"/>
        <v>0</v>
      </c>
      <c r="N258" s="1">
        <f t="shared" si="85"/>
        <v>0</v>
      </c>
      <c r="O258" s="1">
        <f t="shared" si="85"/>
        <v>0</v>
      </c>
      <c r="P258" s="1">
        <f t="shared" si="85"/>
        <v>0</v>
      </c>
      <c r="Q258" s="1">
        <f t="shared" si="85"/>
        <v>0</v>
      </c>
      <c r="R258" s="1">
        <f t="shared" si="85"/>
        <v>0</v>
      </c>
      <c r="S258" s="1">
        <f t="shared" si="85"/>
        <v>0</v>
      </c>
      <c r="T258" s="1">
        <f t="shared" si="85"/>
        <v>0</v>
      </c>
      <c r="U258" s="1">
        <f t="shared" si="85"/>
        <v>0</v>
      </c>
      <c r="V258" s="1">
        <f t="shared" si="85"/>
        <v>0</v>
      </c>
      <c r="W258" s="1">
        <f t="shared" si="85"/>
        <v>0</v>
      </c>
      <c r="X258" s="54">
        <f t="shared" si="85"/>
        <v>0</v>
      </c>
      <c r="Y258" s="58">
        <f t="shared" si="85"/>
        <v>0</v>
      </c>
      <c r="Z258" s="1">
        <f t="shared" si="85"/>
        <v>0</v>
      </c>
      <c r="AA258" s="1">
        <f t="shared" si="85"/>
        <v>0</v>
      </c>
    </row>
    <row r="259" spans="1:27" x14ac:dyDescent="0.25">
      <c r="A259" s="15" t="s">
        <v>51</v>
      </c>
      <c r="B259" s="16" t="s">
        <v>56</v>
      </c>
      <c r="C259" s="27" t="s">
        <v>57</v>
      </c>
      <c r="D259" s="16" t="s">
        <v>73</v>
      </c>
      <c r="E259" s="16"/>
      <c r="F259" s="1">
        <f t="shared" si="86"/>
        <v>0</v>
      </c>
      <c r="G259" s="1">
        <f t="shared" si="85"/>
        <v>0</v>
      </c>
      <c r="H259" s="1">
        <f t="shared" si="85"/>
        <v>0</v>
      </c>
      <c r="I259" s="1">
        <f t="shared" si="85"/>
        <v>0</v>
      </c>
      <c r="J259" s="1">
        <f t="shared" si="85"/>
        <v>0</v>
      </c>
      <c r="K259" s="1">
        <f t="shared" si="85"/>
        <v>0</v>
      </c>
      <c r="L259" s="52">
        <f t="shared" si="85"/>
        <v>0</v>
      </c>
      <c r="M259" s="1">
        <f t="shared" si="85"/>
        <v>0</v>
      </c>
      <c r="N259" s="1">
        <f t="shared" si="85"/>
        <v>0</v>
      </c>
      <c r="O259" s="1">
        <f t="shared" si="85"/>
        <v>0</v>
      </c>
      <c r="P259" s="1">
        <f t="shared" si="85"/>
        <v>0</v>
      </c>
      <c r="Q259" s="1">
        <f t="shared" si="85"/>
        <v>0</v>
      </c>
      <c r="R259" s="1">
        <f t="shared" si="85"/>
        <v>0</v>
      </c>
      <c r="S259" s="1">
        <f t="shared" si="85"/>
        <v>0</v>
      </c>
      <c r="T259" s="1">
        <f t="shared" si="85"/>
        <v>0</v>
      </c>
      <c r="U259" s="1">
        <f t="shared" si="85"/>
        <v>0</v>
      </c>
      <c r="V259" s="1">
        <f t="shared" si="85"/>
        <v>0</v>
      </c>
      <c r="W259" s="1">
        <f t="shared" si="85"/>
        <v>0</v>
      </c>
      <c r="X259" s="54">
        <f t="shared" si="85"/>
        <v>0</v>
      </c>
      <c r="Y259" s="58">
        <f t="shared" si="85"/>
        <v>0</v>
      </c>
      <c r="Z259" s="1">
        <f t="shared" si="85"/>
        <v>0</v>
      </c>
      <c r="AA259" s="1">
        <f t="shared" si="85"/>
        <v>0</v>
      </c>
    </row>
    <row r="260" spans="1:27" x14ac:dyDescent="0.25">
      <c r="A260" s="15" t="s">
        <v>51</v>
      </c>
      <c r="B260" s="16" t="s">
        <v>56</v>
      </c>
      <c r="C260" s="27" t="s">
        <v>57</v>
      </c>
      <c r="D260" s="16" t="s">
        <v>74</v>
      </c>
      <c r="E260" s="16"/>
      <c r="F260" s="1">
        <f t="shared" si="86"/>
        <v>0</v>
      </c>
      <c r="G260" s="1">
        <f t="shared" si="85"/>
        <v>0</v>
      </c>
      <c r="H260" s="1">
        <f t="shared" si="85"/>
        <v>0</v>
      </c>
      <c r="I260" s="1">
        <f t="shared" si="85"/>
        <v>0</v>
      </c>
      <c r="J260" s="1">
        <f t="shared" si="85"/>
        <v>0</v>
      </c>
      <c r="K260" s="1">
        <f t="shared" si="85"/>
        <v>0</v>
      </c>
      <c r="L260" s="52">
        <f t="shared" si="85"/>
        <v>0</v>
      </c>
      <c r="M260" s="1">
        <f t="shared" si="85"/>
        <v>0</v>
      </c>
      <c r="N260" s="1">
        <f t="shared" si="85"/>
        <v>0</v>
      </c>
      <c r="O260" s="1">
        <f t="shared" si="85"/>
        <v>0</v>
      </c>
      <c r="P260" s="1">
        <f t="shared" si="85"/>
        <v>0</v>
      </c>
      <c r="Q260" s="1">
        <f t="shared" si="85"/>
        <v>0</v>
      </c>
      <c r="R260" s="1">
        <f t="shared" si="85"/>
        <v>0</v>
      </c>
      <c r="S260" s="1">
        <f t="shared" si="85"/>
        <v>0</v>
      </c>
      <c r="T260" s="1">
        <f t="shared" si="85"/>
        <v>0</v>
      </c>
      <c r="U260" s="1">
        <f t="shared" si="85"/>
        <v>0</v>
      </c>
      <c r="V260" s="1">
        <f t="shared" si="85"/>
        <v>0</v>
      </c>
      <c r="W260" s="1">
        <f t="shared" si="85"/>
        <v>0</v>
      </c>
      <c r="X260" s="54">
        <f t="shared" si="85"/>
        <v>0</v>
      </c>
      <c r="Y260" s="58">
        <f t="shared" si="85"/>
        <v>0</v>
      </c>
      <c r="Z260" s="1">
        <f t="shared" si="85"/>
        <v>0</v>
      </c>
      <c r="AA260" s="1">
        <f t="shared" si="85"/>
        <v>0</v>
      </c>
    </row>
    <row r="261" spans="1:27" x14ac:dyDescent="0.25">
      <c r="A261" s="30" t="s">
        <v>60</v>
      </c>
      <c r="B261" s="31" t="s">
        <v>13</v>
      </c>
      <c r="C261" s="32" t="s">
        <v>61</v>
      </c>
      <c r="D261" s="31" t="s">
        <v>75</v>
      </c>
      <c r="E261" s="31"/>
      <c r="F261" s="51">
        <f>F246*0.5</f>
        <v>19.111111111111111</v>
      </c>
      <c r="G261" s="73"/>
      <c r="H261" s="51">
        <f>H246</f>
        <v>28.323529411764707</v>
      </c>
      <c r="I261" s="51">
        <f>I246*0.7</f>
        <v>12.105882352941174</v>
      </c>
      <c r="J261" s="51">
        <f>J246*0.3</f>
        <v>3.5294117647058827</v>
      </c>
      <c r="K261" s="51">
        <f>K246*0.8</f>
        <v>3.7647058823529416</v>
      </c>
      <c r="L261" s="52">
        <v>0</v>
      </c>
      <c r="M261" s="73">
        <f>M246*0.1</f>
        <v>2.3045267489711931</v>
      </c>
      <c r="N261" s="73">
        <v>0</v>
      </c>
      <c r="O261" s="73">
        <v>0</v>
      </c>
      <c r="P261" s="73">
        <v>0</v>
      </c>
      <c r="Q261" s="73"/>
      <c r="R261" s="73"/>
      <c r="S261" s="51"/>
      <c r="T261" s="51"/>
      <c r="U261" s="51"/>
      <c r="V261" s="51"/>
      <c r="W261" s="51">
        <f>W246</f>
        <v>6.4814814814814818</v>
      </c>
      <c r="X261" s="55">
        <f>X246*0.1</f>
        <v>2.7777777777777781</v>
      </c>
      <c r="Y261" s="59">
        <f t="shared" si="85"/>
        <v>0</v>
      </c>
      <c r="Z261" s="51">
        <f t="shared" si="85"/>
        <v>0</v>
      </c>
      <c r="AA261" s="51">
        <f t="shared" si="85"/>
        <v>0</v>
      </c>
    </row>
    <row r="262" spans="1:27" x14ac:dyDescent="0.25">
      <c r="A262" s="30" t="s">
        <v>60</v>
      </c>
      <c r="B262" s="31" t="s">
        <v>13</v>
      </c>
      <c r="C262" s="32" t="s">
        <v>61</v>
      </c>
      <c r="D262" s="31" t="s">
        <v>76</v>
      </c>
      <c r="E262" s="31"/>
      <c r="F262" s="51">
        <f>F246*0.5</f>
        <v>19.111111111111111</v>
      </c>
      <c r="G262" s="51">
        <v>0</v>
      </c>
      <c r="H262" s="51">
        <v>0</v>
      </c>
      <c r="I262" s="51">
        <f>I246*0.25</f>
        <v>4.3235294117647056</v>
      </c>
      <c r="J262" s="51">
        <f>J246*0.7</f>
        <v>8.2352941176470598</v>
      </c>
      <c r="K262" s="51">
        <f>K246*0.05</f>
        <v>0.23529411764705885</v>
      </c>
      <c r="L262" s="52">
        <v>0</v>
      </c>
      <c r="M262" s="73">
        <f>M246*0.4</f>
        <v>9.2181069958847726</v>
      </c>
      <c r="N262" s="73">
        <f>N246</f>
        <v>9.375</v>
      </c>
      <c r="O262" s="73">
        <f>O246*0.3</f>
        <v>5</v>
      </c>
      <c r="P262" s="73">
        <f>P246*0.2</f>
        <v>16.666666666666668</v>
      </c>
      <c r="Q262" s="73"/>
      <c r="R262" s="73">
        <f>R246</f>
        <v>6.3657407407407414</v>
      </c>
      <c r="S262" s="51"/>
      <c r="T262" s="51"/>
      <c r="U262" s="51"/>
      <c r="V262" s="51"/>
      <c r="W262" s="51"/>
      <c r="X262" s="55">
        <f>X246*0.1</f>
        <v>2.7777777777777781</v>
      </c>
      <c r="Y262" s="59">
        <f t="shared" si="85"/>
        <v>0</v>
      </c>
      <c r="Z262" s="51">
        <f t="shared" si="85"/>
        <v>0</v>
      </c>
      <c r="AA262" s="51">
        <f t="shared" si="85"/>
        <v>0</v>
      </c>
    </row>
    <row r="263" spans="1:27" x14ac:dyDescent="0.25">
      <c r="A263" s="30" t="s">
        <v>60</v>
      </c>
      <c r="B263" s="31" t="s">
        <v>13</v>
      </c>
      <c r="C263" s="32" t="s">
        <v>61</v>
      </c>
      <c r="D263" s="31" t="s">
        <v>77</v>
      </c>
      <c r="E263" s="31"/>
      <c r="F263" s="51">
        <v>0</v>
      </c>
      <c r="G263" s="51">
        <v>0</v>
      </c>
      <c r="H263" s="51">
        <v>0</v>
      </c>
      <c r="I263" s="51">
        <v>0</v>
      </c>
      <c r="J263" s="51">
        <v>0</v>
      </c>
      <c r="K263" s="51">
        <f>K246*0.1</f>
        <v>0.4705882352941177</v>
      </c>
      <c r="L263" s="52">
        <v>0</v>
      </c>
      <c r="M263" s="73">
        <f>M246*0.5</f>
        <v>11.522633744855966</v>
      </c>
      <c r="N263" s="73">
        <v>0</v>
      </c>
      <c r="O263" s="73">
        <f>O246*0.7</f>
        <v>11.666666666666666</v>
      </c>
      <c r="P263" s="73">
        <f>P246*0.7</f>
        <v>58.333333333333329</v>
      </c>
      <c r="Q263" s="73"/>
      <c r="R263" s="73"/>
      <c r="S263" s="51"/>
      <c r="T263" s="51">
        <f>T246</f>
        <v>3.7037037037037042</v>
      </c>
      <c r="U263" s="51">
        <f>U246</f>
        <v>5.7870370370370372</v>
      </c>
      <c r="V263" s="51"/>
      <c r="W263" s="51"/>
      <c r="X263" s="55">
        <f>X246*0.7</f>
        <v>19.444444444444443</v>
      </c>
      <c r="Y263" s="59">
        <f t="shared" si="85"/>
        <v>0</v>
      </c>
      <c r="Z263" s="51">
        <f t="shared" si="85"/>
        <v>0</v>
      </c>
      <c r="AA263" s="51">
        <f t="shared" si="85"/>
        <v>0</v>
      </c>
    </row>
    <row r="264" spans="1:27" x14ac:dyDescent="0.25">
      <c r="A264" s="30" t="s">
        <v>60</v>
      </c>
      <c r="B264" s="31" t="s">
        <v>13</v>
      </c>
      <c r="C264" s="32" t="s">
        <v>61</v>
      </c>
      <c r="D264" s="31" t="s">
        <v>78</v>
      </c>
      <c r="E264" s="31"/>
      <c r="F264" s="51">
        <v>0</v>
      </c>
      <c r="G264" s="51">
        <v>0</v>
      </c>
      <c r="H264" s="51">
        <v>0</v>
      </c>
      <c r="I264" s="51">
        <f>I246*0.05</f>
        <v>0.86470588235294121</v>
      </c>
      <c r="J264" s="51">
        <v>0</v>
      </c>
      <c r="K264" s="51">
        <f>K246*0.05</f>
        <v>0.23529411764705885</v>
      </c>
      <c r="L264" s="52">
        <v>0</v>
      </c>
      <c r="M264" s="73">
        <f>M246*0</f>
        <v>0</v>
      </c>
      <c r="N264" s="73">
        <v>0</v>
      </c>
      <c r="O264" s="73">
        <f>O246*0</f>
        <v>0</v>
      </c>
      <c r="P264" s="73">
        <f>(P246)*0.1</f>
        <v>8.3333333333333339</v>
      </c>
      <c r="Q264" s="73">
        <f>Q246</f>
        <v>6.1111111111111107</v>
      </c>
      <c r="R264" s="73"/>
      <c r="S264" s="51"/>
      <c r="T264" s="51"/>
      <c r="U264" s="51"/>
      <c r="V264" s="51"/>
      <c r="W264" s="51"/>
      <c r="X264" s="55">
        <f>X246*0.1</f>
        <v>2.7777777777777781</v>
      </c>
      <c r="Y264" s="59">
        <f t="shared" si="85"/>
        <v>0</v>
      </c>
      <c r="Z264" s="51">
        <f t="shared" si="85"/>
        <v>0</v>
      </c>
      <c r="AA264" s="51">
        <f t="shared" si="85"/>
        <v>0</v>
      </c>
    </row>
    <row r="265" spans="1:27" ht="15.75" thickBot="1" x14ac:dyDescent="0.3">
      <c r="A265" s="33" t="s">
        <v>60</v>
      </c>
      <c r="B265" s="34" t="s">
        <v>13</v>
      </c>
      <c r="C265" s="35" t="s">
        <v>61</v>
      </c>
      <c r="D265" s="34" t="s">
        <v>79</v>
      </c>
      <c r="E265" s="31"/>
      <c r="F265" s="51">
        <v>0</v>
      </c>
      <c r="G265" s="51">
        <v>0</v>
      </c>
      <c r="H265" s="51">
        <v>0</v>
      </c>
      <c r="I265" s="51">
        <v>0</v>
      </c>
      <c r="J265" s="51">
        <v>0</v>
      </c>
      <c r="K265" s="51">
        <v>0</v>
      </c>
      <c r="L265" s="52">
        <v>0</v>
      </c>
      <c r="M265" s="51">
        <v>0</v>
      </c>
      <c r="N265" s="51">
        <v>0</v>
      </c>
      <c r="O265" s="51">
        <v>0</v>
      </c>
      <c r="P265" s="51">
        <v>0</v>
      </c>
      <c r="Q265" s="51">
        <v>0</v>
      </c>
      <c r="R265" s="51">
        <v>0</v>
      </c>
      <c r="S265" s="51">
        <v>0</v>
      </c>
      <c r="T265" s="51">
        <v>0</v>
      </c>
      <c r="U265" s="51">
        <v>0</v>
      </c>
      <c r="V265" s="51">
        <v>0</v>
      </c>
      <c r="W265" s="51">
        <v>0</v>
      </c>
      <c r="X265" s="55">
        <v>0</v>
      </c>
      <c r="Y265" s="59">
        <f t="shared" si="85"/>
        <v>0</v>
      </c>
      <c r="Z265" s="51">
        <f t="shared" si="85"/>
        <v>0</v>
      </c>
      <c r="AA265" s="51">
        <f t="shared" si="85"/>
        <v>0</v>
      </c>
    </row>
    <row r="266" spans="1:27" x14ac:dyDescent="0.25">
      <c r="A266" s="30" t="s">
        <v>60</v>
      </c>
      <c r="B266" s="31" t="s">
        <v>13</v>
      </c>
      <c r="C266" s="32" t="s">
        <v>62</v>
      </c>
      <c r="D266" s="31" t="s">
        <v>75</v>
      </c>
      <c r="E266" s="31"/>
      <c r="F266" s="51"/>
      <c r="G266" s="73">
        <f>G247*0.5</f>
        <v>13.888888888888889</v>
      </c>
      <c r="H266" s="51">
        <f>H247*0.2</f>
        <v>6.9235294117647079</v>
      </c>
      <c r="I266" s="51">
        <v>0</v>
      </c>
      <c r="J266" s="51">
        <v>0</v>
      </c>
      <c r="K266" s="51">
        <v>0</v>
      </c>
      <c r="L266" s="52">
        <v>0</v>
      </c>
      <c r="M266" s="51">
        <v>0</v>
      </c>
      <c r="N266" s="51">
        <v>0</v>
      </c>
      <c r="O266" s="51">
        <v>0</v>
      </c>
      <c r="P266" s="51">
        <v>0</v>
      </c>
      <c r="Q266" s="51">
        <v>0</v>
      </c>
      <c r="R266" s="51">
        <v>0</v>
      </c>
      <c r="S266" s="51">
        <v>0</v>
      </c>
      <c r="T266" s="51">
        <v>0</v>
      </c>
      <c r="U266" s="51">
        <v>0</v>
      </c>
      <c r="V266" s="51">
        <v>0</v>
      </c>
      <c r="W266" s="51">
        <v>0</v>
      </c>
      <c r="X266" s="55">
        <v>0</v>
      </c>
      <c r="Y266" s="59">
        <f t="shared" ref="Y266:AA270" si="87">IF(Y311&gt;0,Y41/Y311,0)</f>
        <v>0</v>
      </c>
      <c r="Z266" s="51">
        <f t="shared" si="87"/>
        <v>0</v>
      </c>
      <c r="AA266" s="51">
        <f t="shared" si="87"/>
        <v>0</v>
      </c>
    </row>
    <row r="267" spans="1:27" x14ac:dyDescent="0.25">
      <c r="A267" s="30" t="s">
        <v>60</v>
      </c>
      <c r="B267" s="31" t="s">
        <v>13</v>
      </c>
      <c r="C267" s="32" t="s">
        <v>62</v>
      </c>
      <c r="D267" s="31" t="s">
        <v>76</v>
      </c>
      <c r="E267" s="31"/>
      <c r="F267" s="51">
        <f>F247</f>
        <v>9.5555555555555554</v>
      </c>
      <c r="G267" s="51">
        <f>G247*0.5</f>
        <v>13.888888888888889</v>
      </c>
      <c r="H267" s="51">
        <f>H247*0.8</f>
        <v>27.694117647058832</v>
      </c>
      <c r="I267" s="51">
        <v>0</v>
      </c>
      <c r="J267" s="51">
        <v>0</v>
      </c>
      <c r="K267" s="51">
        <v>0</v>
      </c>
      <c r="L267" s="52">
        <v>0</v>
      </c>
      <c r="M267" s="51">
        <v>0</v>
      </c>
      <c r="N267" s="51">
        <v>0</v>
      </c>
      <c r="O267" s="51">
        <v>0</v>
      </c>
      <c r="P267" s="51">
        <f>P247</f>
        <v>105.55555555555556</v>
      </c>
      <c r="Q267" s="51">
        <v>0</v>
      </c>
      <c r="R267" s="51">
        <v>0</v>
      </c>
      <c r="S267" s="51">
        <v>0</v>
      </c>
      <c r="T267" s="51">
        <v>0</v>
      </c>
      <c r="U267" s="51">
        <v>0</v>
      </c>
      <c r="V267" s="51">
        <v>0</v>
      </c>
      <c r="W267" s="51">
        <v>0</v>
      </c>
      <c r="X267" s="55">
        <v>0</v>
      </c>
      <c r="Y267" s="59">
        <f t="shared" si="87"/>
        <v>0</v>
      </c>
      <c r="Z267" s="51">
        <f t="shared" si="87"/>
        <v>0</v>
      </c>
      <c r="AA267" s="51">
        <f t="shared" si="87"/>
        <v>0</v>
      </c>
    </row>
    <row r="268" spans="1:27" x14ac:dyDescent="0.25">
      <c r="A268" s="30" t="s">
        <v>60</v>
      </c>
      <c r="B268" s="31" t="s">
        <v>13</v>
      </c>
      <c r="C268" s="32" t="s">
        <v>62</v>
      </c>
      <c r="D268" s="31" t="s">
        <v>77</v>
      </c>
      <c r="E268" s="31"/>
      <c r="F268" s="51">
        <v>0</v>
      </c>
      <c r="G268" s="51">
        <v>0</v>
      </c>
      <c r="H268" s="51">
        <v>0</v>
      </c>
      <c r="I268" s="51">
        <v>0</v>
      </c>
      <c r="J268" s="51">
        <v>0</v>
      </c>
      <c r="K268" s="51">
        <v>0</v>
      </c>
      <c r="L268" s="52">
        <v>0</v>
      </c>
      <c r="M268" s="51">
        <v>0</v>
      </c>
      <c r="N268" s="51">
        <v>0</v>
      </c>
      <c r="O268" s="51">
        <v>0</v>
      </c>
      <c r="P268" s="51">
        <v>0</v>
      </c>
      <c r="Q268" s="51">
        <v>0</v>
      </c>
      <c r="R268" s="51">
        <v>0</v>
      </c>
      <c r="S268" s="51">
        <v>0</v>
      </c>
      <c r="T268" s="51">
        <v>0</v>
      </c>
      <c r="U268" s="51">
        <v>0</v>
      </c>
      <c r="V268" s="51">
        <v>0</v>
      </c>
      <c r="W268" s="51">
        <v>0</v>
      </c>
      <c r="X268" s="55">
        <v>0</v>
      </c>
      <c r="Y268" s="59">
        <f t="shared" si="87"/>
        <v>0</v>
      </c>
      <c r="Z268" s="51">
        <f t="shared" si="87"/>
        <v>0</v>
      </c>
      <c r="AA268" s="51">
        <f t="shared" si="87"/>
        <v>0</v>
      </c>
    </row>
    <row r="269" spans="1:27" x14ac:dyDescent="0.25">
      <c r="A269" s="30" t="s">
        <v>60</v>
      </c>
      <c r="B269" s="31" t="s">
        <v>13</v>
      </c>
      <c r="C269" s="32" t="s">
        <v>62</v>
      </c>
      <c r="D269" s="31" t="s">
        <v>78</v>
      </c>
      <c r="E269" s="31"/>
      <c r="F269" s="51">
        <v>0</v>
      </c>
      <c r="G269" s="51">
        <v>0</v>
      </c>
      <c r="H269" s="51">
        <v>0</v>
      </c>
      <c r="I269" s="51">
        <v>0</v>
      </c>
      <c r="J269" s="51">
        <v>0</v>
      </c>
      <c r="K269" s="51">
        <v>0</v>
      </c>
      <c r="L269" s="52">
        <v>0</v>
      </c>
      <c r="M269" s="51">
        <v>0</v>
      </c>
      <c r="N269" s="51">
        <v>0</v>
      </c>
      <c r="O269" s="51">
        <v>0</v>
      </c>
      <c r="P269" s="51">
        <v>0</v>
      </c>
      <c r="Q269" s="51">
        <v>0</v>
      </c>
      <c r="R269" s="51">
        <v>0</v>
      </c>
      <c r="S269" s="51">
        <v>0</v>
      </c>
      <c r="T269" s="51">
        <v>0</v>
      </c>
      <c r="U269" s="51">
        <v>0</v>
      </c>
      <c r="V269" s="51">
        <v>0</v>
      </c>
      <c r="W269" s="51">
        <v>0</v>
      </c>
      <c r="X269" s="55">
        <v>0</v>
      </c>
      <c r="Y269" s="59">
        <f t="shared" si="87"/>
        <v>0</v>
      </c>
      <c r="Z269" s="51">
        <f t="shared" si="87"/>
        <v>0</v>
      </c>
      <c r="AA269" s="51">
        <f t="shared" si="87"/>
        <v>0</v>
      </c>
    </row>
    <row r="270" spans="1:27" ht="15.75" thickBot="1" x14ac:dyDescent="0.3">
      <c r="A270" s="33" t="s">
        <v>60</v>
      </c>
      <c r="B270" s="34" t="s">
        <v>13</v>
      </c>
      <c r="C270" s="32" t="s">
        <v>62</v>
      </c>
      <c r="D270" s="34" t="s">
        <v>79</v>
      </c>
      <c r="E270" s="31"/>
      <c r="F270" s="51">
        <v>0</v>
      </c>
      <c r="G270" s="51">
        <v>0</v>
      </c>
      <c r="H270" s="51">
        <v>0</v>
      </c>
      <c r="I270" s="51">
        <v>0</v>
      </c>
      <c r="J270" s="51">
        <v>0</v>
      </c>
      <c r="K270" s="51">
        <v>0</v>
      </c>
      <c r="L270" s="52">
        <v>0</v>
      </c>
      <c r="M270" s="51">
        <v>0</v>
      </c>
      <c r="N270" s="51">
        <v>0</v>
      </c>
      <c r="O270" s="51">
        <v>0</v>
      </c>
      <c r="P270" s="51">
        <v>0</v>
      </c>
      <c r="Q270" s="51">
        <v>0</v>
      </c>
      <c r="R270" s="51">
        <v>0</v>
      </c>
      <c r="S270" s="51">
        <v>0</v>
      </c>
      <c r="T270" s="51">
        <v>0</v>
      </c>
      <c r="U270" s="51">
        <v>0</v>
      </c>
      <c r="V270" s="51">
        <v>0</v>
      </c>
      <c r="W270" s="51">
        <v>0</v>
      </c>
      <c r="X270" s="55">
        <v>0</v>
      </c>
      <c r="Y270" s="59">
        <f t="shared" si="87"/>
        <v>0</v>
      </c>
      <c r="Z270" s="51">
        <f t="shared" si="87"/>
        <v>0</v>
      </c>
      <c r="AA270" s="51">
        <f t="shared" si="87"/>
        <v>0</v>
      </c>
    </row>
    <row r="272" spans="1:27" x14ac:dyDescent="0.25">
      <c r="D272" s="41" t="s">
        <v>84</v>
      </c>
      <c r="E272" s="41"/>
      <c r="M272" s="24" t="s">
        <v>81</v>
      </c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</row>
    <row r="273" spans="1:27" x14ac:dyDescent="0.25">
      <c r="F273" s="23" t="s">
        <v>44</v>
      </c>
      <c r="G273" s="23"/>
      <c r="H273" s="23"/>
      <c r="I273" s="23"/>
      <c r="J273" s="23"/>
      <c r="K273" s="23"/>
      <c r="L273" s="7" t="s">
        <v>30</v>
      </c>
      <c r="M273" s="24" t="s">
        <v>46</v>
      </c>
      <c r="N273" s="24"/>
      <c r="O273" s="24"/>
      <c r="P273" s="24"/>
      <c r="Q273" s="24"/>
      <c r="R273" s="24" t="s">
        <v>47</v>
      </c>
      <c r="S273" s="24"/>
      <c r="T273" s="24"/>
      <c r="U273" s="24"/>
      <c r="V273" s="24"/>
      <c r="W273" s="24"/>
      <c r="X273" s="24"/>
      <c r="Y273" s="44" t="s">
        <v>85</v>
      </c>
      <c r="Z273" s="44" t="s">
        <v>48</v>
      </c>
      <c r="AA273" s="44" t="s">
        <v>3</v>
      </c>
    </row>
    <row r="274" spans="1:27" ht="63" x14ac:dyDescent="0.25">
      <c r="F274" s="38" t="s">
        <v>36</v>
      </c>
      <c r="G274" s="38" t="s">
        <v>37</v>
      </c>
      <c r="H274" s="38" t="s">
        <v>38</v>
      </c>
      <c r="I274" s="38" t="s">
        <v>80</v>
      </c>
      <c r="J274" s="38" t="s">
        <v>39</v>
      </c>
      <c r="K274" s="38" t="s">
        <v>45</v>
      </c>
      <c r="L274" s="39" t="s">
        <v>16</v>
      </c>
      <c r="M274" s="40" t="s">
        <v>34</v>
      </c>
      <c r="N274" s="40" t="s">
        <v>5</v>
      </c>
      <c r="O274" s="40" t="s">
        <v>7</v>
      </c>
      <c r="P274" s="40" t="s">
        <v>8</v>
      </c>
      <c r="Q274" s="40" t="s">
        <v>40</v>
      </c>
      <c r="R274" s="40" t="s">
        <v>41</v>
      </c>
      <c r="S274" s="40" t="s">
        <v>42</v>
      </c>
      <c r="T274" s="40" t="s">
        <v>31</v>
      </c>
      <c r="U274" s="40" t="s">
        <v>43</v>
      </c>
      <c r="V274" s="40" t="s">
        <v>82</v>
      </c>
      <c r="W274" s="40" t="s">
        <v>87</v>
      </c>
      <c r="X274" s="40" t="s">
        <v>83</v>
      </c>
      <c r="Y274" s="45" t="s">
        <v>3</v>
      </c>
      <c r="Z274" s="45" t="s">
        <v>86</v>
      </c>
      <c r="AA274" s="45" t="s">
        <v>3</v>
      </c>
    </row>
    <row r="275" spans="1:27" x14ac:dyDescent="0.25">
      <c r="A275" s="15" t="s">
        <v>51</v>
      </c>
      <c r="B275" s="2"/>
      <c r="C275" s="2"/>
      <c r="F275" s="1"/>
      <c r="G275" s="1"/>
      <c r="H275" s="1"/>
      <c r="I275" s="1"/>
      <c r="J275" s="1"/>
      <c r="K275" s="1"/>
      <c r="L275" s="5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54"/>
      <c r="Y275" s="58"/>
      <c r="Z275" s="1"/>
      <c r="AA275" s="1"/>
    </row>
    <row r="276" spans="1:27" x14ac:dyDescent="0.25">
      <c r="A276" s="30" t="s">
        <v>60</v>
      </c>
      <c r="B276" s="2"/>
      <c r="C276" s="2"/>
      <c r="F276" s="1"/>
      <c r="G276" s="1"/>
      <c r="H276" s="1"/>
      <c r="I276" s="1"/>
      <c r="J276" s="1"/>
      <c r="K276" s="1"/>
      <c r="L276" s="5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54"/>
      <c r="Y276" s="58"/>
      <c r="Z276" s="1"/>
      <c r="AA276" s="1"/>
    </row>
    <row r="277" spans="1:27" x14ac:dyDescent="0.25">
      <c r="A277" s="15" t="s">
        <v>51</v>
      </c>
      <c r="B277" s="16" t="s">
        <v>52</v>
      </c>
      <c r="C277" s="2"/>
      <c r="F277" s="1"/>
      <c r="G277" s="1"/>
      <c r="H277" s="1"/>
      <c r="I277" s="1"/>
      <c r="J277" s="1"/>
      <c r="K277" s="1"/>
      <c r="L277" s="5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54"/>
      <c r="Y277" s="58"/>
      <c r="Z277" s="1"/>
      <c r="AA277" s="1"/>
    </row>
    <row r="278" spans="1:27" x14ac:dyDescent="0.25">
      <c r="A278" s="15" t="s">
        <v>51</v>
      </c>
      <c r="B278" s="16" t="s">
        <v>56</v>
      </c>
      <c r="C278" s="2"/>
      <c r="F278" s="1"/>
      <c r="G278" s="1"/>
      <c r="H278" s="1"/>
      <c r="I278" s="1"/>
      <c r="J278" s="1"/>
      <c r="K278" s="1"/>
      <c r="L278" s="5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54"/>
      <c r="Y278" s="58"/>
      <c r="Z278" s="1"/>
      <c r="AA278" s="1"/>
    </row>
    <row r="279" spans="1:27" x14ac:dyDescent="0.25">
      <c r="A279" s="15" t="s">
        <v>51</v>
      </c>
      <c r="B279" s="16" t="s">
        <v>9</v>
      </c>
      <c r="C279" s="2"/>
      <c r="F279" s="1"/>
      <c r="G279" s="1"/>
      <c r="H279" s="1"/>
      <c r="I279" s="1"/>
      <c r="J279" s="1"/>
      <c r="K279" s="1"/>
      <c r="L279" s="5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54"/>
      <c r="Y279" s="58"/>
      <c r="Z279" s="1"/>
      <c r="AA279" s="1"/>
    </row>
    <row r="280" spans="1:27" x14ac:dyDescent="0.25">
      <c r="A280" s="30" t="s">
        <v>60</v>
      </c>
      <c r="B280" s="32" t="s">
        <v>13</v>
      </c>
      <c r="C280" s="2"/>
      <c r="F280" s="51"/>
      <c r="G280" s="51"/>
      <c r="H280" s="51"/>
      <c r="I280" s="51"/>
      <c r="J280" s="51"/>
      <c r="K280" s="51"/>
      <c r="L280" s="52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5"/>
      <c r="Y280" s="59"/>
      <c r="Z280" s="51"/>
      <c r="AA280" s="51"/>
    </row>
    <row r="281" spans="1:27" x14ac:dyDescent="0.25">
      <c r="A281" s="30" t="s">
        <v>60</v>
      </c>
      <c r="B281" s="31" t="s">
        <v>23</v>
      </c>
      <c r="C281" s="2"/>
      <c r="F281" s="51"/>
      <c r="G281" s="51"/>
      <c r="H281" s="51"/>
      <c r="I281" s="51"/>
      <c r="J281" s="51"/>
      <c r="K281" s="51"/>
      <c r="L281" s="52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5"/>
      <c r="Y281" s="59"/>
      <c r="Z281" s="51"/>
      <c r="AA281" s="51"/>
    </row>
    <row r="282" spans="1:27" x14ac:dyDescent="0.25">
      <c r="A282" s="30" t="s">
        <v>60</v>
      </c>
      <c r="B282" s="31" t="s">
        <v>65</v>
      </c>
      <c r="C282" s="46"/>
      <c r="F282" s="51"/>
      <c r="G282" s="51"/>
      <c r="H282" s="51"/>
      <c r="I282" s="51"/>
      <c r="J282" s="51"/>
      <c r="K282" s="51"/>
      <c r="L282" s="52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5"/>
      <c r="Y282" s="59"/>
      <c r="Z282" s="51"/>
      <c r="AA282" s="51"/>
    </row>
    <row r="283" spans="1:27" ht="15.75" thickBot="1" x14ac:dyDescent="0.3">
      <c r="A283" s="48" t="s">
        <v>60</v>
      </c>
      <c r="B283" s="49" t="s">
        <v>9</v>
      </c>
      <c r="C283" s="50"/>
      <c r="D283" s="50"/>
      <c r="E283" s="50"/>
      <c r="F283" s="53"/>
      <c r="G283" s="53"/>
      <c r="H283" s="53"/>
      <c r="I283" s="53"/>
      <c r="J283" s="53"/>
      <c r="K283" s="53"/>
      <c r="L283" s="62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6"/>
      <c r="Y283" s="60"/>
      <c r="Z283" s="53"/>
      <c r="AA283" s="53"/>
    </row>
    <row r="284" spans="1:27" ht="15.75" thickTop="1" x14ac:dyDescent="0.25">
      <c r="A284" s="15" t="s">
        <v>51</v>
      </c>
      <c r="B284" s="16" t="s">
        <v>52</v>
      </c>
      <c r="C284" s="16" t="s">
        <v>53</v>
      </c>
      <c r="D284" s="2"/>
      <c r="E284" s="2"/>
      <c r="F284" s="47"/>
      <c r="G284" s="47"/>
      <c r="H284" s="47"/>
      <c r="I284" s="47"/>
      <c r="J284" s="47"/>
      <c r="K284" s="47"/>
      <c r="L284" s="6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57"/>
      <c r="Y284" s="61"/>
      <c r="Z284" s="47"/>
      <c r="AA284" s="47"/>
    </row>
    <row r="285" spans="1:27" x14ac:dyDescent="0.25">
      <c r="A285" s="15" t="s">
        <v>51</v>
      </c>
      <c r="B285" s="16" t="s">
        <v>52</v>
      </c>
      <c r="C285" s="16" t="s">
        <v>54</v>
      </c>
      <c r="D285" s="2"/>
      <c r="E285" s="2"/>
      <c r="F285" s="1"/>
      <c r="G285" s="1"/>
      <c r="H285" s="1"/>
      <c r="I285" s="1"/>
      <c r="J285" s="1"/>
      <c r="K285" s="1"/>
      <c r="L285" s="5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54"/>
      <c r="Y285" s="58"/>
      <c r="Z285" s="1"/>
      <c r="AA285" s="1"/>
    </row>
    <row r="286" spans="1:27" x14ac:dyDescent="0.25">
      <c r="A286" s="15" t="s">
        <v>51</v>
      </c>
      <c r="B286" s="16" t="s">
        <v>52</v>
      </c>
      <c r="C286" s="16" t="s">
        <v>55</v>
      </c>
      <c r="D286" s="2"/>
      <c r="E286" s="2"/>
      <c r="F286" s="1"/>
      <c r="G286" s="1"/>
      <c r="H286" s="1"/>
      <c r="I286" s="1"/>
      <c r="J286" s="1"/>
      <c r="K286" s="1"/>
      <c r="L286" s="5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54"/>
      <c r="Y286" s="58"/>
      <c r="Z286" s="1"/>
      <c r="AA286" s="1"/>
    </row>
    <row r="287" spans="1:27" x14ac:dyDescent="0.25">
      <c r="A287" s="25" t="s">
        <v>51</v>
      </c>
      <c r="B287" s="26" t="s">
        <v>56</v>
      </c>
      <c r="C287" s="26" t="s">
        <v>57</v>
      </c>
      <c r="D287" s="2"/>
      <c r="E287" s="2"/>
      <c r="F287" s="1"/>
      <c r="G287" s="1"/>
      <c r="H287" s="1"/>
      <c r="I287" s="1"/>
      <c r="J287" s="1"/>
      <c r="K287" s="1"/>
      <c r="L287" s="5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54"/>
      <c r="Y287" s="58"/>
      <c r="Z287" s="1"/>
      <c r="AA287" s="1"/>
    </row>
    <row r="288" spans="1:27" x14ac:dyDescent="0.25">
      <c r="A288" s="15" t="s">
        <v>51</v>
      </c>
      <c r="B288" s="16" t="s">
        <v>56</v>
      </c>
      <c r="C288" s="27" t="s">
        <v>58</v>
      </c>
      <c r="D288" s="2"/>
      <c r="E288" s="2"/>
      <c r="F288" s="1"/>
      <c r="G288" s="1"/>
      <c r="H288" s="1"/>
      <c r="I288" s="1"/>
      <c r="J288" s="1"/>
      <c r="K288" s="1"/>
      <c r="L288" s="5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54"/>
      <c r="Y288" s="58"/>
      <c r="Z288" s="1"/>
      <c r="AA288" s="1"/>
    </row>
    <row r="289" spans="1:31" x14ac:dyDescent="0.25">
      <c r="A289" s="15" t="s">
        <v>51</v>
      </c>
      <c r="B289" s="16" t="s">
        <v>9</v>
      </c>
      <c r="C289" s="27" t="s">
        <v>59</v>
      </c>
      <c r="D289" s="2"/>
      <c r="E289" s="2"/>
      <c r="F289" s="1"/>
      <c r="G289" s="1"/>
      <c r="H289" s="1"/>
      <c r="I289" s="1"/>
      <c r="J289" s="1"/>
      <c r="K289" s="1"/>
      <c r="L289" s="5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54"/>
      <c r="Y289" s="58"/>
      <c r="Z289" s="1"/>
      <c r="AA289" s="1"/>
    </row>
    <row r="290" spans="1:31" x14ac:dyDescent="0.25">
      <c r="A290" s="15" t="s">
        <v>51</v>
      </c>
      <c r="B290" s="16" t="s">
        <v>9</v>
      </c>
      <c r="C290" s="27" t="s">
        <v>9</v>
      </c>
      <c r="D290" s="2"/>
      <c r="E290" s="2"/>
      <c r="F290" s="1"/>
      <c r="G290" s="1"/>
      <c r="H290" s="1"/>
      <c r="I290" s="1"/>
      <c r="J290" s="1"/>
      <c r="K290" s="1"/>
      <c r="L290" s="5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54"/>
      <c r="Y290" s="58"/>
      <c r="Z290" s="1"/>
      <c r="AA290" s="1"/>
    </row>
    <row r="291" spans="1:31" x14ac:dyDescent="0.25">
      <c r="A291" s="28" t="s">
        <v>60</v>
      </c>
      <c r="B291" s="29" t="s">
        <v>13</v>
      </c>
      <c r="C291" s="29" t="s">
        <v>61</v>
      </c>
      <c r="D291" s="2"/>
      <c r="E291" s="2"/>
      <c r="F291" s="51">
        <v>180</v>
      </c>
      <c r="G291" s="51"/>
      <c r="H291" s="51">
        <v>170</v>
      </c>
      <c r="I291" s="51">
        <v>170</v>
      </c>
      <c r="J291" s="51">
        <v>170</v>
      </c>
      <c r="K291" s="51">
        <v>170</v>
      </c>
      <c r="L291" s="52"/>
      <c r="M291" s="51">
        <v>180</v>
      </c>
      <c r="N291" s="51">
        <v>160</v>
      </c>
      <c r="O291" s="51">
        <v>180</v>
      </c>
      <c r="P291" s="51">
        <v>180</v>
      </c>
      <c r="Q291" s="51">
        <v>180</v>
      </c>
      <c r="R291" s="51">
        <v>180</v>
      </c>
      <c r="S291" s="51"/>
      <c r="T291" s="51">
        <v>180</v>
      </c>
      <c r="U291" s="51">
        <v>180</v>
      </c>
      <c r="V291" s="51">
        <v>180</v>
      </c>
      <c r="W291" s="51">
        <v>180</v>
      </c>
      <c r="X291" s="55">
        <v>180</v>
      </c>
      <c r="Y291" s="59"/>
      <c r="Z291" s="51"/>
      <c r="AA291" s="51"/>
    </row>
    <row r="292" spans="1:31" x14ac:dyDescent="0.25">
      <c r="A292" s="36" t="s">
        <v>60</v>
      </c>
      <c r="B292" s="37" t="s">
        <v>13</v>
      </c>
      <c r="C292" s="29" t="s">
        <v>62</v>
      </c>
      <c r="D292" s="2"/>
      <c r="E292" s="2"/>
      <c r="F292" s="51">
        <v>180</v>
      </c>
      <c r="G292" s="51">
        <v>180</v>
      </c>
      <c r="H292" s="51">
        <v>170</v>
      </c>
      <c r="I292" s="51"/>
      <c r="J292" s="51"/>
      <c r="K292" s="51"/>
      <c r="L292" s="52"/>
      <c r="M292" s="51"/>
      <c r="N292" s="51"/>
      <c r="O292" s="51"/>
      <c r="P292" s="51">
        <v>180</v>
      </c>
      <c r="Q292" s="51"/>
      <c r="R292" s="51"/>
      <c r="S292" s="51"/>
      <c r="T292" s="51"/>
      <c r="U292" s="51"/>
      <c r="V292" s="51"/>
      <c r="W292" s="51"/>
      <c r="X292" s="55"/>
      <c r="Y292" s="59"/>
      <c r="Z292" s="51"/>
      <c r="AA292" s="51"/>
    </row>
    <row r="293" spans="1:31" x14ac:dyDescent="0.25">
      <c r="A293" s="30" t="s">
        <v>60</v>
      </c>
      <c r="B293" s="31" t="s">
        <v>13</v>
      </c>
      <c r="C293" s="32" t="s">
        <v>63</v>
      </c>
      <c r="D293" s="2"/>
      <c r="E293" s="2"/>
      <c r="F293" s="51"/>
      <c r="G293" s="51"/>
      <c r="H293" s="51"/>
      <c r="I293" s="51"/>
      <c r="J293" s="51"/>
      <c r="K293" s="51"/>
      <c r="L293" s="52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5"/>
      <c r="Y293" s="59"/>
      <c r="Z293" s="51"/>
      <c r="AA293" s="51"/>
    </row>
    <row r="294" spans="1:31" x14ac:dyDescent="0.25">
      <c r="A294" s="30" t="s">
        <v>60</v>
      </c>
      <c r="B294" s="32" t="s">
        <v>23</v>
      </c>
      <c r="C294" s="31" t="s">
        <v>50</v>
      </c>
      <c r="D294" s="2"/>
      <c r="E294" s="2"/>
      <c r="F294" s="51">
        <v>65</v>
      </c>
      <c r="G294" s="51"/>
      <c r="H294" s="51"/>
      <c r="I294" s="51"/>
      <c r="J294" s="51">
        <v>65</v>
      </c>
      <c r="K294" s="51">
        <v>70</v>
      </c>
      <c r="L294" s="52"/>
      <c r="M294" s="51">
        <v>65</v>
      </c>
      <c r="N294" s="51">
        <v>65</v>
      </c>
      <c r="O294" s="51"/>
      <c r="P294" s="51"/>
      <c r="Q294" s="51"/>
      <c r="R294" s="51"/>
      <c r="S294" s="51"/>
      <c r="T294" s="51"/>
      <c r="U294" s="51"/>
      <c r="V294" s="51"/>
      <c r="W294" s="51"/>
      <c r="X294" s="55"/>
      <c r="Y294" s="59"/>
      <c r="Z294" s="51"/>
      <c r="AA294" s="51"/>
      <c r="AB294" t="s">
        <v>13</v>
      </c>
      <c r="AC294" t="s">
        <v>111</v>
      </c>
      <c r="AD294" t="s">
        <v>106</v>
      </c>
    </row>
    <row r="295" spans="1:31" x14ac:dyDescent="0.25">
      <c r="A295" s="30" t="s">
        <v>60</v>
      </c>
      <c r="B295" s="32" t="s">
        <v>23</v>
      </c>
      <c r="C295" s="31" t="s">
        <v>49</v>
      </c>
      <c r="D295" s="2"/>
      <c r="E295" s="2"/>
      <c r="F295" s="51"/>
      <c r="G295" s="51"/>
      <c r="H295" s="51"/>
      <c r="I295" s="51"/>
      <c r="J295" s="51">
        <v>45</v>
      </c>
      <c r="K295" s="51">
        <v>45</v>
      </c>
      <c r="L295" s="52"/>
      <c r="M295" s="51"/>
      <c r="N295" s="51"/>
      <c r="O295" s="51"/>
      <c r="P295" s="51"/>
      <c r="Q295" s="51"/>
      <c r="R295" s="51"/>
      <c r="S295" s="51">
        <v>45</v>
      </c>
      <c r="T295" s="51">
        <v>35</v>
      </c>
      <c r="U295" s="51"/>
      <c r="V295" s="51">
        <v>45</v>
      </c>
      <c r="W295" s="51"/>
      <c r="X295" s="55">
        <v>45</v>
      </c>
      <c r="Y295" s="59"/>
      <c r="Z295" s="51"/>
      <c r="AA295" s="51"/>
      <c r="AB295">
        <v>2.9</v>
      </c>
      <c r="AC295">
        <v>3.2</v>
      </c>
      <c r="AD295">
        <v>1.8</v>
      </c>
      <c r="AE295" t="s">
        <v>107</v>
      </c>
    </row>
    <row r="296" spans="1:31" x14ac:dyDescent="0.25">
      <c r="A296" s="30" t="s">
        <v>60</v>
      </c>
      <c r="B296" s="32" t="s">
        <v>23</v>
      </c>
      <c r="C296" s="31" t="s">
        <v>64</v>
      </c>
      <c r="D296" s="2"/>
      <c r="E296" s="2"/>
      <c r="F296" s="51"/>
      <c r="G296" s="51"/>
      <c r="H296" s="51"/>
      <c r="I296" s="51"/>
      <c r="J296" s="51"/>
      <c r="K296" s="51"/>
      <c r="L296" s="52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5"/>
      <c r="Y296" s="59"/>
      <c r="Z296" s="51"/>
      <c r="AA296" s="51"/>
      <c r="AB296">
        <v>3.6</v>
      </c>
      <c r="AC296">
        <v>1.2</v>
      </c>
      <c r="AD296">
        <v>1.2</v>
      </c>
      <c r="AE296" t="s">
        <v>108</v>
      </c>
    </row>
    <row r="297" spans="1:31" x14ac:dyDescent="0.25">
      <c r="A297" s="30" t="s">
        <v>60</v>
      </c>
      <c r="B297" s="32" t="s">
        <v>65</v>
      </c>
      <c r="C297" s="31" t="s">
        <v>66</v>
      </c>
      <c r="D297" s="2"/>
      <c r="E297" s="2"/>
      <c r="F297" s="51"/>
      <c r="G297" s="51"/>
      <c r="H297" s="51"/>
      <c r="I297" s="51"/>
      <c r="J297" s="51">
        <v>40</v>
      </c>
      <c r="K297" s="51"/>
      <c r="L297" s="52"/>
      <c r="M297" s="51">
        <v>40</v>
      </c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5"/>
      <c r="Y297" s="59"/>
      <c r="Z297" s="51"/>
      <c r="AA297" s="51"/>
      <c r="AB297">
        <v>65.099999999999994</v>
      </c>
      <c r="AC297">
        <v>42.7</v>
      </c>
      <c r="AD297">
        <v>42.2</v>
      </c>
      <c r="AE297" t="s">
        <v>109</v>
      </c>
    </row>
    <row r="298" spans="1:31" x14ac:dyDescent="0.25">
      <c r="A298" s="30" t="s">
        <v>60</v>
      </c>
      <c r="B298" s="32" t="s">
        <v>65</v>
      </c>
      <c r="C298" s="31" t="s">
        <v>67</v>
      </c>
      <c r="D298" s="2"/>
      <c r="E298" s="2"/>
      <c r="F298" s="51"/>
      <c r="G298" s="51"/>
      <c r="H298" s="51"/>
      <c r="I298" s="51"/>
      <c r="J298" s="51"/>
      <c r="K298" s="51"/>
      <c r="L298" s="52"/>
      <c r="M298" s="51"/>
      <c r="N298" s="51"/>
      <c r="O298" s="51"/>
      <c r="P298" s="51"/>
      <c r="Q298" s="51">
        <v>35</v>
      </c>
      <c r="R298" s="51">
        <v>35</v>
      </c>
      <c r="S298" s="51"/>
      <c r="T298" s="51">
        <v>35</v>
      </c>
      <c r="U298" s="51">
        <v>35</v>
      </c>
      <c r="V298" s="51">
        <v>35</v>
      </c>
      <c r="W298" s="51">
        <v>35</v>
      </c>
      <c r="X298" s="55">
        <v>35</v>
      </c>
      <c r="Y298" s="59"/>
      <c r="Z298" s="51"/>
      <c r="AA298" s="51"/>
      <c r="AB298">
        <v>18.2</v>
      </c>
      <c r="AC298">
        <v>22</v>
      </c>
      <c r="AD298">
        <v>22.2</v>
      </c>
      <c r="AE298" t="s">
        <v>110</v>
      </c>
    </row>
    <row r="299" spans="1:31" x14ac:dyDescent="0.25">
      <c r="A299" s="30" t="s">
        <v>60</v>
      </c>
      <c r="B299" s="32" t="s">
        <v>65</v>
      </c>
      <c r="C299" s="31" t="s">
        <v>68</v>
      </c>
      <c r="D299" s="2"/>
      <c r="E299" s="2"/>
      <c r="F299" s="51"/>
      <c r="G299" s="51"/>
      <c r="H299" s="51"/>
      <c r="I299" s="51"/>
      <c r="J299" s="51"/>
      <c r="K299" s="51"/>
      <c r="L299" s="52">
        <v>40</v>
      </c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5"/>
      <c r="Y299" s="59"/>
      <c r="Z299" s="51"/>
      <c r="AA299" s="51"/>
      <c r="AB299">
        <v>47</v>
      </c>
      <c r="AC299">
        <v>58</v>
      </c>
      <c r="AD299">
        <v>49</v>
      </c>
      <c r="AE299" t="s">
        <v>102</v>
      </c>
    </row>
    <row r="300" spans="1:31" x14ac:dyDescent="0.25">
      <c r="A300" s="30" t="s">
        <v>60</v>
      </c>
      <c r="B300" s="32" t="s">
        <v>9</v>
      </c>
      <c r="C300" s="31" t="s">
        <v>69</v>
      </c>
      <c r="D300" s="2"/>
      <c r="E300" s="2"/>
      <c r="F300" s="51"/>
      <c r="G300" s="51"/>
      <c r="H300" s="51"/>
      <c r="I300" s="51"/>
      <c r="J300" s="51"/>
      <c r="K300" s="51"/>
      <c r="L300" s="52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5">
        <v>60</v>
      </c>
      <c r="Y300" s="59"/>
      <c r="Z300" s="51"/>
      <c r="AA300" s="51"/>
      <c r="AB300">
        <f>AB295*AB296</f>
        <v>10.44</v>
      </c>
      <c r="AC300">
        <f>AC295*AC296</f>
        <v>3.84</v>
      </c>
      <c r="AD300">
        <f>AD295*AD296</f>
        <v>2.16</v>
      </c>
      <c r="AE300" t="s">
        <v>91</v>
      </c>
    </row>
    <row r="301" spans="1:31" x14ac:dyDescent="0.25">
      <c r="A301" s="15" t="s">
        <v>51</v>
      </c>
      <c r="B301" s="16" t="s">
        <v>56</v>
      </c>
      <c r="C301" s="27" t="s">
        <v>57</v>
      </c>
      <c r="D301" s="16" t="s">
        <v>70</v>
      </c>
      <c r="E301" s="16"/>
      <c r="F301" s="1"/>
      <c r="G301" s="1"/>
      <c r="H301" s="1"/>
      <c r="I301" s="1"/>
      <c r="J301" s="1"/>
      <c r="K301" s="1"/>
      <c r="L301" s="5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54"/>
      <c r="Y301" s="58"/>
      <c r="Z301" s="1"/>
      <c r="AA301" s="1"/>
      <c r="AB301">
        <f>(AB298/100)^2*AB297/100</f>
        <v>2.1563723999999999E-2</v>
      </c>
      <c r="AC301">
        <f>(AC298/100)^2*AC297/100</f>
        <v>2.0666800000000003E-2</v>
      </c>
      <c r="AD301">
        <f>(AD298/100)^2*AD297/100</f>
        <v>2.0797848000000001E-2</v>
      </c>
      <c r="AE301" t="s">
        <v>112</v>
      </c>
    </row>
    <row r="302" spans="1:31" x14ac:dyDescent="0.25">
      <c r="A302" s="15" t="s">
        <v>51</v>
      </c>
      <c r="B302" s="16" t="s">
        <v>56</v>
      </c>
      <c r="C302" s="27" t="s">
        <v>57</v>
      </c>
      <c r="D302" s="16" t="s">
        <v>71</v>
      </c>
      <c r="E302" s="16"/>
      <c r="F302" s="1"/>
      <c r="G302" s="1"/>
      <c r="H302" s="1"/>
      <c r="I302" s="1"/>
      <c r="J302" s="1"/>
      <c r="K302" s="1"/>
      <c r="L302" s="5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54"/>
      <c r="Y302" s="58"/>
      <c r="Z302" s="1"/>
      <c r="AA302" s="1"/>
      <c r="AB302">
        <f>AB300/AB299</f>
        <v>0.22212765957446806</v>
      </c>
      <c r="AC302">
        <f>AC300/AC299</f>
        <v>6.620689655172414E-2</v>
      </c>
      <c r="AD302">
        <f>AD300/AD299</f>
        <v>4.4081632653061226E-2</v>
      </c>
      <c r="AE302" t="s">
        <v>104</v>
      </c>
    </row>
    <row r="303" spans="1:31" x14ac:dyDescent="0.25">
      <c r="A303" s="15" t="s">
        <v>51</v>
      </c>
      <c r="B303" s="16" t="s">
        <v>56</v>
      </c>
      <c r="C303" s="27" t="s">
        <v>27</v>
      </c>
      <c r="D303" s="16" t="s">
        <v>72</v>
      </c>
      <c r="E303" s="16"/>
      <c r="F303" s="1"/>
      <c r="G303" s="1"/>
      <c r="H303" s="1"/>
      <c r="I303" s="1"/>
      <c r="J303" s="1"/>
      <c r="K303" s="1"/>
      <c r="L303" s="5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54"/>
      <c r="Y303" s="58"/>
      <c r="Z303" s="1"/>
      <c r="AA303" s="1"/>
      <c r="AB303">
        <f>AB300/AB301</f>
        <v>484.14643036610931</v>
      </c>
      <c r="AC303">
        <f>AC300/AC301</f>
        <v>185.8052528693363</v>
      </c>
      <c r="AD303">
        <f>AD300/AD301</f>
        <v>103.85689904070844</v>
      </c>
      <c r="AE303" t="s">
        <v>113</v>
      </c>
    </row>
    <row r="304" spans="1:31" x14ac:dyDescent="0.25">
      <c r="A304" s="15" t="s">
        <v>51</v>
      </c>
      <c r="B304" s="16" t="s">
        <v>56</v>
      </c>
      <c r="C304" s="27" t="s">
        <v>57</v>
      </c>
      <c r="D304" s="16" t="s">
        <v>73</v>
      </c>
      <c r="E304" s="16"/>
      <c r="F304" s="1"/>
      <c r="G304" s="1"/>
      <c r="H304" s="1"/>
      <c r="I304" s="1"/>
      <c r="J304" s="1"/>
      <c r="K304" s="1"/>
      <c r="L304" s="5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54"/>
      <c r="Y304" s="58"/>
      <c r="Z304" s="1"/>
      <c r="AA304" s="1"/>
    </row>
    <row r="305" spans="1:27" x14ac:dyDescent="0.25">
      <c r="A305" s="15" t="s">
        <v>51</v>
      </c>
      <c r="B305" s="16" t="s">
        <v>56</v>
      </c>
      <c r="C305" s="27" t="s">
        <v>57</v>
      </c>
      <c r="D305" s="16" t="s">
        <v>74</v>
      </c>
      <c r="E305" s="16"/>
      <c r="F305" s="1"/>
      <c r="G305" s="1"/>
      <c r="H305" s="1"/>
      <c r="I305" s="1"/>
      <c r="J305" s="1"/>
      <c r="K305" s="1"/>
      <c r="L305" s="5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54"/>
      <c r="Y305" s="58"/>
      <c r="Z305" s="1"/>
      <c r="AA305" s="1"/>
    </row>
    <row r="306" spans="1:27" x14ac:dyDescent="0.25">
      <c r="A306" s="30" t="s">
        <v>60</v>
      </c>
      <c r="B306" s="31" t="s">
        <v>13</v>
      </c>
      <c r="C306" s="32" t="s">
        <v>61</v>
      </c>
      <c r="D306" s="31" t="s">
        <v>75</v>
      </c>
      <c r="E306" s="31"/>
      <c r="F306" s="51"/>
      <c r="G306" s="51"/>
      <c r="H306" s="51"/>
      <c r="I306" s="51"/>
      <c r="J306" s="51"/>
      <c r="K306" s="51"/>
      <c r="L306" s="52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5"/>
      <c r="Y306" s="59"/>
      <c r="Z306" s="51"/>
      <c r="AA306" s="51"/>
    </row>
    <row r="307" spans="1:27" x14ac:dyDescent="0.25">
      <c r="A307" s="30" t="s">
        <v>60</v>
      </c>
      <c r="B307" s="31" t="s">
        <v>13</v>
      </c>
      <c r="C307" s="32" t="s">
        <v>61</v>
      </c>
      <c r="D307" s="31" t="s">
        <v>76</v>
      </c>
      <c r="E307" s="31"/>
      <c r="F307" s="51"/>
      <c r="G307" s="51"/>
      <c r="H307" s="51"/>
      <c r="I307" s="51"/>
      <c r="J307" s="51"/>
      <c r="K307" s="51"/>
      <c r="L307" s="52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5"/>
      <c r="Y307" s="59"/>
      <c r="Z307" s="51"/>
      <c r="AA307" s="51"/>
    </row>
    <row r="308" spans="1:27" x14ac:dyDescent="0.25">
      <c r="A308" s="30" t="s">
        <v>60</v>
      </c>
      <c r="B308" s="31" t="s">
        <v>13</v>
      </c>
      <c r="C308" s="32" t="s">
        <v>61</v>
      </c>
      <c r="D308" s="31" t="s">
        <v>77</v>
      </c>
      <c r="E308" s="31"/>
      <c r="F308" s="51"/>
      <c r="G308" s="51"/>
      <c r="H308" s="51"/>
      <c r="I308" s="51"/>
      <c r="J308" s="51"/>
      <c r="K308" s="51"/>
      <c r="L308" s="52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5"/>
      <c r="Y308" s="59"/>
      <c r="Z308" s="51"/>
      <c r="AA308" s="51"/>
    </row>
    <row r="309" spans="1:27" x14ac:dyDescent="0.25">
      <c r="A309" s="30" t="s">
        <v>60</v>
      </c>
      <c r="B309" s="31" t="s">
        <v>13</v>
      </c>
      <c r="C309" s="32" t="s">
        <v>61</v>
      </c>
      <c r="D309" s="31" t="s">
        <v>78</v>
      </c>
      <c r="E309" s="31"/>
      <c r="F309" s="51"/>
      <c r="G309" s="51"/>
      <c r="H309" s="51"/>
      <c r="I309" s="51"/>
      <c r="J309" s="51"/>
      <c r="K309" s="51"/>
      <c r="L309" s="52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5"/>
      <c r="Y309" s="59"/>
      <c r="Z309" s="51"/>
      <c r="AA309" s="51"/>
    </row>
    <row r="310" spans="1:27" ht="15.75" thickBot="1" x14ac:dyDescent="0.3">
      <c r="A310" s="33" t="s">
        <v>60</v>
      </c>
      <c r="B310" s="34" t="s">
        <v>13</v>
      </c>
      <c r="C310" s="35" t="s">
        <v>61</v>
      </c>
      <c r="D310" s="34" t="s">
        <v>79</v>
      </c>
      <c r="E310" s="31"/>
      <c r="F310" s="51"/>
      <c r="G310" s="51"/>
      <c r="H310" s="51"/>
      <c r="I310" s="51"/>
      <c r="J310" s="51"/>
      <c r="K310" s="51"/>
      <c r="L310" s="52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5"/>
      <c r="Y310" s="59"/>
      <c r="Z310" s="51"/>
      <c r="AA310" s="51"/>
    </row>
    <row r="311" spans="1:27" x14ac:dyDescent="0.25">
      <c r="A311" s="30" t="s">
        <v>60</v>
      </c>
      <c r="B311" s="31" t="s">
        <v>13</v>
      </c>
      <c r="C311" s="32" t="s">
        <v>62</v>
      </c>
      <c r="D311" s="31" t="s">
        <v>75</v>
      </c>
      <c r="E311" s="31"/>
      <c r="F311" s="51"/>
      <c r="G311" s="51"/>
      <c r="H311" s="51"/>
      <c r="I311" s="51"/>
      <c r="J311" s="51"/>
      <c r="K311" s="51"/>
      <c r="L311" s="52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5"/>
      <c r="Y311" s="59"/>
      <c r="Z311" s="51"/>
      <c r="AA311" s="51"/>
    </row>
    <row r="312" spans="1:27" x14ac:dyDescent="0.25">
      <c r="A312" s="30" t="s">
        <v>60</v>
      </c>
      <c r="B312" s="31" t="s">
        <v>13</v>
      </c>
      <c r="C312" s="32" t="s">
        <v>62</v>
      </c>
      <c r="D312" s="31" t="s">
        <v>76</v>
      </c>
      <c r="E312" s="31"/>
      <c r="F312" s="51"/>
      <c r="G312" s="51"/>
      <c r="H312" s="51"/>
      <c r="I312" s="51"/>
      <c r="J312" s="51"/>
      <c r="K312" s="51"/>
      <c r="L312" s="52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5"/>
      <c r="Y312" s="59"/>
      <c r="Z312" s="51"/>
      <c r="AA312" s="51"/>
    </row>
    <row r="313" spans="1:27" x14ac:dyDescent="0.25">
      <c r="A313" s="30" t="s">
        <v>60</v>
      </c>
      <c r="B313" s="31" t="s">
        <v>13</v>
      </c>
      <c r="C313" s="32" t="s">
        <v>62</v>
      </c>
      <c r="D313" s="31" t="s">
        <v>77</v>
      </c>
      <c r="E313" s="31"/>
      <c r="F313" s="51"/>
      <c r="G313" s="51"/>
      <c r="H313" s="51"/>
      <c r="I313" s="51"/>
      <c r="J313" s="51"/>
      <c r="K313" s="51"/>
      <c r="L313" s="52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5"/>
      <c r="Y313" s="59"/>
      <c r="Z313" s="51"/>
      <c r="AA313" s="51"/>
    </row>
    <row r="314" spans="1:27" x14ac:dyDescent="0.25">
      <c r="A314" s="30" t="s">
        <v>60</v>
      </c>
      <c r="B314" s="31" t="s">
        <v>13</v>
      </c>
      <c r="C314" s="32" t="s">
        <v>62</v>
      </c>
      <c r="D314" s="31" t="s">
        <v>78</v>
      </c>
      <c r="E314" s="31"/>
      <c r="F314" s="51"/>
      <c r="G314" s="51"/>
      <c r="H314" s="51"/>
      <c r="I314" s="51"/>
      <c r="J314" s="51"/>
      <c r="K314" s="51"/>
      <c r="L314" s="52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5"/>
      <c r="Y314" s="59"/>
      <c r="Z314" s="51"/>
      <c r="AA314" s="51"/>
    </row>
    <row r="315" spans="1:27" ht="15.75" thickBot="1" x14ac:dyDescent="0.3">
      <c r="A315" s="33" t="s">
        <v>60</v>
      </c>
      <c r="B315" s="34" t="s">
        <v>13</v>
      </c>
      <c r="C315" s="32" t="s">
        <v>62</v>
      </c>
      <c r="D315" s="34" t="s">
        <v>79</v>
      </c>
      <c r="E315" s="31"/>
      <c r="F315" s="51"/>
      <c r="G315" s="51"/>
      <c r="H315" s="51"/>
      <c r="I315" s="51"/>
      <c r="J315" s="51"/>
      <c r="K315" s="51"/>
      <c r="L315" s="52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5"/>
      <c r="Y315" s="59"/>
      <c r="Z315" s="51"/>
      <c r="AA315" s="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15"/>
  <sheetViews>
    <sheetView workbookViewId="0"/>
  </sheetViews>
  <sheetFormatPr baseColWidth="10" defaultColWidth="8.85546875" defaultRowHeight="15" x14ac:dyDescent="0.25"/>
  <cols>
    <col min="5" max="5" width="9.140625" customWidth="1"/>
    <col min="25" max="25" width="9.140625" bestFit="1" customWidth="1"/>
    <col min="26" max="26" width="8.85546875" bestFit="1" customWidth="1"/>
    <col min="27" max="27" width="9.42578125" customWidth="1"/>
  </cols>
  <sheetData>
    <row r="1" spans="1:33" ht="18.75" x14ac:dyDescent="0.3">
      <c r="A1" s="42" t="s">
        <v>14</v>
      </c>
      <c r="B1" s="42"/>
      <c r="C1" s="112">
        <v>2017</v>
      </c>
    </row>
    <row r="2" spans="1:33" x14ac:dyDescent="0.25">
      <c r="D2" s="41" t="s">
        <v>1</v>
      </c>
      <c r="E2" s="41"/>
      <c r="M2" s="24" t="s">
        <v>81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33" x14ac:dyDescent="0.25">
      <c r="F3" s="23" t="s">
        <v>44</v>
      </c>
      <c r="G3" s="23"/>
      <c r="H3" s="23"/>
      <c r="I3" s="23"/>
      <c r="J3" s="23"/>
      <c r="K3" s="23"/>
      <c r="L3" s="7" t="s">
        <v>30</v>
      </c>
      <c r="M3" s="24" t="s">
        <v>46</v>
      </c>
      <c r="N3" s="24"/>
      <c r="O3" s="24"/>
      <c r="P3" s="24"/>
      <c r="Q3" s="24"/>
      <c r="R3" s="24" t="s">
        <v>47</v>
      </c>
      <c r="S3" s="24"/>
      <c r="T3" s="24"/>
      <c r="U3" s="24"/>
      <c r="V3" s="24"/>
      <c r="W3" s="24"/>
      <c r="X3" s="24"/>
      <c r="Y3" s="44" t="s">
        <v>85</v>
      </c>
      <c r="Z3" s="44" t="s">
        <v>48</v>
      </c>
      <c r="AA3" s="44" t="s">
        <v>3</v>
      </c>
    </row>
    <row r="4" spans="1:33" ht="63" x14ac:dyDescent="0.25">
      <c r="F4" s="38" t="s">
        <v>36</v>
      </c>
      <c r="G4" s="38" t="s">
        <v>37</v>
      </c>
      <c r="H4" s="38" t="s">
        <v>38</v>
      </c>
      <c r="I4" s="38" t="s">
        <v>80</v>
      </c>
      <c r="J4" s="38" t="s">
        <v>39</v>
      </c>
      <c r="K4" s="38" t="s">
        <v>45</v>
      </c>
      <c r="L4" s="39" t="s">
        <v>16</v>
      </c>
      <c r="M4" s="40" t="s">
        <v>34</v>
      </c>
      <c r="N4" s="40" t="s">
        <v>5</v>
      </c>
      <c r="O4" s="40" t="s">
        <v>7</v>
      </c>
      <c r="P4" s="40" t="s">
        <v>8</v>
      </c>
      <c r="Q4" s="40" t="s">
        <v>40</v>
      </c>
      <c r="R4" s="40" t="s">
        <v>41</v>
      </c>
      <c r="S4" s="40" t="s">
        <v>42</v>
      </c>
      <c r="T4" s="40" t="s">
        <v>31</v>
      </c>
      <c r="U4" s="40" t="s">
        <v>43</v>
      </c>
      <c r="V4" s="40" t="s">
        <v>82</v>
      </c>
      <c r="W4" s="40" t="s">
        <v>87</v>
      </c>
      <c r="X4" s="40" t="s">
        <v>83</v>
      </c>
      <c r="Y4" s="45" t="s">
        <v>3</v>
      </c>
      <c r="Z4" s="45" t="s">
        <v>3</v>
      </c>
      <c r="AA4" s="45" t="s">
        <v>3</v>
      </c>
    </row>
    <row r="5" spans="1:33" x14ac:dyDescent="0.25">
      <c r="A5" s="15" t="s">
        <v>51</v>
      </c>
      <c r="B5" s="2"/>
      <c r="C5" s="2"/>
      <c r="D5">
        <f>6000*0.045</f>
        <v>270</v>
      </c>
      <c r="F5" s="1">
        <f t="shared" ref="F5:X5" si="0">F7+F8+F9</f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52">
        <f t="shared" si="0"/>
        <v>0</v>
      </c>
      <c r="M5" s="1">
        <f t="shared" si="0"/>
        <v>300000</v>
      </c>
      <c r="N5" s="1">
        <f t="shared" si="0"/>
        <v>0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1">
        <f t="shared" si="0"/>
        <v>0</v>
      </c>
      <c r="V5" s="1">
        <f t="shared" si="0"/>
        <v>0</v>
      </c>
      <c r="W5" s="1">
        <f t="shared" si="0"/>
        <v>0</v>
      </c>
      <c r="X5" s="1">
        <f t="shared" si="0"/>
        <v>0</v>
      </c>
      <c r="Y5" s="58">
        <f t="shared" ref="Y5:Y45" si="1">SUM(F5:K5)</f>
        <v>0</v>
      </c>
      <c r="Z5" s="1">
        <f t="shared" ref="Z5:Z45" si="2">SUM(M5:X5)</f>
        <v>300000</v>
      </c>
      <c r="AA5" s="1">
        <f t="shared" ref="AA5:AA12" si="3">L5+Y5+Z5</f>
        <v>300000</v>
      </c>
    </row>
    <row r="6" spans="1:33" x14ac:dyDescent="0.25">
      <c r="A6" s="30" t="s">
        <v>60</v>
      </c>
      <c r="B6" s="2"/>
      <c r="C6" s="2"/>
      <c r="F6" s="1">
        <f>F10+F11+F12+F13</f>
        <v>8600</v>
      </c>
      <c r="G6" s="1">
        <f t="shared" ref="G6:X6" si="4">G10+G11+G12+G13</f>
        <v>4500</v>
      </c>
      <c r="H6" s="1">
        <f t="shared" si="4"/>
        <v>11200</v>
      </c>
      <c r="I6" s="1">
        <f t="shared" si="4"/>
        <v>2940</v>
      </c>
      <c r="J6" s="1">
        <f t="shared" si="4"/>
        <v>9198.8333333333339</v>
      </c>
      <c r="K6" s="1">
        <f t="shared" si="4"/>
        <v>2941</v>
      </c>
      <c r="L6" s="52">
        <f t="shared" si="4"/>
        <v>300000</v>
      </c>
      <c r="M6" s="1">
        <f t="shared" si="4"/>
        <v>20750</v>
      </c>
      <c r="N6" s="1">
        <f t="shared" si="4"/>
        <v>3400</v>
      </c>
      <c r="O6" s="1">
        <f t="shared" si="4"/>
        <v>5400</v>
      </c>
      <c r="P6" s="1">
        <f t="shared" si="4"/>
        <v>45000</v>
      </c>
      <c r="Q6" s="1">
        <f t="shared" si="4"/>
        <v>34333.333333333336</v>
      </c>
      <c r="R6" s="1">
        <f t="shared" si="4"/>
        <v>17269.841269841272</v>
      </c>
      <c r="S6" s="1">
        <f t="shared" si="4"/>
        <v>245</v>
      </c>
      <c r="T6" s="1">
        <f t="shared" si="4"/>
        <v>15311.111111111111</v>
      </c>
      <c r="U6" s="1">
        <f t="shared" si="4"/>
        <v>6795.454545454545</v>
      </c>
      <c r="V6" s="1">
        <f t="shared" si="4"/>
        <v>5076.666666666667</v>
      </c>
      <c r="W6" s="1">
        <f t="shared" si="4"/>
        <v>7958.3333333333339</v>
      </c>
      <c r="X6" s="54">
        <f t="shared" si="4"/>
        <v>13909.523809523811</v>
      </c>
      <c r="Y6" s="58">
        <f t="shared" si="1"/>
        <v>39379.833333333336</v>
      </c>
      <c r="Z6" s="1">
        <f t="shared" si="2"/>
        <v>175449.26406926411</v>
      </c>
      <c r="AA6" s="1">
        <f t="shared" si="3"/>
        <v>514829.09740259743</v>
      </c>
    </row>
    <row r="7" spans="1:33" x14ac:dyDescent="0.25">
      <c r="A7" s="15" t="s">
        <v>51</v>
      </c>
      <c r="B7" s="16" t="s">
        <v>52</v>
      </c>
      <c r="C7" s="2"/>
      <c r="F7" s="1">
        <f>F14+F15+F16</f>
        <v>0</v>
      </c>
      <c r="G7" s="1">
        <f t="shared" ref="G7:X7" si="5">G14+G15+G16</f>
        <v>0</v>
      </c>
      <c r="H7" s="1">
        <f t="shared" si="5"/>
        <v>0</v>
      </c>
      <c r="I7" s="1">
        <f t="shared" si="5"/>
        <v>0</v>
      </c>
      <c r="J7" s="1">
        <f t="shared" si="5"/>
        <v>0</v>
      </c>
      <c r="K7" s="1">
        <f t="shared" si="5"/>
        <v>0</v>
      </c>
      <c r="L7" s="52">
        <f t="shared" si="5"/>
        <v>0</v>
      </c>
      <c r="M7" s="1">
        <f t="shared" si="5"/>
        <v>0</v>
      </c>
      <c r="N7" s="1">
        <f t="shared" si="5"/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  <c r="R7" s="1">
        <f t="shared" si="5"/>
        <v>0</v>
      </c>
      <c r="S7" s="1">
        <f t="shared" si="5"/>
        <v>0</v>
      </c>
      <c r="T7" s="1">
        <f t="shared" si="5"/>
        <v>0</v>
      </c>
      <c r="U7" s="1">
        <f t="shared" si="5"/>
        <v>0</v>
      </c>
      <c r="V7" s="1">
        <f t="shared" si="5"/>
        <v>0</v>
      </c>
      <c r="W7" s="1">
        <f t="shared" si="5"/>
        <v>0</v>
      </c>
      <c r="X7" s="54">
        <f t="shared" si="5"/>
        <v>0</v>
      </c>
      <c r="Y7" s="58">
        <f t="shared" si="1"/>
        <v>0</v>
      </c>
      <c r="Z7" s="1">
        <f t="shared" si="2"/>
        <v>0</v>
      </c>
      <c r="AA7" s="1">
        <f t="shared" si="3"/>
        <v>0</v>
      </c>
    </row>
    <row r="8" spans="1:33" x14ac:dyDescent="0.25">
      <c r="A8" s="15" t="s">
        <v>51</v>
      </c>
      <c r="B8" s="16" t="s">
        <v>56</v>
      </c>
      <c r="C8" s="2"/>
      <c r="F8" s="1">
        <f>F17+F18+F19</f>
        <v>0</v>
      </c>
      <c r="G8" s="1">
        <f t="shared" ref="G8:X8" si="6">G17+G18+G19</f>
        <v>0</v>
      </c>
      <c r="H8" s="1">
        <f t="shared" si="6"/>
        <v>0</v>
      </c>
      <c r="I8" s="1">
        <f t="shared" si="6"/>
        <v>0</v>
      </c>
      <c r="J8" s="1">
        <f t="shared" si="6"/>
        <v>0</v>
      </c>
      <c r="K8" s="1">
        <f t="shared" si="6"/>
        <v>0</v>
      </c>
      <c r="L8" s="52">
        <f t="shared" si="6"/>
        <v>0</v>
      </c>
      <c r="M8" s="1">
        <f t="shared" si="6"/>
        <v>300000</v>
      </c>
      <c r="N8" s="1">
        <f t="shared" si="6"/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  <c r="R8" s="1">
        <f t="shared" si="6"/>
        <v>0</v>
      </c>
      <c r="S8" s="1">
        <f t="shared" si="6"/>
        <v>0</v>
      </c>
      <c r="T8" s="1">
        <f t="shared" si="6"/>
        <v>0</v>
      </c>
      <c r="U8" s="1">
        <f t="shared" si="6"/>
        <v>0</v>
      </c>
      <c r="V8" s="1">
        <f t="shared" si="6"/>
        <v>0</v>
      </c>
      <c r="W8" s="1">
        <f t="shared" si="6"/>
        <v>0</v>
      </c>
      <c r="X8" s="54">
        <f t="shared" si="6"/>
        <v>0</v>
      </c>
      <c r="Y8" s="58">
        <f t="shared" si="1"/>
        <v>0</v>
      </c>
      <c r="Z8" s="1">
        <f t="shared" si="2"/>
        <v>300000</v>
      </c>
      <c r="AA8" s="1">
        <f t="shared" si="3"/>
        <v>300000</v>
      </c>
      <c r="AE8" s="98"/>
      <c r="AF8" s="98"/>
      <c r="AG8" s="98"/>
    </row>
    <row r="9" spans="1:33" x14ac:dyDescent="0.25">
      <c r="A9" s="15" t="s">
        <v>51</v>
      </c>
      <c r="B9" s="16" t="s">
        <v>9</v>
      </c>
      <c r="C9" s="2"/>
      <c r="F9" s="1">
        <f>F20</f>
        <v>0</v>
      </c>
      <c r="G9" s="1">
        <f t="shared" ref="G9:X9" si="7">G20</f>
        <v>0</v>
      </c>
      <c r="H9" s="1">
        <f t="shared" si="7"/>
        <v>0</v>
      </c>
      <c r="I9" s="1">
        <f t="shared" si="7"/>
        <v>0</v>
      </c>
      <c r="J9" s="1">
        <f t="shared" si="7"/>
        <v>0</v>
      </c>
      <c r="K9" s="1">
        <f t="shared" si="7"/>
        <v>0</v>
      </c>
      <c r="L9" s="52">
        <f t="shared" si="7"/>
        <v>0</v>
      </c>
      <c r="M9" s="1">
        <f t="shared" si="7"/>
        <v>0</v>
      </c>
      <c r="N9" s="1">
        <f t="shared" si="7"/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  <c r="R9" s="1">
        <f t="shared" si="7"/>
        <v>0</v>
      </c>
      <c r="S9" s="1">
        <f t="shared" si="7"/>
        <v>0</v>
      </c>
      <c r="T9" s="1">
        <f t="shared" si="7"/>
        <v>0</v>
      </c>
      <c r="U9" s="1">
        <f t="shared" si="7"/>
        <v>0</v>
      </c>
      <c r="V9" s="1">
        <f t="shared" si="7"/>
        <v>0</v>
      </c>
      <c r="W9" s="1">
        <f t="shared" si="7"/>
        <v>0</v>
      </c>
      <c r="X9" s="54">
        <f t="shared" si="7"/>
        <v>0</v>
      </c>
      <c r="Y9" s="58">
        <f t="shared" si="1"/>
        <v>0</v>
      </c>
      <c r="Z9" s="1">
        <f t="shared" si="2"/>
        <v>0</v>
      </c>
      <c r="AA9" s="1">
        <f t="shared" si="3"/>
        <v>0</v>
      </c>
      <c r="AE9" s="98"/>
      <c r="AF9" s="98"/>
      <c r="AG9" s="98"/>
    </row>
    <row r="10" spans="1:33" x14ac:dyDescent="0.25">
      <c r="A10" s="30" t="s">
        <v>60</v>
      </c>
      <c r="B10" s="32" t="s">
        <v>13</v>
      </c>
      <c r="C10" s="2"/>
      <c r="F10" s="51">
        <f>F21+F22+F23</f>
        <v>8600</v>
      </c>
      <c r="G10" s="51">
        <f t="shared" ref="G10:X10" si="8">G21+G22+G23</f>
        <v>4500</v>
      </c>
      <c r="H10" s="91">
        <v>11200</v>
      </c>
      <c r="I10" s="51">
        <f t="shared" si="8"/>
        <v>2940</v>
      </c>
      <c r="J10" s="51">
        <f t="shared" si="8"/>
        <v>2800</v>
      </c>
      <c r="K10" s="51">
        <f t="shared" si="8"/>
        <v>800</v>
      </c>
      <c r="L10" s="52">
        <f t="shared" si="8"/>
        <v>0</v>
      </c>
      <c r="M10" s="51">
        <f t="shared" si="8"/>
        <v>4500</v>
      </c>
      <c r="N10" s="51">
        <f t="shared" si="8"/>
        <v>2200</v>
      </c>
      <c r="O10" s="51">
        <f t="shared" si="8"/>
        <v>5400</v>
      </c>
      <c r="P10" s="51">
        <f t="shared" si="8"/>
        <v>45000</v>
      </c>
      <c r="Q10" s="51">
        <f t="shared" si="8"/>
        <v>2666.666666666667</v>
      </c>
      <c r="R10" s="51">
        <f t="shared" si="8"/>
        <v>1714.2857142857144</v>
      </c>
      <c r="S10" s="51">
        <f t="shared" si="8"/>
        <v>0</v>
      </c>
      <c r="T10" s="51">
        <f t="shared" si="8"/>
        <v>1050</v>
      </c>
      <c r="U10" s="51">
        <f t="shared" si="8"/>
        <v>2250</v>
      </c>
      <c r="V10" s="51">
        <f t="shared" si="8"/>
        <v>50</v>
      </c>
      <c r="W10" s="51">
        <f t="shared" si="8"/>
        <v>875</v>
      </c>
      <c r="X10" s="55">
        <f t="shared" si="8"/>
        <v>5000</v>
      </c>
      <c r="Y10" s="59">
        <f t="shared" si="1"/>
        <v>30840</v>
      </c>
      <c r="Z10" s="73">
        <f t="shared" si="2"/>
        <v>70705.952380952382</v>
      </c>
      <c r="AA10" s="73">
        <f t="shared" si="3"/>
        <v>101545.95238095238</v>
      </c>
      <c r="AB10" s="103">
        <v>120000</v>
      </c>
      <c r="AE10" s="98"/>
      <c r="AF10" s="98"/>
      <c r="AG10" s="98"/>
    </row>
    <row r="11" spans="1:33" x14ac:dyDescent="0.25">
      <c r="A11" s="30" t="s">
        <v>60</v>
      </c>
      <c r="B11" s="31" t="s">
        <v>23</v>
      </c>
      <c r="C11" s="2"/>
      <c r="F11" s="51">
        <f>F24+F25+F26</f>
        <v>0</v>
      </c>
      <c r="G11" s="51">
        <f t="shared" ref="G11:X11" si="9">G24+G25+G26</f>
        <v>0</v>
      </c>
      <c r="H11" s="51">
        <f t="shared" si="9"/>
        <v>0</v>
      </c>
      <c r="I11" s="51">
        <f t="shared" si="9"/>
        <v>0</v>
      </c>
      <c r="J11" s="51">
        <f t="shared" si="9"/>
        <v>1678</v>
      </c>
      <c r="K11" s="51">
        <f t="shared" si="9"/>
        <v>2141</v>
      </c>
      <c r="L11" s="52">
        <f t="shared" si="9"/>
        <v>0</v>
      </c>
      <c r="M11" s="51">
        <f t="shared" si="9"/>
        <v>0</v>
      </c>
      <c r="N11" s="51">
        <f t="shared" si="9"/>
        <v>1200</v>
      </c>
      <c r="O11" s="51">
        <f t="shared" si="9"/>
        <v>0</v>
      </c>
      <c r="P11" s="51">
        <f t="shared" si="9"/>
        <v>0</v>
      </c>
      <c r="Q11" s="51">
        <f t="shared" si="9"/>
        <v>0</v>
      </c>
      <c r="R11" s="51">
        <f t="shared" si="9"/>
        <v>0</v>
      </c>
      <c r="S11" s="51">
        <f t="shared" si="9"/>
        <v>245</v>
      </c>
      <c r="T11" s="51">
        <f t="shared" si="9"/>
        <v>650</v>
      </c>
      <c r="U11" s="51">
        <f t="shared" si="9"/>
        <v>0</v>
      </c>
      <c r="V11" s="51">
        <f t="shared" si="9"/>
        <v>100</v>
      </c>
      <c r="W11" s="51">
        <f t="shared" si="9"/>
        <v>0</v>
      </c>
      <c r="X11" s="55">
        <f t="shared" si="9"/>
        <v>100</v>
      </c>
      <c r="Y11" s="59">
        <f t="shared" si="1"/>
        <v>3819</v>
      </c>
      <c r="Z11" s="73">
        <f t="shared" si="2"/>
        <v>2295</v>
      </c>
      <c r="AA11" s="73">
        <f t="shared" si="3"/>
        <v>6114</v>
      </c>
      <c r="AC11" t="s">
        <v>14</v>
      </c>
      <c r="AD11" s="100">
        <f>AA10+AG22</f>
        <v>146545.95238095237</v>
      </c>
    </row>
    <row r="12" spans="1:33" x14ac:dyDescent="0.25">
      <c r="A12" s="30" t="s">
        <v>60</v>
      </c>
      <c r="B12" s="31" t="s">
        <v>65</v>
      </c>
      <c r="C12" s="46"/>
      <c r="F12" s="51">
        <f>F27+F28+F29</f>
        <v>0</v>
      </c>
      <c r="G12" s="51">
        <f t="shared" ref="G12:X12" si="10">G27+G28+G29</f>
        <v>0</v>
      </c>
      <c r="H12" s="51">
        <f t="shared" si="10"/>
        <v>0</v>
      </c>
      <c r="I12" s="51">
        <f t="shared" si="10"/>
        <v>0</v>
      </c>
      <c r="J12" s="51">
        <f t="shared" si="10"/>
        <v>4720.8333333333339</v>
      </c>
      <c r="K12" s="51">
        <f t="shared" si="10"/>
        <v>0</v>
      </c>
      <c r="L12" s="52">
        <f t="shared" si="10"/>
        <v>300000</v>
      </c>
      <c r="M12" s="51">
        <f t="shared" si="10"/>
        <v>16250</v>
      </c>
      <c r="N12" s="51">
        <f t="shared" si="10"/>
        <v>0</v>
      </c>
      <c r="O12" s="51">
        <f t="shared" si="10"/>
        <v>0</v>
      </c>
      <c r="P12" s="51">
        <f t="shared" si="10"/>
        <v>0</v>
      </c>
      <c r="Q12" s="51">
        <f t="shared" si="10"/>
        <v>31666.666666666668</v>
      </c>
      <c r="R12" s="51">
        <f t="shared" si="10"/>
        <v>15555.555555555557</v>
      </c>
      <c r="S12" s="51">
        <f t="shared" si="10"/>
        <v>0</v>
      </c>
      <c r="T12" s="51">
        <f t="shared" si="10"/>
        <v>13611.111111111111</v>
      </c>
      <c r="U12" s="51">
        <f t="shared" si="10"/>
        <v>4545.454545454545</v>
      </c>
      <c r="V12" s="51">
        <f t="shared" si="10"/>
        <v>4166.666666666667</v>
      </c>
      <c r="W12" s="51">
        <f t="shared" si="10"/>
        <v>7083.3333333333339</v>
      </c>
      <c r="X12" s="55">
        <f t="shared" si="10"/>
        <v>6666.666666666667</v>
      </c>
      <c r="Y12" s="59">
        <f t="shared" si="1"/>
        <v>4720.8333333333339</v>
      </c>
      <c r="Z12" s="73">
        <f t="shared" si="2"/>
        <v>99545.454545454559</v>
      </c>
      <c r="AA12" s="81">
        <f t="shared" si="3"/>
        <v>404266.28787878784</v>
      </c>
      <c r="AB12" s="91">
        <v>360000</v>
      </c>
    </row>
    <row r="13" spans="1:33" ht="15.75" thickBot="1" x14ac:dyDescent="0.3">
      <c r="A13" s="48" t="s">
        <v>60</v>
      </c>
      <c r="B13" s="49" t="s">
        <v>9</v>
      </c>
      <c r="C13" s="50"/>
      <c r="D13" s="50"/>
      <c r="E13" s="50"/>
      <c r="F13" s="53">
        <f>F30</f>
        <v>0</v>
      </c>
      <c r="G13" s="53">
        <f t="shared" ref="G13:X13" si="11">G30</f>
        <v>0</v>
      </c>
      <c r="H13" s="53">
        <f t="shared" si="11"/>
        <v>0</v>
      </c>
      <c r="I13" s="53">
        <f t="shared" si="11"/>
        <v>0</v>
      </c>
      <c r="J13" s="53">
        <f t="shared" si="11"/>
        <v>0</v>
      </c>
      <c r="K13" s="53">
        <f t="shared" si="11"/>
        <v>0</v>
      </c>
      <c r="L13" s="62">
        <f t="shared" si="11"/>
        <v>0</v>
      </c>
      <c r="M13" s="53">
        <f t="shared" si="11"/>
        <v>0</v>
      </c>
      <c r="N13" s="53">
        <f t="shared" si="11"/>
        <v>0</v>
      </c>
      <c r="O13" s="53">
        <f t="shared" si="11"/>
        <v>0</v>
      </c>
      <c r="P13" s="53">
        <f t="shared" si="11"/>
        <v>0</v>
      </c>
      <c r="Q13" s="53">
        <f t="shared" si="11"/>
        <v>0</v>
      </c>
      <c r="R13" s="53">
        <f t="shared" si="11"/>
        <v>0</v>
      </c>
      <c r="S13" s="53">
        <f t="shared" si="11"/>
        <v>0</v>
      </c>
      <c r="T13" s="53">
        <f t="shared" si="11"/>
        <v>0</v>
      </c>
      <c r="U13" s="53">
        <f t="shared" si="11"/>
        <v>0</v>
      </c>
      <c r="V13" s="53">
        <f t="shared" si="11"/>
        <v>760</v>
      </c>
      <c r="W13" s="53">
        <f t="shared" si="11"/>
        <v>0</v>
      </c>
      <c r="X13" s="75">
        <f t="shared" si="11"/>
        <v>2142.8571428571431</v>
      </c>
      <c r="Y13" s="60">
        <f t="shared" si="1"/>
        <v>0</v>
      </c>
      <c r="Z13" s="74">
        <f t="shared" si="2"/>
        <v>2902.8571428571431</v>
      </c>
      <c r="AA13" s="104">
        <v>2200</v>
      </c>
    </row>
    <row r="14" spans="1:33" ht="15.75" thickTop="1" x14ac:dyDescent="0.25">
      <c r="A14" s="15" t="s">
        <v>51</v>
      </c>
      <c r="B14" s="16" t="s">
        <v>52</v>
      </c>
      <c r="C14" s="16" t="s">
        <v>53</v>
      </c>
      <c r="D14" s="2"/>
      <c r="E14" s="2"/>
      <c r="F14" s="47">
        <v>0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63">
        <v>0</v>
      </c>
      <c r="M14" s="47">
        <v>0</v>
      </c>
      <c r="N14" s="47">
        <v>0</v>
      </c>
      <c r="O14" s="47">
        <v>0</v>
      </c>
      <c r="P14" s="47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57">
        <v>0</v>
      </c>
      <c r="Y14" s="61">
        <f t="shared" si="1"/>
        <v>0</v>
      </c>
      <c r="Z14" s="47">
        <f t="shared" si="2"/>
        <v>0</v>
      </c>
      <c r="AA14" s="47">
        <f t="shared" ref="AA14:AA45" si="12">L14+Y14+Z14</f>
        <v>0</v>
      </c>
    </row>
    <row r="15" spans="1:33" x14ac:dyDescent="0.25">
      <c r="A15" s="15" t="s">
        <v>51</v>
      </c>
      <c r="B15" s="16" t="s">
        <v>52</v>
      </c>
      <c r="C15" s="16" t="s">
        <v>54</v>
      </c>
      <c r="D15" s="2"/>
      <c r="E15" s="2"/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52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54">
        <v>0</v>
      </c>
      <c r="Y15" s="58">
        <f t="shared" si="1"/>
        <v>0</v>
      </c>
      <c r="Z15" s="1">
        <f t="shared" si="2"/>
        <v>0</v>
      </c>
      <c r="AA15" s="1">
        <f t="shared" si="12"/>
        <v>0</v>
      </c>
    </row>
    <row r="16" spans="1:33" x14ac:dyDescent="0.25">
      <c r="A16" s="15" t="s">
        <v>51</v>
      </c>
      <c r="B16" s="16" t="s">
        <v>52</v>
      </c>
      <c r="C16" s="16" t="s">
        <v>55</v>
      </c>
      <c r="D16" s="2"/>
      <c r="E16" s="2"/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52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54">
        <v>0</v>
      </c>
      <c r="Y16" s="58">
        <f t="shared" si="1"/>
        <v>0</v>
      </c>
      <c r="Z16" s="1">
        <f t="shared" si="2"/>
        <v>0</v>
      </c>
      <c r="AA16" s="1">
        <f t="shared" si="12"/>
        <v>0</v>
      </c>
    </row>
    <row r="17" spans="1:34" x14ac:dyDescent="0.25">
      <c r="A17" s="25" t="s">
        <v>51</v>
      </c>
      <c r="B17" s="26" t="s">
        <v>56</v>
      </c>
      <c r="C17" s="26" t="s">
        <v>57</v>
      </c>
      <c r="D17" s="2"/>
      <c r="E17" s="2"/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52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54">
        <v>0</v>
      </c>
      <c r="Y17" s="58">
        <f t="shared" si="1"/>
        <v>0</v>
      </c>
      <c r="Z17" s="1">
        <f t="shared" si="2"/>
        <v>0</v>
      </c>
      <c r="AA17" s="1">
        <f t="shared" si="12"/>
        <v>0</v>
      </c>
    </row>
    <row r="18" spans="1:34" x14ac:dyDescent="0.25">
      <c r="A18" s="15" t="s">
        <v>51</v>
      </c>
      <c r="B18" s="16" t="s">
        <v>56</v>
      </c>
      <c r="C18" s="27" t="s">
        <v>58</v>
      </c>
      <c r="D18" s="2"/>
      <c r="E18" s="2"/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52">
        <v>0</v>
      </c>
      <c r="M18" s="1">
        <f>400000*0.75</f>
        <v>300000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54">
        <v>0</v>
      </c>
      <c r="Y18" s="58">
        <f t="shared" si="1"/>
        <v>0</v>
      </c>
      <c r="Z18" s="1">
        <f t="shared" si="2"/>
        <v>300000</v>
      </c>
      <c r="AA18" s="1">
        <f t="shared" si="12"/>
        <v>300000</v>
      </c>
    </row>
    <row r="19" spans="1:34" x14ac:dyDescent="0.25">
      <c r="A19" s="15" t="s">
        <v>51</v>
      </c>
      <c r="B19" s="16" t="s">
        <v>9</v>
      </c>
      <c r="C19" s="27" t="s">
        <v>59</v>
      </c>
      <c r="D19" s="2"/>
      <c r="E19" s="2"/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52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54">
        <v>0</v>
      </c>
      <c r="Y19" s="58">
        <f t="shared" si="1"/>
        <v>0</v>
      </c>
      <c r="Z19" s="1">
        <f t="shared" si="2"/>
        <v>0</v>
      </c>
      <c r="AA19" s="1">
        <f t="shared" si="12"/>
        <v>0</v>
      </c>
      <c r="AE19">
        <f>0.37*120</f>
        <v>44.4</v>
      </c>
    </row>
    <row r="20" spans="1:34" x14ac:dyDescent="0.25">
      <c r="A20" s="15" t="s">
        <v>51</v>
      </c>
      <c r="B20" s="16" t="s">
        <v>9</v>
      </c>
      <c r="C20" s="27" t="s">
        <v>9</v>
      </c>
      <c r="D20" s="2"/>
      <c r="E20" s="2"/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52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54">
        <v>0</v>
      </c>
      <c r="Y20" s="58">
        <f t="shared" si="1"/>
        <v>0</v>
      </c>
      <c r="Z20" s="1">
        <f t="shared" si="2"/>
        <v>0</v>
      </c>
      <c r="AA20" s="1">
        <f t="shared" si="12"/>
        <v>0</v>
      </c>
    </row>
    <row r="21" spans="1:34" x14ac:dyDescent="0.25">
      <c r="A21" s="28" t="s">
        <v>60</v>
      </c>
      <c r="B21" s="29" t="s">
        <v>13</v>
      </c>
      <c r="C21" s="29" t="s">
        <v>61</v>
      </c>
      <c r="D21" s="2"/>
      <c r="E21" s="2"/>
      <c r="F21" s="91">
        <f>8600*0.8</f>
        <v>6880</v>
      </c>
      <c r="G21" s="51">
        <v>0</v>
      </c>
      <c r="H21" s="91">
        <f>H10*0.35</f>
        <v>3919.9999999999995</v>
      </c>
      <c r="I21" s="91">
        <v>2940</v>
      </c>
      <c r="J21" s="91">
        <v>2800</v>
      </c>
      <c r="K21" s="91">
        <v>800</v>
      </c>
      <c r="L21" s="52">
        <v>0</v>
      </c>
      <c r="M21" s="103">
        <v>4500</v>
      </c>
      <c r="N21" s="91">
        <v>2200</v>
      </c>
      <c r="O21" s="91">
        <v>5400</v>
      </c>
      <c r="P21" s="91">
        <v>20000</v>
      </c>
      <c r="Q21" s="69">
        <f>Q66/Q111</f>
        <v>2666.666666666667</v>
      </c>
      <c r="R21" s="69">
        <f>R66/R111</f>
        <v>1714.2857142857144</v>
      </c>
      <c r="S21" s="51">
        <v>0</v>
      </c>
      <c r="T21" s="69">
        <f>T66/T111</f>
        <v>1050</v>
      </c>
      <c r="U21" s="69">
        <f>U66/U111</f>
        <v>2250</v>
      </c>
      <c r="V21" s="77">
        <v>50</v>
      </c>
      <c r="W21" s="69">
        <f>W66/W111</f>
        <v>875</v>
      </c>
      <c r="X21" s="69">
        <f>X66/X111</f>
        <v>5000</v>
      </c>
      <c r="Y21" s="59">
        <f t="shared" si="1"/>
        <v>17340</v>
      </c>
      <c r="Z21" s="51">
        <f t="shared" si="2"/>
        <v>45705.952380952382</v>
      </c>
      <c r="AA21" s="51">
        <f t="shared" si="12"/>
        <v>63045.952380952382</v>
      </c>
      <c r="AD21" s="99" t="s">
        <v>135</v>
      </c>
      <c r="AE21" s="99" t="s">
        <v>136</v>
      </c>
      <c r="AF21" s="99" t="s">
        <v>137</v>
      </c>
    </row>
    <row r="22" spans="1:34" x14ac:dyDescent="0.25">
      <c r="A22" s="36" t="s">
        <v>60</v>
      </c>
      <c r="B22" s="37" t="s">
        <v>13</v>
      </c>
      <c r="C22" s="29" t="s">
        <v>62</v>
      </c>
      <c r="D22" s="2"/>
      <c r="E22" s="2"/>
      <c r="F22" s="91">
        <f>8600*0.2</f>
        <v>1720</v>
      </c>
      <c r="G22" s="103">
        <f>0.45*10000</f>
        <v>4500</v>
      </c>
      <c r="H22" s="91">
        <f>H10*0.65</f>
        <v>7280</v>
      </c>
      <c r="I22" s="51">
        <v>0</v>
      </c>
      <c r="J22" s="51">
        <v>0</v>
      </c>
      <c r="K22" s="51">
        <v>0</v>
      </c>
      <c r="L22" s="52">
        <v>0</v>
      </c>
      <c r="M22" s="51">
        <v>0</v>
      </c>
      <c r="N22" s="51">
        <v>0</v>
      </c>
      <c r="O22" s="91">
        <v>0</v>
      </c>
      <c r="P22" s="91">
        <v>25000</v>
      </c>
      <c r="Q22" s="51">
        <v>0</v>
      </c>
      <c r="R22" s="51">
        <v>0</v>
      </c>
      <c r="S22" s="51">
        <v>0</v>
      </c>
      <c r="T22" s="51">
        <v>0</v>
      </c>
      <c r="U22" s="51">
        <v>0</v>
      </c>
      <c r="V22" s="51">
        <v>0</v>
      </c>
      <c r="W22" s="51">
        <v>0</v>
      </c>
      <c r="X22" s="55">
        <v>0</v>
      </c>
      <c r="Y22" s="59">
        <f t="shared" si="1"/>
        <v>13500</v>
      </c>
      <c r="Z22" s="51">
        <f t="shared" si="2"/>
        <v>25000</v>
      </c>
      <c r="AA22" s="51">
        <f t="shared" si="12"/>
        <v>38500</v>
      </c>
      <c r="AD22" s="99" t="s">
        <v>1</v>
      </c>
      <c r="AE22" s="99">
        <v>20000</v>
      </c>
      <c r="AF22" s="99">
        <v>25000</v>
      </c>
      <c r="AG22" s="99">
        <f>SUM(AE22:AF22)</f>
        <v>45000</v>
      </c>
    </row>
    <row r="23" spans="1:34" x14ac:dyDescent="0.25">
      <c r="A23" s="30" t="s">
        <v>60</v>
      </c>
      <c r="B23" s="31" t="s">
        <v>13</v>
      </c>
      <c r="C23" s="32" t="s">
        <v>63</v>
      </c>
      <c r="D23" s="2"/>
      <c r="E23" s="2"/>
      <c r="F23" s="51">
        <v>0</v>
      </c>
      <c r="G23" s="51">
        <v>0</v>
      </c>
      <c r="H23" s="51"/>
      <c r="I23" s="51">
        <v>0</v>
      </c>
      <c r="J23" s="51">
        <v>0</v>
      </c>
      <c r="K23" s="51">
        <v>0</v>
      </c>
      <c r="L23" s="52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55">
        <v>0</v>
      </c>
      <c r="Y23" s="59">
        <f t="shared" si="1"/>
        <v>0</v>
      </c>
      <c r="Z23" s="51">
        <f t="shared" si="2"/>
        <v>0</v>
      </c>
      <c r="AA23" s="51">
        <f t="shared" si="12"/>
        <v>0</v>
      </c>
      <c r="AD23" s="99" t="s">
        <v>18</v>
      </c>
      <c r="AE23" s="99"/>
      <c r="AF23" s="99"/>
      <c r="AG23" s="99">
        <v>2300</v>
      </c>
    </row>
    <row r="24" spans="1:34" x14ac:dyDescent="0.25">
      <c r="A24" s="30" t="s">
        <v>60</v>
      </c>
      <c r="B24" s="32" t="s">
        <v>23</v>
      </c>
      <c r="C24" s="31" t="s">
        <v>50</v>
      </c>
      <c r="D24" s="2"/>
      <c r="E24" s="2"/>
      <c r="F24" s="77">
        <f>F204*F159</f>
        <v>0</v>
      </c>
      <c r="G24" s="51">
        <v>0</v>
      </c>
      <c r="H24" s="51">
        <v>0</v>
      </c>
      <c r="I24" s="51">
        <v>0</v>
      </c>
      <c r="J24" s="77">
        <f>J21*0.01</f>
        <v>28</v>
      </c>
      <c r="K24" s="64">
        <f>1700</f>
        <v>1700</v>
      </c>
      <c r="L24" s="52">
        <v>0</v>
      </c>
      <c r="M24" s="51">
        <v>0</v>
      </c>
      <c r="N24" s="91">
        <v>1200</v>
      </c>
      <c r="O24" s="51">
        <v>0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51">
        <v>0</v>
      </c>
      <c r="X24" s="55">
        <v>0</v>
      </c>
      <c r="Y24" s="59">
        <f t="shared" si="1"/>
        <v>1728</v>
      </c>
      <c r="Z24" s="51">
        <f t="shared" si="2"/>
        <v>1200</v>
      </c>
      <c r="AA24" s="103">
        <v>3700</v>
      </c>
      <c r="AD24" s="99" t="s">
        <v>35</v>
      </c>
      <c r="AF24" s="99">
        <v>0.04</v>
      </c>
      <c r="AG24" s="99">
        <v>0.15</v>
      </c>
    </row>
    <row r="25" spans="1:34" x14ac:dyDescent="0.25">
      <c r="A25" s="30" t="s">
        <v>60</v>
      </c>
      <c r="B25" s="32" t="s">
        <v>23</v>
      </c>
      <c r="C25" s="31" t="s">
        <v>49</v>
      </c>
      <c r="D25" s="2"/>
      <c r="E25" s="2"/>
      <c r="F25" s="51">
        <v>0</v>
      </c>
      <c r="G25" s="51">
        <v>0</v>
      </c>
      <c r="H25" s="51">
        <v>0</v>
      </c>
      <c r="I25" s="51">
        <v>0</v>
      </c>
      <c r="J25" s="83">
        <f>1650</f>
        <v>1650</v>
      </c>
      <c r="K25" s="64">
        <f>2450*0.18</f>
        <v>441</v>
      </c>
      <c r="L25" s="52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51">
        <v>0</v>
      </c>
      <c r="S25" s="64">
        <v>245</v>
      </c>
      <c r="T25" s="77">
        <v>650</v>
      </c>
      <c r="U25" s="51">
        <v>0</v>
      </c>
      <c r="V25" s="77">
        <v>100</v>
      </c>
      <c r="W25" s="51">
        <v>0</v>
      </c>
      <c r="X25" s="77">
        <v>100</v>
      </c>
      <c r="Y25" s="59">
        <f t="shared" si="1"/>
        <v>2091</v>
      </c>
      <c r="Z25" s="51">
        <f t="shared" si="2"/>
        <v>1095</v>
      </c>
      <c r="AA25" s="51">
        <f t="shared" si="12"/>
        <v>3186</v>
      </c>
      <c r="AB25" s="103">
        <v>2450</v>
      </c>
      <c r="AC25" t="s">
        <v>129</v>
      </c>
      <c r="AE25" s="99" t="s">
        <v>17</v>
      </c>
      <c r="AF25" s="99">
        <f>AF22/AF24</f>
        <v>625000</v>
      </c>
      <c r="AG25" s="99">
        <f>AG22/AG24</f>
        <v>300000</v>
      </c>
    </row>
    <row r="26" spans="1:34" x14ac:dyDescent="0.25">
      <c r="A26" s="30" t="s">
        <v>60</v>
      </c>
      <c r="B26" s="32" t="s">
        <v>23</v>
      </c>
      <c r="C26" s="31" t="s">
        <v>64</v>
      </c>
      <c r="D26" s="2"/>
      <c r="E26" s="2"/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2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  <c r="V26" s="51">
        <v>0</v>
      </c>
      <c r="W26" s="51">
        <v>0</v>
      </c>
      <c r="X26" s="55">
        <v>0</v>
      </c>
      <c r="Y26" s="59">
        <f t="shared" si="1"/>
        <v>0</v>
      </c>
      <c r="Z26" s="51">
        <f t="shared" si="2"/>
        <v>0</v>
      </c>
      <c r="AA26" s="51">
        <f t="shared" si="12"/>
        <v>0</v>
      </c>
    </row>
    <row r="27" spans="1:34" x14ac:dyDescent="0.25">
      <c r="A27" s="30" t="s">
        <v>60</v>
      </c>
      <c r="B27" s="32" t="s">
        <v>65</v>
      </c>
      <c r="C27" s="31" t="s">
        <v>66</v>
      </c>
      <c r="D27" s="2"/>
      <c r="E27" s="2">
        <f>4/18</f>
        <v>0.22222222222222221</v>
      </c>
      <c r="F27" s="51">
        <v>0</v>
      </c>
      <c r="G27" s="51">
        <v>0</v>
      </c>
      <c r="H27" s="51">
        <v>0</v>
      </c>
      <c r="I27" s="51">
        <v>0</v>
      </c>
      <c r="J27" s="81">
        <f>J72/J117</f>
        <v>4720.8333333333339</v>
      </c>
      <c r="K27" s="51">
        <v>0</v>
      </c>
      <c r="L27" s="52">
        <v>0</v>
      </c>
      <c r="M27" s="81">
        <f>M72/M117</f>
        <v>16250</v>
      </c>
      <c r="N27" s="51">
        <v>0</v>
      </c>
      <c r="O27" s="51">
        <v>0</v>
      </c>
      <c r="P27" s="51">
        <v>0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51">
        <v>0</v>
      </c>
      <c r="X27" s="55">
        <v>0</v>
      </c>
      <c r="Y27" s="59">
        <f t="shared" si="1"/>
        <v>4720.8333333333339</v>
      </c>
      <c r="Z27" s="51">
        <f t="shared" si="2"/>
        <v>16250</v>
      </c>
      <c r="AA27" s="51">
        <f t="shared" si="12"/>
        <v>20970.833333333336</v>
      </c>
    </row>
    <row r="28" spans="1:34" x14ac:dyDescent="0.25">
      <c r="A28" s="30" t="s">
        <v>60</v>
      </c>
      <c r="B28" s="32" t="s">
        <v>65</v>
      </c>
      <c r="C28" s="31" t="s">
        <v>67</v>
      </c>
      <c r="D28" s="2"/>
      <c r="E28" s="2"/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2">
        <v>0</v>
      </c>
      <c r="M28" s="51">
        <v>0</v>
      </c>
      <c r="N28" s="51">
        <v>0</v>
      </c>
      <c r="O28" s="51">
        <v>0</v>
      </c>
      <c r="P28" s="51">
        <v>0</v>
      </c>
      <c r="Q28" s="81">
        <f>Q73/Q118</f>
        <v>31666.666666666668</v>
      </c>
      <c r="R28" s="81">
        <f>R73/R118</f>
        <v>15555.555555555557</v>
      </c>
      <c r="S28" s="51">
        <v>0</v>
      </c>
      <c r="T28" s="81">
        <f>T73/T118</f>
        <v>13611.111111111111</v>
      </c>
      <c r="U28" s="81">
        <f>U73/U118</f>
        <v>4545.454545454545</v>
      </c>
      <c r="V28" s="81">
        <f>V73/V118</f>
        <v>4166.666666666667</v>
      </c>
      <c r="W28" s="81">
        <f>W73/W118</f>
        <v>7083.3333333333339</v>
      </c>
      <c r="X28" s="81">
        <f>X73/X118</f>
        <v>6666.666666666667</v>
      </c>
      <c r="Y28" s="59">
        <f t="shared" si="1"/>
        <v>0</v>
      </c>
      <c r="Z28" s="51">
        <f t="shared" si="2"/>
        <v>83295.454545454544</v>
      </c>
      <c r="AA28" s="51">
        <f t="shared" si="12"/>
        <v>83295.454545454544</v>
      </c>
    </row>
    <row r="29" spans="1:34" x14ac:dyDescent="0.25">
      <c r="A29" s="30" t="s">
        <v>60</v>
      </c>
      <c r="B29" s="32" t="s">
        <v>65</v>
      </c>
      <c r="C29" s="31" t="s">
        <v>68</v>
      </c>
      <c r="D29" s="2"/>
      <c r="E29" s="2"/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81">
        <f>L74/L119</f>
        <v>300000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  <c r="R29" s="51">
        <v>0</v>
      </c>
      <c r="S29" s="51">
        <v>0</v>
      </c>
      <c r="T29" s="51">
        <v>0</v>
      </c>
      <c r="U29" s="51">
        <v>0</v>
      </c>
      <c r="V29" s="51">
        <v>0</v>
      </c>
      <c r="W29" s="51">
        <v>0</v>
      </c>
      <c r="X29" s="55">
        <v>0</v>
      </c>
      <c r="Y29" s="59">
        <f t="shared" si="1"/>
        <v>0</v>
      </c>
      <c r="Z29" s="51">
        <f t="shared" si="2"/>
        <v>0</v>
      </c>
      <c r="AA29" s="51">
        <f t="shared" si="12"/>
        <v>300000</v>
      </c>
    </row>
    <row r="30" spans="1:34" x14ac:dyDescent="0.25">
      <c r="A30" s="30" t="s">
        <v>60</v>
      </c>
      <c r="B30" s="32" t="s">
        <v>9</v>
      </c>
      <c r="C30" s="31" t="s">
        <v>69</v>
      </c>
      <c r="D30" s="2"/>
      <c r="E30" s="2"/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2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  <c r="R30" s="51">
        <v>0</v>
      </c>
      <c r="S30" s="51">
        <v>0</v>
      </c>
      <c r="T30" s="51">
        <v>0</v>
      </c>
      <c r="U30" s="51">
        <v>0</v>
      </c>
      <c r="V30" s="96">
        <v>760</v>
      </c>
      <c r="W30" s="51">
        <v>0</v>
      </c>
      <c r="X30" s="81">
        <f>X75/X120</f>
        <v>2142.8571428571431</v>
      </c>
      <c r="Y30" s="59">
        <f t="shared" si="1"/>
        <v>0</v>
      </c>
      <c r="Z30" s="51">
        <f t="shared" si="2"/>
        <v>2902.8571428571431</v>
      </c>
      <c r="AA30" s="51">
        <f t="shared" si="12"/>
        <v>2902.8571428571431</v>
      </c>
    </row>
    <row r="31" spans="1:34" x14ac:dyDescent="0.25">
      <c r="A31" s="15" t="s">
        <v>51</v>
      </c>
      <c r="B31" s="16" t="s">
        <v>56</v>
      </c>
      <c r="C31" s="27" t="s">
        <v>57</v>
      </c>
      <c r="D31" s="16" t="s">
        <v>70</v>
      </c>
      <c r="E31" s="43"/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52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54">
        <v>0</v>
      </c>
      <c r="Y31" s="58">
        <f t="shared" si="1"/>
        <v>0</v>
      </c>
      <c r="Z31" s="1">
        <f t="shared" si="2"/>
        <v>0</v>
      </c>
      <c r="AA31" s="1">
        <f t="shared" si="12"/>
        <v>0</v>
      </c>
      <c r="AH31">
        <f>52/128*2000</f>
        <v>812.5</v>
      </c>
    </row>
    <row r="32" spans="1:34" x14ac:dyDescent="0.25">
      <c r="A32" s="15" t="s">
        <v>51</v>
      </c>
      <c r="B32" s="16" t="s">
        <v>56</v>
      </c>
      <c r="C32" s="27" t="s">
        <v>57</v>
      </c>
      <c r="D32" s="16" t="s">
        <v>71</v>
      </c>
      <c r="E32" s="43"/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52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54">
        <v>0</v>
      </c>
      <c r="Y32" s="58">
        <f t="shared" si="1"/>
        <v>0</v>
      </c>
      <c r="Z32" s="1">
        <f t="shared" si="2"/>
        <v>0</v>
      </c>
      <c r="AA32" s="1">
        <f t="shared" si="12"/>
        <v>0</v>
      </c>
    </row>
    <row r="33" spans="1:29" x14ac:dyDescent="0.25">
      <c r="A33" s="15" t="s">
        <v>51</v>
      </c>
      <c r="B33" s="16" t="s">
        <v>56</v>
      </c>
      <c r="C33" s="27" t="s">
        <v>27</v>
      </c>
      <c r="D33" s="16" t="s">
        <v>72</v>
      </c>
      <c r="E33" s="43"/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52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54">
        <v>0</v>
      </c>
      <c r="Y33" s="58">
        <f t="shared" si="1"/>
        <v>0</v>
      </c>
      <c r="Z33" s="1">
        <f t="shared" si="2"/>
        <v>0</v>
      </c>
      <c r="AA33" s="1">
        <f t="shared" si="12"/>
        <v>0</v>
      </c>
    </row>
    <row r="34" spans="1:29" x14ac:dyDescent="0.25">
      <c r="A34" s="15" t="s">
        <v>51</v>
      </c>
      <c r="B34" s="16" t="s">
        <v>56</v>
      </c>
      <c r="C34" s="27" t="s">
        <v>57</v>
      </c>
      <c r="D34" s="16" t="s">
        <v>73</v>
      </c>
      <c r="E34" s="43"/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52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54">
        <v>0</v>
      </c>
      <c r="Y34" s="58">
        <f t="shared" si="1"/>
        <v>0</v>
      </c>
      <c r="Z34" s="1">
        <f t="shared" si="2"/>
        <v>0</v>
      </c>
      <c r="AA34" s="1">
        <f t="shared" si="12"/>
        <v>0</v>
      </c>
    </row>
    <row r="35" spans="1:29" x14ac:dyDescent="0.25">
      <c r="A35" s="15" t="s">
        <v>51</v>
      </c>
      <c r="B35" s="16" t="s">
        <v>56</v>
      </c>
      <c r="C35" s="27" t="s">
        <v>57</v>
      </c>
      <c r="D35" s="16" t="s">
        <v>74</v>
      </c>
      <c r="E35" s="43"/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52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54">
        <v>0</v>
      </c>
      <c r="Y35" s="58">
        <f t="shared" si="1"/>
        <v>0</v>
      </c>
      <c r="Z35" s="1">
        <f t="shared" si="2"/>
        <v>0</v>
      </c>
      <c r="AA35" s="1">
        <f t="shared" si="12"/>
        <v>0</v>
      </c>
    </row>
    <row r="36" spans="1:29" x14ac:dyDescent="0.25">
      <c r="A36" s="30" t="s">
        <v>60</v>
      </c>
      <c r="B36" s="31" t="s">
        <v>13</v>
      </c>
      <c r="C36" s="32" t="s">
        <v>61</v>
      </c>
      <c r="D36" s="31" t="s">
        <v>75</v>
      </c>
      <c r="E36" s="72">
        <v>0.15</v>
      </c>
      <c r="F36" s="51">
        <f>F21*0.4</f>
        <v>2752</v>
      </c>
      <c r="G36" s="73"/>
      <c r="H36" s="51">
        <f>H21</f>
        <v>3919.9999999999995</v>
      </c>
      <c r="I36" s="51">
        <f>I21*0.7</f>
        <v>2058</v>
      </c>
      <c r="J36" s="51">
        <f>J21*0.3</f>
        <v>840</v>
      </c>
      <c r="K36" s="51">
        <f>K21*0.8</f>
        <v>640</v>
      </c>
      <c r="L36" s="52">
        <v>0</v>
      </c>
      <c r="M36" s="73">
        <f>M21*0.1</f>
        <v>450</v>
      </c>
      <c r="N36" s="73">
        <v>0</v>
      </c>
      <c r="O36" s="73">
        <v>0</v>
      </c>
      <c r="P36" s="73">
        <v>0</v>
      </c>
      <c r="Q36" s="73"/>
      <c r="R36" s="73"/>
      <c r="S36" s="51"/>
      <c r="T36" s="51"/>
      <c r="U36" s="51"/>
      <c r="V36" s="51"/>
      <c r="W36" s="51">
        <f>W21</f>
        <v>875</v>
      </c>
      <c r="X36" s="55">
        <f>X21*0.1</f>
        <v>500</v>
      </c>
      <c r="Y36" s="108">
        <f t="shared" si="1"/>
        <v>10210</v>
      </c>
      <c r="Z36" s="73">
        <f t="shared" si="2"/>
        <v>1825</v>
      </c>
      <c r="AA36" s="73">
        <f t="shared" si="12"/>
        <v>12035</v>
      </c>
      <c r="AB36">
        <f>AA36/AA$10</f>
        <v>0.11851777168675687</v>
      </c>
      <c r="AC36" s="71"/>
    </row>
    <row r="37" spans="1:29" x14ac:dyDescent="0.25">
      <c r="A37" s="30" t="s">
        <v>60</v>
      </c>
      <c r="B37" s="31" t="s">
        <v>13</v>
      </c>
      <c r="C37" s="32" t="s">
        <v>61</v>
      </c>
      <c r="D37" s="31" t="s">
        <v>76</v>
      </c>
      <c r="E37" s="72">
        <v>0.5</v>
      </c>
      <c r="F37" s="51">
        <f>F21*0.6</f>
        <v>4128</v>
      </c>
      <c r="G37" s="51">
        <v>0</v>
      </c>
      <c r="H37" s="51">
        <v>0</v>
      </c>
      <c r="I37" s="51">
        <f>I21*0.25</f>
        <v>735</v>
      </c>
      <c r="J37" s="51">
        <f>J21*0.7</f>
        <v>1959.9999999999998</v>
      </c>
      <c r="K37" s="51">
        <f>K21*0.05</f>
        <v>40</v>
      </c>
      <c r="L37" s="52">
        <v>0</v>
      </c>
      <c r="M37" s="73">
        <f>M21*0.4</f>
        <v>1800</v>
      </c>
      <c r="N37" s="73">
        <f>N21</f>
        <v>2200</v>
      </c>
      <c r="O37" s="73">
        <f>O21*0.3</f>
        <v>1620</v>
      </c>
      <c r="P37" s="73">
        <f>P21*0.28</f>
        <v>5600.0000000000009</v>
      </c>
      <c r="Q37" s="73"/>
      <c r="R37" s="73">
        <f>R21</f>
        <v>1714.2857142857144</v>
      </c>
      <c r="S37" s="51"/>
      <c r="T37" s="51"/>
      <c r="U37" s="51"/>
      <c r="V37" s="51"/>
      <c r="W37" s="51"/>
      <c r="X37" s="55">
        <f>X21*0.1</f>
        <v>500</v>
      </c>
      <c r="Y37" s="108">
        <f t="shared" si="1"/>
        <v>6863</v>
      </c>
      <c r="Z37" s="73">
        <f t="shared" si="2"/>
        <v>13434.285714285714</v>
      </c>
      <c r="AA37" s="73">
        <f t="shared" si="12"/>
        <v>20297.285714285714</v>
      </c>
      <c r="AB37">
        <f t="shared" ref="AB37:AB44" si="13">AA37/AA$10</f>
        <v>0.1998827647816025</v>
      </c>
      <c r="AC37" s="71"/>
    </row>
    <row r="38" spans="1:29" x14ac:dyDescent="0.25">
      <c r="A38" s="30" t="s">
        <v>60</v>
      </c>
      <c r="B38" s="31" t="s">
        <v>13</v>
      </c>
      <c r="C38" s="32" t="s">
        <v>61</v>
      </c>
      <c r="D38" s="31" t="s">
        <v>77</v>
      </c>
      <c r="E38" s="72">
        <v>0.28999999999999998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f>K21*0.1</f>
        <v>80</v>
      </c>
      <c r="L38" s="52">
        <v>0</v>
      </c>
      <c r="M38" s="73">
        <f>M21*0.5</f>
        <v>2250</v>
      </c>
      <c r="N38" s="73">
        <v>0</v>
      </c>
      <c r="O38" s="73">
        <f>O21*0.7</f>
        <v>3779.9999999999995</v>
      </c>
      <c r="P38" s="73">
        <f>P21*0.7</f>
        <v>14000</v>
      </c>
      <c r="Q38" s="73"/>
      <c r="R38" s="73"/>
      <c r="S38" s="51"/>
      <c r="T38" s="51">
        <f>T21</f>
        <v>1050</v>
      </c>
      <c r="U38" s="51">
        <f>U21</f>
        <v>2250</v>
      </c>
      <c r="V38" s="51"/>
      <c r="W38" s="51"/>
      <c r="X38" s="55">
        <f>X21*0.7</f>
        <v>3500</v>
      </c>
      <c r="Y38" s="108">
        <f t="shared" si="1"/>
        <v>80</v>
      </c>
      <c r="Z38" s="73">
        <f t="shared" si="2"/>
        <v>26830</v>
      </c>
      <c r="AA38" s="73">
        <f t="shared" si="12"/>
        <v>26910</v>
      </c>
      <c r="AB38">
        <f t="shared" si="13"/>
        <v>0.26500317707441856</v>
      </c>
      <c r="AC38" s="71"/>
    </row>
    <row r="39" spans="1:29" x14ac:dyDescent="0.25">
      <c r="A39" s="30" t="s">
        <v>60</v>
      </c>
      <c r="B39" s="31" t="s">
        <v>13</v>
      </c>
      <c r="C39" s="32" t="s">
        <v>61</v>
      </c>
      <c r="D39" s="31" t="s">
        <v>78</v>
      </c>
      <c r="E39" s="72">
        <v>0.05</v>
      </c>
      <c r="F39" s="51">
        <v>0</v>
      </c>
      <c r="G39" s="51">
        <v>0</v>
      </c>
      <c r="H39" s="51">
        <v>0</v>
      </c>
      <c r="I39" s="51">
        <f>I21*0.05</f>
        <v>147</v>
      </c>
      <c r="J39" s="51">
        <v>0</v>
      </c>
      <c r="K39" s="51">
        <f>K21*0.05</f>
        <v>40</v>
      </c>
      <c r="L39" s="52">
        <v>0</v>
      </c>
      <c r="M39" s="73">
        <f>M21*0</f>
        <v>0</v>
      </c>
      <c r="N39" s="73">
        <v>0</v>
      </c>
      <c r="O39" s="73">
        <f>O21*0</f>
        <v>0</v>
      </c>
      <c r="P39" s="73">
        <f>(P21)*0.02</f>
        <v>400</v>
      </c>
      <c r="Q39" s="73">
        <f>Q21</f>
        <v>2666.666666666667</v>
      </c>
      <c r="R39" s="73"/>
      <c r="S39" s="51"/>
      <c r="T39" s="51"/>
      <c r="U39" s="51"/>
      <c r="V39" s="51"/>
      <c r="W39" s="51"/>
      <c r="X39" s="55">
        <f>X21*0.1</f>
        <v>500</v>
      </c>
      <c r="Y39" s="108">
        <f t="shared" si="1"/>
        <v>187</v>
      </c>
      <c r="Z39" s="73">
        <f t="shared" si="2"/>
        <v>3566.666666666667</v>
      </c>
      <c r="AA39" s="73">
        <f t="shared" si="12"/>
        <v>3753.666666666667</v>
      </c>
      <c r="AB39">
        <f t="shared" si="13"/>
        <v>3.6965202242475258E-2</v>
      </c>
      <c r="AC39" s="71"/>
    </row>
    <row r="40" spans="1:29" ht="15.75" thickBot="1" x14ac:dyDescent="0.3">
      <c r="A40" s="33" t="s">
        <v>60</v>
      </c>
      <c r="B40" s="34" t="s">
        <v>13</v>
      </c>
      <c r="C40" s="35" t="s">
        <v>61</v>
      </c>
      <c r="D40" s="34" t="s">
        <v>79</v>
      </c>
      <c r="E40" s="43"/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2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  <c r="V40" s="51">
        <v>0</v>
      </c>
      <c r="W40" s="51">
        <v>0</v>
      </c>
      <c r="X40" s="55">
        <v>0</v>
      </c>
      <c r="Y40" s="108">
        <f t="shared" si="1"/>
        <v>0</v>
      </c>
      <c r="Z40" s="73">
        <f t="shared" si="2"/>
        <v>0</v>
      </c>
      <c r="AA40" s="73">
        <f t="shared" si="12"/>
        <v>0</v>
      </c>
      <c r="AB40">
        <f t="shared" si="13"/>
        <v>0</v>
      </c>
    </row>
    <row r="41" spans="1:29" x14ac:dyDescent="0.25">
      <c r="A41" s="30" t="s">
        <v>60</v>
      </c>
      <c r="B41" s="31" t="s">
        <v>13</v>
      </c>
      <c r="C41" s="32" t="s">
        <v>62</v>
      </c>
      <c r="D41" s="31" t="s">
        <v>75</v>
      </c>
      <c r="E41" s="43"/>
      <c r="F41" s="51"/>
      <c r="G41" s="73">
        <f>G22*0.5</f>
        <v>2250</v>
      </c>
      <c r="H41" s="51">
        <f>H22*0.2</f>
        <v>1456</v>
      </c>
      <c r="I41" s="51">
        <v>0</v>
      </c>
      <c r="J41" s="51">
        <v>0</v>
      </c>
      <c r="K41" s="51">
        <v>0</v>
      </c>
      <c r="L41" s="52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  <c r="R41" s="51">
        <v>0</v>
      </c>
      <c r="S41" s="51">
        <v>0</v>
      </c>
      <c r="T41" s="51">
        <v>0</v>
      </c>
      <c r="U41" s="51">
        <v>0</v>
      </c>
      <c r="V41" s="51">
        <v>0</v>
      </c>
      <c r="W41" s="51">
        <v>0</v>
      </c>
      <c r="X41" s="55">
        <v>0</v>
      </c>
      <c r="Y41" s="108">
        <f t="shared" si="1"/>
        <v>3706</v>
      </c>
      <c r="Z41" s="73">
        <f t="shared" si="2"/>
        <v>0</v>
      </c>
      <c r="AA41" s="73">
        <f t="shared" si="12"/>
        <v>3706</v>
      </c>
      <c r="AB41">
        <f t="shared" si="13"/>
        <v>3.6495792428011715E-2</v>
      </c>
    </row>
    <row r="42" spans="1:29" x14ac:dyDescent="0.25">
      <c r="A42" s="30" t="s">
        <v>60</v>
      </c>
      <c r="B42" s="31" t="s">
        <v>13</v>
      </c>
      <c r="C42" s="32" t="s">
        <v>62</v>
      </c>
      <c r="D42" s="31" t="s">
        <v>76</v>
      </c>
      <c r="E42" s="43"/>
      <c r="F42" s="51">
        <f>F22</f>
        <v>1720</v>
      </c>
      <c r="G42" s="51">
        <f>G22*0.5</f>
        <v>2250</v>
      </c>
      <c r="H42" s="51">
        <f>H22*0.8</f>
        <v>5824</v>
      </c>
      <c r="I42" s="51">
        <v>0</v>
      </c>
      <c r="J42" s="51">
        <v>0</v>
      </c>
      <c r="K42" s="51">
        <v>0</v>
      </c>
      <c r="L42" s="52">
        <v>0</v>
      </c>
      <c r="M42" s="51">
        <v>0</v>
      </c>
      <c r="N42" s="51">
        <v>0</v>
      </c>
      <c r="O42" s="51">
        <v>0</v>
      </c>
      <c r="P42" s="51">
        <f>P22</f>
        <v>25000</v>
      </c>
      <c r="Q42" s="51">
        <v>0</v>
      </c>
      <c r="R42" s="51">
        <v>0</v>
      </c>
      <c r="S42" s="51">
        <v>0</v>
      </c>
      <c r="T42" s="51">
        <v>0</v>
      </c>
      <c r="U42" s="51">
        <v>0</v>
      </c>
      <c r="V42" s="51">
        <v>0</v>
      </c>
      <c r="W42" s="51">
        <v>0</v>
      </c>
      <c r="X42" s="55">
        <v>0</v>
      </c>
      <c r="Y42" s="108">
        <f t="shared" si="1"/>
        <v>9794</v>
      </c>
      <c r="Z42" s="73">
        <f t="shared" si="2"/>
        <v>25000</v>
      </c>
      <c r="AA42" s="73">
        <f t="shared" si="12"/>
        <v>34794</v>
      </c>
      <c r="AB42">
        <f t="shared" si="13"/>
        <v>0.34264290386946561</v>
      </c>
    </row>
    <row r="43" spans="1:29" x14ac:dyDescent="0.25">
      <c r="A43" s="30" t="s">
        <v>60</v>
      </c>
      <c r="B43" s="31" t="s">
        <v>13</v>
      </c>
      <c r="C43" s="32" t="s">
        <v>62</v>
      </c>
      <c r="D43" s="31" t="s">
        <v>77</v>
      </c>
      <c r="E43" s="43"/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2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  <c r="R43" s="51">
        <v>0</v>
      </c>
      <c r="S43" s="51">
        <v>0</v>
      </c>
      <c r="T43" s="51">
        <v>0</v>
      </c>
      <c r="U43" s="51">
        <v>0</v>
      </c>
      <c r="V43" s="51">
        <v>0</v>
      </c>
      <c r="W43" s="51">
        <v>0</v>
      </c>
      <c r="X43" s="55">
        <v>0</v>
      </c>
      <c r="Y43" s="59">
        <f t="shared" si="1"/>
        <v>0</v>
      </c>
      <c r="Z43" s="51">
        <f t="shared" si="2"/>
        <v>0</v>
      </c>
      <c r="AA43" s="51">
        <f t="shared" si="12"/>
        <v>0</v>
      </c>
      <c r="AB43">
        <f t="shared" si="13"/>
        <v>0</v>
      </c>
    </row>
    <row r="44" spans="1:29" x14ac:dyDescent="0.25">
      <c r="A44" s="30" t="s">
        <v>60</v>
      </c>
      <c r="B44" s="31" t="s">
        <v>13</v>
      </c>
      <c r="C44" s="32" t="s">
        <v>62</v>
      </c>
      <c r="D44" s="31" t="s">
        <v>78</v>
      </c>
      <c r="E44" s="43"/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2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  <c r="R44" s="51">
        <v>0</v>
      </c>
      <c r="S44" s="51">
        <v>0</v>
      </c>
      <c r="T44" s="51">
        <v>0</v>
      </c>
      <c r="U44" s="51">
        <v>0</v>
      </c>
      <c r="V44" s="51">
        <v>0</v>
      </c>
      <c r="W44" s="51">
        <v>0</v>
      </c>
      <c r="X44" s="55">
        <v>0</v>
      </c>
      <c r="Y44" s="59">
        <f t="shared" si="1"/>
        <v>0</v>
      </c>
      <c r="Z44" s="51">
        <f t="shared" si="2"/>
        <v>0</v>
      </c>
      <c r="AA44" s="51">
        <f t="shared" si="12"/>
        <v>0</v>
      </c>
      <c r="AB44">
        <f t="shared" si="13"/>
        <v>0</v>
      </c>
    </row>
    <row r="45" spans="1:29" ht="15.75" thickBot="1" x14ac:dyDescent="0.3">
      <c r="A45" s="33" t="s">
        <v>60</v>
      </c>
      <c r="B45" s="34" t="s">
        <v>13</v>
      </c>
      <c r="C45" s="32" t="s">
        <v>62</v>
      </c>
      <c r="D45" s="34" t="s">
        <v>79</v>
      </c>
      <c r="E45" s="43"/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2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  <c r="R45" s="51">
        <v>0</v>
      </c>
      <c r="S45" s="51">
        <v>0</v>
      </c>
      <c r="T45" s="51">
        <v>0</v>
      </c>
      <c r="U45" s="51">
        <v>0</v>
      </c>
      <c r="V45" s="51">
        <v>0</v>
      </c>
      <c r="W45" s="51">
        <v>0</v>
      </c>
      <c r="X45" s="55">
        <v>0</v>
      </c>
      <c r="Y45" s="59">
        <f t="shared" si="1"/>
        <v>0</v>
      </c>
      <c r="Z45" s="51">
        <f t="shared" si="2"/>
        <v>0</v>
      </c>
      <c r="AA45" s="51">
        <f t="shared" si="12"/>
        <v>0</v>
      </c>
    </row>
    <row r="47" spans="1:29" x14ac:dyDescent="0.25">
      <c r="D47" s="41" t="s">
        <v>18</v>
      </c>
      <c r="E47" s="41"/>
      <c r="M47" s="24" t="s">
        <v>81</v>
      </c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  <row r="48" spans="1:29" x14ac:dyDescent="0.25">
      <c r="F48" s="23" t="s">
        <v>44</v>
      </c>
      <c r="G48" s="23"/>
      <c r="H48" s="23"/>
      <c r="I48" s="23"/>
      <c r="J48" s="23"/>
      <c r="K48" s="23"/>
      <c r="L48" s="7" t="s">
        <v>30</v>
      </c>
      <c r="M48" s="24" t="s">
        <v>46</v>
      </c>
      <c r="N48" s="24"/>
      <c r="O48" s="24"/>
      <c r="P48" s="24"/>
      <c r="Q48" s="24"/>
      <c r="R48" s="24" t="s">
        <v>47</v>
      </c>
      <c r="S48" s="24"/>
      <c r="T48" s="24"/>
      <c r="U48" s="24"/>
      <c r="V48" s="24"/>
      <c r="W48" s="24"/>
      <c r="X48" s="24"/>
      <c r="Y48" s="44" t="s">
        <v>85</v>
      </c>
      <c r="Z48" s="44" t="s">
        <v>48</v>
      </c>
      <c r="AA48" s="44" t="s">
        <v>3</v>
      </c>
    </row>
    <row r="49" spans="1:31" ht="63" x14ac:dyDescent="0.25">
      <c r="F49" s="38" t="s">
        <v>36</v>
      </c>
      <c r="G49" s="38" t="s">
        <v>37</v>
      </c>
      <c r="H49" s="38" t="s">
        <v>38</v>
      </c>
      <c r="I49" s="38" t="s">
        <v>80</v>
      </c>
      <c r="J49" s="38" t="s">
        <v>39</v>
      </c>
      <c r="K49" s="38" t="s">
        <v>45</v>
      </c>
      <c r="L49" s="39" t="s">
        <v>16</v>
      </c>
      <c r="M49" s="40" t="s">
        <v>34</v>
      </c>
      <c r="N49" s="40" t="s">
        <v>5</v>
      </c>
      <c r="O49" s="40" t="s">
        <v>7</v>
      </c>
      <c r="P49" s="40" t="s">
        <v>8</v>
      </c>
      <c r="Q49" s="40" t="s">
        <v>40</v>
      </c>
      <c r="R49" s="40" t="s">
        <v>41</v>
      </c>
      <c r="S49" s="40" t="s">
        <v>42</v>
      </c>
      <c r="T49" s="40" t="s">
        <v>31</v>
      </c>
      <c r="U49" s="40" t="s">
        <v>125</v>
      </c>
      <c r="V49" s="40" t="s">
        <v>82</v>
      </c>
      <c r="W49" s="40" t="s">
        <v>87</v>
      </c>
      <c r="X49" s="40" t="s">
        <v>83</v>
      </c>
      <c r="Y49" s="45" t="s">
        <v>3</v>
      </c>
      <c r="Z49" s="45" t="s">
        <v>3</v>
      </c>
      <c r="AA49" s="45" t="s">
        <v>3</v>
      </c>
    </row>
    <row r="50" spans="1:31" x14ac:dyDescent="0.25">
      <c r="A50" s="15" t="s">
        <v>51</v>
      </c>
      <c r="B50" s="2"/>
      <c r="C50" s="2"/>
      <c r="F50" s="1">
        <f t="shared" ref="F50:X50" si="14">F52+F53+F54</f>
        <v>0</v>
      </c>
      <c r="G50" s="1">
        <f t="shared" si="14"/>
        <v>0</v>
      </c>
      <c r="H50" s="1">
        <f t="shared" si="14"/>
        <v>0</v>
      </c>
      <c r="I50" s="1">
        <f t="shared" si="14"/>
        <v>0</v>
      </c>
      <c r="J50" s="1">
        <f t="shared" si="14"/>
        <v>0</v>
      </c>
      <c r="K50" s="1">
        <f t="shared" si="14"/>
        <v>0</v>
      </c>
      <c r="L50" s="52">
        <f t="shared" si="14"/>
        <v>0</v>
      </c>
      <c r="M50" s="1">
        <f t="shared" si="14"/>
        <v>0</v>
      </c>
      <c r="N50" s="1">
        <f t="shared" si="14"/>
        <v>0</v>
      </c>
      <c r="O50" s="1">
        <f t="shared" si="14"/>
        <v>0</v>
      </c>
      <c r="P50" s="1">
        <f t="shared" si="14"/>
        <v>0</v>
      </c>
      <c r="Q50" s="1">
        <f t="shared" si="14"/>
        <v>0</v>
      </c>
      <c r="R50" s="1">
        <f t="shared" si="14"/>
        <v>0</v>
      </c>
      <c r="S50" s="1">
        <f t="shared" si="14"/>
        <v>0</v>
      </c>
      <c r="T50" s="1">
        <f t="shared" si="14"/>
        <v>0</v>
      </c>
      <c r="U50" s="1">
        <f t="shared" si="14"/>
        <v>0</v>
      </c>
      <c r="V50" s="1">
        <f t="shared" si="14"/>
        <v>0</v>
      </c>
      <c r="W50" s="1">
        <f t="shared" si="14"/>
        <v>0</v>
      </c>
      <c r="X50" s="1">
        <f t="shared" si="14"/>
        <v>0</v>
      </c>
      <c r="Y50" s="58">
        <f t="shared" ref="Y50:Y90" si="15">SUM(F50:K50)</f>
        <v>0</v>
      </c>
      <c r="Z50" s="1">
        <f t="shared" ref="Z50:Z90" si="16">SUM(M50:X50)</f>
        <v>0</v>
      </c>
      <c r="AA50" s="1">
        <f t="shared" ref="AA50:AA56" si="17">L50+Y50+Z50</f>
        <v>0</v>
      </c>
      <c r="AB50" s="44" t="s">
        <v>85</v>
      </c>
      <c r="AC50" s="44" t="s">
        <v>48</v>
      </c>
      <c r="AD50" t="s">
        <v>30</v>
      </c>
    </row>
    <row r="51" spans="1:31" x14ac:dyDescent="0.25">
      <c r="A51" s="30" t="s">
        <v>60</v>
      </c>
      <c r="B51" s="2"/>
      <c r="C51" s="2"/>
      <c r="F51" s="1">
        <f>F55+F56+F57+F58</f>
        <v>1495.4322000000002</v>
      </c>
      <c r="G51" s="1">
        <f t="shared" ref="G51:X51" si="18">G55+G56+G57+G58</f>
        <v>1395.9938893981057</v>
      </c>
      <c r="H51" s="1">
        <f t="shared" si="18"/>
        <v>3300</v>
      </c>
      <c r="I51" s="1">
        <f t="shared" si="18"/>
        <v>776</v>
      </c>
      <c r="J51" s="1">
        <f t="shared" si="18"/>
        <v>2175.7399999999998</v>
      </c>
      <c r="K51" s="1">
        <f t="shared" si="18"/>
        <v>2028.76</v>
      </c>
      <c r="L51" s="52">
        <f t="shared" si="18"/>
        <v>22500</v>
      </c>
      <c r="M51" s="91">
        <v>3500</v>
      </c>
      <c r="N51" s="1">
        <f t="shared" si="18"/>
        <v>1050</v>
      </c>
      <c r="O51" s="1">
        <f t="shared" si="18"/>
        <v>1500</v>
      </c>
      <c r="P51" s="1">
        <f t="shared" si="18"/>
        <v>7400</v>
      </c>
      <c r="Q51" s="1">
        <f>Q55+Q56+Q57+Q58</f>
        <v>4600</v>
      </c>
      <c r="R51" s="1">
        <f t="shared" si="18"/>
        <v>3400</v>
      </c>
      <c r="S51" s="1">
        <f t="shared" si="18"/>
        <v>60</v>
      </c>
      <c r="T51" s="1">
        <f t="shared" si="18"/>
        <v>3130</v>
      </c>
      <c r="U51" s="1">
        <f t="shared" si="18"/>
        <v>1900</v>
      </c>
      <c r="V51" s="1">
        <f t="shared" si="18"/>
        <v>1410</v>
      </c>
      <c r="W51" s="1">
        <f t="shared" si="18"/>
        <v>1550</v>
      </c>
      <c r="X51" s="54">
        <f t="shared" si="18"/>
        <v>3790</v>
      </c>
      <c r="Y51" s="58">
        <f t="shared" si="15"/>
        <v>11171.926089398106</v>
      </c>
      <c r="Z51" s="1">
        <f t="shared" si="16"/>
        <v>33290</v>
      </c>
      <c r="AA51" s="1">
        <f t="shared" si="17"/>
        <v>66961.926089398097</v>
      </c>
      <c r="AB51" s="105"/>
      <c r="AC51" s="91"/>
      <c r="AD51" s="99"/>
    </row>
    <row r="52" spans="1:31" x14ac:dyDescent="0.25">
      <c r="A52" s="15" t="s">
        <v>51</v>
      </c>
      <c r="B52" s="16" t="s">
        <v>52</v>
      </c>
      <c r="C52" s="2"/>
      <c r="F52" s="1">
        <f>F59+F60+F61</f>
        <v>0</v>
      </c>
      <c r="G52" s="1">
        <f t="shared" ref="G52:X52" si="19">G59+G60+G61</f>
        <v>0</v>
      </c>
      <c r="H52" s="1">
        <f t="shared" si="19"/>
        <v>0</v>
      </c>
      <c r="I52" s="1">
        <f t="shared" si="19"/>
        <v>0</v>
      </c>
      <c r="J52" s="1">
        <f t="shared" si="19"/>
        <v>0</v>
      </c>
      <c r="K52" s="1">
        <f t="shared" si="19"/>
        <v>0</v>
      </c>
      <c r="L52" s="52">
        <f t="shared" si="19"/>
        <v>0</v>
      </c>
      <c r="M52" s="1">
        <f t="shared" si="19"/>
        <v>0</v>
      </c>
      <c r="N52" s="1">
        <f t="shared" si="19"/>
        <v>0</v>
      </c>
      <c r="O52" s="1">
        <f t="shared" si="19"/>
        <v>0</v>
      </c>
      <c r="P52" s="1">
        <f t="shared" si="19"/>
        <v>0</v>
      </c>
      <c r="Q52" s="1">
        <f t="shared" si="19"/>
        <v>0</v>
      </c>
      <c r="R52" s="1">
        <f t="shared" si="19"/>
        <v>0</v>
      </c>
      <c r="S52" s="1">
        <f t="shared" si="19"/>
        <v>0</v>
      </c>
      <c r="T52" s="1">
        <f t="shared" si="19"/>
        <v>0</v>
      </c>
      <c r="U52" s="1">
        <f t="shared" si="19"/>
        <v>0</v>
      </c>
      <c r="V52" s="1">
        <f t="shared" si="19"/>
        <v>0</v>
      </c>
      <c r="W52" s="1">
        <f t="shared" si="19"/>
        <v>0</v>
      </c>
      <c r="X52" s="54">
        <f t="shared" si="19"/>
        <v>0</v>
      </c>
      <c r="Y52" s="58">
        <f t="shared" si="15"/>
        <v>0</v>
      </c>
      <c r="Z52" s="1">
        <f t="shared" si="16"/>
        <v>0</v>
      </c>
      <c r="AA52" s="1">
        <f t="shared" si="17"/>
        <v>0</v>
      </c>
      <c r="AB52" s="10"/>
    </row>
    <row r="53" spans="1:31" x14ac:dyDescent="0.25">
      <c r="A53" s="15" t="s">
        <v>51</v>
      </c>
      <c r="B53" s="16" t="s">
        <v>56</v>
      </c>
      <c r="C53" s="2"/>
      <c r="F53" s="1">
        <f>F62+F63+F64</f>
        <v>0</v>
      </c>
      <c r="G53" s="1">
        <f t="shared" ref="G53:X53" si="20">G62+G63+G64</f>
        <v>0</v>
      </c>
      <c r="H53" s="1">
        <f t="shared" si="20"/>
        <v>0</v>
      </c>
      <c r="I53" s="1">
        <f t="shared" si="20"/>
        <v>0</v>
      </c>
      <c r="J53" s="1">
        <f t="shared" si="20"/>
        <v>0</v>
      </c>
      <c r="K53" s="1">
        <f t="shared" si="20"/>
        <v>0</v>
      </c>
      <c r="L53" s="52">
        <f t="shared" si="20"/>
        <v>0</v>
      </c>
      <c r="M53" s="1">
        <f t="shared" si="20"/>
        <v>0</v>
      </c>
      <c r="N53" s="1">
        <f t="shared" si="20"/>
        <v>0</v>
      </c>
      <c r="O53" s="1">
        <f t="shared" si="20"/>
        <v>0</v>
      </c>
      <c r="P53" s="1">
        <f t="shared" si="20"/>
        <v>0</v>
      </c>
      <c r="Q53" s="1">
        <f t="shared" si="20"/>
        <v>0</v>
      </c>
      <c r="R53" s="1">
        <f t="shared" si="20"/>
        <v>0</v>
      </c>
      <c r="S53" s="1">
        <f t="shared" si="20"/>
        <v>0</v>
      </c>
      <c r="T53" s="1">
        <f t="shared" si="20"/>
        <v>0</v>
      </c>
      <c r="U53" s="1">
        <f t="shared" si="20"/>
        <v>0</v>
      </c>
      <c r="V53" s="1">
        <f t="shared" si="20"/>
        <v>0</v>
      </c>
      <c r="W53" s="1">
        <f t="shared" si="20"/>
        <v>0</v>
      </c>
      <c r="X53" s="54">
        <f t="shared" si="20"/>
        <v>0</v>
      </c>
      <c r="Y53" s="58">
        <f t="shared" si="15"/>
        <v>0</v>
      </c>
      <c r="Z53" s="1">
        <f t="shared" si="16"/>
        <v>0</v>
      </c>
      <c r="AA53" s="1">
        <f t="shared" si="17"/>
        <v>0</v>
      </c>
    </row>
    <row r="54" spans="1:31" x14ac:dyDescent="0.25">
      <c r="A54" s="15" t="s">
        <v>51</v>
      </c>
      <c r="B54" s="16" t="s">
        <v>9</v>
      </c>
      <c r="C54" s="2"/>
      <c r="F54" s="1">
        <f>F65</f>
        <v>0</v>
      </c>
      <c r="G54" s="1">
        <f t="shared" ref="G54:X54" si="21">G65</f>
        <v>0</v>
      </c>
      <c r="H54" s="1">
        <f t="shared" si="21"/>
        <v>0</v>
      </c>
      <c r="I54" s="1">
        <f t="shared" si="21"/>
        <v>0</v>
      </c>
      <c r="J54" s="1">
        <f t="shared" si="21"/>
        <v>0</v>
      </c>
      <c r="K54" s="1">
        <f t="shared" si="21"/>
        <v>0</v>
      </c>
      <c r="L54" s="52">
        <f t="shared" si="21"/>
        <v>0</v>
      </c>
      <c r="M54" s="1">
        <f t="shared" si="21"/>
        <v>0</v>
      </c>
      <c r="N54" s="1">
        <f t="shared" si="21"/>
        <v>0</v>
      </c>
      <c r="O54" s="1">
        <f t="shared" si="21"/>
        <v>0</v>
      </c>
      <c r="P54" s="1">
        <f t="shared" si="21"/>
        <v>0</v>
      </c>
      <c r="Q54" s="1">
        <f t="shared" si="21"/>
        <v>0</v>
      </c>
      <c r="R54" s="1">
        <f t="shared" si="21"/>
        <v>0</v>
      </c>
      <c r="S54" s="1">
        <f t="shared" si="21"/>
        <v>0</v>
      </c>
      <c r="T54" s="1">
        <f t="shared" si="21"/>
        <v>0</v>
      </c>
      <c r="U54" s="1">
        <f t="shared" si="21"/>
        <v>0</v>
      </c>
      <c r="V54" s="1">
        <f t="shared" si="21"/>
        <v>0</v>
      </c>
      <c r="W54" s="1">
        <f t="shared" si="21"/>
        <v>0</v>
      </c>
      <c r="X54" s="54">
        <f t="shared" si="21"/>
        <v>0</v>
      </c>
      <c r="Y54" s="58">
        <f t="shared" si="15"/>
        <v>0</v>
      </c>
      <c r="Z54" s="1">
        <f t="shared" si="16"/>
        <v>0</v>
      </c>
      <c r="AA54" s="1">
        <f t="shared" si="17"/>
        <v>0</v>
      </c>
    </row>
    <row r="55" spans="1:31" x14ac:dyDescent="0.25">
      <c r="A55" s="30" t="s">
        <v>60</v>
      </c>
      <c r="B55" s="32" t="s">
        <v>13</v>
      </c>
      <c r="C55" s="2"/>
      <c r="F55" s="51">
        <f>F66+F67+F68</f>
        <v>1495.4322000000002</v>
      </c>
      <c r="G55" s="51">
        <f t="shared" ref="G55:X55" si="22">G66+G67+G68</f>
        <v>1395.9938893981057</v>
      </c>
      <c r="H55" s="51">
        <f t="shared" si="22"/>
        <v>3300</v>
      </c>
      <c r="I55" s="51">
        <f t="shared" si="22"/>
        <v>776</v>
      </c>
      <c r="J55" s="51">
        <f t="shared" si="22"/>
        <v>1200</v>
      </c>
      <c r="K55" s="51">
        <f t="shared" si="22"/>
        <v>230</v>
      </c>
      <c r="L55" s="52">
        <f t="shared" si="22"/>
        <v>0</v>
      </c>
      <c r="M55" s="51">
        <f t="shared" si="22"/>
        <v>2200</v>
      </c>
      <c r="N55" s="51">
        <f t="shared" si="22"/>
        <v>650</v>
      </c>
      <c r="O55" s="51">
        <f t="shared" si="22"/>
        <v>1500</v>
      </c>
      <c r="P55" s="51">
        <f t="shared" si="22"/>
        <v>7400</v>
      </c>
      <c r="Q55" s="51">
        <f t="shared" si="22"/>
        <v>800</v>
      </c>
      <c r="R55" s="51">
        <f t="shared" si="22"/>
        <v>600</v>
      </c>
      <c r="S55" s="51">
        <f t="shared" si="22"/>
        <v>0</v>
      </c>
      <c r="T55" s="51">
        <f t="shared" si="22"/>
        <v>420</v>
      </c>
      <c r="U55" s="51">
        <f t="shared" si="22"/>
        <v>900</v>
      </c>
      <c r="V55" s="51">
        <f t="shared" si="22"/>
        <v>60</v>
      </c>
      <c r="W55" s="51">
        <f t="shared" si="22"/>
        <v>700</v>
      </c>
      <c r="X55" s="55">
        <f t="shared" si="22"/>
        <v>2000</v>
      </c>
      <c r="Y55" s="59">
        <f t="shared" si="15"/>
        <v>8397.4260893981063</v>
      </c>
      <c r="Z55" s="51">
        <f t="shared" si="16"/>
        <v>17230</v>
      </c>
      <c r="AA55" s="1">
        <f t="shared" si="17"/>
        <v>25627.426089398105</v>
      </c>
      <c r="AB55" s="91">
        <v>26000</v>
      </c>
    </row>
    <row r="56" spans="1:31" x14ac:dyDescent="0.25">
      <c r="A56" s="30" t="s">
        <v>60</v>
      </c>
      <c r="B56" s="31" t="s">
        <v>23</v>
      </c>
      <c r="C56" s="2"/>
      <c r="F56" s="51">
        <f>F69+F70+F71</f>
        <v>0</v>
      </c>
      <c r="G56" s="51">
        <f t="shared" ref="G56:X56" si="23">G69+G70+G71</f>
        <v>0</v>
      </c>
      <c r="H56" s="51">
        <f t="shared" si="23"/>
        <v>0</v>
      </c>
      <c r="I56" s="51">
        <f t="shared" si="23"/>
        <v>0</v>
      </c>
      <c r="J56" s="51">
        <f t="shared" si="23"/>
        <v>409.24</v>
      </c>
      <c r="K56" s="51">
        <f t="shared" si="23"/>
        <v>1798.76</v>
      </c>
      <c r="L56" s="52">
        <f t="shared" si="23"/>
        <v>0</v>
      </c>
      <c r="M56" s="51">
        <f t="shared" si="23"/>
        <v>0</v>
      </c>
      <c r="N56" s="51">
        <f t="shared" si="23"/>
        <v>400</v>
      </c>
      <c r="O56" s="51">
        <f t="shared" si="23"/>
        <v>0</v>
      </c>
      <c r="P56" s="51">
        <f t="shared" si="23"/>
        <v>0</v>
      </c>
      <c r="Q56" s="51">
        <f t="shared" si="23"/>
        <v>0</v>
      </c>
      <c r="R56" s="51">
        <f t="shared" si="23"/>
        <v>0</v>
      </c>
      <c r="S56" s="51">
        <f t="shared" si="23"/>
        <v>60</v>
      </c>
      <c r="T56" s="51">
        <f t="shared" si="23"/>
        <v>260</v>
      </c>
      <c r="U56" s="51">
        <f t="shared" si="23"/>
        <v>0</v>
      </c>
      <c r="V56" s="51">
        <f t="shared" si="23"/>
        <v>90</v>
      </c>
      <c r="W56" s="51">
        <f t="shared" si="23"/>
        <v>0</v>
      </c>
      <c r="X56" s="55">
        <f t="shared" si="23"/>
        <v>90</v>
      </c>
      <c r="Y56" s="59">
        <f t="shared" si="15"/>
        <v>2208</v>
      </c>
      <c r="Z56" s="51">
        <f t="shared" si="16"/>
        <v>900</v>
      </c>
      <c r="AA56" s="51">
        <f t="shared" si="17"/>
        <v>3108</v>
      </c>
    </row>
    <row r="57" spans="1:31" x14ac:dyDescent="0.25">
      <c r="A57" s="30" t="s">
        <v>60</v>
      </c>
      <c r="B57" s="31" t="s">
        <v>65</v>
      </c>
      <c r="C57" s="46"/>
      <c r="F57" s="51">
        <f>F72+F73+F74</f>
        <v>0</v>
      </c>
      <c r="G57" s="51">
        <f t="shared" ref="G57:X57" si="24">G72+G73+G74</f>
        <v>0</v>
      </c>
      <c r="H57" s="51">
        <f t="shared" si="24"/>
        <v>0</v>
      </c>
      <c r="I57" s="51">
        <f t="shared" si="24"/>
        <v>0</v>
      </c>
      <c r="J57" s="51">
        <f t="shared" si="24"/>
        <v>566.5</v>
      </c>
      <c r="K57" s="51">
        <f t="shared" si="24"/>
        <v>0</v>
      </c>
      <c r="L57" s="52">
        <f t="shared" si="24"/>
        <v>22500</v>
      </c>
      <c r="M57" s="51">
        <f t="shared" si="24"/>
        <v>1300</v>
      </c>
      <c r="N57" s="51">
        <f t="shared" si="24"/>
        <v>0</v>
      </c>
      <c r="O57" s="51">
        <f t="shared" si="24"/>
        <v>0</v>
      </c>
      <c r="P57" s="51">
        <f t="shared" si="24"/>
        <v>0</v>
      </c>
      <c r="Q57" s="51">
        <f t="shared" si="24"/>
        <v>3800</v>
      </c>
      <c r="R57" s="51">
        <f t="shared" si="24"/>
        <v>2800</v>
      </c>
      <c r="S57" s="51">
        <f t="shared" si="24"/>
        <v>0</v>
      </c>
      <c r="T57" s="51">
        <f t="shared" si="24"/>
        <v>2450</v>
      </c>
      <c r="U57" s="51">
        <f t="shared" si="24"/>
        <v>1000</v>
      </c>
      <c r="V57" s="51">
        <f t="shared" si="24"/>
        <v>500</v>
      </c>
      <c r="W57" s="51">
        <f t="shared" si="24"/>
        <v>850</v>
      </c>
      <c r="X57" s="55">
        <f t="shared" si="24"/>
        <v>800</v>
      </c>
      <c r="Y57" s="59">
        <f t="shared" si="15"/>
        <v>566.5</v>
      </c>
      <c r="Z57" s="51">
        <f t="shared" si="16"/>
        <v>13500</v>
      </c>
      <c r="AA57" s="103">
        <f>245/270*40000</f>
        <v>36296.296296296299</v>
      </c>
    </row>
    <row r="58" spans="1:31" ht="15.75" thickBot="1" x14ac:dyDescent="0.3">
      <c r="A58" s="48" t="s">
        <v>60</v>
      </c>
      <c r="B58" s="49" t="s">
        <v>9</v>
      </c>
      <c r="C58" s="50"/>
      <c r="D58" s="50"/>
      <c r="E58" s="50"/>
      <c r="F58" s="53">
        <f>F75</f>
        <v>0</v>
      </c>
      <c r="G58" s="53">
        <f t="shared" ref="G58:X58" si="25">G75</f>
        <v>0</v>
      </c>
      <c r="H58" s="53">
        <f t="shared" si="25"/>
        <v>0</v>
      </c>
      <c r="I58" s="53">
        <f t="shared" si="25"/>
        <v>0</v>
      </c>
      <c r="J58" s="53">
        <f t="shared" si="25"/>
        <v>0</v>
      </c>
      <c r="K58" s="53">
        <f t="shared" si="25"/>
        <v>0</v>
      </c>
      <c r="L58" s="62">
        <f t="shared" si="25"/>
        <v>0</v>
      </c>
      <c r="M58" s="53">
        <f t="shared" si="25"/>
        <v>0</v>
      </c>
      <c r="N58" s="53">
        <f t="shared" si="25"/>
        <v>0</v>
      </c>
      <c r="O58" s="53">
        <f t="shared" si="25"/>
        <v>0</v>
      </c>
      <c r="P58" s="53">
        <f t="shared" si="25"/>
        <v>0</v>
      </c>
      <c r="Q58" s="53">
        <f t="shared" si="25"/>
        <v>0</v>
      </c>
      <c r="R58" s="53">
        <f t="shared" si="25"/>
        <v>0</v>
      </c>
      <c r="S58" s="53">
        <f t="shared" si="25"/>
        <v>0</v>
      </c>
      <c r="T58" s="53">
        <f t="shared" si="25"/>
        <v>0</v>
      </c>
      <c r="U58" s="53">
        <f t="shared" si="25"/>
        <v>0</v>
      </c>
      <c r="V58" s="53">
        <f t="shared" si="25"/>
        <v>760</v>
      </c>
      <c r="W58" s="53">
        <f t="shared" si="25"/>
        <v>0</v>
      </c>
      <c r="X58" s="53">
        <f t="shared" si="25"/>
        <v>900</v>
      </c>
      <c r="Y58" s="60">
        <f t="shared" si="15"/>
        <v>0</v>
      </c>
      <c r="Z58" s="53">
        <f t="shared" si="16"/>
        <v>1660</v>
      </c>
      <c r="AA58" s="104">
        <v>1100</v>
      </c>
    </row>
    <row r="59" spans="1:31" ht="15.75" thickTop="1" x14ac:dyDescent="0.25">
      <c r="A59" s="15" t="s">
        <v>51</v>
      </c>
      <c r="B59" s="16" t="s">
        <v>52</v>
      </c>
      <c r="C59" s="16" t="s">
        <v>53</v>
      </c>
      <c r="D59" s="2"/>
      <c r="E59" s="2"/>
      <c r="F59" s="47"/>
      <c r="G59" s="47"/>
      <c r="H59" s="47"/>
      <c r="I59" s="47"/>
      <c r="J59" s="47"/>
      <c r="K59" s="47"/>
      <c r="L59" s="6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57"/>
      <c r="Y59" s="61">
        <f t="shared" si="15"/>
        <v>0</v>
      </c>
      <c r="Z59" s="47">
        <f t="shared" si="16"/>
        <v>0</v>
      </c>
      <c r="AA59" s="47">
        <f t="shared" ref="AA59:AA68" si="26">L59+Y59+Z59</f>
        <v>0</v>
      </c>
    </row>
    <row r="60" spans="1:31" x14ac:dyDescent="0.25">
      <c r="A60" s="15" t="s">
        <v>51</v>
      </c>
      <c r="B60" s="16" t="s">
        <v>52</v>
      </c>
      <c r="C60" s="16" t="s">
        <v>54</v>
      </c>
      <c r="D60" s="2"/>
      <c r="E60" s="2"/>
      <c r="F60" s="1"/>
      <c r="G60" s="1"/>
      <c r="H60" s="1"/>
      <c r="I60" s="1"/>
      <c r="J60" s="1"/>
      <c r="K60" s="1"/>
      <c r="L60" s="5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54"/>
      <c r="Y60" s="58">
        <f t="shared" si="15"/>
        <v>0</v>
      </c>
      <c r="Z60" s="1">
        <f t="shared" si="16"/>
        <v>0</v>
      </c>
      <c r="AA60" s="1">
        <f t="shared" si="26"/>
        <v>0</v>
      </c>
    </row>
    <row r="61" spans="1:31" x14ac:dyDescent="0.25">
      <c r="A61" s="15" t="s">
        <v>51</v>
      </c>
      <c r="B61" s="16" t="s">
        <v>52</v>
      </c>
      <c r="C61" s="16" t="s">
        <v>55</v>
      </c>
      <c r="D61" s="2"/>
      <c r="E61" s="2"/>
      <c r="F61" s="1"/>
      <c r="G61" s="1"/>
      <c r="H61" s="1"/>
      <c r="I61" s="1"/>
      <c r="J61" s="1"/>
      <c r="K61" s="1"/>
      <c r="L61" s="5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54"/>
      <c r="Y61" s="58">
        <f t="shared" si="15"/>
        <v>0</v>
      </c>
      <c r="Z61" s="1">
        <f t="shared" si="16"/>
        <v>0</v>
      </c>
      <c r="AA61" s="1">
        <f t="shared" si="26"/>
        <v>0</v>
      </c>
    </row>
    <row r="62" spans="1:31" x14ac:dyDescent="0.25">
      <c r="A62" s="25" t="s">
        <v>51</v>
      </c>
      <c r="B62" s="26" t="s">
        <v>56</v>
      </c>
      <c r="C62" s="26" t="s">
        <v>57</v>
      </c>
      <c r="D62" s="2"/>
      <c r="E62" s="2"/>
      <c r="F62" s="1"/>
      <c r="G62" s="1"/>
      <c r="H62" s="1"/>
      <c r="I62" s="1"/>
      <c r="J62" s="1"/>
      <c r="K62" s="1"/>
      <c r="L62" s="5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54"/>
      <c r="Y62" s="58">
        <f t="shared" si="15"/>
        <v>0</v>
      </c>
      <c r="Z62" s="1">
        <f t="shared" si="16"/>
        <v>0</v>
      </c>
      <c r="AA62" s="1">
        <f t="shared" si="26"/>
        <v>0</v>
      </c>
    </row>
    <row r="63" spans="1:31" x14ac:dyDescent="0.25">
      <c r="A63" s="15" t="s">
        <v>51</v>
      </c>
      <c r="B63" s="16" t="s">
        <v>56</v>
      </c>
      <c r="C63" s="27" t="s">
        <v>58</v>
      </c>
      <c r="D63" s="2"/>
      <c r="E63" s="2"/>
      <c r="F63" s="1"/>
      <c r="G63" s="1"/>
      <c r="H63" s="1"/>
      <c r="I63" s="1"/>
      <c r="J63" s="1"/>
      <c r="K63" s="1"/>
      <c r="L63" s="5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54"/>
      <c r="Y63" s="58">
        <f t="shared" si="15"/>
        <v>0</v>
      </c>
      <c r="Z63" s="1">
        <f t="shared" si="16"/>
        <v>0</v>
      </c>
      <c r="AA63" s="1">
        <f t="shared" si="26"/>
        <v>0</v>
      </c>
      <c r="AC63">
        <f>16/103*5000</f>
        <v>776.69902912621353</v>
      </c>
    </row>
    <row r="64" spans="1:31" x14ac:dyDescent="0.25">
      <c r="A64" s="15" t="s">
        <v>51</v>
      </c>
      <c r="B64" s="16" t="s">
        <v>9</v>
      </c>
      <c r="C64" s="27" t="s">
        <v>59</v>
      </c>
      <c r="D64" s="2"/>
      <c r="E64" s="2"/>
      <c r="F64" s="1"/>
      <c r="G64" s="1"/>
      <c r="H64" s="1"/>
      <c r="I64" s="1"/>
      <c r="J64" s="1"/>
      <c r="K64" s="1"/>
      <c r="L64" s="5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54"/>
      <c r="Y64" s="58">
        <f t="shared" si="15"/>
        <v>0</v>
      </c>
      <c r="Z64" s="1">
        <f t="shared" si="16"/>
        <v>0</v>
      </c>
      <c r="AA64" s="1">
        <f t="shared" si="26"/>
        <v>0</v>
      </c>
      <c r="AC64">
        <f>80/190*2000</f>
        <v>842.10526315789468</v>
      </c>
      <c r="AE64" s="98"/>
    </row>
    <row r="65" spans="1:35" x14ac:dyDescent="0.25">
      <c r="A65" s="15" t="s">
        <v>51</v>
      </c>
      <c r="B65" s="16" t="s">
        <v>9</v>
      </c>
      <c r="C65" s="27" t="s">
        <v>9</v>
      </c>
      <c r="D65" s="2"/>
      <c r="E65" s="2"/>
      <c r="F65" s="1"/>
      <c r="G65" s="1"/>
      <c r="H65" s="1"/>
      <c r="I65" s="1"/>
      <c r="J65" s="1"/>
      <c r="K65" s="1"/>
      <c r="L65" s="5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54"/>
      <c r="Y65" s="58">
        <f t="shared" si="15"/>
        <v>0</v>
      </c>
      <c r="Z65" s="1">
        <f t="shared" si="16"/>
        <v>0</v>
      </c>
      <c r="AA65" s="1">
        <f t="shared" si="26"/>
        <v>0</v>
      </c>
      <c r="AE65" s="98"/>
      <c r="AF65" s="98"/>
    </row>
    <row r="66" spans="1:35" x14ac:dyDescent="0.25">
      <c r="A66" s="28" t="s">
        <v>60</v>
      </c>
      <c r="B66" s="29" t="s">
        <v>13</v>
      </c>
      <c r="C66" s="29" t="s">
        <v>61</v>
      </c>
      <c r="D66" s="2"/>
      <c r="E66" s="2"/>
      <c r="F66" s="103">
        <f>2164*0.65/200*170*0.82</f>
        <v>980.40020000000004</v>
      </c>
      <c r="G66" s="73"/>
      <c r="H66" s="103">
        <f>3300*0.3</f>
        <v>990</v>
      </c>
      <c r="I66" s="91">
        <f>800*0.97</f>
        <v>776</v>
      </c>
      <c r="J66" s="91">
        <v>1200</v>
      </c>
      <c r="K66" s="91">
        <v>230</v>
      </c>
      <c r="L66" s="52"/>
      <c r="M66" s="91">
        <v>2200</v>
      </c>
      <c r="N66" s="91">
        <v>650</v>
      </c>
      <c r="O66" s="91">
        <v>1500</v>
      </c>
      <c r="P66" s="91">
        <v>3200</v>
      </c>
      <c r="Q66" s="91">
        <v>800</v>
      </c>
      <c r="R66" s="91">
        <v>600</v>
      </c>
      <c r="S66" s="51"/>
      <c r="T66" s="91">
        <v>420</v>
      </c>
      <c r="U66" s="91">
        <f>900</f>
        <v>900</v>
      </c>
      <c r="V66" s="77">
        <f>V21*V111</f>
        <v>60</v>
      </c>
      <c r="W66" s="91">
        <v>700</v>
      </c>
      <c r="X66" s="106">
        <v>2000</v>
      </c>
      <c r="Y66" s="59">
        <f t="shared" si="15"/>
        <v>4176.4002</v>
      </c>
      <c r="Z66" s="51">
        <f t="shared" si="16"/>
        <v>13030</v>
      </c>
      <c r="AA66" s="51">
        <f t="shared" si="26"/>
        <v>17206.4002</v>
      </c>
      <c r="AC66">
        <f>28/104*2000</f>
        <v>538.46153846153845</v>
      </c>
      <c r="AE66" s="98"/>
      <c r="AF66" s="98"/>
    </row>
    <row r="67" spans="1:35" x14ac:dyDescent="0.25">
      <c r="A67" s="36" t="s">
        <v>60</v>
      </c>
      <c r="B67" s="37" t="s">
        <v>13</v>
      </c>
      <c r="C67" s="29" t="s">
        <v>62</v>
      </c>
      <c r="D67" s="2"/>
      <c r="E67" s="2"/>
      <c r="F67" s="103">
        <f>2164*0.35/200*170*0.8</f>
        <v>515.03200000000004</v>
      </c>
      <c r="G67" s="103">
        <f>1280*230/210*5600/5455*0.97</f>
        <v>1395.9938893981057</v>
      </c>
      <c r="H67" s="103">
        <f>3300*0.7</f>
        <v>2310</v>
      </c>
      <c r="I67" s="51"/>
      <c r="J67" s="51"/>
      <c r="K67" s="51"/>
      <c r="L67" s="52"/>
      <c r="M67" s="51"/>
      <c r="N67" s="51"/>
      <c r="O67" s="91"/>
      <c r="P67" s="91">
        <v>4200</v>
      </c>
      <c r="Q67" s="51"/>
      <c r="R67" s="51"/>
      <c r="S67" s="51"/>
      <c r="T67" s="51"/>
      <c r="U67" s="51"/>
      <c r="V67" s="51"/>
      <c r="W67" s="51"/>
      <c r="X67" s="55"/>
      <c r="Y67" s="59">
        <f t="shared" si="15"/>
        <v>4221.0258893981063</v>
      </c>
      <c r="Z67" s="51">
        <f t="shared" si="16"/>
        <v>4200</v>
      </c>
      <c r="AA67" s="51">
        <f t="shared" si="26"/>
        <v>8421.0258893981063</v>
      </c>
      <c r="AC67">
        <f>40/56</f>
        <v>0.7142857142857143</v>
      </c>
      <c r="AE67" s="98"/>
      <c r="AF67" s="98"/>
    </row>
    <row r="68" spans="1:35" x14ac:dyDescent="0.25">
      <c r="A68" s="30" t="s">
        <v>60</v>
      </c>
      <c r="B68" s="31" t="s">
        <v>13</v>
      </c>
      <c r="C68" s="32" t="s">
        <v>63</v>
      </c>
      <c r="D68" s="2"/>
      <c r="E68" s="2"/>
      <c r="F68" s="51"/>
      <c r="G68" s="51"/>
      <c r="H68" s="51"/>
      <c r="I68" s="51"/>
      <c r="J68" s="51"/>
      <c r="K68" s="51"/>
      <c r="L68" s="52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5"/>
      <c r="Y68" s="59">
        <f t="shared" si="15"/>
        <v>0</v>
      </c>
      <c r="Z68" s="51">
        <f t="shared" si="16"/>
        <v>0</v>
      </c>
      <c r="AA68" s="51">
        <f t="shared" si="26"/>
        <v>0</v>
      </c>
      <c r="AE68" s="98"/>
      <c r="AF68" s="98"/>
    </row>
    <row r="69" spans="1:35" x14ac:dyDescent="0.25">
      <c r="A69" s="30" t="s">
        <v>60</v>
      </c>
      <c r="B69" s="32" t="s">
        <v>23</v>
      </c>
      <c r="C69" s="31" t="s">
        <v>50</v>
      </c>
      <c r="D69" s="2"/>
      <c r="E69" s="2"/>
      <c r="F69" s="77">
        <f>F24*F114</f>
        <v>0</v>
      </c>
      <c r="G69" s="51"/>
      <c r="H69" s="51"/>
      <c r="I69" s="51"/>
      <c r="J69" s="77">
        <f>J24*J114</f>
        <v>9.24</v>
      </c>
      <c r="K69" s="64">
        <f>AA69-N69-J69</f>
        <v>1690.76</v>
      </c>
      <c r="L69" s="52"/>
      <c r="M69" s="51"/>
      <c r="N69" s="91">
        <v>400</v>
      </c>
      <c r="O69" s="51"/>
      <c r="P69" s="51"/>
      <c r="Q69" s="51"/>
      <c r="R69" s="51"/>
      <c r="S69" s="51"/>
      <c r="T69" s="51"/>
      <c r="U69" s="51"/>
      <c r="V69" s="51"/>
      <c r="W69" s="51"/>
      <c r="X69" s="55"/>
      <c r="Y69" s="59">
        <f t="shared" si="15"/>
        <v>1700</v>
      </c>
      <c r="Z69" s="51">
        <f t="shared" si="16"/>
        <v>400</v>
      </c>
      <c r="AA69" s="91">
        <v>2100</v>
      </c>
      <c r="AE69" s="98"/>
      <c r="AF69" s="98"/>
    </row>
    <row r="70" spans="1:35" x14ac:dyDescent="0.25">
      <c r="A70" s="30" t="s">
        <v>60</v>
      </c>
      <c r="B70" s="32" t="s">
        <v>23</v>
      </c>
      <c r="C70" s="31" t="s">
        <v>49</v>
      </c>
      <c r="D70" s="2"/>
      <c r="E70" s="2"/>
      <c r="F70" s="51"/>
      <c r="G70" s="51"/>
      <c r="H70" s="51"/>
      <c r="I70" s="51"/>
      <c r="J70" s="64">
        <v>400</v>
      </c>
      <c r="K70" s="64">
        <f>600*0.18</f>
        <v>108</v>
      </c>
      <c r="L70" s="52"/>
      <c r="M70" s="51"/>
      <c r="N70" s="51"/>
      <c r="O70" s="51"/>
      <c r="P70" s="51"/>
      <c r="Q70" s="51"/>
      <c r="R70" s="51"/>
      <c r="S70" s="64">
        <v>60</v>
      </c>
      <c r="T70" s="77">
        <f>T25*T115</f>
        <v>260</v>
      </c>
      <c r="U70" s="51"/>
      <c r="V70" s="77">
        <f>V25*V115</f>
        <v>90</v>
      </c>
      <c r="W70" s="51"/>
      <c r="X70" s="77">
        <f>X25*X115</f>
        <v>90</v>
      </c>
      <c r="Y70" s="59">
        <f t="shared" si="15"/>
        <v>508</v>
      </c>
      <c r="Z70" s="51">
        <f t="shared" si="16"/>
        <v>500</v>
      </c>
      <c r="AA70" s="91">
        <f>1250</f>
        <v>1250</v>
      </c>
      <c r="AB70" s="9"/>
      <c r="AE70" s="98"/>
      <c r="AF70" s="98"/>
    </row>
    <row r="71" spans="1:35" x14ac:dyDescent="0.25">
      <c r="A71" s="30" t="s">
        <v>60</v>
      </c>
      <c r="B71" s="32" t="s">
        <v>23</v>
      </c>
      <c r="C71" s="31" t="s">
        <v>64</v>
      </c>
      <c r="D71" s="2"/>
      <c r="E71" s="2"/>
      <c r="F71" s="51"/>
      <c r="G71" s="51"/>
      <c r="H71" s="51"/>
      <c r="I71" s="51"/>
      <c r="J71" s="51"/>
      <c r="K71" s="51"/>
      <c r="L71" s="52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5"/>
      <c r="Y71" s="59">
        <f t="shared" si="15"/>
        <v>0</v>
      </c>
      <c r="Z71" s="51">
        <f t="shared" si="16"/>
        <v>0</v>
      </c>
      <c r="AA71" s="51">
        <f t="shared" ref="AA71:AA90" si="27">L71+Y71+Z71</f>
        <v>0</v>
      </c>
    </row>
    <row r="72" spans="1:35" x14ac:dyDescent="0.25">
      <c r="A72" s="30" t="s">
        <v>60</v>
      </c>
      <c r="B72" s="32" t="s">
        <v>65</v>
      </c>
      <c r="C72" s="31" t="s">
        <v>66</v>
      </c>
      <c r="D72" s="2"/>
      <c r="E72" s="2"/>
      <c r="F72" s="51"/>
      <c r="G72" s="51"/>
      <c r="H72" s="51"/>
      <c r="I72" s="51"/>
      <c r="J72" s="91">
        <f>550*1.03</f>
        <v>566.5</v>
      </c>
      <c r="K72" s="51"/>
      <c r="L72" s="52"/>
      <c r="M72" s="91">
        <f>1300</f>
        <v>1300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5"/>
      <c r="Y72" s="59">
        <f t="shared" si="15"/>
        <v>566.5</v>
      </c>
      <c r="Z72" s="51">
        <f t="shared" si="16"/>
        <v>1300</v>
      </c>
      <c r="AA72" s="51">
        <f t="shared" si="27"/>
        <v>1866.5</v>
      </c>
    </row>
    <row r="73" spans="1:35" x14ac:dyDescent="0.25">
      <c r="A73" s="30" t="s">
        <v>60</v>
      </c>
      <c r="B73" s="32" t="s">
        <v>65</v>
      </c>
      <c r="C73" s="31" t="s">
        <v>67</v>
      </c>
      <c r="D73" s="2"/>
      <c r="E73" s="2"/>
      <c r="F73" s="51"/>
      <c r="G73" s="51"/>
      <c r="H73" s="51"/>
      <c r="I73" s="51"/>
      <c r="J73" s="51"/>
      <c r="K73" s="51"/>
      <c r="L73" s="52"/>
      <c r="M73" s="51"/>
      <c r="N73" s="51"/>
      <c r="O73" s="51"/>
      <c r="P73" s="51"/>
      <c r="Q73" s="91">
        <v>3800</v>
      </c>
      <c r="R73" s="91">
        <v>2800</v>
      </c>
      <c r="S73" s="51"/>
      <c r="T73" s="91">
        <v>2450</v>
      </c>
      <c r="U73" s="91">
        <v>1000</v>
      </c>
      <c r="V73" s="64">
        <f>500</f>
        <v>500</v>
      </c>
      <c r="W73" s="91">
        <v>850</v>
      </c>
      <c r="X73" s="106">
        <v>800</v>
      </c>
      <c r="Y73" s="59">
        <f t="shared" si="15"/>
        <v>0</v>
      </c>
      <c r="Z73" s="51">
        <f t="shared" si="16"/>
        <v>12200</v>
      </c>
      <c r="AA73" s="51">
        <f t="shared" si="27"/>
        <v>12200</v>
      </c>
    </row>
    <row r="74" spans="1:35" x14ac:dyDescent="0.25">
      <c r="A74" s="30" t="s">
        <v>60</v>
      </c>
      <c r="B74" s="32" t="s">
        <v>65</v>
      </c>
      <c r="C74" s="31" t="s">
        <v>68</v>
      </c>
      <c r="D74" s="2"/>
      <c r="E74" s="2"/>
      <c r="F74" s="51"/>
      <c r="G74" s="51"/>
      <c r="H74" s="51"/>
      <c r="I74" s="51"/>
      <c r="J74" s="51"/>
      <c r="K74" s="51"/>
      <c r="L74" s="91">
        <v>22500</v>
      </c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5"/>
      <c r="Y74" s="59">
        <f t="shared" si="15"/>
        <v>0</v>
      </c>
      <c r="Z74" s="51">
        <f t="shared" si="16"/>
        <v>0</v>
      </c>
      <c r="AA74" s="51">
        <f t="shared" si="27"/>
        <v>22500</v>
      </c>
    </row>
    <row r="75" spans="1:35" x14ac:dyDescent="0.25">
      <c r="A75" s="30" t="s">
        <v>60</v>
      </c>
      <c r="B75" s="32" t="s">
        <v>9</v>
      </c>
      <c r="C75" s="31" t="s">
        <v>69</v>
      </c>
      <c r="D75" s="2"/>
      <c r="E75" s="2"/>
      <c r="F75" s="51"/>
      <c r="G75" s="51"/>
      <c r="H75" s="51"/>
      <c r="I75" s="51"/>
      <c r="J75" s="51"/>
      <c r="K75" s="51"/>
      <c r="L75" s="52"/>
      <c r="M75" s="51"/>
      <c r="N75" s="51"/>
      <c r="O75" s="51"/>
      <c r="P75" s="51"/>
      <c r="Q75" s="51"/>
      <c r="R75" s="51"/>
      <c r="S75" s="51"/>
      <c r="T75" s="51"/>
      <c r="U75" s="51"/>
      <c r="V75" s="96">
        <v>760</v>
      </c>
      <c r="W75" s="51"/>
      <c r="X75" s="55">
        <v>900</v>
      </c>
      <c r="Y75" s="59">
        <f t="shared" si="15"/>
        <v>0</v>
      </c>
      <c r="Z75" s="51">
        <f t="shared" si="16"/>
        <v>1660</v>
      </c>
      <c r="AA75" s="51">
        <f t="shared" si="27"/>
        <v>1660</v>
      </c>
    </row>
    <row r="76" spans="1:35" x14ac:dyDescent="0.25">
      <c r="A76" s="15" t="s">
        <v>51</v>
      </c>
      <c r="B76" s="16" t="s">
        <v>56</v>
      </c>
      <c r="C76" s="27" t="s">
        <v>57</v>
      </c>
      <c r="D76" s="16" t="s">
        <v>70</v>
      </c>
      <c r="E76" s="16"/>
      <c r="F76" s="1"/>
      <c r="G76" s="1"/>
      <c r="H76" s="1"/>
      <c r="I76" s="1"/>
      <c r="J76" s="1"/>
      <c r="K76" s="1"/>
      <c r="L76" s="5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54"/>
      <c r="Y76" s="58">
        <f t="shared" si="15"/>
        <v>0</v>
      </c>
      <c r="Z76" s="1">
        <f t="shared" si="16"/>
        <v>0</v>
      </c>
      <c r="AA76" s="1">
        <f t="shared" si="27"/>
        <v>0</v>
      </c>
      <c r="AC76">
        <f>8/28*2</f>
        <v>0.5714285714285714</v>
      </c>
    </row>
    <row r="77" spans="1:35" x14ac:dyDescent="0.25">
      <c r="A77" s="15" t="s">
        <v>51</v>
      </c>
      <c r="B77" s="16" t="s">
        <v>56</v>
      </c>
      <c r="C77" s="27" t="s">
        <v>57</v>
      </c>
      <c r="D77" s="16" t="s">
        <v>71</v>
      </c>
      <c r="E77" s="16"/>
      <c r="F77" s="1"/>
      <c r="G77" s="1"/>
      <c r="H77" s="1"/>
      <c r="I77" s="1"/>
      <c r="J77" s="1"/>
      <c r="K77" s="1"/>
      <c r="L77" s="5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54"/>
      <c r="Y77" s="58">
        <f t="shared" si="15"/>
        <v>0</v>
      </c>
      <c r="Z77" s="1">
        <f t="shared" si="16"/>
        <v>0</v>
      </c>
      <c r="AA77" s="1">
        <f t="shared" si="27"/>
        <v>0</v>
      </c>
    </row>
    <row r="78" spans="1:35" x14ac:dyDescent="0.25">
      <c r="A78" s="15" t="s">
        <v>51</v>
      </c>
      <c r="B78" s="16" t="s">
        <v>56</v>
      </c>
      <c r="C78" s="27" t="s">
        <v>27</v>
      </c>
      <c r="D78" s="16" t="s">
        <v>72</v>
      </c>
      <c r="E78" s="16"/>
      <c r="F78" s="1"/>
      <c r="G78" s="1"/>
      <c r="H78" s="1"/>
      <c r="I78" s="1"/>
      <c r="J78" s="1"/>
      <c r="K78" s="1"/>
      <c r="L78" s="5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54"/>
      <c r="Y78" s="58">
        <f t="shared" si="15"/>
        <v>0</v>
      </c>
      <c r="Z78" s="1">
        <f t="shared" si="16"/>
        <v>0</v>
      </c>
      <c r="AA78" s="1">
        <f t="shared" si="27"/>
        <v>0</v>
      </c>
      <c r="AH78" t="s">
        <v>1</v>
      </c>
      <c r="AI78" t="s">
        <v>6</v>
      </c>
    </row>
    <row r="79" spans="1:35" x14ac:dyDescent="0.25">
      <c r="A79" s="15" t="s">
        <v>51</v>
      </c>
      <c r="B79" s="16" t="s">
        <v>56</v>
      </c>
      <c r="C79" s="27" t="s">
        <v>57</v>
      </c>
      <c r="D79" s="16" t="s">
        <v>73</v>
      </c>
      <c r="E79" s="16"/>
      <c r="F79" s="1"/>
      <c r="G79" s="1"/>
      <c r="H79" s="1"/>
      <c r="I79" s="1"/>
      <c r="J79" s="1"/>
      <c r="K79" s="1"/>
      <c r="L79" s="5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54"/>
      <c r="Y79" s="58">
        <f t="shared" si="15"/>
        <v>0</v>
      </c>
      <c r="Z79" s="1">
        <f t="shared" si="16"/>
        <v>0</v>
      </c>
      <c r="AA79" s="1">
        <f t="shared" si="27"/>
        <v>0</v>
      </c>
      <c r="AF79" t="s">
        <v>11</v>
      </c>
      <c r="AG79">
        <f>14/180</f>
        <v>7.7777777777777779E-2</v>
      </c>
      <c r="AH79">
        <f>AG79*20000</f>
        <v>1555.5555555555557</v>
      </c>
    </row>
    <row r="80" spans="1:35" x14ac:dyDescent="0.25">
      <c r="A80" s="15" t="s">
        <v>51</v>
      </c>
      <c r="B80" s="16" t="s">
        <v>56</v>
      </c>
      <c r="C80" s="27" t="s">
        <v>57</v>
      </c>
      <c r="D80" s="16" t="s">
        <v>74</v>
      </c>
      <c r="E80" s="16"/>
      <c r="F80" s="1"/>
      <c r="G80" s="1"/>
      <c r="H80" s="1"/>
      <c r="I80" s="1"/>
      <c r="J80" s="1"/>
      <c r="K80" s="1"/>
      <c r="L80" s="5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54"/>
      <c r="Y80" s="58">
        <f t="shared" si="15"/>
        <v>0</v>
      </c>
      <c r="Z80" s="1">
        <f t="shared" si="16"/>
        <v>0</v>
      </c>
      <c r="AA80" s="1">
        <f t="shared" si="27"/>
        <v>0</v>
      </c>
      <c r="AF80" t="s">
        <v>5</v>
      </c>
      <c r="AG80">
        <f>2/180</f>
        <v>1.1111111111111112E-2</v>
      </c>
      <c r="AH80">
        <f>AG80*20000</f>
        <v>222.22222222222223</v>
      </c>
      <c r="AI80">
        <f>AH80/5000</f>
        <v>4.4444444444444446E-2</v>
      </c>
    </row>
    <row r="81" spans="1:36" x14ac:dyDescent="0.25">
      <c r="A81" s="30" t="s">
        <v>60</v>
      </c>
      <c r="B81" s="31" t="s">
        <v>13</v>
      </c>
      <c r="C81" s="32" t="s">
        <v>61</v>
      </c>
      <c r="D81" s="31" t="s">
        <v>75</v>
      </c>
      <c r="E81" s="31"/>
      <c r="F81" s="51">
        <f>F66*0.4</f>
        <v>392.16008000000005</v>
      </c>
      <c r="G81" s="73"/>
      <c r="H81" s="51">
        <f>H66</f>
        <v>990</v>
      </c>
      <c r="I81" s="51">
        <f>I66*0.7</f>
        <v>543.19999999999993</v>
      </c>
      <c r="J81" s="51">
        <f>J66*0.3</f>
        <v>360</v>
      </c>
      <c r="K81" s="51">
        <f>K66*0.8</f>
        <v>184</v>
      </c>
      <c r="L81" s="52">
        <v>0</v>
      </c>
      <c r="M81" s="73">
        <f>M66*0.1</f>
        <v>220</v>
      </c>
      <c r="N81" s="73">
        <v>0</v>
      </c>
      <c r="O81" s="73">
        <v>0</v>
      </c>
      <c r="P81" s="73">
        <v>0</v>
      </c>
      <c r="Q81" s="73"/>
      <c r="R81" s="73"/>
      <c r="S81" s="51"/>
      <c r="T81" s="51"/>
      <c r="U81" s="51"/>
      <c r="V81" s="51"/>
      <c r="W81" s="51">
        <f>W66</f>
        <v>700</v>
      </c>
      <c r="X81" s="55">
        <f>X66*0.1</f>
        <v>200</v>
      </c>
      <c r="Y81" s="59">
        <f t="shared" si="15"/>
        <v>2469.3600799999999</v>
      </c>
      <c r="Z81" s="51">
        <f t="shared" si="16"/>
        <v>1120</v>
      </c>
      <c r="AA81" s="51">
        <f t="shared" si="27"/>
        <v>3589.3600799999999</v>
      </c>
      <c r="AF81" t="s">
        <v>7</v>
      </c>
      <c r="AG81">
        <f>7/180</f>
        <v>3.888888888888889E-2</v>
      </c>
      <c r="AH81">
        <f>AG81*20000</f>
        <v>777.77777777777783</v>
      </c>
      <c r="AI81">
        <f>AH81/5000</f>
        <v>0.15555555555555556</v>
      </c>
      <c r="AJ81">
        <f>AH81/4777</f>
        <v>0.16281720280045589</v>
      </c>
    </row>
    <row r="82" spans="1:36" x14ac:dyDescent="0.25">
      <c r="A82" s="30" t="s">
        <v>60</v>
      </c>
      <c r="B82" s="31" t="s">
        <v>13</v>
      </c>
      <c r="C82" s="32" t="s">
        <v>61</v>
      </c>
      <c r="D82" s="31" t="s">
        <v>76</v>
      </c>
      <c r="E82" s="31"/>
      <c r="F82" s="51">
        <f>F66*0.6</f>
        <v>588.24012000000005</v>
      </c>
      <c r="G82" s="51">
        <v>0</v>
      </c>
      <c r="H82" s="51">
        <v>0</v>
      </c>
      <c r="I82" s="51">
        <f>I66*0.25</f>
        <v>194</v>
      </c>
      <c r="J82" s="51">
        <f>J66*0.7</f>
        <v>840</v>
      </c>
      <c r="K82" s="51">
        <f>K66*0.05</f>
        <v>11.5</v>
      </c>
      <c r="L82" s="52">
        <v>0</v>
      </c>
      <c r="M82" s="73">
        <f>M66*0.4</f>
        <v>880</v>
      </c>
      <c r="N82" s="73">
        <f>N66</f>
        <v>650</v>
      </c>
      <c r="O82" s="73">
        <f>O66*0.3</f>
        <v>450</v>
      </c>
      <c r="P82" s="73">
        <f>P66*0.28</f>
        <v>896.00000000000011</v>
      </c>
      <c r="Q82" s="73"/>
      <c r="R82" s="73">
        <f>R66</f>
        <v>600</v>
      </c>
      <c r="S82" s="51"/>
      <c r="T82" s="51"/>
      <c r="U82" s="51"/>
      <c r="V82" s="51"/>
      <c r="W82" s="51"/>
      <c r="X82" s="55">
        <f>X66*0.1</f>
        <v>200</v>
      </c>
      <c r="Y82" s="59">
        <f t="shared" si="15"/>
        <v>1633.7401199999999</v>
      </c>
      <c r="Z82" s="51">
        <f t="shared" si="16"/>
        <v>3676</v>
      </c>
      <c r="AA82" s="51">
        <f t="shared" si="27"/>
        <v>5309.7401200000004</v>
      </c>
      <c r="AF82" t="s">
        <v>8</v>
      </c>
      <c r="AG82">
        <f>36/180</f>
        <v>0.2</v>
      </c>
      <c r="AH82">
        <f>AG82*20000</f>
        <v>4000</v>
      </c>
      <c r="AI82">
        <f>AH82/5000</f>
        <v>0.8</v>
      </c>
      <c r="AJ82">
        <f>AH82/4777</f>
        <v>0.83734561440234456</v>
      </c>
    </row>
    <row r="83" spans="1:36" x14ac:dyDescent="0.25">
      <c r="A83" s="30" t="s">
        <v>60</v>
      </c>
      <c r="B83" s="31" t="s">
        <v>13</v>
      </c>
      <c r="C83" s="32" t="s">
        <v>61</v>
      </c>
      <c r="D83" s="31" t="s">
        <v>77</v>
      </c>
      <c r="E83" s="31"/>
      <c r="F83" s="51">
        <v>0</v>
      </c>
      <c r="G83" s="51">
        <v>0</v>
      </c>
      <c r="H83" s="51">
        <v>0</v>
      </c>
      <c r="I83" s="51">
        <v>0</v>
      </c>
      <c r="J83" s="51">
        <v>0</v>
      </c>
      <c r="K83" s="51">
        <f>K66*0.1</f>
        <v>23</v>
      </c>
      <c r="L83" s="52">
        <v>0</v>
      </c>
      <c r="M83" s="73">
        <f>M66*0.5</f>
        <v>1100</v>
      </c>
      <c r="N83" s="73">
        <v>0</v>
      </c>
      <c r="O83" s="73">
        <f>O66*0.7</f>
        <v>1050</v>
      </c>
      <c r="P83" s="73">
        <f>P66*0.7</f>
        <v>2240</v>
      </c>
      <c r="Q83" s="73"/>
      <c r="R83" s="73"/>
      <c r="S83" s="51"/>
      <c r="T83" s="51">
        <f>T66</f>
        <v>420</v>
      </c>
      <c r="U83" s="51">
        <f>U66</f>
        <v>900</v>
      </c>
      <c r="V83" s="51"/>
      <c r="W83" s="51"/>
      <c r="X83" s="55">
        <f>X66*0.7</f>
        <v>1400</v>
      </c>
      <c r="Y83" s="59">
        <f t="shared" si="15"/>
        <v>23</v>
      </c>
      <c r="Z83" s="51">
        <f t="shared" si="16"/>
        <v>7110</v>
      </c>
      <c r="AA83" s="51">
        <f t="shared" si="27"/>
        <v>7133</v>
      </c>
    </row>
    <row r="84" spans="1:36" x14ac:dyDescent="0.25">
      <c r="A84" s="30" t="s">
        <v>60</v>
      </c>
      <c r="B84" s="31" t="s">
        <v>13</v>
      </c>
      <c r="C84" s="32" t="s">
        <v>61</v>
      </c>
      <c r="D84" s="31" t="s">
        <v>78</v>
      </c>
      <c r="E84" s="31"/>
      <c r="F84" s="51">
        <v>0</v>
      </c>
      <c r="G84" s="51">
        <v>0</v>
      </c>
      <c r="H84" s="51">
        <v>0</v>
      </c>
      <c r="I84" s="51">
        <f>I66*0.05</f>
        <v>38.800000000000004</v>
      </c>
      <c r="J84" s="51">
        <v>0</v>
      </c>
      <c r="K84" s="51">
        <f>K66*0.05</f>
        <v>11.5</v>
      </c>
      <c r="L84" s="52">
        <v>0</v>
      </c>
      <c r="M84" s="73">
        <f>M66*0</f>
        <v>0</v>
      </c>
      <c r="N84" s="73">
        <v>0</v>
      </c>
      <c r="O84" s="73">
        <f>O66*0</f>
        <v>0</v>
      </c>
      <c r="P84" s="73">
        <f>(P66)*0.02</f>
        <v>64</v>
      </c>
      <c r="Q84" s="73">
        <f>Q66</f>
        <v>800</v>
      </c>
      <c r="R84" s="73"/>
      <c r="S84" s="51"/>
      <c r="T84" s="51"/>
      <c r="U84" s="51"/>
      <c r="V84" s="51"/>
      <c r="W84" s="51"/>
      <c r="X84" s="55">
        <f>X66*0.1</f>
        <v>200</v>
      </c>
      <c r="Y84" s="59">
        <f t="shared" si="15"/>
        <v>50.300000000000004</v>
      </c>
      <c r="Z84" s="51">
        <f t="shared" si="16"/>
        <v>1064</v>
      </c>
      <c r="AA84" s="51">
        <f t="shared" si="27"/>
        <v>1114.3</v>
      </c>
    </row>
    <row r="85" spans="1:36" ht="15.75" thickBot="1" x14ac:dyDescent="0.3">
      <c r="A85" s="33" t="s">
        <v>60</v>
      </c>
      <c r="B85" s="34" t="s">
        <v>13</v>
      </c>
      <c r="C85" s="35" t="s">
        <v>61</v>
      </c>
      <c r="D85" s="34" t="s">
        <v>79</v>
      </c>
      <c r="E85" s="31"/>
      <c r="F85" s="51">
        <v>0</v>
      </c>
      <c r="G85" s="51">
        <v>0</v>
      </c>
      <c r="H85" s="51">
        <v>0</v>
      </c>
      <c r="I85" s="51">
        <v>0</v>
      </c>
      <c r="J85" s="51">
        <v>0</v>
      </c>
      <c r="K85" s="51">
        <v>0</v>
      </c>
      <c r="L85" s="52">
        <v>0</v>
      </c>
      <c r="M85" s="51">
        <v>0</v>
      </c>
      <c r="N85" s="51">
        <v>0</v>
      </c>
      <c r="O85" s="51">
        <v>0</v>
      </c>
      <c r="P85" s="51">
        <v>0</v>
      </c>
      <c r="Q85" s="51">
        <v>0</v>
      </c>
      <c r="R85" s="51">
        <v>0</v>
      </c>
      <c r="S85" s="51">
        <v>0</v>
      </c>
      <c r="T85" s="51">
        <v>0</v>
      </c>
      <c r="U85" s="51">
        <v>0</v>
      </c>
      <c r="V85" s="51">
        <v>0</v>
      </c>
      <c r="W85" s="51">
        <v>0</v>
      </c>
      <c r="X85" s="55">
        <v>0</v>
      </c>
      <c r="Y85" s="59">
        <f t="shared" si="15"/>
        <v>0</v>
      </c>
      <c r="Z85" s="51">
        <f t="shared" si="16"/>
        <v>0</v>
      </c>
      <c r="AA85" s="51">
        <f t="shared" si="27"/>
        <v>0</v>
      </c>
    </row>
    <row r="86" spans="1:36" x14ac:dyDescent="0.25">
      <c r="A86" s="30" t="s">
        <v>60</v>
      </c>
      <c r="B86" s="31" t="s">
        <v>13</v>
      </c>
      <c r="C86" s="32" t="s">
        <v>62</v>
      </c>
      <c r="D86" s="31" t="s">
        <v>75</v>
      </c>
      <c r="E86" s="31"/>
      <c r="F86" s="51"/>
      <c r="G86" s="73">
        <f>G67*0.5</f>
        <v>697.99694469905285</v>
      </c>
      <c r="H86" s="51">
        <f>H67*0.2</f>
        <v>462</v>
      </c>
      <c r="I86" s="51">
        <v>0</v>
      </c>
      <c r="J86" s="51">
        <v>0</v>
      </c>
      <c r="K86" s="51">
        <v>0</v>
      </c>
      <c r="L86" s="52">
        <v>0</v>
      </c>
      <c r="M86" s="51">
        <v>0</v>
      </c>
      <c r="N86" s="51">
        <v>0</v>
      </c>
      <c r="O86" s="51">
        <v>0</v>
      </c>
      <c r="P86" s="51">
        <v>0</v>
      </c>
      <c r="Q86" s="51">
        <v>0</v>
      </c>
      <c r="R86" s="51">
        <v>0</v>
      </c>
      <c r="S86" s="51">
        <v>0</v>
      </c>
      <c r="T86" s="51">
        <v>0</v>
      </c>
      <c r="U86" s="51">
        <v>0</v>
      </c>
      <c r="V86" s="51">
        <v>0</v>
      </c>
      <c r="W86" s="51">
        <v>0</v>
      </c>
      <c r="X86" s="55">
        <v>0</v>
      </c>
      <c r="Y86" s="59">
        <f t="shared" si="15"/>
        <v>1159.9969446990528</v>
      </c>
      <c r="Z86" s="51">
        <f t="shared" si="16"/>
        <v>0</v>
      </c>
      <c r="AA86" s="51">
        <f t="shared" si="27"/>
        <v>1159.9969446990528</v>
      </c>
    </row>
    <row r="87" spans="1:36" x14ac:dyDescent="0.25">
      <c r="A87" s="30" t="s">
        <v>60</v>
      </c>
      <c r="B87" s="31" t="s">
        <v>13</v>
      </c>
      <c r="C87" s="32" t="s">
        <v>62</v>
      </c>
      <c r="D87" s="31" t="s">
        <v>76</v>
      </c>
      <c r="E87" s="31"/>
      <c r="F87" s="51">
        <f>F67</f>
        <v>515.03200000000004</v>
      </c>
      <c r="G87" s="51">
        <f>G67*0.5</f>
        <v>697.99694469905285</v>
      </c>
      <c r="H87" s="51">
        <f>H67*0.8</f>
        <v>1848</v>
      </c>
      <c r="I87" s="51">
        <v>0</v>
      </c>
      <c r="J87" s="51">
        <v>0</v>
      </c>
      <c r="K87" s="51">
        <v>0</v>
      </c>
      <c r="L87" s="52">
        <v>0</v>
      </c>
      <c r="M87" s="51">
        <v>0</v>
      </c>
      <c r="N87" s="51">
        <v>0</v>
      </c>
      <c r="O87" s="51">
        <v>0</v>
      </c>
      <c r="P87" s="51">
        <f>P67</f>
        <v>4200</v>
      </c>
      <c r="Q87" s="51">
        <v>0</v>
      </c>
      <c r="R87" s="51">
        <v>0</v>
      </c>
      <c r="S87" s="51">
        <v>0</v>
      </c>
      <c r="T87" s="51">
        <v>0</v>
      </c>
      <c r="U87" s="51">
        <v>0</v>
      </c>
      <c r="V87" s="51">
        <v>0</v>
      </c>
      <c r="W87" s="51">
        <v>0</v>
      </c>
      <c r="X87" s="55">
        <v>0</v>
      </c>
      <c r="Y87" s="59">
        <f t="shared" si="15"/>
        <v>3061.0289446990528</v>
      </c>
      <c r="Z87" s="51">
        <f t="shared" si="16"/>
        <v>4200</v>
      </c>
      <c r="AA87" s="51">
        <f t="shared" si="27"/>
        <v>7261.0289446990528</v>
      </c>
    </row>
    <row r="88" spans="1:36" x14ac:dyDescent="0.25">
      <c r="A88" s="30" t="s">
        <v>60</v>
      </c>
      <c r="B88" s="31" t="s">
        <v>13</v>
      </c>
      <c r="C88" s="32" t="s">
        <v>62</v>
      </c>
      <c r="D88" s="31" t="s">
        <v>77</v>
      </c>
      <c r="E88" s="31"/>
      <c r="F88" s="51">
        <v>0</v>
      </c>
      <c r="G88" s="51">
        <v>0</v>
      </c>
      <c r="H88" s="51">
        <v>0</v>
      </c>
      <c r="I88" s="51">
        <v>0</v>
      </c>
      <c r="J88" s="51">
        <v>0</v>
      </c>
      <c r="K88" s="51">
        <v>0</v>
      </c>
      <c r="L88" s="52">
        <v>0</v>
      </c>
      <c r="M88" s="51">
        <v>0</v>
      </c>
      <c r="N88" s="51">
        <v>0</v>
      </c>
      <c r="O88" s="51">
        <v>0</v>
      </c>
      <c r="P88" s="51">
        <v>0</v>
      </c>
      <c r="Q88" s="51">
        <v>0</v>
      </c>
      <c r="R88" s="51">
        <v>0</v>
      </c>
      <c r="S88" s="51">
        <v>0</v>
      </c>
      <c r="T88" s="51">
        <v>0</v>
      </c>
      <c r="U88" s="51">
        <v>0</v>
      </c>
      <c r="V88" s="51">
        <v>0</v>
      </c>
      <c r="W88" s="51">
        <v>0</v>
      </c>
      <c r="X88" s="55">
        <v>0</v>
      </c>
      <c r="Y88" s="59">
        <f t="shared" si="15"/>
        <v>0</v>
      </c>
      <c r="Z88" s="51">
        <f t="shared" si="16"/>
        <v>0</v>
      </c>
      <c r="AA88" s="51">
        <f t="shared" si="27"/>
        <v>0</v>
      </c>
    </row>
    <row r="89" spans="1:36" x14ac:dyDescent="0.25">
      <c r="A89" s="30" t="s">
        <v>60</v>
      </c>
      <c r="B89" s="31" t="s">
        <v>13</v>
      </c>
      <c r="C89" s="32" t="s">
        <v>62</v>
      </c>
      <c r="D89" s="31" t="s">
        <v>78</v>
      </c>
      <c r="E89" s="31"/>
      <c r="F89" s="51">
        <v>0</v>
      </c>
      <c r="G89" s="51">
        <v>0</v>
      </c>
      <c r="H89" s="51">
        <v>0</v>
      </c>
      <c r="I89" s="51">
        <v>0</v>
      </c>
      <c r="J89" s="51">
        <v>0</v>
      </c>
      <c r="K89" s="51">
        <v>0</v>
      </c>
      <c r="L89" s="52">
        <v>0</v>
      </c>
      <c r="M89" s="51">
        <v>0</v>
      </c>
      <c r="N89" s="51">
        <v>0</v>
      </c>
      <c r="O89" s="51">
        <v>0</v>
      </c>
      <c r="P89" s="51">
        <v>0</v>
      </c>
      <c r="Q89" s="51">
        <v>0</v>
      </c>
      <c r="R89" s="51">
        <v>0</v>
      </c>
      <c r="S89" s="51">
        <v>0</v>
      </c>
      <c r="T89" s="51">
        <v>0</v>
      </c>
      <c r="U89" s="51">
        <v>0</v>
      </c>
      <c r="V89" s="51">
        <v>0</v>
      </c>
      <c r="W89" s="51">
        <v>0</v>
      </c>
      <c r="X89" s="55">
        <v>0</v>
      </c>
      <c r="Y89" s="59">
        <f t="shared" si="15"/>
        <v>0</v>
      </c>
      <c r="Z89" s="51">
        <f t="shared" si="16"/>
        <v>0</v>
      </c>
      <c r="AA89" s="51">
        <f t="shared" si="27"/>
        <v>0</v>
      </c>
    </row>
    <row r="90" spans="1:36" ht="15.75" thickBot="1" x14ac:dyDescent="0.3">
      <c r="A90" s="33" t="s">
        <v>60</v>
      </c>
      <c r="B90" s="34" t="s">
        <v>13</v>
      </c>
      <c r="C90" s="32" t="s">
        <v>62</v>
      </c>
      <c r="D90" s="34" t="s">
        <v>79</v>
      </c>
      <c r="E90" s="31"/>
      <c r="F90" s="51">
        <v>0</v>
      </c>
      <c r="G90" s="51">
        <v>0</v>
      </c>
      <c r="H90" s="51">
        <v>0</v>
      </c>
      <c r="I90" s="51">
        <v>0</v>
      </c>
      <c r="J90" s="51">
        <v>0</v>
      </c>
      <c r="K90" s="51">
        <v>0</v>
      </c>
      <c r="L90" s="52">
        <v>0</v>
      </c>
      <c r="M90" s="51">
        <v>0</v>
      </c>
      <c r="N90" s="51">
        <v>0</v>
      </c>
      <c r="O90" s="51">
        <v>0</v>
      </c>
      <c r="P90" s="51">
        <v>0</v>
      </c>
      <c r="Q90" s="51">
        <v>0</v>
      </c>
      <c r="R90" s="51">
        <v>0</v>
      </c>
      <c r="S90" s="51">
        <v>0</v>
      </c>
      <c r="T90" s="51">
        <v>0</v>
      </c>
      <c r="U90" s="51">
        <v>0</v>
      </c>
      <c r="V90" s="51">
        <v>0</v>
      </c>
      <c r="W90" s="51">
        <v>0</v>
      </c>
      <c r="X90" s="55">
        <v>0</v>
      </c>
      <c r="Y90" s="59">
        <f t="shared" si="15"/>
        <v>0</v>
      </c>
      <c r="Z90" s="51">
        <f t="shared" si="16"/>
        <v>0</v>
      </c>
      <c r="AA90" s="51">
        <f t="shared" si="27"/>
        <v>0</v>
      </c>
    </row>
    <row r="92" spans="1:36" x14ac:dyDescent="0.25">
      <c r="D92" s="41" t="s">
        <v>19</v>
      </c>
      <c r="E92" s="41"/>
      <c r="M92" s="24" t="s">
        <v>81</v>
      </c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</row>
    <row r="93" spans="1:36" x14ac:dyDescent="0.25">
      <c r="F93" s="23" t="s">
        <v>44</v>
      </c>
      <c r="G93" s="23"/>
      <c r="H93" s="23"/>
      <c r="I93" s="23"/>
      <c r="J93" s="23"/>
      <c r="K93" s="23"/>
      <c r="L93" s="7" t="s">
        <v>30</v>
      </c>
      <c r="M93" s="24" t="s">
        <v>46</v>
      </c>
      <c r="N93" s="24"/>
      <c r="O93" s="24"/>
      <c r="P93" s="24"/>
      <c r="Q93" s="24"/>
      <c r="R93" s="24" t="s">
        <v>47</v>
      </c>
      <c r="S93" s="24"/>
      <c r="T93" s="24"/>
      <c r="U93" s="24"/>
      <c r="V93" s="24"/>
      <c r="W93" s="24"/>
      <c r="X93" s="24"/>
      <c r="Y93" s="44" t="s">
        <v>85</v>
      </c>
      <c r="Z93" s="44" t="s">
        <v>48</v>
      </c>
      <c r="AA93" s="44" t="s">
        <v>3</v>
      </c>
    </row>
    <row r="94" spans="1:36" ht="63" x14ac:dyDescent="0.25">
      <c r="F94" s="38" t="s">
        <v>36</v>
      </c>
      <c r="G94" s="38" t="s">
        <v>37</v>
      </c>
      <c r="H94" s="38" t="s">
        <v>38</v>
      </c>
      <c r="I94" s="38" t="s">
        <v>80</v>
      </c>
      <c r="J94" s="38" t="s">
        <v>39</v>
      </c>
      <c r="K94" s="38" t="s">
        <v>45</v>
      </c>
      <c r="L94" s="39" t="s">
        <v>16</v>
      </c>
      <c r="M94" s="40" t="s">
        <v>34</v>
      </c>
      <c r="N94" s="40" t="s">
        <v>5</v>
      </c>
      <c r="O94" s="40" t="s">
        <v>7</v>
      </c>
      <c r="P94" s="40" t="s">
        <v>8</v>
      </c>
      <c r="Q94" s="40" t="s">
        <v>40</v>
      </c>
      <c r="R94" s="40" t="s">
        <v>41</v>
      </c>
      <c r="S94" s="40" t="s">
        <v>42</v>
      </c>
      <c r="T94" s="40" t="s">
        <v>31</v>
      </c>
      <c r="U94" s="40" t="s">
        <v>43</v>
      </c>
      <c r="V94" s="40" t="s">
        <v>82</v>
      </c>
      <c r="W94" s="40" t="s">
        <v>87</v>
      </c>
      <c r="X94" s="40" t="s">
        <v>83</v>
      </c>
      <c r="Y94" s="45" t="s">
        <v>3</v>
      </c>
      <c r="Z94" s="45" t="s">
        <v>3</v>
      </c>
      <c r="AA94" s="45" t="s">
        <v>3</v>
      </c>
    </row>
    <row r="95" spans="1:36" x14ac:dyDescent="0.25">
      <c r="A95" s="15" t="s">
        <v>51</v>
      </c>
      <c r="B95" s="2"/>
      <c r="C95" s="2"/>
      <c r="F95" s="1">
        <f t="shared" ref="F95:AA106" si="28">IF(F5&gt;0,F50/F5,0)</f>
        <v>0</v>
      </c>
      <c r="G95" s="1">
        <f t="shared" si="28"/>
        <v>0</v>
      </c>
      <c r="H95" s="1">
        <f t="shared" si="28"/>
        <v>0</v>
      </c>
      <c r="I95" s="1">
        <f t="shared" si="28"/>
        <v>0</v>
      </c>
      <c r="J95" s="1">
        <f t="shared" si="28"/>
        <v>0</v>
      </c>
      <c r="K95" s="1">
        <f t="shared" si="28"/>
        <v>0</v>
      </c>
      <c r="L95" s="52">
        <f t="shared" si="28"/>
        <v>0</v>
      </c>
      <c r="M95" s="1">
        <f t="shared" si="28"/>
        <v>0</v>
      </c>
      <c r="N95" s="1">
        <f t="shared" si="28"/>
        <v>0</v>
      </c>
      <c r="O95" s="1">
        <f t="shared" si="28"/>
        <v>0</v>
      </c>
      <c r="P95" s="1">
        <f t="shared" si="28"/>
        <v>0</v>
      </c>
      <c r="Q95" s="1">
        <f t="shared" si="28"/>
        <v>0</v>
      </c>
      <c r="R95" s="1">
        <f t="shared" si="28"/>
        <v>0</v>
      </c>
      <c r="S95" s="1">
        <f t="shared" si="28"/>
        <v>0</v>
      </c>
      <c r="T95" s="1">
        <f t="shared" si="28"/>
        <v>0</v>
      </c>
      <c r="U95" s="1">
        <f t="shared" si="28"/>
        <v>0</v>
      </c>
      <c r="V95" s="1">
        <f t="shared" si="28"/>
        <v>0</v>
      </c>
      <c r="W95" s="1">
        <f t="shared" si="28"/>
        <v>0</v>
      </c>
      <c r="X95" s="54">
        <f t="shared" si="28"/>
        <v>0</v>
      </c>
      <c r="Y95" s="58">
        <f t="shared" si="28"/>
        <v>0</v>
      </c>
      <c r="Z95" s="1">
        <f t="shared" si="28"/>
        <v>0</v>
      </c>
      <c r="AA95" s="1">
        <f t="shared" si="28"/>
        <v>0</v>
      </c>
    </row>
    <row r="96" spans="1:36" x14ac:dyDescent="0.25">
      <c r="A96" s="30" t="s">
        <v>60</v>
      </c>
      <c r="B96" s="2"/>
      <c r="C96" s="2"/>
      <c r="F96" s="1">
        <f t="shared" si="28"/>
        <v>0.17388746511627909</v>
      </c>
      <c r="G96" s="1">
        <f t="shared" si="28"/>
        <v>0.31022086431069018</v>
      </c>
      <c r="H96" s="1">
        <f t="shared" si="28"/>
        <v>0.29464285714285715</v>
      </c>
      <c r="I96" s="1">
        <f t="shared" si="28"/>
        <v>0.2639455782312925</v>
      </c>
      <c r="J96" s="1">
        <f t="shared" si="28"/>
        <v>0.236523472179443</v>
      </c>
      <c r="K96" s="1">
        <f t="shared" si="28"/>
        <v>0.68981978918735121</v>
      </c>
      <c r="L96" s="52">
        <f t="shared" si="28"/>
        <v>7.4999999999999997E-2</v>
      </c>
      <c r="M96" s="1">
        <f t="shared" si="28"/>
        <v>0.16867469879518071</v>
      </c>
      <c r="N96" s="1">
        <f t="shared" si="28"/>
        <v>0.30882352941176472</v>
      </c>
      <c r="O96" s="1">
        <f t="shared" si="28"/>
        <v>0.27777777777777779</v>
      </c>
      <c r="P96" s="1">
        <f t="shared" si="28"/>
        <v>0.16444444444444445</v>
      </c>
      <c r="Q96" s="1">
        <f t="shared" si="28"/>
        <v>0.13398058252427184</v>
      </c>
      <c r="R96" s="1">
        <f t="shared" si="28"/>
        <v>0.19687499999999997</v>
      </c>
      <c r="S96" s="1">
        <f t="shared" si="28"/>
        <v>0.24489795918367346</v>
      </c>
      <c r="T96" s="1">
        <f t="shared" si="28"/>
        <v>0.2044267053701016</v>
      </c>
      <c r="U96" s="1">
        <f t="shared" si="28"/>
        <v>0.27959866220735785</v>
      </c>
      <c r="V96" s="1">
        <f t="shared" si="28"/>
        <v>0.27774130006565989</v>
      </c>
      <c r="W96" s="1">
        <f t="shared" si="28"/>
        <v>0.19476439790575914</v>
      </c>
      <c r="X96" s="54">
        <f t="shared" si="28"/>
        <v>0.27247517973296814</v>
      </c>
      <c r="Y96" s="58">
        <f t="shared" si="28"/>
        <v>0.28369663210183144</v>
      </c>
      <c r="Z96" s="1">
        <f t="shared" si="28"/>
        <v>0.18974146273339582</v>
      </c>
      <c r="AA96" s="1">
        <f t="shared" si="28"/>
        <v>0.13006631992486961</v>
      </c>
    </row>
    <row r="97" spans="1:28" x14ac:dyDescent="0.25">
      <c r="A97" s="15" t="s">
        <v>51</v>
      </c>
      <c r="B97" s="16" t="s">
        <v>52</v>
      </c>
      <c r="C97" s="2"/>
      <c r="F97" s="1">
        <f t="shared" si="28"/>
        <v>0</v>
      </c>
      <c r="G97" s="1">
        <f t="shared" si="28"/>
        <v>0</v>
      </c>
      <c r="H97" s="1">
        <f t="shared" si="28"/>
        <v>0</v>
      </c>
      <c r="I97" s="1">
        <f t="shared" si="28"/>
        <v>0</v>
      </c>
      <c r="J97" s="1">
        <f t="shared" si="28"/>
        <v>0</v>
      </c>
      <c r="K97" s="1">
        <f t="shared" si="28"/>
        <v>0</v>
      </c>
      <c r="L97" s="52">
        <f t="shared" si="28"/>
        <v>0</v>
      </c>
      <c r="M97" s="1">
        <f t="shared" si="28"/>
        <v>0</v>
      </c>
      <c r="N97" s="1">
        <f t="shared" si="28"/>
        <v>0</v>
      </c>
      <c r="O97" s="1">
        <f t="shared" si="28"/>
        <v>0</v>
      </c>
      <c r="P97" s="1">
        <f t="shared" si="28"/>
        <v>0</v>
      </c>
      <c r="Q97" s="1">
        <f t="shared" si="28"/>
        <v>0</v>
      </c>
      <c r="R97" s="1">
        <f t="shared" si="28"/>
        <v>0</v>
      </c>
      <c r="S97" s="1">
        <f t="shared" si="28"/>
        <v>0</v>
      </c>
      <c r="T97" s="1">
        <f t="shared" si="28"/>
        <v>0</v>
      </c>
      <c r="U97" s="1">
        <f t="shared" si="28"/>
        <v>0</v>
      </c>
      <c r="V97" s="1">
        <f t="shared" si="28"/>
        <v>0</v>
      </c>
      <c r="W97" s="1">
        <f t="shared" si="28"/>
        <v>0</v>
      </c>
      <c r="X97" s="54">
        <f t="shared" si="28"/>
        <v>0</v>
      </c>
      <c r="Y97" s="58">
        <f t="shared" si="28"/>
        <v>0</v>
      </c>
      <c r="Z97" s="1">
        <f t="shared" si="28"/>
        <v>0</v>
      </c>
      <c r="AA97" s="1">
        <f t="shared" si="28"/>
        <v>0</v>
      </c>
    </row>
    <row r="98" spans="1:28" x14ac:dyDescent="0.25">
      <c r="A98" s="15" t="s">
        <v>51</v>
      </c>
      <c r="B98" s="16" t="s">
        <v>56</v>
      </c>
      <c r="C98" s="2"/>
      <c r="F98" s="1">
        <f t="shared" si="28"/>
        <v>0</v>
      </c>
      <c r="G98" s="1">
        <f t="shared" si="28"/>
        <v>0</v>
      </c>
      <c r="H98" s="1">
        <f t="shared" si="28"/>
        <v>0</v>
      </c>
      <c r="I98" s="1">
        <f t="shared" si="28"/>
        <v>0</v>
      </c>
      <c r="J98" s="1">
        <f t="shared" si="28"/>
        <v>0</v>
      </c>
      <c r="K98" s="1">
        <f t="shared" si="28"/>
        <v>0</v>
      </c>
      <c r="L98" s="52">
        <f t="shared" si="28"/>
        <v>0</v>
      </c>
      <c r="M98" s="1">
        <f t="shared" si="28"/>
        <v>0</v>
      </c>
      <c r="N98" s="1">
        <f t="shared" si="28"/>
        <v>0</v>
      </c>
      <c r="O98" s="1">
        <f t="shared" si="28"/>
        <v>0</v>
      </c>
      <c r="P98" s="1">
        <f t="shared" si="28"/>
        <v>0</v>
      </c>
      <c r="Q98" s="1">
        <f t="shared" si="28"/>
        <v>0</v>
      </c>
      <c r="R98" s="1">
        <f t="shared" si="28"/>
        <v>0</v>
      </c>
      <c r="S98" s="1">
        <f t="shared" si="28"/>
        <v>0</v>
      </c>
      <c r="T98" s="1">
        <f t="shared" si="28"/>
        <v>0</v>
      </c>
      <c r="U98" s="1">
        <f t="shared" si="28"/>
        <v>0</v>
      </c>
      <c r="V98" s="1">
        <f t="shared" si="28"/>
        <v>0</v>
      </c>
      <c r="W98" s="1">
        <f t="shared" si="28"/>
        <v>0</v>
      </c>
      <c r="X98" s="54">
        <f t="shared" si="28"/>
        <v>0</v>
      </c>
      <c r="Y98" s="58">
        <f t="shared" si="28"/>
        <v>0</v>
      </c>
      <c r="Z98" s="1">
        <f t="shared" si="28"/>
        <v>0</v>
      </c>
      <c r="AA98" s="1">
        <f t="shared" si="28"/>
        <v>0</v>
      </c>
    </row>
    <row r="99" spans="1:28" x14ac:dyDescent="0.25">
      <c r="A99" s="15" t="s">
        <v>51</v>
      </c>
      <c r="B99" s="16" t="s">
        <v>9</v>
      </c>
      <c r="C99" s="2"/>
      <c r="F99" s="1">
        <f t="shared" si="28"/>
        <v>0</v>
      </c>
      <c r="G99" s="1">
        <f t="shared" si="28"/>
        <v>0</v>
      </c>
      <c r="H99" s="1">
        <f t="shared" si="28"/>
        <v>0</v>
      </c>
      <c r="I99" s="1">
        <f t="shared" si="28"/>
        <v>0</v>
      </c>
      <c r="J99" s="1">
        <f t="shared" si="28"/>
        <v>0</v>
      </c>
      <c r="K99" s="1">
        <f t="shared" si="28"/>
        <v>0</v>
      </c>
      <c r="L99" s="52">
        <f t="shared" si="28"/>
        <v>0</v>
      </c>
      <c r="M99" s="1">
        <f t="shared" si="28"/>
        <v>0</v>
      </c>
      <c r="N99" s="1">
        <f t="shared" si="28"/>
        <v>0</v>
      </c>
      <c r="O99" s="1">
        <f t="shared" si="28"/>
        <v>0</v>
      </c>
      <c r="P99" s="1">
        <f t="shared" si="28"/>
        <v>0</v>
      </c>
      <c r="Q99" s="1">
        <f t="shared" si="28"/>
        <v>0</v>
      </c>
      <c r="R99" s="1">
        <f t="shared" si="28"/>
        <v>0</v>
      </c>
      <c r="S99" s="1">
        <f t="shared" si="28"/>
        <v>0</v>
      </c>
      <c r="T99" s="1">
        <f t="shared" si="28"/>
        <v>0</v>
      </c>
      <c r="U99" s="1">
        <f t="shared" si="28"/>
        <v>0</v>
      </c>
      <c r="V99" s="1">
        <f t="shared" si="28"/>
        <v>0</v>
      </c>
      <c r="W99" s="1">
        <f t="shared" si="28"/>
        <v>0</v>
      </c>
      <c r="X99" s="54">
        <f t="shared" si="28"/>
        <v>0</v>
      </c>
      <c r="Y99" s="58">
        <f t="shared" si="28"/>
        <v>0</v>
      </c>
      <c r="Z99" s="1">
        <f t="shared" si="28"/>
        <v>0</v>
      </c>
      <c r="AA99" s="1">
        <f t="shared" si="28"/>
        <v>0</v>
      </c>
    </row>
    <row r="100" spans="1:28" x14ac:dyDescent="0.25">
      <c r="A100" s="30" t="s">
        <v>60</v>
      </c>
      <c r="B100" s="32" t="s">
        <v>13</v>
      </c>
      <c r="C100" s="2"/>
      <c r="F100" s="51">
        <f t="shared" si="28"/>
        <v>0.17388746511627909</v>
      </c>
      <c r="G100" s="51">
        <f t="shared" si="28"/>
        <v>0.31022086431069018</v>
      </c>
      <c r="H100" s="51">
        <f t="shared" si="28"/>
        <v>0.29464285714285715</v>
      </c>
      <c r="I100" s="51">
        <f t="shared" si="28"/>
        <v>0.2639455782312925</v>
      </c>
      <c r="J100" s="51">
        <f t="shared" si="28"/>
        <v>0.42857142857142855</v>
      </c>
      <c r="K100" s="51">
        <f t="shared" si="28"/>
        <v>0.28749999999999998</v>
      </c>
      <c r="L100" s="52">
        <f t="shared" si="28"/>
        <v>0</v>
      </c>
      <c r="M100" s="51">
        <f t="shared" si="28"/>
        <v>0.48888888888888887</v>
      </c>
      <c r="N100" s="51">
        <f t="shared" si="28"/>
        <v>0.29545454545454547</v>
      </c>
      <c r="O100" s="51">
        <f t="shared" si="28"/>
        <v>0.27777777777777779</v>
      </c>
      <c r="P100" s="51">
        <f t="shared" si="28"/>
        <v>0.16444444444444445</v>
      </c>
      <c r="Q100" s="51">
        <f t="shared" si="28"/>
        <v>0.3</v>
      </c>
      <c r="R100" s="51">
        <f t="shared" si="28"/>
        <v>0.35</v>
      </c>
      <c r="S100" s="51">
        <f t="shared" si="28"/>
        <v>0</v>
      </c>
      <c r="T100" s="51">
        <f t="shared" si="28"/>
        <v>0.4</v>
      </c>
      <c r="U100" s="51">
        <f t="shared" si="28"/>
        <v>0.4</v>
      </c>
      <c r="V100" s="51">
        <f t="shared" si="28"/>
        <v>1.2</v>
      </c>
      <c r="W100" s="51">
        <f t="shared" si="28"/>
        <v>0.8</v>
      </c>
      <c r="X100" s="55">
        <f t="shared" si="28"/>
        <v>0.4</v>
      </c>
      <c r="Y100" s="59">
        <f t="shared" si="28"/>
        <v>0.27229008071978295</v>
      </c>
      <c r="Z100" s="51">
        <f t="shared" si="28"/>
        <v>0.24368528277743168</v>
      </c>
      <c r="AA100" s="51">
        <f>IF(AA10&gt;0,AB55/AA10,0)</f>
        <v>0.25604171698011458</v>
      </c>
    </row>
    <row r="101" spans="1:28" x14ac:dyDescent="0.25">
      <c r="A101" s="30" t="s">
        <v>60</v>
      </c>
      <c r="B101" s="31" t="s">
        <v>23</v>
      </c>
      <c r="C101" s="2"/>
      <c r="F101" s="51">
        <f t="shared" si="28"/>
        <v>0</v>
      </c>
      <c r="G101" s="51">
        <f t="shared" si="28"/>
        <v>0</v>
      </c>
      <c r="H101" s="51">
        <f t="shared" si="28"/>
        <v>0</v>
      </c>
      <c r="I101" s="51">
        <f t="shared" si="28"/>
        <v>0</v>
      </c>
      <c r="J101" s="51">
        <f t="shared" si="28"/>
        <v>0.24388557806912992</v>
      </c>
      <c r="K101" s="51">
        <f t="shared" si="28"/>
        <v>0.84014946286781877</v>
      </c>
      <c r="L101" s="52">
        <f t="shared" si="28"/>
        <v>0</v>
      </c>
      <c r="M101" s="51">
        <f t="shared" si="28"/>
        <v>0</v>
      </c>
      <c r="N101" s="51">
        <f t="shared" si="28"/>
        <v>0.33333333333333331</v>
      </c>
      <c r="O101" s="51">
        <f t="shared" si="28"/>
        <v>0</v>
      </c>
      <c r="P101" s="51">
        <f t="shared" si="28"/>
        <v>0</v>
      </c>
      <c r="Q101" s="51">
        <f t="shared" si="28"/>
        <v>0</v>
      </c>
      <c r="R101" s="51">
        <f t="shared" si="28"/>
        <v>0</v>
      </c>
      <c r="S101" s="51">
        <f t="shared" si="28"/>
        <v>0.24489795918367346</v>
      </c>
      <c r="T101" s="51">
        <f t="shared" si="28"/>
        <v>0.4</v>
      </c>
      <c r="U101" s="51">
        <f t="shared" si="28"/>
        <v>0</v>
      </c>
      <c r="V101" s="51">
        <f t="shared" si="28"/>
        <v>0.9</v>
      </c>
      <c r="W101" s="51">
        <f t="shared" si="28"/>
        <v>0</v>
      </c>
      <c r="X101" s="55">
        <f t="shared" si="28"/>
        <v>0.9</v>
      </c>
      <c r="Y101" s="59">
        <f t="shared" si="28"/>
        <v>0.57816182246661429</v>
      </c>
      <c r="Z101" s="51">
        <f t="shared" si="28"/>
        <v>0.39215686274509803</v>
      </c>
      <c r="AA101" s="51">
        <f t="shared" si="28"/>
        <v>0.50834151128557414</v>
      </c>
    </row>
    <row r="102" spans="1:28" x14ac:dyDescent="0.25">
      <c r="A102" s="30" t="s">
        <v>60</v>
      </c>
      <c r="B102" s="31" t="s">
        <v>65</v>
      </c>
      <c r="C102" s="46"/>
      <c r="F102" s="51">
        <f t="shared" si="28"/>
        <v>0</v>
      </c>
      <c r="G102" s="51">
        <f t="shared" si="28"/>
        <v>0</v>
      </c>
      <c r="H102" s="51">
        <f t="shared" si="28"/>
        <v>0</v>
      </c>
      <c r="I102" s="51">
        <f t="shared" si="28"/>
        <v>0</v>
      </c>
      <c r="J102" s="51">
        <f t="shared" si="28"/>
        <v>0.11999999999999998</v>
      </c>
      <c r="K102" s="51">
        <f t="shared" si="28"/>
        <v>0</v>
      </c>
      <c r="L102" s="52">
        <f t="shared" si="28"/>
        <v>7.4999999999999997E-2</v>
      </c>
      <c r="M102" s="51">
        <f t="shared" si="28"/>
        <v>0.08</v>
      </c>
      <c r="N102" s="51">
        <f t="shared" si="28"/>
        <v>0</v>
      </c>
      <c r="O102" s="51">
        <f t="shared" si="28"/>
        <v>0</v>
      </c>
      <c r="P102" s="51">
        <f t="shared" si="28"/>
        <v>0</v>
      </c>
      <c r="Q102" s="51">
        <f t="shared" si="28"/>
        <v>0.12</v>
      </c>
      <c r="R102" s="51">
        <f t="shared" si="28"/>
        <v>0.18</v>
      </c>
      <c r="S102" s="51">
        <f t="shared" si="28"/>
        <v>0</v>
      </c>
      <c r="T102" s="51">
        <f t="shared" si="28"/>
        <v>0.18</v>
      </c>
      <c r="U102" s="51">
        <f t="shared" si="28"/>
        <v>0.22000000000000003</v>
      </c>
      <c r="V102" s="51">
        <f t="shared" si="28"/>
        <v>0.12</v>
      </c>
      <c r="W102" s="51">
        <f t="shared" si="28"/>
        <v>0.12</v>
      </c>
      <c r="X102" s="55">
        <f t="shared" si="28"/>
        <v>0.12</v>
      </c>
      <c r="Y102" s="59">
        <f t="shared" si="28"/>
        <v>0.11999999999999998</v>
      </c>
      <c r="Z102" s="51">
        <f t="shared" si="28"/>
        <v>0.13561643835616435</v>
      </c>
      <c r="AA102" s="51">
        <f>IF(AB12&gt;0,AA57/AB12,0)</f>
        <v>0.10082304526748972</v>
      </c>
    </row>
    <row r="103" spans="1:28" ht="15.75" thickBot="1" x14ac:dyDescent="0.3">
      <c r="A103" s="48" t="s">
        <v>60</v>
      </c>
      <c r="B103" s="49" t="s">
        <v>9</v>
      </c>
      <c r="C103" s="50"/>
      <c r="D103" s="50"/>
      <c r="E103" s="50"/>
      <c r="F103" s="53">
        <f t="shared" si="28"/>
        <v>0</v>
      </c>
      <c r="G103" s="53">
        <f t="shared" si="28"/>
        <v>0</v>
      </c>
      <c r="H103" s="53">
        <f t="shared" si="28"/>
        <v>0</v>
      </c>
      <c r="I103" s="53">
        <f t="shared" si="28"/>
        <v>0</v>
      </c>
      <c r="J103" s="53">
        <f t="shared" si="28"/>
        <v>0</v>
      </c>
      <c r="K103" s="53">
        <f t="shared" si="28"/>
        <v>0</v>
      </c>
      <c r="L103" s="62">
        <f t="shared" si="28"/>
        <v>0</v>
      </c>
      <c r="M103" s="53">
        <f t="shared" si="28"/>
        <v>0</v>
      </c>
      <c r="N103" s="53">
        <f t="shared" si="28"/>
        <v>0</v>
      </c>
      <c r="O103" s="53">
        <f t="shared" si="28"/>
        <v>0</v>
      </c>
      <c r="P103" s="53">
        <f t="shared" si="28"/>
        <v>0</v>
      </c>
      <c r="Q103" s="53">
        <f t="shared" si="28"/>
        <v>0</v>
      </c>
      <c r="R103" s="53">
        <f t="shared" si="28"/>
        <v>0</v>
      </c>
      <c r="S103" s="53">
        <f t="shared" si="28"/>
        <v>0</v>
      </c>
      <c r="T103" s="53">
        <f t="shared" si="28"/>
        <v>0</v>
      </c>
      <c r="U103" s="53">
        <f t="shared" si="28"/>
        <v>0</v>
      </c>
      <c r="V103" s="53">
        <f t="shared" si="28"/>
        <v>1</v>
      </c>
      <c r="W103" s="53">
        <f t="shared" si="28"/>
        <v>0</v>
      </c>
      <c r="X103" s="56">
        <f t="shared" si="28"/>
        <v>0.41999999999999993</v>
      </c>
      <c r="Y103" s="60">
        <f t="shared" si="28"/>
        <v>0</v>
      </c>
      <c r="Z103" s="53">
        <f t="shared" si="28"/>
        <v>0.57185039370078738</v>
      </c>
      <c r="AA103" s="53">
        <f t="shared" si="28"/>
        <v>0.5</v>
      </c>
    </row>
    <row r="104" spans="1:28" ht="15.75" thickTop="1" x14ac:dyDescent="0.25">
      <c r="A104" s="15" t="s">
        <v>51</v>
      </c>
      <c r="B104" s="16" t="s">
        <v>52</v>
      </c>
      <c r="C104" s="16" t="s">
        <v>53</v>
      </c>
      <c r="D104" s="2"/>
      <c r="E104" s="2"/>
      <c r="F104" s="47">
        <f t="shared" si="28"/>
        <v>0</v>
      </c>
      <c r="G104" s="47">
        <f t="shared" si="28"/>
        <v>0</v>
      </c>
      <c r="H104" s="47">
        <f t="shared" si="28"/>
        <v>0</v>
      </c>
      <c r="I104" s="47">
        <f t="shared" si="28"/>
        <v>0</v>
      </c>
      <c r="J104" s="47">
        <f t="shared" si="28"/>
        <v>0</v>
      </c>
      <c r="K104" s="47">
        <f t="shared" si="28"/>
        <v>0</v>
      </c>
      <c r="L104" s="63">
        <f t="shared" si="28"/>
        <v>0</v>
      </c>
      <c r="M104" s="47">
        <f t="shared" si="28"/>
        <v>0</v>
      </c>
      <c r="N104" s="47">
        <f t="shared" si="28"/>
        <v>0</v>
      </c>
      <c r="O104" s="47">
        <f t="shared" si="28"/>
        <v>0</v>
      </c>
      <c r="P104" s="47">
        <f t="shared" si="28"/>
        <v>0</v>
      </c>
      <c r="Q104" s="47">
        <f t="shared" si="28"/>
        <v>0</v>
      </c>
      <c r="R104" s="47">
        <f t="shared" si="28"/>
        <v>0</v>
      </c>
      <c r="S104" s="47">
        <f t="shared" si="28"/>
        <v>0</v>
      </c>
      <c r="T104" s="47">
        <f t="shared" si="28"/>
        <v>0</v>
      </c>
      <c r="U104" s="47">
        <f t="shared" si="28"/>
        <v>0</v>
      </c>
      <c r="V104" s="47">
        <f t="shared" si="28"/>
        <v>0</v>
      </c>
      <c r="W104" s="47">
        <f t="shared" si="28"/>
        <v>0</v>
      </c>
      <c r="X104" s="57">
        <f t="shared" si="28"/>
        <v>0</v>
      </c>
      <c r="Y104" s="61">
        <f t="shared" si="28"/>
        <v>0</v>
      </c>
      <c r="Z104" s="47">
        <f t="shared" si="28"/>
        <v>0</v>
      </c>
      <c r="AA104" s="47">
        <f t="shared" si="28"/>
        <v>0</v>
      </c>
    </row>
    <row r="105" spans="1:28" x14ac:dyDescent="0.25">
      <c r="A105" s="15" t="s">
        <v>51</v>
      </c>
      <c r="B105" s="16" t="s">
        <v>52</v>
      </c>
      <c r="C105" s="16" t="s">
        <v>54</v>
      </c>
      <c r="D105" s="2"/>
      <c r="E105" s="2"/>
      <c r="F105" s="1">
        <f t="shared" si="28"/>
        <v>0</v>
      </c>
      <c r="G105" s="1">
        <f t="shared" si="28"/>
        <v>0</v>
      </c>
      <c r="H105" s="1">
        <f t="shared" si="28"/>
        <v>0</v>
      </c>
      <c r="I105" s="1">
        <f t="shared" si="28"/>
        <v>0</v>
      </c>
      <c r="J105" s="1">
        <f t="shared" si="28"/>
        <v>0</v>
      </c>
      <c r="K105" s="1">
        <f t="shared" si="28"/>
        <v>0</v>
      </c>
      <c r="L105" s="52">
        <f t="shared" si="28"/>
        <v>0</v>
      </c>
      <c r="M105" s="1">
        <f t="shared" si="28"/>
        <v>0</v>
      </c>
      <c r="N105" s="1">
        <f t="shared" si="28"/>
        <v>0</v>
      </c>
      <c r="O105" s="1">
        <f t="shared" si="28"/>
        <v>0</v>
      </c>
      <c r="P105" s="1">
        <f t="shared" si="28"/>
        <v>0</v>
      </c>
      <c r="Q105" s="1">
        <f t="shared" si="28"/>
        <v>0</v>
      </c>
      <c r="R105" s="1">
        <f t="shared" si="28"/>
        <v>0</v>
      </c>
      <c r="S105" s="1">
        <f t="shared" si="28"/>
        <v>0</v>
      </c>
      <c r="T105" s="1">
        <f t="shared" si="28"/>
        <v>0</v>
      </c>
      <c r="U105" s="1">
        <f t="shared" si="28"/>
        <v>0</v>
      </c>
      <c r="V105" s="1">
        <f t="shared" si="28"/>
        <v>0</v>
      </c>
      <c r="W105" s="1">
        <f t="shared" si="28"/>
        <v>0</v>
      </c>
      <c r="X105" s="54">
        <f t="shared" si="28"/>
        <v>0</v>
      </c>
      <c r="Y105" s="58">
        <f t="shared" si="28"/>
        <v>0</v>
      </c>
      <c r="Z105" s="1">
        <f t="shared" si="28"/>
        <v>0</v>
      </c>
      <c r="AA105" s="1">
        <f t="shared" si="28"/>
        <v>0</v>
      </c>
    </row>
    <row r="106" spans="1:28" x14ac:dyDescent="0.25">
      <c r="A106" s="15" t="s">
        <v>51</v>
      </c>
      <c r="B106" s="16" t="s">
        <v>52</v>
      </c>
      <c r="C106" s="16" t="s">
        <v>55</v>
      </c>
      <c r="D106" s="2"/>
      <c r="E106" s="2"/>
      <c r="F106" s="1">
        <f t="shared" si="28"/>
        <v>0</v>
      </c>
      <c r="G106" s="1">
        <f t="shared" si="28"/>
        <v>0</v>
      </c>
      <c r="H106" s="1">
        <f t="shared" si="28"/>
        <v>0</v>
      </c>
      <c r="I106" s="1">
        <f t="shared" si="28"/>
        <v>0</v>
      </c>
      <c r="J106" s="1">
        <f t="shared" si="28"/>
        <v>0</v>
      </c>
      <c r="K106" s="1">
        <f t="shared" si="28"/>
        <v>0</v>
      </c>
      <c r="L106" s="52">
        <f t="shared" si="28"/>
        <v>0</v>
      </c>
      <c r="M106" s="1">
        <f t="shared" si="28"/>
        <v>0</v>
      </c>
      <c r="N106" s="1">
        <f t="shared" si="28"/>
        <v>0</v>
      </c>
      <c r="O106" s="1">
        <f t="shared" si="28"/>
        <v>0</v>
      </c>
      <c r="P106" s="1">
        <f t="shared" si="28"/>
        <v>0</v>
      </c>
      <c r="Q106" s="1">
        <f t="shared" si="28"/>
        <v>0</v>
      </c>
      <c r="R106" s="1">
        <f t="shared" si="28"/>
        <v>0</v>
      </c>
      <c r="S106" s="1">
        <f t="shared" si="28"/>
        <v>0</v>
      </c>
      <c r="T106" s="1">
        <f t="shared" si="28"/>
        <v>0</v>
      </c>
      <c r="U106" s="1">
        <f t="shared" ref="F106:AA117" si="29">IF(U16&gt;0,U61/U16,0)</f>
        <v>0</v>
      </c>
      <c r="V106" s="1">
        <f t="shared" si="29"/>
        <v>0</v>
      </c>
      <c r="W106" s="1">
        <f t="shared" si="29"/>
        <v>0</v>
      </c>
      <c r="X106" s="54">
        <f t="shared" si="29"/>
        <v>0</v>
      </c>
      <c r="Y106" s="58">
        <f t="shared" si="29"/>
        <v>0</v>
      </c>
      <c r="Z106" s="1">
        <f t="shared" si="29"/>
        <v>0</v>
      </c>
      <c r="AA106" s="1">
        <f t="shared" si="29"/>
        <v>0</v>
      </c>
    </row>
    <row r="107" spans="1:28" x14ac:dyDescent="0.25">
      <c r="A107" s="25" t="s">
        <v>51</v>
      </c>
      <c r="B107" s="26" t="s">
        <v>56</v>
      </c>
      <c r="C107" s="26" t="s">
        <v>57</v>
      </c>
      <c r="D107" s="2"/>
      <c r="E107" s="2"/>
      <c r="F107" s="1">
        <f t="shared" si="29"/>
        <v>0</v>
      </c>
      <c r="G107" s="1">
        <f t="shared" si="29"/>
        <v>0</v>
      </c>
      <c r="H107" s="1">
        <f t="shared" si="29"/>
        <v>0</v>
      </c>
      <c r="I107" s="1">
        <f t="shared" si="29"/>
        <v>0</v>
      </c>
      <c r="J107" s="1">
        <f t="shared" si="29"/>
        <v>0</v>
      </c>
      <c r="K107" s="1">
        <f t="shared" si="29"/>
        <v>0</v>
      </c>
      <c r="L107" s="52">
        <f t="shared" si="29"/>
        <v>0</v>
      </c>
      <c r="M107" s="1">
        <f t="shared" si="29"/>
        <v>0</v>
      </c>
      <c r="N107" s="1">
        <f t="shared" si="29"/>
        <v>0</v>
      </c>
      <c r="O107" s="1">
        <f t="shared" si="29"/>
        <v>0</v>
      </c>
      <c r="P107" s="1">
        <f t="shared" si="29"/>
        <v>0</v>
      </c>
      <c r="Q107" s="1">
        <f t="shared" si="29"/>
        <v>0</v>
      </c>
      <c r="R107" s="1">
        <f t="shared" si="29"/>
        <v>0</v>
      </c>
      <c r="S107" s="1">
        <f t="shared" si="29"/>
        <v>0</v>
      </c>
      <c r="T107" s="1">
        <f t="shared" si="29"/>
        <v>0</v>
      </c>
      <c r="U107" s="1">
        <f t="shared" si="29"/>
        <v>0</v>
      </c>
      <c r="V107" s="1">
        <f t="shared" si="29"/>
        <v>0</v>
      </c>
      <c r="W107" s="1">
        <f t="shared" si="29"/>
        <v>0</v>
      </c>
      <c r="X107" s="54">
        <f t="shared" si="29"/>
        <v>0</v>
      </c>
      <c r="Y107" s="58">
        <f t="shared" si="29"/>
        <v>0</v>
      </c>
      <c r="Z107" s="1">
        <f t="shared" si="29"/>
        <v>0</v>
      </c>
      <c r="AA107" s="1">
        <f t="shared" si="29"/>
        <v>0</v>
      </c>
    </row>
    <row r="108" spans="1:28" x14ac:dyDescent="0.25">
      <c r="A108" s="15" t="s">
        <v>51</v>
      </c>
      <c r="B108" s="16" t="s">
        <v>56</v>
      </c>
      <c r="C108" s="27" t="s">
        <v>58</v>
      </c>
      <c r="D108" s="2"/>
      <c r="E108" s="2"/>
      <c r="F108" s="1">
        <f t="shared" si="29"/>
        <v>0</v>
      </c>
      <c r="G108" s="1">
        <f t="shared" si="29"/>
        <v>0</v>
      </c>
      <c r="H108" s="1">
        <f t="shared" si="29"/>
        <v>0</v>
      </c>
      <c r="I108" s="1">
        <f t="shared" si="29"/>
        <v>0</v>
      </c>
      <c r="J108" s="1">
        <f t="shared" si="29"/>
        <v>0</v>
      </c>
      <c r="K108" s="1">
        <f t="shared" si="29"/>
        <v>0</v>
      </c>
      <c r="L108" s="52">
        <f t="shared" si="29"/>
        <v>0</v>
      </c>
      <c r="M108" s="1">
        <f t="shared" si="29"/>
        <v>0</v>
      </c>
      <c r="N108" s="1">
        <f t="shared" si="29"/>
        <v>0</v>
      </c>
      <c r="O108" s="1">
        <f t="shared" si="29"/>
        <v>0</v>
      </c>
      <c r="P108" s="1">
        <f t="shared" si="29"/>
        <v>0</v>
      </c>
      <c r="Q108" s="1">
        <f t="shared" si="29"/>
        <v>0</v>
      </c>
      <c r="R108" s="1">
        <f t="shared" si="29"/>
        <v>0</v>
      </c>
      <c r="S108" s="1">
        <f t="shared" si="29"/>
        <v>0</v>
      </c>
      <c r="T108" s="1">
        <f t="shared" si="29"/>
        <v>0</v>
      </c>
      <c r="U108" s="1">
        <f t="shared" si="29"/>
        <v>0</v>
      </c>
      <c r="V108" s="1">
        <f t="shared" si="29"/>
        <v>0</v>
      </c>
      <c r="W108" s="1">
        <f t="shared" si="29"/>
        <v>0</v>
      </c>
      <c r="X108" s="54">
        <f t="shared" si="29"/>
        <v>0</v>
      </c>
      <c r="Y108" s="58">
        <f t="shared" si="29"/>
        <v>0</v>
      </c>
      <c r="Z108" s="1">
        <f t="shared" si="29"/>
        <v>0</v>
      </c>
      <c r="AA108" s="1">
        <f t="shared" si="29"/>
        <v>0</v>
      </c>
    </row>
    <row r="109" spans="1:28" x14ac:dyDescent="0.25">
      <c r="A109" s="15" t="s">
        <v>51</v>
      </c>
      <c r="B109" s="16" t="s">
        <v>9</v>
      </c>
      <c r="C109" s="27" t="s">
        <v>59</v>
      </c>
      <c r="D109" s="2"/>
      <c r="E109" s="2"/>
      <c r="F109" s="1">
        <f t="shared" si="29"/>
        <v>0</v>
      </c>
      <c r="G109" s="1">
        <f t="shared" si="29"/>
        <v>0</v>
      </c>
      <c r="H109" s="1">
        <f t="shared" si="29"/>
        <v>0</v>
      </c>
      <c r="I109" s="1">
        <f t="shared" si="29"/>
        <v>0</v>
      </c>
      <c r="J109" s="1">
        <f t="shared" si="29"/>
        <v>0</v>
      </c>
      <c r="K109" s="1">
        <f t="shared" si="29"/>
        <v>0</v>
      </c>
      <c r="L109" s="52">
        <f t="shared" si="29"/>
        <v>0</v>
      </c>
      <c r="M109" s="1">
        <f t="shared" si="29"/>
        <v>0</v>
      </c>
      <c r="N109" s="1">
        <f t="shared" si="29"/>
        <v>0</v>
      </c>
      <c r="O109" s="1">
        <f t="shared" si="29"/>
        <v>0</v>
      </c>
      <c r="P109" s="1">
        <f t="shared" si="29"/>
        <v>0</v>
      </c>
      <c r="Q109" s="1">
        <f t="shared" si="29"/>
        <v>0</v>
      </c>
      <c r="R109" s="1">
        <f t="shared" si="29"/>
        <v>0</v>
      </c>
      <c r="S109" s="1">
        <f t="shared" si="29"/>
        <v>0</v>
      </c>
      <c r="T109" s="1">
        <f t="shared" si="29"/>
        <v>0</v>
      </c>
      <c r="U109" s="1">
        <f t="shared" si="29"/>
        <v>0</v>
      </c>
      <c r="V109" s="1">
        <f t="shared" si="29"/>
        <v>0</v>
      </c>
      <c r="W109" s="1">
        <f t="shared" si="29"/>
        <v>0</v>
      </c>
      <c r="X109" s="54">
        <f t="shared" si="29"/>
        <v>0</v>
      </c>
      <c r="Y109" s="58">
        <f t="shared" si="29"/>
        <v>0</v>
      </c>
      <c r="Z109" s="1">
        <f t="shared" si="29"/>
        <v>0</v>
      </c>
      <c r="AA109" s="1">
        <f t="shared" si="29"/>
        <v>0</v>
      </c>
    </row>
    <row r="110" spans="1:28" x14ac:dyDescent="0.25">
      <c r="A110" s="15" t="s">
        <v>51</v>
      </c>
      <c r="B110" s="16" t="s">
        <v>9</v>
      </c>
      <c r="C110" s="27" t="s">
        <v>9</v>
      </c>
      <c r="D110" s="2"/>
      <c r="E110" s="2"/>
      <c r="F110" s="1">
        <f t="shared" si="29"/>
        <v>0</v>
      </c>
      <c r="G110" s="1">
        <f t="shared" si="29"/>
        <v>0</v>
      </c>
      <c r="H110" s="1">
        <f t="shared" si="29"/>
        <v>0</v>
      </c>
      <c r="I110" s="1">
        <f t="shared" si="29"/>
        <v>0</v>
      </c>
      <c r="J110" s="1">
        <f t="shared" si="29"/>
        <v>0</v>
      </c>
      <c r="K110" s="1">
        <f t="shared" si="29"/>
        <v>0</v>
      </c>
      <c r="L110" s="52">
        <f t="shared" si="29"/>
        <v>0</v>
      </c>
      <c r="M110" s="1">
        <f t="shared" si="29"/>
        <v>0</v>
      </c>
      <c r="N110" s="1">
        <f t="shared" si="29"/>
        <v>0</v>
      </c>
      <c r="O110" s="1">
        <f t="shared" si="29"/>
        <v>0</v>
      </c>
      <c r="P110" s="1">
        <f t="shared" si="29"/>
        <v>0</v>
      </c>
      <c r="Q110" s="1">
        <f t="shared" si="29"/>
        <v>0</v>
      </c>
      <c r="R110" s="1">
        <f t="shared" si="29"/>
        <v>0</v>
      </c>
      <c r="S110" s="1">
        <f t="shared" si="29"/>
        <v>0</v>
      </c>
      <c r="T110" s="1">
        <f t="shared" si="29"/>
        <v>0</v>
      </c>
      <c r="U110" s="1">
        <f t="shared" si="29"/>
        <v>0</v>
      </c>
      <c r="V110" s="1">
        <f t="shared" si="29"/>
        <v>0</v>
      </c>
      <c r="W110" s="1">
        <f t="shared" si="29"/>
        <v>0</v>
      </c>
      <c r="X110" s="54">
        <f t="shared" si="29"/>
        <v>0</v>
      </c>
      <c r="Y110" s="58">
        <f t="shared" si="29"/>
        <v>0</v>
      </c>
      <c r="Z110" s="1">
        <f t="shared" si="29"/>
        <v>0</v>
      </c>
      <c r="AA110" s="1">
        <f t="shared" si="29"/>
        <v>0</v>
      </c>
    </row>
    <row r="111" spans="1:28" x14ac:dyDescent="0.25">
      <c r="A111" s="28" t="s">
        <v>60</v>
      </c>
      <c r="B111" s="29" t="s">
        <v>13</v>
      </c>
      <c r="C111" s="29" t="s">
        <v>61</v>
      </c>
      <c r="D111" s="2"/>
      <c r="F111" s="51">
        <f t="shared" si="29"/>
        <v>0.14250002906976744</v>
      </c>
      <c r="G111" s="51">
        <f t="shared" si="29"/>
        <v>0</v>
      </c>
      <c r="H111" s="51">
        <f t="shared" si="29"/>
        <v>0.2525510204081633</v>
      </c>
      <c r="I111" s="51">
        <f t="shared" si="29"/>
        <v>0.2639455782312925</v>
      </c>
      <c r="J111" s="51">
        <f t="shared" si="29"/>
        <v>0.42857142857142855</v>
      </c>
      <c r="K111" s="51">
        <f t="shared" si="29"/>
        <v>0.28749999999999998</v>
      </c>
      <c r="L111" s="52">
        <f t="shared" si="29"/>
        <v>0</v>
      </c>
      <c r="M111" s="51">
        <f t="shared" si="29"/>
        <v>0.48888888888888887</v>
      </c>
      <c r="N111" s="51">
        <f t="shared" si="29"/>
        <v>0.29545454545454547</v>
      </c>
      <c r="O111" s="51">
        <f t="shared" si="29"/>
        <v>0.27777777777777779</v>
      </c>
      <c r="P111" s="51">
        <f t="shared" si="29"/>
        <v>0.16</v>
      </c>
      <c r="Q111" s="69">
        <v>0.3</v>
      </c>
      <c r="R111" s="69">
        <v>0.35</v>
      </c>
      <c r="S111" s="51">
        <f t="shared" si="29"/>
        <v>0</v>
      </c>
      <c r="T111" s="69">
        <v>0.4</v>
      </c>
      <c r="U111" s="69">
        <v>0.4</v>
      </c>
      <c r="V111" s="77">
        <v>1.2</v>
      </c>
      <c r="W111" s="69">
        <v>0.8</v>
      </c>
      <c r="X111" s="76">
        <v>0.4</v>
      </c>
      <c r="Y111" s="59">
        <f t="shared" si="29"/>
        <v>0.24085352941176472</v>
      </c>
      <c r="Z111" s="51">
        <f>IF(Z21&gt;0,Z66/Z21,0)</f>
        <v>0.28508321829500166</v>
      </c>
      <c r="AA111" s="51">
        <f t="shared" si="29"/>
        <v>0.27291839603010654</v>
      </c>
      <c r="AB111" s="5" t="s">
        <v>133</v>
      </c>
    </row>
    <row r="112" spans="1:28" x14ac:dyDescent="0.25">
      <c r="A112" s="36" t="s">
        <v>60</v>
      </c>
      <c r="B112" s="37" t="s">
        <v>13</v>
      </c>
      <c r="C112" s="29" t="s">
        <v>62</v>
      </c>
      <c r="D112" s="2"/>
      <c r="E112" s="2"/>
      <c r="F112" s="51">
        <f t="shared" si="29"/>
        <v>0.29943720930232559</v>
      </c>
      <c r="G112" s="51">
        <f t="shared" si="29"/>
        <v>0.31022086431069018</v>
      </c>
      <c r="H112" s="51">
        <f t="shared" si="29"/>
        <v>0.31730769230769229</v>
      </c>
      <c r="I112" s="51">
        <f t="shared" si="29"/>
        <v>0</v>
      </c>
      <c r="J112" s="51">
        <f t="shared" si="29"/>
        <v>0</v>
      </c>
      <c r="K112" s="51">
        <f t="shared" si="29"/>
        <v>0</v>
      </c>
      <c r="L112" s="52">
        <f t="shared" si="29"/>
        <v>0</v>
      </c>
      <c r="M112" s="51">
        <f t="shared" si="29"/>
        <v>0</v>
      </c>
      <c r="N112" s="51">
        <f t="shared" si="29"/>
        <v>0</v>
      </c>
      <c r="O112" s="51">
        <f t="shared" si="29"/>
        <v>0</v>
      </c>
      <c r="P112" s="51">
        <f t="shared" si="29"/>
        <v>0.16800000000000001</v>
      </c>
      <c r="Q112" s="51">
        <f t="shared" si="29"/>
        <v>0</v>
      </c>
      <c r="R112" s="51">
        <f t="shared" si="29"/>
        <v>0</v>
      </c>
      <c r="S112" s="51">
        <f t="shared" si="29"/>
        <v>0</v>
      </c>
      <c r="T112" s="51">
        <f t="shared" si="29"/>
        <v>0</v>
      </c>
      <c r="U112" s="51">
        <f t="shared" si="29"/>
        <v>0</v>
      </c>
      <c r="V112" s="51">
        <f t="shared" si="29"/>
        <v>0</v>
      </c>
      <c r="W112" s="51">
        <f t="shared" si="29"/>
        <v>0</v>
      </c>
      <c r="X112" s="55">
        <f t="shared" si="29"/>
        <v>0</v>
      </c>
      <c r="Y112" s="59">
        <f t="shared" si="29"/>
        <v>0.31266858439985973</v>
      </c>
      <c r="Z112" s="51">
        <f t="shared" si="29"/>
        <v>0.16800000000000001</v>
      </c>
      <c r="AA112" s="51">
        <f t="shared" si="29"/>
        <v>0.2187279451791716</v>
      </c>
      <c r="AB112" s="5" t="s">
        <v>134</v>
      </c>
    </row>
    <row r="113" spans="1:27" x14ac:dyDescent="0.25">
      <c r="A113" s="30" t="s">
        <v>60</v>
      </c>
      <c r="B113" s="31" t="s">
        <v>13</v>
      </c>
      <c r="C113" s="32" t="s">
        <v>63</v>
      </c>
      <c r="D113" s="2"/>
      <c r="E113" s="2"/>
      <c r="F113" s="51">
        <f t="shared" si="29"/>
        <v>0</v>
      </c>
      <c r="G113" s="51">
        <f t="shared" si="29"/>
        <v>0</v>
      </c>
      <c r="H113" s="51">
        <f t="shared" si="29"/>
        <v>0</v>
      </c>
      <c r="I113" s="51">
        <f t="shared" si="29"/>
        <v>0</v>
      </c>
      <c r="J113" s="51">
        <f t="shared" si="29"/>
        <v>0</v>
      </c>
      <c r="K113" s="51">
        <f t="shared" si="29"/>
        <v>0</v>
      </c>
      <c r="L113" s="52">
        <f t="shared" si="29"/>
        <v>0</v>
      </c>
      <c r="M113" s="51">
        <f t="shared" si="29"/>
        <v>0</v>
      </c>
      <c r="N113" s="51">
        <f t="shared" si="29"/>
        <v>0</v>
      </c>
      <c r="O113" s="51">
        <f t="shared" si="29"/>
        <v>0</v>
      </c>
      <c r="P113" s="51">
        <f t="shared" si="29"/>
        <v>0</v>
      </c>
      <c r="Q113" s="51">
        <f t="shared" si="29"/>
        <v>0</v>
      </c>
      <c r="R113" s="51">
        <f t="shared" si="29"/>
        <v>0</v>
      </c>
      <c r="S113" s="51">
        <f t="shared" si="29"/>
        <v>0</v>
      </c>
      <c r="T113" s="51">
        <f t="shared" si="29"/>
        <v>0</v>
      </c>
      <c r="U113" s="51">
        <f t="shared" si="29"/>
        <v>0</v>
      </c>
      <c r="V113" s="51">
        <f t="shared" si="29"/>
        <v>0</v>
      </c>
      <c r="W113" s="51">
        <f t="shared" si="29"/>
        <v>0</v>
      </c>
      <c r="X113" s="55">
        <f t="shared" si="29"/>
        <v>0</v>
      </c>
      <c r="Y113" s="59">
        <f t="shared" si="29"/>
        <v>0</v>
      </c>
      <c r="Z113" s="51">
        <f t="shared" si="29"/>
        <v>0</v>
      </c>
      <c r="AA113" s="51">
        <f t="shared" si="29"/>
        <v>0</v>
      </c>
    </row>
    <row r="114" spans="1:27" x14ac:dyDescent="0.25">
      <c r="A114" s="30" t="s">
        <v>60</v>
      </c>
      <c r="B114" s="32" t="s">
        <v>23</v>
      </c>
      <c r="C114" s="31" t="s">
        <v>50</v>
      </c>
      <c r="D114" s="2"/>
      <c r="E114" s="2"/>
      <c r="F114" s="77">
        <v>0.32</v>
      </c>
      <c r="G114" s="51">
        <f t="shared" si="29"/>
        <v>0</v>
      </c>
      <c r="H114" s="51">
        <f t="shared" si="29"/>
        <v>0</v>
      </c>
      <c r="I114" s="51">
        <f t="shared" si="29"/>
        <v>0</v>
      </c>
      <c r="J114" s="77">
        <v>0.33</v>
      </c>
      <c r="K114" s="51">
        <f t="shared" si="29"/>
        <v>0.99456470588235291</v>
      </c>
      <c r="L114" s="52">
        <f t="shared" si="29"/>
        <v>0</v>
      </c>
      <c r="M114" s="51">
        <f t="shared" si="29"/>
        <v>0</v>
      </c>
      <c r="N114" s="51">
        <f t="shared" si="29"/>
        <v>0.33333333333333331</v>
      </c>
      <c r="O114" s="51">
        <f t="shared" si="29"/>
        <v>0</v>
      </c>
      <c r="P114" s="51">
        <f t="shared" si="29"/>
        <v>0</v>
      </c>
      <c r="Q114" s="51">
        <f t="shared" si="29"/>
        <v>0</v>
      </c>
      <c r="R114" s="51">
        <f t="shared" si="29"/>
        <v>0</v>
      </c>
      <c r="S114" s="51">
        <f t="shared" si="29"/>
        <v>0</v>
      </c>
      <c r="T114" s="51">
        <f t="shared" si="29"/>
        <v>0</v>
      </c>
      <c r="U114" s="51">
        <f t="shared" si="29"/>
        <v>0</v>
      </c>
      <c r="V114" s="51">
        <f t="shared" si="29"/>
        <v>0</v>
      </c>
      <c r="W114" s="51">
        <f t="shared" si="29"/>
        <v>0</v>
      </c>
      <c r="X114" s="55">
        <f t="shared" si="29"/>
        <v>0</v>
      </c>
      <c r="Y114" s="59">
        <f t="shared" si="29"/>
        <v>0.98379629629629628</v>
      </c>
      <c r="Z114" s="51">
        <f t="shared" si="29"/>
        <v>0.33333333333333331</v>
      </c>
      <c r="AA114" s="51">
        <f t="shared" si="29"/>
        <v>0.56756756756756754</v>
      </c>
    </row>
    <row r="115" spans="1:27" x14ac:dyDescent="0.25">
      <c r="A115" s="30" t="s">
        <v>60</v>
      </c>
      <c r="B115" s="32" t="s">
        <v>23</v>
      </c>
      <c r="C115" s="31" t="s">
        <v>49</v>
      </c>
      <c r="D115" s="2"/>
      <c r="E115" s="2"/>
      <c r="F115" s="51">
        <f t="shared" ref="F115:AA127" si="30">IF(F25&gt;0,F70/F25,0)</f>
        <v>0</v>
      </c>
      <c r="G115" s="51">
        <f t="shared" si="30"/>
        <v>0</v>
      </c>
      <c r="H115" s="51">
        <f t="shared" si="30"/>
        <v>0</v>
      </c>
      <c r="I115" s="51">
        <f t="shared" si="30"/>
        <v>0</v>
      </c>
      <c r="J115" s="51">
        <f>IF(J25&gt;0,J70/J25,0)</f>
        <v>0.24242424242424243</v>
      </c>
      <c r="K115" s="51">
        <f t="shared" si="30"/>
        <v>0.24489795918367346</v>
      </c>
      <c r="L115" s="52">
        <f t="shared" si="30"/>
        <v>0</v>
      </c>
      <c r="M115" s="51">
        <f t="shared" si="30"/>
        <v>0</v>
      </c>
      <c r="N115" s="51">
        <f t="shared" si="30"/>
        <v>0</v>
      </c>
      <c r="O115" s="51">
        <f t="shared" si="30"/>
        <v>0</v>
      </c>
      <c r="P115" s="51">
        <f t="shared" si="30"/>
        <v>0</v>
      </c>
      <c r="Q115" s="51">
        <f t="shared" si="30"/>
        <v>0</v>
      </c>
      <c r="R115" s="51">
        <f t="shared" si="30"/>
        <v>0</v>
      </c>
      <c r="S115" s="51">
        <f t="shared" si="29"/>
        <v>0.24489795918367346</v>
      </c>
      <c r="T115" s="51">
        <v>0.4</v>
      </c>
      <c r="U115" s="51">
        <f t="shared" si="29"/>
        <v>0</v>
      </c>
      <c r="V115" s="51">
        <v>0.9</v>
      </c>
      <c r="W115" s="51">
        <f t="shared" si="29"/>
        <v>0</v>
      </c>
      <c r="X115" s="51">
        <v>0.9</v>
      </c>
      <c r="Y115" s="59">
        <f t="shared" si="30"/>
        <v>0.24294595887135342</v>
      </c>
      <c r="Z115" s="51">
        <f t="shared" si="30"/>
        <v>0.45662100456621002</v>
      </c>
      <c r="AA115" s="51">
        <f t="shared" si="30"/>
        <v>0.39234149403640928</v>
      </c>
    </row>
    <row r="116" spans="1:27" x14ac:dyDescent="0.25">
      <c r="A116" s="30" t="s">
        <v>60</v>
      </c>
      <c r="B116" s="32" t="s">
        <v>23</v>
      </c>
      <c r="C116" s="31" t="s">
        <v>64</v>
      </c>
      <c r="D116" s="2"/>
      <c r="E116" s="2"/>
      <c r="F116" s="51">
        <f t="shared" si="30"/>
        <v>0</v>
      </c>
      <c r="G116" s="51">
        <f t="shared" si="30"/>
        <v>0</v>
      </c>
      <c r="H116" s="51">
        <f t="shared" si="30"/>
        <v>0</v>
      </c>
      <c r="I116" s="51">
        <f t="shared" si="30"/>
        <v>0</v>
      </c>
      <c r="J116" s="51">
        <f t="shared" si="30"/>
        <v>0</v>
      </c>
      <c r="K116" s="51">
        <f t="shared" si="30"/>
        <v>0</v>
      </c>
      <c r="L116" s="52">
        <f t="shared" si="30"/>
        <v>0</v>
      </c>
      <c r="M116" s="51">
        <f t="shared" si="30"/>
        <v>0</v>
      </c>
      <c r="N116" s="51">
        <f t="shared" si="30"/>
        <v>0</v>
      </c>
      <c r="O116" s="51">
        <f t="shared" si="30"/>
        <v>0</v>
      </c>
      <c r="P116" s="51">
        <f t="shared" si="30"/>
        <v>0</v>
      </c>
      <c r="Q116" s="51">
        <f t="shared" si="30"/>
        <v>0</v>
      </c>
      <c r="R116" s="51">
        <f t="shared" si="30"/>
        <v>0</v>
      </c>
      <c r="S116" s="51">
        <f t="shared" si="30"/>
        <v>0</v>
      </c>
      <c r="T116" s="51">
        <f t="shared" si="30"/>
        <v>0</v>
      </c>
      <c r="U116" s="51">
        <f t="shared" si="30"/>
        <v>0</v>
      </c>
      <c r="V116" s="51">
        <f t="shared" si="30"/>
        <v>0</v>
      </c>
      <c r="W116" s="51">
        <f t="shared" si="29"/>
        <v>0</v>
      </c>
      <c r="X116" s="55">
        <f t="shared" si="30"/>
        <v>0</v>
      </c>
      <c r="Y116" s="59">
        <f t="shared" si="30"/>
        <v>0</v>
      </c>
      <c r="Z116" s="51">
        <f t="shared" si="30"/>
        <v>0</v>
      </c>
      <c r="AA116" s="51">
        <f t="shared" si="30"/>
        <v>0</v>
      </c>
    </row>
    <row r="117" spans="1:27" x14ac:dyDescent="0.25">
      <c r="A117" s="30" t="s">
        <v>60</v>
      </c>
      <c r="B117" s="32" t="s">
        <v>65</v>
      </c>
      <c r="C117" s="31" t="s">
        <v>66</v>
      </c>
      <c r="D117" s="2"/>
      <c r="E117" s="2"/>
      <c r="F117" s="51">
        <f t="shared" si="30"/>
        <v>0</v>
      </c>
      <c r="G117" s="51">
        <f t="shared" si="30"/>
        <v>0</v>
      </c>
      <c r="H117" s="51">
        <f t="shared" si="30"/>
        <v>0</v>
      </c>
      <c r="I117" s="51">
        <f t="shared" si="30"/>
        <v>0</v>
      </c>
      <c r="J117" s="77">
        <v>0.12</v>
      </c>
      <c r="K117" s="51">
        <f t="shared" si="30"/>
        <v>0</v>
      </c>
      <c r="L117" s="52">
        <f t="shared" si="30"/>
        <v>0</v>
      </c>
      <c r="M117" s="77">
        <v>0.08</v>
      </c>
      <c r="N117" s="51">
        <f t="shared" si="30"/>
        <v>0</v>
      </c>
      <c r="O117" s="51">
        <f t="shared" si="30"/>
        <v>0</v>
      </c>
      <c r="P117" s="51">
        <f t="shared" si="30"/>
        <v>0</v>
      </c>
      <c r="Q117" s="51">
        <f t="shared" si="30"/>
        <v>0</v>
      </c>
      <c r="R117" s="51">
        <f t="shared" si="30"/>
        <v>0</v>
      </c>
      <c r="S117" s="51">
        <f t="shared" si="30"/>
        <v>0</v>
      </c>
      <c r="T117" s="51">
        <f t="shared" si="30"/>
        <v>0</v>
      </c>
      <c r="U117" s="51">
        <f t="shared" si="30"/>
        <v>0</v>
      </c>
      <c r="V117" s="51">
        <f t="shared" si="30"/>
        <v>0</v>
      </c>
      <c r="W117" s="51">
        <f t="shared" si="29"/>
        <v>0</v>
      </c>
      <c r="X117" s="55">
        <f t="shared" si="30"/>
        <v>0</v>
      </c>
      <c r="Y117" s="59">
        <f t="shared" si="30"/>
        <v>0.11999999999999998</v>
      </c>
      <c r="Z117" s="51">
        <f t="shared" si="30"/>
        <v>0.08</v>
      </c>
      <c r="AA117" s="51">
        <f t="shared" si="30"/>
        <v>8.9004569839062173E-2</v>
      </c>
    </row>
    <row r="118" spans="1:27" x14ac:dyDescent="0.25">
      <c r="A118" s="30" t="s">
        <v>60</v>
      </c>
      <c r="B118" s="32" t="s">
        <v>65</v>
      </c>
      <c r="C118" s="31" t="s">
        <v>67</v>
      </c>
      <c r="D118" s="2"/>
      <c r="E118" s="2"/>
      <c r="F118" s="51">
        <f t="shared" si="30"/>
        <v>0</v>
      </c>
      <c r="G118" s="51">
        <f t="shared" si="30"/>
        <v>0</v>
      </c>
      <c r="H118" s="51">
        <f t="shared" si="30"/>
        <v>0</v>
      </c>
      <c r="I118" s="51">
        <f t="shared" si="30"/>
        <v>0</v>
      </c>
      <c r="J118" s="51">
        <f t="shared" si="30"/>
        <v>0</v>
      </c>
      <c r="K118" s="51">
        <f t="shared" si="30"/>
        <v>0</v>
      </c>
      <c r="L118" s="52">
        <f t="shared" si="30"/>
        <v>0</v>
      </c>
      <c r="M118" s="51">
        <f t="shared" si="30"/>
        <v>0</v>
      </c>
      <c r="N118" s="51">
        <f t="shared" si="30"/>
        <v>0</v>
      </c>
      <c r="O118" s="51">
        <f t="shared" si="30"/>
        <v>0</v>
      </c>
      <c r="P118" s="51">
        <f t="shared" si="30"/>
        <v>0</v>
      </c>
      <c r="Q118" s="77">
        <v>0.12</v>
      </c>
      <c r="R118" s="77">
        <v>0.18</v>
      </c>
      <c r="S118" s="51">
        <f t="shared" si="30"/>
        <v>0</v>
      </c>
      <c r="T118" s="77">
        <v>0.18</v>
      </c>
      <c r="U118" s="77">
        <v>0.22</v>
      </c>
      <c r="V118" s="77">
        <v>0.12</v>
      </c>
      <c r="W118" s="77">
        <v>0.12</v>
      </c>
      <c r="X118" s="77">
        <v>0.12</v>
      </c>
      <c r="Y118" s="59">
        <f t="shared" si="30"/>
        <v>0</v>
      </c>
      <c r="Z118" s="51">
        <f t="shared" si="30"/>
        <v>0.14646657571623464</v>
      </c>
      <c r="AA118" s="51">
        <f t="shared" si="30"/>
        <v>0.14646657571623464</v>
      </c>
    </row>
    <row r="119" spans="1:27" x14ac:dyDescent="0.25">
      <c r="A119" s="30" t="s">
        <v>60</v>
      </c>
      <c r="B119" s="32" t="s">
        <v>65</v>
      </c>
      <c r="C119" s="31" t="s">
        <v>68</v>
      </c>
      <c r="D119" s="2"/>
      <c r="E119" s="2"/>
      <c r="F119" s="51">
        <f t="shared" si="30"/>
        <v>0</v>
      </c>
      <c r="G119" s="51">
        <f t="shared" si="30"/>
        <v>0</v>
      </c>
      <c r="H119" s="51">
        <f t="shared" si="30"/>
        <v>0</v>
      </c>
      <c r="I119" s="51">
        <f t="shared" si="30"/>
        <v>0</v>
      </c>
      <c r="J119" s="51">
        <f t="shared" si="30"/>
        <v>0</v>
      </c>
      <c r="K119" s="51">
        <f t="shared" si="30"/>
        <v>0</v>
      </c>
      <c r="L119" s="77">
        <v>7.4999999999999997E-2</v>
      </c>
      <c r="M119" s="51">
        <f t="shared" si="30"/>
        <v>0</v>
      </c>
      <c r="N119" s="51">
        <f t="shared" si="30"/>
        <v>0</v>
      </c>
      <c r="O119" s="51">
        <f t="shared" si="30"/>
        <v>0</v>
      </c>
      <c r="P119" s="51">
        <f t="shared" si="30"/>
        <v>0</v>
      </c>
      <c r="Q119" s="51">
        <f t="shared" si="30"/>
        <v>0</v>
      </c>
      <c r="R119" s="51">
        <f t="shared" si="30"/>
        <v>0</v>
      </c>
      <c r="S119" s="51">
        <f t="shared" si="30"/>
        <v>0</v>
      </c>
      <c r="T119" s="51">
        <f t="shared" si="30"/>
        <v>0</v>
      </c>
      <c r="U119" s="51">
        <f t="shared" si="30"/>
        <v>0</v>
      </c>
      <c r="V119" s="51">
        <f t="shared" si="30"/>
        <v>0</v>
      </c>
      <c r="W119" s="51">
        <f t="shared" si="30"/>
        <v>0</v>
      </c>
      <c r="X119" s="55">
        <f t="shared" si="30"/>
        <v>0</v>
      </c>
      <c r="Y119" s="59">
        <f t="shared" si="30"/>
        <v>0</v>
      </c>
      <c r="Z119" s="51">
        <f t="shared" si="30"/>
        <v>0</v>
      </c>
      <c r="AA119" s="51">
        <f t="shared" si="30"/>
        <v>7.4999999999999997E-2</v>
      </c>
    </row>
    <row r="120" spans="1:27" x14ac:dyDescent="0.25">
      <c r="A120" s="30" t="s">
        <v>60</v>
      </c>
      <c r="B120" s="32" t="s">
        <v>9</v>
      </c>
      <c r="C120" s="31" t="s">
        <v>69</v>
      </c>
      <c r="D120" s="2"/>
      <c r="E120" s="2"/>
      <c r="F120" s="51">
        <f t="shared" si="30"/>
        <v>0</v>
      </c>
      <c r="G120" s="51">
        <f t="shared" si="30"/>
        <v>0</v>
      </c>
      <c r="H120" s="51">
        <f t="shared" si="30"/>
        <v>0</v>
      </c>
      <c r="I120" s="51">
        <f t="shared" si="30"/>
        <v>0</v>
      </c>
      <c r="J120" s="51">
        <f t="shared" si="30"/>
        <v>0</v>
      </c>
      <c r="K120" s="51">
        <f t="shared" si="30"/>
        <v>0</v>
      </c>
      <c r="L120" s="52">
        <f t="shared" si="30"/>
        <v>0</v>
      </c>
      <c r="M120" s="51">
        <f t="shared" si="30"/>
        <v>0</v>
      </c>
      <c r="N120" s="51">
        <f t="shared" si="30"/>
        <v>0</v>
      </c>
      <c r="O120" s="51">
        <f t="shared" si="30"/>
        <v>0</v>
      </c>
      <c r="P120" s="51">
        <f t="shared" si="30"/>
        <v>0</v>
      </c>
      <c r="Q120" s="51">
        <f t="shared" si="30"/>
        <v>0</v>
      </c>
      <c r="R120" s="51">
        <f t="shared" si="30"/>
        <v>0</v>
      </c>
      <c r="S120" s="51">
        <f t="shared" si="30"/>
        <v>0</v>
      </c>
      <c r="T120" s="51">
        <f t="shared" si="30"/>
        <v>0</v>
      </c>
      <c r="U120" s="51">
        <f t="shared" si="30"/>
        <v>0</v>
      </c>
      <c r="V120" s="51">
        <f t="shared" si="30"/>
        <v>1</v>
      </c>
      <c r="W120" s="51">
        <f t="shared" si="30"/>
        <v>0</v>
      </c>
      <c r="X120" s="79">
        <v>0.42</v>
      </c>
      <c r="Y120" s="59">
        <f t="shared" si="30"/>
        <v>0</v>
      </c>
      <c r="Z120" s="51">
        <f t="shared" si="30"/>
        <v>0.57185039370078738</v>
      </c>
      <c r="AA120" s="51">
        <f t="shared" si="30"/>
        <v>0.57185039370078738</v>
      </c>
    </row>
    <row r="121" spans="1:27" x14ac:dyDescent="0.25">
      <c r="A121" s="15" t="s">
        <v>51</v>
      </c>
      <c r="B121" s="16" t="s">
        <v>56</v>
      </c>
      <c r="C121" s="27" t="s">
        <v>57</v>
      </c>
      <c r="D121" s="16" t="s">
        <v>70</v>
      </c>
      <c r="E121" s="16"/>
      <c r="F121" s="1">
        <f t="shared" si="30"/>
        <v>0</v>
      </c>
      <c r="G121" s="1">
        <f t="shared" si="30"/>
        <v>0</v>
      </c>
      <c r="H121" s="1">
        <f t="shared" si="30"/>
        <v>0</v>
      </c>
      <c r="I121" s="1">
        <f t="shared" si="30"/>
        <v>0</v>
      </c>
      <c r="J121" s="1">
        <f t="shared" si="30"/>
        <v>0</v>
      </c>
      <c r="K121" s="1">
        <f t="shared" si="30"/>
        <v>0</v>
      </c>
      <c r="L121" s="52">
        <f t="shared" si="30"/>
        <v>0</v>
      </c>
      <c r="M121" s="1">
        <f t="shared" si="30"/>
        <v>0</v>
      </c>
      <c r="N121" s="1">
        <f t="shared" si="30"/>
        <v>0</v>
      </c>
      <c r="O121" s="1">
        <f t="shared" si="30"/>
        <v>0</v>
      </c>
      <c r="P121" s="1">
        <f t="shared" si="30"/>
        <v>0</v>
      </c>
      <c r="Q121" s="1">
        <f t="shared" si="30"/>
        <v>0</v>
      </c>
      <c r="R121" s="1">
        <f t="shared" si="30"/>
        <v>0</v>
      </c>
      <c r="S121" s="1">
        <f t="shared" si="30"/>
        <v>0</v>
      </c>
      <c r="T121" s="1">
        <f t="shared" si="30"/>
        <v>0</v>
      </c>
      <c r="U121" s="1">
        <f t="shared" si="30"/>
        <v>0</v>
      </c>
      <c r="V121" s="1">
        <f t="shared" si="30"/>
        <v>0</v>
      </c>
      <c r="W121" s="1">
        <f t="shared" si="30"/>
        <v>0</v>
      </c>
      <c r="X121" s="54">
        <f t="shared" si="30"/>
        <v>0</v>
      </c>
      <c r="Y121" s="58">
        <f t="shared" si="30"/>
        <v>0</v>
      </c>
      <c r="Z121" s="1">
        <f t="shared" si="30"/>
        <v>0</v>
      </c>
      <c r="AA121" s="1">
        <f t="shared" si="30"/>
        <v>0</v>
      </c>
    </row>
    <row r="122" spans="1:27" x14ac:dyDescent="0.25">
      <c r="A122" s="15" t="s">
        <v>51</v>
      </c>
      <c r="B122" s="16" t="s">
        <v>56</v>
      </c>
      <c r="C122" s="27" t="s">
        <v>57</v>
      </c>
      <c r="D122" s="16" t="s">
        <v>71</v>
      </c>
      <c r="E122" s="16"/>
      <c r="F122" s="1">
        <f t="shared" si="30"/>
        <v>0</v>
      </c>
      <c r="G122" s="1">
        <f t="shared" si="30"/>
        <v>0</v>
      </c>
      <c r="H122" s="1">
        <f t="shared" si="30"/>
        <v>0</v>
      </c>
      <c r="I122" s="1">
        <f t="shared" si="30"/>
        <v>0</v>
      </c>
      <c r="J122" s="1">
        <f t="shared" si="30"/>
        <v>0</v>
      </c>
      <c r="K122" s="1">
        <f t="shared" si="30"/>
        <v>0</v>
      </c>
      <c r="L122" s="52">
        <f t="shared" si="30"/>
        <v>0</v>
      </c>
      <c r="M122" s="1">
        <f t="shared" si="30"/>
        <v>0</v>
      </c>
      <c r="N122" s="1">
        <f t="shared" si="30"/>
        <v>0</v>
      </c>
      <c r="O122" s="1">
        <f t="shared" si="30"/>
        <v>0</v>
      </c>
      <c r="P122" s="1">
        <f t="shared" si="30"/>
        <v>0</v>
      </c>
      <c r="Q122" s="1">
        <f t="shared" si="30"/>
        <v>0</v>
      </c>
      <c r="R122" s="1">
        <f t="shared" si="30"/>
        <v>0</v>
      </c>
      <c r="S122" s="1">
        <f t="shared" si="30"/>
        <v>0</v>
      </c>
      <c r="T122" s="1">
        <f t="shared" si="30"/>
        <v>0</v>
      </c>
      <c r="U122" s="1">
        <f t="shared" si="30"/>
        <v>0</v>
      </c>
      <c r="V122" s="1">
        <f t="shared" si="30"/>
        <v>0</v>
      </c>
      <c r="W122" s="1">
        <f t="shared" si="30"/>
        <v>0</v>
      </c>
      <c r="X122" s="54">
        <f t="shared" si="30"/>
        <v>0</v>
      </c>
      <c r="Y122" s="58">
        <f t="shared" si="30"/>
        <v>0</v>
      </c>
      <c r="Z122" s="1">
        <f t="shared" si="30"/>
        <v>0</v>
      </c>
      <c r="AA122" s="1">
        <f t="shared" si="30"/>
        <v>0</v>
      </c>
    </row>
    <row r="123" spans="1:27" x14ac:dyDescent="0.25">
      <c r="A123" s="15" t="s">
        <v>51</v>
      </c>
      <c r="B123" s="16" t="s">
        <v>56</v>
      </c>
      <c r="C123" s="27" t="s">
        <v>27</v>
      </c>
      <c r="D123" s="16" t="s">
        <v>72</v>
      </c>
      <c r="E123" s="16"/>
      <c r="F123" s="1">
        <f t="shared" si="30"/>
        <v>0</v>
      </c>
      <c r="G123" s="1">
        <f t="shared" si="30"/>
        <v>0</v>
      </c>
      <c r="H123" s="1">
        <f t="shared" si="30"/>
        <v>0</v>
      </c>
      <c r="I123" s="1">
        <f t="shared" si="30"/>
        <v>0</v>
      </c>
      <c r="J123" s="1">
        <f t="shared" si="30"/>
        <v>0</v>
      </c>
      <c r="K123" s="1">
        <f t="shared" si="30"/>
        <v>0</v>
      </c>
      <c r="L123" s="52">
        <f t="shared" si="30"/>
        <v>0</v>
      </c>
      <c r="M123" s="1">
        <f t="shared" si="30"/>
        <v>0</v>
      </c>
      <c r="N123" s="1">
        <f t="shared" si="30"/>
        <v>0</v>
      </c>
      <c r="O123" s="1">
        <f t="shared" si="30"/>
        <v>0</v>
      </c>
      <c r="P123" s="1">
        <f t="shared" si="30"/>
        <v>0</v>
      </c>
      <c r="Q123" s="1">
        <f t="shared" si="30"/>
        <v>0</v>
      </c>
      <c r="R123" s="1">
        <f t="shared" si="30"/>
        <v>0</v>
      </c>
      <c r="S123" s="1">
        <f t="shared" si="30"/>
        <v>0</v>
      </c>
      <c r="T123" s="1">
        <f t="shared" si="30"/>
        <v>0</v>
      </c>
      <c r="U123" s="1">
        <f t="shared" si="30"/>
        <v>0</v>
      </c>
      <c r="V123" s="1">
        <f t="shared" si="30"/>
        <v>0</v>
      </c>
      <c r="W123" s="1">
        <f t="shared" si="30"/>
        <v>0</v>
      </c>
      <c r="X123" s="54">
        <f t="shared" si="30"/>
        <v>0</v>
      </c>
      <c r="Y123" s="58">
        <f t="shared" si="30"/>
        <v>0</v>
      </c>
      <c r="Z123" s="1">
        <f t="shared" si="30"/>
        <v>0</v>
      </c>
      <c r="AA123" s="1">
        <f t="shared" si="30"/>
        <v>0</v>
      </c>
    </row>
    <row r="124" spans="1:27" x14ac:dyDescent="0.25">
      <c r="A124" s="15" t="s">
        <v>51</v>
      </c>
      <c r="B124" s="16" t="s">
        <v>56</v>
      </c>
      <c r="C124" s="27" t="s">
        <v>57</v>
      </c>
      <c r="D124" s="16" t="s">
        <v>73</v>
      </c>
      <c r="E124" s="16"/>
      <c r="F124" s="1">
        <f t="shared" si="30"/>
        <v>0</v>
      </c>
      <c r="G124" s="1">
        <f t="shared" si="30"/>
        <v>0</v>
      </c>
      <c r="H124" s="1">
        <f t="shared" si="30"/>
        <v>0</v>
      </c>
      <c r="I124" s="1">
        <f t="shared" si="30"/>
        <v>0</v>
      </c>
      <c r="J124" s="1">
        <f t="shared" si="30"/>
        <v>0</v>
      </c>
      <c r="K124" s="1">
        <f t="shared" si="30"/>
        <v>0</v>
      </c>
      <c r="L124" s="52">
        <f t="shared" si="30"/>
        <v>0</v>
      </c>
      <c r="M124" s="1">
        <f t="shared" si="30"/>
        <v>0</v>
      </c>
      <c r="N124" s="1">
        <f t="shared" si="30"/>
        <v>0</v>
      </c>
      <c r="O124" s="1">
        <f t="shared" si="30"/>
        <v>0</v>
      </c>
      <c r="P124" s="1">
        <f t="shared" si="30"/>
        <v>0</v>
      </c>
      <c r="Q124" s="1">
        <f t="shared" si="30"/>
        <v>0</v>
      </c>
      <c r="R124" s="1">
        <f t="shared" si="30"/>
        <v>0</v>
      </c>
      <c r="S124" s="1">
        <f t="shared" si="30"/>
        <v>0</v>
      </c>
      <c r="T124" s="1">
        <f t="shared" si="30"/>
        <v>0</v>
      </c>
      <c r="U124" s="1">
        <f t="shared" si="30"/>
        <v>0</v>
      </c>
      <c r="V124" s="1">
        <f t="shared" si="30"/>
        <v>0</v>
      </c>
      <c r="W124" s="1">
        <f t="shared" si="30"/>
        <v>0</v>
      </c>
      <c r="X124" s="54">
        <f t="shared" si="30"/>
        <v>0</v>
      </c>
      <c r="Y124" s="58">
        <f t="shared" si="30"/>
        <v>0</v>
      </c>
      <c r="Z124" s="1">
        <f t="shared" si="30"/>
        <v>0</v>
      </c>
      <c r="AA124" s="1">
        <f t="shared" si="30"/>
        <v>0</v>
      </c>
    </row>
    <row r="125" spans="1:27" x14ac:dyDescent="0.25">
      <c r="A125" s="15" t="s">
        <v>51</v>
      </c>
      <c r="B125" s="16" t="s">
        <v>56</v>
      </c>
      <c r="C125" s="27" t="s">
        <v>57</v>
      </c>
      <c r="D125" s="16" t="s">
        <v>74</v>
      </c>
      <c r="E125" s="16"/>
      <c r="F125" s="1">
        <f t="shared" si="30"/>
        <v>0</v>
      </c>
      <c r="G125" s="1">
        <f t="shared" si="30"/>
        <v>0</v>
      </c>
      <c r="H125" s="1">
        <f t="shared" si="30"/>
        <v>0</v>
      </c>
      <c r="I125" s="1">
        <f t="shared" si="30"/>
        <v>0</v>
      </c>
      <c r="J125" s="1">
        <f t="shared" si="30"/>
        <v>0</v>
      </c>
      <c r="K125" s="1">
        <f t="shared" si="30"/>
        <v>0</v>
      </c>
      <c r="L125" s="52">
        <f t="shared" si="30"/>
        <v>0</v>
      </c>
      <c r="M125" s="1">
        <f t="shared" si="30"/>
        <v>0</v>
      </c>
      <c r="N125" s="1">
        <f t="shared" si="30"/>
        <v>0</v>
      </c>
      <c r="O125" s="1">
        <f t="shared" si="30"/>
        <v>0</v>
      </c>
      <c r="P125" s="1">
        <f t="shared" si="30"/>
        <v>0</v>
      </c>
      <c r="Q125" s="1">
        <f t="shared" si="30"/>
        <v>0</v>
      </c>
      <c r="R125" s="1">
        <f t="shared" si="30"/>
        <v>0</v>
      </c>
      <c r="S125" s="1">
        <f t="shared" si="30"/>
        <v>0</v>
      </c>
      <c r="T125" s="1">
        <f t="shared" si="30"/>
        <v>0</v>
      </c>
      <c r="U125" s="1">
        <f t="shared" si="30"/>
        <v>0</v>
      </c>
      <c r="V125" s="1">
        <f t="shared" si="30"/>
        <v>0</v>
      </c>
      <c r="W125" s="1">
        <f t="shared" si="30"/>
        <v>0</v>
      </c>
      <c r="X125" s="54">
        <f t="shared" si="30"/>
        <v>0</v>
      </c>
      <c r="Y125" s="58">
        <f t="shared" si="30"/>
        <v>0</v>
      </c>
      <c r="Z125" s="1">
        <f t="shared" si="30"/>
        <v>0</v>
      </c>
      <c r="AA125" s="1">
        <f t="shared" si="30"/>
        <v>0</v>
      </c>
    </row>
    <row r="126" spans="1:27" x14ac:dyDescent="0.25">
      <c r="A126" s="30" t="s">
        <v>60</v>
      </c>
      <c r="B126" s="31" t="s">
        <v>13</v>
      </c>
      <c r="C126" s="32" t="s">
        <v>61</v>
      </c>
      <c r="D126" s="31" t="s">
        <v>75</v>
      </c>
      <c r="E126" s="31"/>
      <c r="F126" s="51">
        <f t="shared" si="30"/>
        <v>0.14250002906976747</v>
      </c>
      <c r="G126" s="51">
        <f t="shared" si="30"/>
        <v>0</v>
      </c>
      <c r="H126" s="51">
        <f t="shared" si="30"/>
        <v>0.2525510204081633</v>
      </c>
      <c r="I126" s="51">
        <f t="shared" si="30"/>
        <v>0.2639455782312925</v>
      </c>
      <c r="J126" s="51">
        <f t="shared" si="30"/>
        <v>0.42857142857142855</v>
      </c>
      <c r="K126" s="51">
        <f t="shared" si="30"/>
        <v>0.28749999999999998</v>
      </c>
      <c r="L126" s="52">
        <f t="shared" si="30"/>
        <v>0</v>
      </c>
      <c r="M126" s="51">
        <f t="shared" si="30"/>
        <v>0.48888888888888887</v>
      </c>
      <c r="N126" s="51">
        <f t="shared" si="30"/>
        <v>0</v>
      </c>
      <c r="O126" s="51">
        <f t="shared" si="30"/>
        <v>0</v>
      </c>
      <c r="P126" s="51">
        <f t="shared" si="30"/>
        <v>0</v>
      </c>
      <c r="Q126" s="51">
        <f t="shared" si="30"/>
        <v>0</v>
      </c>
      <c r="R126" s="51">
        <f t="shared" si="30"/>
        <v>0</v>
      </c>
      <c r="S126" s="51">
        <f t="shared" si="30"/>
        <v>0</v>
      </c>
      <c r="T126" s="51">
        <f t="shared" si="30"/>
        <v>0</v>
      </c>
      <c r="U126" s="51">
        <f t="shared" si="30"/>
        <v>0</v>
      </c>
      <c r="V126" s="51">
        <f t="shared" si="30"/>
        <v>0</v>
      </c>
      <c r="W126" s="51">
        <f t="shared" si="30"/>
        <v>0.8</v>
      </c>
      <c r="X126" s="55">
        <f t="shared" si="30"/>
        <v>0.4</v>
      </c>
      <c r="Y126" s="59">
        <f t="shared" si="30"/>
        <v>0.24185701077375121</v>
      </c>
      <c r="Z126" s="51">
        <f t="shared" si="30"/>
        <v>0.61369863013698633</v>
      </c>
      <c r="AA126" s="51">
        <f t="shared" si="30"/>
        <v>0.29824346323223927</v>
      </c>
    </row>
    <row r="127" spans="1:27" x14ac:dyDescent="0.25">
      <c r="A127" s="30" t="s">
        <v>60</v>
      </c>
      <c r="B127" s="31" t="s">
        <v>13</v>
      </c>
      <c r="C127" s="32" t="s">
        <v>61</v>
      </c>
      <c r="D127" s="31" t="s">
        <v>76</v>
      </c>
      <c r="E127" s="31"/>
      <c r="F127" s="51">
        <f t="shared" si="30"/>
        <v>0.14250002906976744</v>
      </c>
      <c r="G127" s="51">
        <f t="shared" si="30"/>
        <v>0</v>
      </c>
      <c r="H127" s="51">
        <f t="shared" si="30"/>
        <v>0</v>
      </c>
      <c r="I127" s="51">
        <f t="shared" si="30"/>
        <v>0.2639455782312925</v>
      </c>
      <c r="J127" s="51">
        <f t="shared" si="30"/>
        <v>0.4285714285714286</v>
      </c>
      <c r="K127" s="51">
        <f t="shared" si="30"/>
        <v>0.28749999999999998</v>
      </c>
      <c r="L127" s="52">
        <f t="shared" si="30"/>
        <v>0</v>
      </c>
      <c r="M127" s="51">
        <f t="shared" si="30"/>
        <v>0.48888888888888887</v>
      </c>
      <c r="N127" s="51">
        <f t="shared" si="30"/>
        <v>0.29545454545454547</v>
      </c>
      <c r="O127" s="51">
        <f t="shared" si="30"/>
        <v>0.27777777777777779</v>
      </c>
      <c r="P127" s="51">
        <f t="shared" si="30"/>
        <v>0.16</v>
      </c>
      <c r="Q127" s="51">
        <f t="shared" ref="Q127:AA135" si="31">IF(Q37&gt;0,Q82/Q37,0)</f>
        <v>0</v>
      </c>
      <c r="R127" s="51">
        <f t="shared" si="31"/>
        <v>0.35</v>
      </c>
      <c r="S127" s="51">
        <f t="shared" si="31"/>
        <v>0</v>
      </c>
      <c r="T127" s="51">
        <f t="shared" si="31"/>
        <v>0</v>
      </c>
      <c r="U127" s="51">
        <f t="shared" si="31"/>
        <v>0</v>
      </c>
      <c r="V127" s="51">
        <f t="shared" si="31"/>
        <v>0</v>
      </c>
      <c r="W127" s="51">
        <f t="shared" si="31"/>
        <v>0</v>
      </c>
      <c r="X127" s="55">
        <f t="shared" si="31"/>
        <v>0.4</v>
      </c>
      <c r="Y127" s="59">
        <f t="shared" si="31"/>
        <v>0.23805043275535478</v>
      </c>
      <c r="Z127" s="51">
        <f t="shared" si="31"/>
        <v>0.27362824330072311</v>
      </c>
      <c r="AA127" s="51">
        <f t="shared" si="31"/>
        <v>0.26159853069727834</v>
      </c>
    </row>
    <row r="128" spans="1:27" x14ac:dyDescent="0.25">
      <c r="A128" s="30" t="s">
        <v>60</v>
      </c>
      <c r="B128" s="31" t="s">
        <v>13</v>
      </c>
      <c r="C128" s="32" t="s">
        <v>61</v>
      </c>
      <c r="D128" s="31" t="s">
        <v>77</v>
      </c>
      <c r="E128" s="31"/>
      <c r="F128" s="51">
        <f t="shared" ref="F128:AA135" si="32">IF(F38&gt;0,F83/F38,0)</f>
        <v>0</v>
      </c>
      <c r="G128" s="51">
        <f t="shared" si="32"/>
        <v>0</v>
      </c>
      <c r="H128" s="51">
        <f t="shared" si="32"/>
        <v>0</v>
      </c>
      <c r="I128" s="51">
        <f t="shared" si="32"/>
        <v>0</v>
      </c>
      <c r="J128" s="51">
        <f t="shared" si="32"/>
        <v>0</v>
      </c>
      <c r="K128" s="51">
        <f t="shared" si="32"/>
        <v>0.28749999999999998</v>
      </c>
      <c r="L128" s="52">
        <f t="shared" si="32"/>
        <v>0</v>
      </c>
      <c r="M128" s="51">
        <f t="shared" si="32"/>
        <v>0.48888888888888887</v>
      </c>
      <c r="N128" s="51">
        <f t="shared" si="32"/>
        <v>0</v>
      </c>
      <c r="O128" s="51">
        <f t="shared" si="32"/>
        <v>0.27777777777777779</v>
      </c>
      <c r="P128" s="51">
        <f t="shared" si="32"/>
        <v>0.16</v>
      </c>
      <c r="Q128" s="51">
        <f t="shared" si="32"/>
        <v>0</v>
      </c>
      <c r="R128" s="51">
        <f t="shared" si="32"/>
        <v>0</v>
      </c>
      <c r="S128" s="51">
        <f t="shared" si="32"/>
        <v>0</v>
      </c>
      <c r="T128" s="51">
        <f t="shared" si="32"/>
        <v>0.4</v>
      </c>
      <c r="U128" s="51">
        <f t="shared" si="32"/>
        <v>0.4</v>
      </c>
      <c r="V128" s="51">
        <f t="shared" si="32"/>
        <v>0</v>
      </c>
      <c r="W128" s="51">
        <f t="shared" si="31"/>
        <v>0</v>
      </c>
      <c r="X128" s="55">
        <f t="shared" si="32"/>
        <v>0.4</v>
      </c>
      <c r="Y128" s="59">
        <f t="shared" si="32"/>
        <v>0.28749999999999998</v>
      </c>
      <c r="Z128" s="51">
        <f t="shared" si="32"/>
        <v>0.26500186358553857</v>
      </c>
      <c r="AA128" s="51">
        <f t="shared" si="32"/>
        <v>0.26506874767744332</v>
      </c>
    </row>
    <row r="129" spans="1:55" x14ac:dyDescent="0.25">
      <c r="A129" s="30" t="s">
        <v>60</v>
      </c>
      <c r="B129" s="31" t="s">
        <v>13</v>
      </c>
      <c r="C129" s="32" t="s">
        <v>61</v>
      </c>
      <c r="D129" s="31" t="s">
        <v>78</v>
      </c>
      <c r="E129" s="31"/>
      <c r="F129" s="51">
        <f t="shared" si="32"/>
        <v>0</v>
      </c>
      <c r="G129" s="51">
        <f t="shared" si="32"/>
        <v>0</v>
      </c>
      <c r="H129" s="51">
        <f t="shared" si="32"/>
        <v>0</v>
      </c>
      <c r="I129" s="51">
        <f t="shared" si="32"/>
        <v>0.26394557823129255</v>
      </c>
      <c r="J129" s="51">
        <f t="shared" si="32"/>
        <v>0</v>
      </c>
      <c r="K129" s="51">
        <f t="shared" si="32"/>
        <v>0.28749999999999998</v>
      </c>
      <c r="L129" s="52">
        <f t="shared" si="32"/>
        <v>0</v>
      </c>
      <c r="M129" s="51">
        <f t="shared" si="32"/>
        <v>0</v>
      </c>
      <c r="N129" s="51">
        <f t="shared" si="32"/>
        <v>0</v>
      </c>
      <c r="O129" s="51">
        <f t="shared" si="32"/>
        <v>0</v>
      </c>
      <c r="P129" s="51">
        <f t="shared" si="32"/>
        <v>0.16</v>
      </c>
      <c r="Q129" s="51">
        <f t="shared" si="32"/>
        <v>0.3</v>
      </c>
      <c r="R129" s="51">
        <f t="shared" si="32"/>
        <v>0</v>
      </c>
      <c r="S129" s="51">
        <f t="shared" si="32"/>
        <v>0</v>
      </c>
      <c r="T129" s="51">
        <f t="shared" si="32"/>
        <v>0</v>
      </c>
      <c r="U129" s="51">
        <f t="shared" si="32"/>
        <v>0</v>
      </c>
      <c r="V129" s="51">
        <f t="shared" si="32"/>
        <v>0</v>
      </c>
      <c r="W129" s="51">
        <f t="shared" si="31"/>
        <v>0</v>
      </c>
      <c r="X129" s="55">
        <f t="shared" si="32"/>
        <v>0.4</v>
      </c>
      <c r="Y129" s="59">
        <f t="shared" si="32"/>
        <v>0.26898395721925134</v>
      </c>
      <c r="Z129" s="51">
        <f t="shared" si="32"/>
        <v>0.29831775700934576</v>
      </c>
      <c r="AA129" s="51">
        <f t="shared" si="32"/>
        <v>0.29685640706864397</v>
      </c>
    </row>
    <row r="130" spans="1:55" ht="15.75" thickBot="1" x14ac:dyDescent="0.3">
      <c r="A130" s="33" t="s">
        <v>60</v>
      </c>
      <c r="B130" s="34" t="s">
        <v>13</v>
      </c>
      <c r="C130" s="35" t="s">
        <v>61</v>
      </c>
      <c r="D130" s="34" t="s">
        <v>79</v>
      </c>
      <c r="E130" s="31"/>
      <c r="F130" s="51">
        <f t="shared" si="32"/>
        <v>0</v>
      </c>
      <c r="G130" s="51">
        <f t="shared" si="32"/>
        <v>0</v>
      </c>
      <c r="H130" s="51">
        <f t="shared" si="32"/>
        <v>0</v>
      </c>
      <c r="I130" s="51">
        <f t="shared" si="32"/>
        <v>0</v>
      </c>
      <c r="J130" s="51">
        <f t="shared" si="32"/>
        <v>0</v>
      </c>
      <c r="K130" s="51">
        <f t="shared" si="32"/>
        <v>0</v>
      </c>
      <c r="L130" s="52">
        <f t="shared" si="32"/>
        <v>0</v>
      </c>
      <c r="M130" s="51">
        <f t="shared" si="32"/>
        <v>0</v>
      </c>
      <c r="N130" s="51">
        <f t="shared" si="32"/>
        <v>0</v>
      </c>
      <c r="O130" s="51">
        <f t="shared" si="32"/>
        <v>0</v>
      </c>
      <c r="P130" s="51">
        <f t="shared" si="32"/>
        <v>0</v>
      </c>
      <c r="Q130" s="51">
        <f t="shared" si="32"/>
        <v>0</v>
      </c>
      <c r="R130" s="51">
        <f t="shared" si="32"/>
        <v>0</v>
      </c>
      <c r="S130" s="51">
        <f t="shared" si="32"/>
        <v>0</v>
      </c>
      <c r="T130" s="51">
        <f t="shared" si="32"/>
        <v>0</v>
      </c>
      <c r="U130" s="51">
        <f t="shared" si="32"/>
        <v>0</v>
      </c>
      <c r="V130" s="51">
        <f t="shared" si="32"/>
        <v>0</v>
      </c>
      <c r="W130" s="51">
        <f t="shared" si="31"/>
        <v>0</v>
      </c>
      <c r="X130" s="55">
        <f t="shared" si="32"/>
        <v>0</v>
      </c>
      <c r="Y130" s="59">
        <f t="shared" si="32"/>
        <v>0</v>
      </c>
      <c r="Z130" s="51">
        <f t="shared" si="32"/>
        <v>0</v>
      </c>
      <c r="AA130" s="51">
        <f t="shared" si="32"/>
        <v>0</v>
      </c>
    </row>
    <row r="131" spans="1:55" x14ac:dyDescent="0.25">
      <c r="A131" s="30" t="s">
        <v>60</v>
      </c>
      <c r="B131" s="31" t="s">
        <v>13</v>
      </c>
      <c r="C131" s="32" t="s">
        <v>62</v>
      </c>
      <c r="D131" s="31" t="s">
        <v>75</v>
      </c>
      <c r="E131" s="31"/>
      <c r="F131" s="51">
        <f t="shared" si="32"/>
        <v>0</v>
      </c>
      <c r="G131" s="51">
        <f t="shared" si="32"/>
        <v>0.31022086431069018</v>
      </c>
      <c r="H131" s="51">
        <f>IF(H41&gt;0,H86/H41,0)</f>
        <v>0.31730769230769229</v>
      </c>
      <c r="I131" s="51">
        <f t="shared" si="32"/>
        <v>0</v>
      </c>
      <c r="J131" s="51">
        <f t="shared" si="32"/>
        <v>0</v>
      </c>
      <c r="K131" s="51">
        <f t="shared" si="32"/>
        <v>0</v>
      </c>
      <c r="L131" s="52">
        <f t="shared" si="32"/>
        <v>0</v>
      </c>
      <c r="M131" s="51">
        <f t="shared" si="32"/>
        <v>0</v>
      </c>
      <c r="N131" s="51">
        <f t="shared" si="32"/>
        <v>0</v>
      </c>
      <c r="O131" s="51">
        <f t="shared" si="32"/>
        <v>0</v>
      </c>
      <c r="P131" s="51">
        <f t="shared" si="32"/>
        <v>0</v>
      </c>
      <c r="Q131" s="51">
        <f t="shared" si="32"/>
        <v>0</v>
      </c>
      <c r="R131" s="51">
        <f t="shared" si="32"/>
        <v>0</v>
      </c>
      <c r="S131" s="51">
        <f t="shared" si="32"/>
        <v>0</v>
      </c>
      <c r="T131" s="51">
        <f t="shared" si="32"/>
        <v>0</v>
      </c>
      <c r="U131" s="51">
        <f t="shared" si="32"/>
        <v>0</v>
      </c>
      <c r="V131" s="51">
        <f t="shared" si="32"/>
        <v>0</v>
      </c>
      <c r="W131" s="51">
        <f t="shared" si="31"/>
        <v>0</v>
      </c>
      <c r="X131" s="55">
        <f t="shared" si="32"/>
        <v>0</v>
      </c>
      <c r="Y131" s="59">
        <f t="shared" si="32"/>
        <v>0.31300511189936664</v>
      </c>
      <c r="Z131" s="51">
        <f t="shared" si="32"/>
        <v>0</v>
      </c>
      <c r="AA131" s="51">
        <f t="shared" si="32"/>
        <v>0.31300511189936664</v>
      </c>
    </row>
    <row r="132" spans="1:55" x14ac:dyDescent="0.25">
      <c r="A132" s="30" t="s">
        <v>60</v>
      </c>
      <c r="B132" s="31" t="s">
        <v>13</v>
      </c>
      <c r="C132" s="32" t="s">
        <v>62</v>
      </c>
      <c r="D132" s="31" t="s">
        <v>76</v>
      </c>
      <c r="E132" s="31"/>
      <c r="F132" s="51">
        <f t="shared" si="32"/>
        <v>0.29943720930232559</v>
      </c>
      <c r="G132" s="51">
        <f t="shared" si="32"/>
        <v>0.31022086431069018</v>
      </c>
      <c r="H132" s="51">
        <f>IF(H42&gt;0,H87/H42,0)</f>
        <v>0.31730769230769229</v>
      </c>
      <c r="I132" s="51">
        <f t="shared" si="32"/>
        <v>0</v>
      </c>
      <c r="J132" s="51">
        <f t="shared" si="32"/>
        <v>0</v>
      </c>
      <c r="K132" s="51">
        <f t="shared" si="32"/>
        <v>0</v>
      </c>
      <c r="L132" s="52">
        <f t="shared" si="32"/>
        <v>0</v>
      </c>
      <c r="M132" s="51">
        <f t="shared" si="32"/>
        <v>0</v>
      </c>
      <c r="N132" s="51">
        <f t="shared" si="32"/>
        <v>0</v>
      </c>
      <c r="O132" s="51">
        <f t="shared" si="32"/>
        <v>0</v>
      </c>
      <c r="P132" s="51">
        <f t="shared" si="32"/>
        <v>0.16800000000000001</v>
      </c>
      <c r="Q132" s="51">
        <f t="shared" si="32"/>
        <v>0</v>
      </c>
      <c r="R132" s="51">
        <f t="shared" si="32"/>
        <v>0</v>
      </c>
      <c r="S132" s="51">
        <f t="shared" si="32"/>
        <v>0</v>
      </c>
      <c r="T132" s="51">
        <f t="shared" si="32"/>
        <v>0</v>
      </c>
      <c r="U132" s="51">
        <f t="shared" si="32"/>
        <v>0</v>
      </c>
      <c r="V132" s="51">
        <f t="shared" si="32"/>
        <v>0</v>
      </c>
      <c r="W132" s="51">
        <f t="shared" si="31"/>
        <v>0</v>
      </c>
      <c r="X132" s="55">
        <f t="shared" si="32"/>
        <v>0</v>
      </c>
      <c r="Y132" s="59">
        <f t="shared" si="32"/>
        <v>0.31254124409833089</v>
      </c>
      <c r="Z132" s="51">
        <f t="shared" si="32"/>
        <v>0.16800000000000001</v>
      </c>
      <c r="AA132" s="51">
        <f t="shared" si="32"/>
        <v>0.2086862374173436</v>
      </c>
    </row>
    <row r="133" spans="1:55" x14ac:dyDescent="0.25">
      <c r="A133" s="30" t="s">
        <v>60</v>
      </c>
      <c r="B133" s="31" t="s">
        <v>13</v>
      </c>
      <c r="C133" s="32" t="s">
        <v>62</v>
      </c>
      <c r="D133" s="31" t="s">
        <v>77</v>
      </c>
      <c r="E133" s="31"/>
      <c r="F133" s="51">
        <f t="shared" si="32"/>
        <v>0</v>
      </c>
      <c r="G133" s="51">
        <f t="shared" si="32"/>
        <v>0</v>
      </c>
      <c r="H133" s="51">
        <f t="shared" si="32"/>
        <v>0</v>
      </c>
      <c r="I133" s="51">
        <f t="shared" si="32"/>
        <v>0</v>
      </c>
      <c r="J133" s="51">
        <f t="shared" si="32"/>
        <v>0</v>
      </c>
      <c r="K133" s="51">
        <f t="shared" si="32"/>
        <v>0</v>
      </c>
      <c r="L133" s="52">
        <f t="shared" si="32"/>
        <v>0</v>
      </c>
      <c r="M133" s="51">
        <f t="shared" si="32"/>
        <v>0</v>
      </c>
      <c r="N133" s="51">
        <f t="shared" si="32"/>
        <v>0</v>
      </c>
      <c r="O133" s="51">
        <f t="shared" si="32"/>
        <v>0</v>
      </c>
      <c r="P133" s="51">
        <f t="shared" si="32"/>
        <v>0</v>
      </c>
      <c r="Q133" s="51">
        <f t="shared" si="32"/>
        <v>0</v>
      </c>
      <c r="R133" s="51">
        <f t="shared" si="32"/>
        <v>0</v>
      </c>
      <c r="S133" s="51">
        <f t="shared" si="32"/>
        <v>0</v>
      </c>
      <c r="T133" s="51">
        <f t="shared" si="32"/>
        <v>0</v>
      </c>
      <c r="U133" s="51">
        <f t="shared" si="32"/>
        <v>0</v>
      </c>
      <c r="V133" s="51">
        <f t="shared" si="32"/>
        <v>0</v>
      </c>
      <c r="W133" s="51">
        <f t="shared" si="31"/>
        <v>0</v>
      </c>
      <c r="X133" s="55">
        <f t="shared" si="32"/>
        <v>0</v>
      </c>
      <c r="Y133" s="59">
        <f t="shared" si="32"/>
        <v>0</v>
      </c>
      <c r="Z133" s="51">
        <f t="shared" si="32"/>
        <v>0</v>
      </c>
      <c r="AA133" s="51">
        <f t="shared" si="32"/>
        <v>0</v>
      </c>
    </row>
    <row r="134" spans="1:55" x14ac:dyDescent="0.25">
      <c r="A134" s="30" t="s">
        <v>60</v>
      </c>
      <c r="B134" s="31" t="s">
        <v>13</v>
      </c>
      <c r="C134" s="32" t="s">
        <v>62</v>
      </c>
      <c r="D134" s="31" t="s">
        <v>78</v>
      </c>
      <c r="E134" s="31"/>
      <c r="F134" s="51">
        <f t="shared" si="32"/>
        <v>0</v>
      </c>
      <c r="G134" s="51">
        <f t="shared" si="32"/>
        <v>0</v>
      </c>
      <c r="H134" s="51">
        <f t="shared" si="32"/>
        <v>0</v>
      </c>
      <c r="I134" s="51">
        <f t="shared" si="32"/>
        <v>0</v>
      </c>
      <c r="J134" s="51">
        <f t="shared" si="32"/>
        <v>0</v>
      </c>
      <c r="K134" s="51">
        <f t="shared" si="32"/>
        <v>0</v>
      </c>
      <c r="L134" s="52">
        <f t="shared" si="32"/>
        <v>0</v>
      </c>
      <c r="M134" s="51">
        <f t="shared" si="32"/>
        <v>0</v>
      </c>
      <c r="N134" s="51">
        <f t="shared" si="32"/>
        <v>0</v>
      </c>
      <c r="O134" s="51">
        <f t="shared" si="32"/>
        <v>0</v>
      </c>
      <c r="P134" s="51">
        <f t="shared" si="32"/>
        <v>0</v>
      </c>
      <c r="Q134" s="51">
        <f t="shared" si="32"/>
        <v>0</v>
      </c>
      <c r="R134" s="51">
        <f t="shared" si="32"/>
        <v>0</v>
      </c>
      <c r="S134" s="51">
        <f t="shared" si="32"/>
        <v>0</v>
      </c>
      <c r="T134" s="51">
        <f t="shared" si="32"/>
        <v>0</v>
      </c>
      <c r="U134" s="51">
        <f t="shared" si="32"/>
        <v>0</v>
      </c>
      <c r="V134" s="51">
        <f t="shared" si="32"/>
        <v>0</v>
      </c>
      <c r="W134" s="51">
        <f t="shared" si="31"/>
        <v>0</v>
      </c>
      <c r="X134" s="55">
        <f t="shared" si="32"/>
        <v>0</v>
      </c>
      <c r="Y134" s="59">
        <f t="shared" si="32"/>
        <v>0</v>
      </c>
      <c r="Z134" s="51">
        <f t="shared" si="32"/>
        <v>0</v>
      </c>
      <c r="AA134" s="51">
        <f t="shared" si="32"/>
        <v>0</v>
      </c>
    </row>
    <row r="135" spans="1:55" ht="15.75" thickBot="1" x14ac:dyDescent="0.3">
      <c r="A135" s="33" t="s">
        <v>60</v>
      </c>
      <c r="B135" s="34" t="s">
        <v>13</v>
      </c>
      <c r="C135" s="32" t="s">
        <v>62</v>
      </c>
      <c r="D135" s="34" t="s">
        <v>79</v>
      </c>
      <c r="E135" s="31"/>
      <c r="F135" s="51">
        <f t="shared" si="32"/>
        <v>0</v>
      </c>
      <c r="G135" s="51">
        <f t="shared" si="32"/>
        <v>0</v>
      </c>
      <c r="H135" s="51">
        <f t="shared" si="32"/>
        <v>0</v>
      </c>
      <c r="I135" s="51">
        <f t="shared" si="32"/>
        <v>0</v>
      </c>
      <c r="J135" s="51">
        <f t="shared" si="32"/>
        <v>0</v>
      </c>
      <c r="K135" s="51">
        <f t="shared" si="32"/>
        <v>0</v>
      </c>
      <c r="L135" s="52">
        <f t="shared" si="32"/>
        <v>0</v>
      </c>
      <c r="M135" s="51">
        <f t="shared" si="32"/>
        <v>0</v>
      </c>
      <c r="N135" s="51">
        <f t="shared" si="32"/>
        <v>0</v>
      </c>
      <c r="O135" s="51">
        <f t="shared" si="32"/>
        <v>0</v>
      </c>
      <c r="P135" s="51">
        <f t="shared" si="32"/>
        <v>0</v>
      </c>
      <c r="Q135" s="51">
        <f t="shared" si="32"/>
        <v>0</v>
      </c>
      <c r="R135" s="51">
        <f t="shared" si="32"/>
        <v>0</v>
      </c>
      <c r="S135" s="51">
        <f t="shared" si="32"/>
        <v>0</v>
      </c>
      <c r="T135" s="51">
        <f t="shared" si="32"/>
        <v>0</v>
      </c>
      <c r="U135" s="51">
        <f t="shared" si="32"/>
        <v>0</v>
      </c>
      <c r="V135" s="51">
        <f t="shared" si="32"/>
        <v>0</v>
      </c>
      <c r="W135" s="51">
        <f t="shared" si="31"/>
        <v>0</v>
      </c>
      <c r="X135" s="55">
        <f t="shared" si="32"/>
        <v>0</v>
      </c>
      <c r="Y135" s="59">
        <f t="shared" si="32"/>
        <v>0</v>
      </c>
      <c r="Z135" s="51">
        <f t="shared" si="32"/>
        <v>0</v>
      </c>
      <c r="AA135" s="51">
        <f t="shared" si="32"/>
        <v>0</v>
      </c>
    </row>
    <row r="136" spans="1:5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55" x14ac:dyDescent="0.25">
      <c r="D137" s="41" t="s">
        <v>17</v>
      </c>
      <c r="E137" s="41"/>
      <c r="M137" s="24" t="s">
        <v>81</v>
      </c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AF137" s="41" t="s">
        <v>22</v>
      </c>
      <c r="AG137" s="41"/>
      <c r="AO137" s="24" t="s">
        <v>81</v>
      </c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</row>
    <row r="138" spans="1:55" x14ac:dyDescent="0.25">
      <c r="F138" s="23" t="s">
        <v>44</v>
      </c>
      <c r="G138" s="23"/>
      <c r="H138" s="23"/>
      <c r="I138" s="23"/>
      <c r="J138" s="23"/>
      <c r="K138" s="23"/>
      <c r="L138" s="7" t="s">
        <v>30</v>
      </c>
      <c r="M138" s="24" t="s">
        <v>46</v>
      </c>
      <c r="N138" s="24"/>
      <c r="O138" s="24"/>
      <c r="P138" s="24"/>
      <c r="Q138" s="24"/>
      <c r="R138" s="24" t="s">
        <v>47</v>
      </c>
      <c r="S138" s="24"/>
      <c r="T138" s="24"/>
      <c r="U138" s="24"/>
      <c r="V138" s="24"/>
      <c r="W138" s="24"/>
      <c r="X138" s="24"/>
      <c r="Y138" s="44" t="s">
        <v>85</v>
      </c>
      <c r="Z138" s="44" t="s">
        <v>48</v>
      </c>
      <c r="AA138" s="44" t="s">
        <v>3</v>
      </c>
      <c r="AH138" s="23" t="s">
        <v>44</v>
      </c>
      <c r="AI138" s="23"/>
      <c r="AJ138" s="23"/>
      <c r="AK138" s="23"/>
      <c r="AL138" s="23"/>
      <c r="AM138" s="23"/>
      <c r="AN138" s="7" t="s">
        <v>30</v>
      </c>
      <c r="AO138" s="24" t="s">
        <v>46</v>
      </c>
      <c r="AP138" s="24"/>
      <c r="AQ138" s="24"/>
      <c r="AR138" s="24"/>
      <c r="AS138" s="24"/>
      <c r="AT138" s="24" t="s">
        <v>47</v>
      </c>
      <c r="AU138" s="24"/>
      <c r="AV138" s="24"/>
      <c r="AW138" s="24"/>
      <c r="AX138" s="24"/>
      <c r="AY138" s="24"/>
      <c r="AZ138" s="24"/>
      <c r="BA138" s="44" t="s">
        <v>85</v>
      </c>
      <c r="BB138" s="44" t="s">
        <v>48</v>
      </c>
      <c r="BC138" s="44" t="s">
        <v>3</v>
      </c>
    </row>
    <row r="139" spans="1:55" ht="63" x14ac:dyDescent="0.25">
      <c r="F139" s="38" t="s">
        <v>36</v>
      </c>
      <c r="G139" s="38" t="s">
        <v>37</v>
      </c>
      <c r="H139" s="38" t="s">
        <v>38</v>
      </c>
      <c r="I139" s="38" t="s">
        <v>80</v>
      </c>
      <c r="J139" s="38" t="s">
        <v>39</v>
      </c>
      <c r="K139" s="38" t="s">
        <v>45</v>
      </c>
      <c r="L139" s="39" t="s">
        <v>16</v>
      </c>
      <c r="M139" s="40" t="s">
        <v>34</v>
      </c>
      <c r="N139" s="40" t="s">
        <v>5</v>
      </c>
      <c r="O139" s="40" t="s">
        <v>7</v>
      </c>
      <c r="P139" s="40" t="s">
        <v>8</v>
      </c>
      <c r="Q139" s="40" t="s">
        <v>40</v>
      </c>
      <c r="R139" s="40" t="s">
        <v>41</v>
      </c>
      <c r="S139" s="40" t="s">
        <v>42</v>
      </c>
      <c r="T139" s="40" t="s">
        <v>31</v>
      </c>
      <c r="U139" s="40" t="s">
        <v>43</v>
      </c>
      <c r="V139" s="40" t="s">
        <v>82</v>
      </c>
      <c r="W139" s="40" t="s">
        <v>87</v>
      </c>
      <c r="X139" s="40" t="s">
        <v>83</v>
      </c>
      <c r="Y139" s="45" t="s">
        <v>3</v>
      </c>
      <c r="Z139" s="45" t="s">
        <v>3</v>
      </c>
      <c r="AA139" s="45" t="s">
        <v>3</v>
      </c>
      <c r="AH139" s="38" t="s">
        <v>36</v>
      </c>
      <c r="AI139" s="38" t="s">
        <v>37</v>
      </c>
      <c r="AJ139" s="38" t="s">
        <v>38</v>
      </c>
      <c r="AK139" s="38" t="s">
        <v>80</v>
      </c>
      <c r="AL139" s="38" t="s">
        <v>39</v>
      </c>
      <c r="AM139" s="38" t="s">
        <v>45</v>
      </c>
      <c r="AN139" s="39" t="s">
        <v>16</v>
      </c>
      <c r="AO139" s="40" t="s">
        <v>34</v>
      </c>
      <c r="AP139" s="40" t="s">
        <v>5</v>
      </c>
      <c r="AQ139" s="40" t="s">
        <v>7</v>
      </c>
      <c r="AR139" s="40" t="s">
        <v>8</v>
      </c>
      <c r="AS139" s="40" t="s">
        <v>40</v>
      </c>
      <c r="AT139" s="40" t="s">
        <v>41</v>
      </c>
      <c r="AU139" s="40" t="s">
        <v>42</v>
      </c>
      <c r="AV139" s="40" t="s">
        <v>31</v>
      </c>
      <c r="AW139" s="40" t="s">
        <v>43</v>
      </c>
      <c r="AX139" s="40" t="s">
        <v>82</v>
      </c>
      <c r="AY139" s="40" t="s">
        <v>87</v>
      </c>
      <c r="AZ139" s="40" t="s">
        <v>83</v>
      </c>
      <c r="BA139" s="45" t="s">
        <v>3</v>
      </c>
      <c r="BB139" s="45" t="s">
        <v>86</v>
      </c>
      <c r="BC139" s="45" t="s">
        <v>3</v>
      </c>
    </row>
    <row r="140" spans="1:55" x14ac:dyDescent="0.25">
      <c r="A140" s="15" t="s">
        <v>51</v>
      </c>
      <c r="B140" s="2"/>
      <c r="C140" s="2"/>
      <c r="F140" s="1">
        <f t="shared" ref="F140:AA151" si="33">IF(F185&gt;0,F5/F185,0)</f>
        <v>0</v>
      </c>
      <c r="G140" s="1">
        <f t="shared" si="33"/>
        <v>0</v>
      </c>
      <c r="H140" s="1">
        <f t="shared" si="33"/>
        <v>0</v>
      </c>
      <c r="I140" s="1">
        <f t="shared" si="33"/>
        <v>0</v>
      </c>
      <c r="J140" s="1">
        <f t="shared" si="33"/>
        <v>0</v>
      </c>
      <c r="K140" s="1">
        <f t="shared" si="33"/>
        <v>0</v>
      </c>
      <c r="L140" s="52">
        <f t="shared" si="33"/>
        <v>0</v>
      </c>
      <c r="M140" s="1">
        <f t="shared" si="33"/>
        <v>0</v>
      </c>
      <c r="N140" s="1">
        <f t="shared" si="33"/>
        <v>0</v>
      </c>
      <c r="O140" s="1">
        <f t="shared" si="33"/>
        <v>0</v>
      </c>
      <c r="P140" s="1">
        <f t="shared" si="33"/>
        <v>0</v>
      </c>
      <c r="Q140" s="1">
        <f t="shared" si="33"/>
        <v>0</v>
      </c>
      <c r="R140" s="1">
        <f t="shared" si="33"/>
        <v>0</v>
      </c>
      <c r="S140" s="1">
        <f t="shared" si="33"/>
        <v>0</v>
      </c>
      <c r="T140" s="1">
        <f t="shared" si="33"/>
        <v>0</v>
      </c>
      <c r="U140" s="1">
        <f t="shared" si="33"/>
        <v>0</v>
      </c>
      <c r="V140" s="1">
        <f t="shared" si="33"/>
        <v>0</v>
      </c>
      <c r="W140" s="1">
        <f t="shared" si="33"/>
        <v>0</v>
      </c>
      <c r="X140" s="54">
        <f t="shared" si="33"/>
        <v>0</v>
      </c>
      <c r="Y140" s="58">
        <f t="shared" si="33"/>
        <v>0</v>
      </c>
      <c r="Z140" s="1">
        <f t="shared" si="33"/>
        <v>0</v>
      </c>
      <c r="AA140" s="1">
        <f t="shared" si="33"/>
        <v>0</v>
      </c>
      <c r="AC140" s="15" t="s">
        <v>51</v>
      </c>
      <c r="AD140" s="2"/>
      <c r="AE140" s="2"/>
      <c r="AH140" s="1" t="str">
        <f t="shared" ref="AH140:AW155" si="34">IF(F185&gt;0,F50/F185,"")</f>
        <v/>
      </c>
      <c r="AI140" s="1" t="str">
        <f t="shared" si="34"/>
        <v/>
      </c>
      <c r="AJ140" s="1" t="str">
        <f t="shared" si="34"/>
        <v/>
      </c>
      <c r="AK140" s="1" t="str">
        <f t="shared" si="34"/>
        <v/>
      </c>
      <c r="AL140" s="1" t="str">
        <f t="shared" si="34"/>
        <v/>
      </c>
      <c r="AM140" s="1" t="str">
        <f t="shared" si="34"/>
        <v/>
      </c>
      <c r="AN140" s="52" t="str">
        <f t="shared" si="34"/>
        <v/>
      </c>
      <c r="AO140" s="1" t="str">
        <f t="shared" si="34"/>
        <v/>
      </c>
      <c r="AP140" s="1" t="str">
        <f t="shared" si="34"/>
        <v/>
      </c>
      <c r="AQ140" s="1" t="str">
        <f t="shared" si="34"/>
        <v/>
      </c>
      <c r="AR140" s="1" t="str">
        <f t="shared" si="34"/>
        <v/>
      </c>
      <c r="AS140" s="1" t="str">
        <f t="shared" si="34"/>
        <v/>
      </c>
      <c r="AT140" s="1" t="str">
        <f t="shared" si="34"/>
        <v/>
      </c>
      <c r="AU140" s="1" t="str">
        <f t="shared" si="34"/>
        <v/>
      </c>
      <c r="AV140" s="1" t="str">
        <f t="shared" si="34"/>
        <v/>
      </c>
      <c r="AW140" s="1" t="str">
        <f t="shared" si="34"/>
        <v/>
      </c>
      <c r="AX140" s="1" t="str">
        <f t="shared" ref="AX140:BC155" si="35">IF(V185&gt;0,V50/V185,"")</f>
        <v/>
      </c>
      <c r="AY140" s="1" t="str">
        <f t="shared" si="35"/>
        <v/>
      </c>
      <c r="AZ140" s="1" t="str">
        <f t="shared" si="35"/>
        <v/>
      </c>
      <c r="BA140" s="1" t="str">
        <f t="shared" si="35"/>
        <v/>
      </c>
      <c r="BB140" s="1" t="str">
        <f t="shared" si="35"/>
        <v/>
      </c>
      <c r="BC140" s="1" t="str">
        <f t="shared" si="35"/>
        <v/>
      </c>
    </row>
    <row r="141" spans="1:55" x14ac:dyDescent="0.25">
      <c r="A141" s="30" t="s">
        <v>60</v>
      </c>
      <c r="B141" s="2"/>
      <c r="C141" s="2"/>
      <c r="F141" s="1">
        <f t="shared" si="33"/>
        <v>52.121212121212125</v>
      </c>
      <c r="G141" s="1">
        <f t="shared" si="33"/>
        <v>27.272727272727273</v>
      </c>
      <c r="H141" s="1">
        <f t="shared" si="33"/>
        <v>6.2222222222222223</v>
      </c>
      <c r="I141" s="1">
        <f t="shared" si="33"/>
        <v>29</v>
      </c>
      <c r="J141" s="1">
        <f t="shared" si="33"/>
        <v>54.698693119676825</v>
      </c>
      <c r="K141" s="1">
        <f t="shared" si="33"/>
        <v>3.6248742958223668</v>
      </c>
      <c r="L141" s="52">
        <f t="shared" si="33"/>
        <v>750</v>
      </c>
      <c r="M141" s="1">
        <f t="shared" si="33"/>
        <v>317.19745222929942</v>
      </c>
      <c r="N141" s="1">
        <f t="shared" si="33"/>
        <v>1062.5</v>
      </c>
      <c r="O141" s="1">
        <f t="shared" si="33"/>
        <v>12000</v>
      </c>
      <c r="P141" s="1">
        <f t="shared" si="33"/>
        <v>56250.000000000007</v>
      </c>
      <c r="Q141" s="1">
        <f t="shared" si="33"/>
        <v>939.99999999999989</v>
      </c>
      <c r="R141" s="1">
        <f t="shared" si="33"/>
        <v>426.00000000000006</v>
      </c>
      <c r="S141" s="1">
        <f t="shared" si="33"/>
        <v>99.999999999999986</v>
      </c>
      <c r="T141" s="1">
        <f t="shared" si="33"/>
        <v>425.11097713676202</v>
      </c>
      <c r="U141" s="1">
        <f t="shared" si="33"/>
        <v>426</v>
      </c>
      <c r="V141" s="1">
        <f t="shared" si="33"/>
        <v>500.43123278302329</v>
      </c>
      <c r="W141" s="1">
        <f t="shared" si="33"/>
        <v>425.99999999999994</v>
      </c>
      <c r="X141" s="54">
        <f t="shared" si="33"/>
        <v>416.244405344109</v>
      </c>
      <c r="Y141" s="58">
        <f t="shared" si="33"/>
        <v>12.264458104620896</v>
      </c>
      <c r="Z141" s="1">
        <f t="shared" si="33"/>
        <v>665.60827191918304</v>
      </c>
      <c r="AA141" s="1">
        <f t="shared" si="33"/>
        <v>132.8768509156115</v>
      </c>
      <c r="AC141" s="30" t="s">
        <v>60</v>
      </c>
      <c r="AD141" s="2"/>
      <c r="AE141" s="2"/>
      <c r="AH141" s="1">
        <f t="shared" si="34"/>
        <v>9.0632254545454565</v>
      </c>
      <c r="AI141" s="1">
        <f t="shared" si="34"/>
        <v>8.4605690266551861</v>
      </c>
      <c r="AJ141" s="1">
        <f t="shared" si="34"/>
        <v>1.8333333333333333</v>
      </c>
      <c r="AK141" s="1">
        <f t="shared" si="34"/>
        <v>7.6544217687074827</v>
      </c>
      <c r="AL141" s="1">
        <f t="shared" si="34"/>
        <v>12.937524820343771</v>
      </c>
      <c r="AM141" s="1">
        <f t="shared" si="34"/>
        <v>2.5005100225748333</v>
      </c>
      <c r="AN141" s="52">
        <f t="shared" si="34"/>
        <v>56.25</v>
      </c>
      <c r="AO141" s="1">
        <f t="shared" si="34"/>
        <v>53.503184713375802</v>
      </c>
      <c r="AP141" s="1">
        <f t="shared" si="34"/>
        <v>328.125</v>
      </c>
      <c r="AQ141" s="1">
        <f t="shared" si="34"/>
        <v>3333.333333333333</v>
      </c>
      <c r="AR141" s="1">
        <f t="shared" si="34"/>
        <v>9250</v>
      </c>
      <c r="AS141" s="1">
        <f t="shared" si="34"/>
        <v>125.94174757281552</v>
      </c>
      <c r="AT141" s="1">
        <f t="shared" si="34"/>
        <v>83.868750000000006</v>
      </c>
      <c r="AU141" s="1">
        <f t="shared" si="34"/>
        <v>24.489795918367346</v>
      </c>
      <c r="AV141" s="1">
        <f t="shared" si="34"/>
        <v>86.904036472732841</v>
      </c>
      <c r="AW141" s="1">
        <f t="shared" si="34"/>
        <v>119.10903010033445</v>
      </c>
      <c r="AX141" s="1">
        <f t="shared" si="35"/>
        <v>138.99042118661777</v>
      </c>
      <c r="AY141" s="1">
        <f t="shared" si="35"/>
        <v>82.969633507853388</v>
      </c>
      <c r="AZ141" s="1">
        <f t="shared" si="35"/>
        <v>113.41626915897854</v>
      </c>
      <c r="BA141" s="1">
        <f t="shared" si="35"/>
        <v>3.4793854588349595</v>
      </c>
      <c r="BB141" s="1">
        <f t="shared" si="35"/>
        <v>126.29348712139367</v>
      </c>
      <c r="BC141" s="1">
        <f t="shared" si="35"/>
        <v>17.282803001799127</v>
      </c>
    </row>
    <row r="142" spans="1:55" x14ac:dyDescent="0.25">
      <c r="A142" s="15" t="s">
        <v>51</v>
      </c>
      <c r="B142" s="16" t="s">
        <v>52</v>
      </c>
      <c r="C142" s="2"/>
      <c r="F142" s="1">
        <f t="shared" si="33"/>
        <v>0</v>
      </c>
      <c r="G142" s="1">
        <f t="shared" si="33"/>
        <v>0</v>
      </c>
      <c r="H142" s="1">
        <f t="shared" si="33"/>
        <v>0</v>
      </c>
      <c r="I142" s="1">
        <f t="shared" si="33"/>
        <v>0</v>
      </c>
      <c r="J142" s="1">
        <f t="shared" si="33"/>
        <v>0</v>
      </c>
      <c r="K142" s="1">
        <f t="shared" si="33"/>
        <v>0</v>
      </c>
      <c r="L142" s="52">
        <f t="shared" si="33"/>
        <v>0</v>
      </c>
      <c r="M142" s="1">
        <f t="shared" si="33"/>
        <v>0</v>
      </c>
      <c r="N142" s="1">
        <f t="shared" si="33"/>
        <v>0</v>
      </c>
      <c r="O142" s="1">
        <f t="shared" si="33"/>
        <v>0</v>
      </c>
      <c r="P142" s="1">
        <f t="shared" si="33"/>
        <v>0</v>
      </c>
      <c r="Q142" s="1">
        <f t="shared" si="33"/>
        <v>0</v>
      </c>
      <c r="R142" s="1">
        <f t="shared" si="33"/>
        <v>0</v>
      </c>
      <c r="S142" s="1">
        <f t="shared" si="33"/>
        <v>0</v>
      </c>
      <c r="T142" s="1">
        <f t="shared" si="33"/>
        <v>0</v>
      </c>
      <c r="U142" s="1">
        <f t="shared" si="33"/>
        <v>0</v>
      </c>
      <c r="V142" s="1">
        <f t="shared" si="33"/>
        <v>0</v>
      </c>
      <c r="W142" s="1">
        <f t="shared" si="33"/>
        <v>0</v>
      </c>
      <c r="X142" s="54">
        <f t="shared" si="33"/>
        <v>0</v>
      </c>
      <c r="Y142" s="58">
        <f t="shared" si="33"/>
        <v>0</v>
      </c>
      <c r="Z142" s="1">
        <f t="shared" si="33"/>
        <v>0</v>
      </c>
      <c r="AA142" s="1">
        <f t="shared" si="33"/>
        <v>0</v>
      </c>
      <c r="AC142" s="15" t="s">
        <v>51</v>
      </c>
      <c r="AD142" s="16" t="s">
        <v>52</v>
      </c>
      <c r="AE142" s="2"/>
      <c r="AH142" s="1" t="str">
        <f t="shared" si="34"/>
        <v/>
      </c>
      <c r="AI142" s="1" t="str">
        <f t="shared" si="34"/>
        <v/>
      </c>
      <c r="AJ142" s="1" t="str">
        <f t="shared" si="34"/>
        <v/>
      </c>
      <c r="AK142" s="1" t="str">
        <f t="shared" si="34"/>
        <v/>
      </c>
      <c r="AL142" s="1" t="str">
        <f t="shared" si="34"/>
        <v/>
      </c>
      <c r="AM142" s="1" t="str">
        <f t="shared" si="34"/>
        <v/>
      </c>
      <c r="AN142" s="52" t="str">
        <f t="shared" si="34"/>
        <v/>
      </c>
      <c r="AO142" s="1" t="str">
        <f t="shared" si="34"/>
        <v/>
      </c>
      <c r="AP142" s="1" t="str">
        <f t="shared" si="34"/>
        <v/>
      </c>
      <c r="AQ142" s="1" t="str">
        <f t="shared" si="34"/>
        <v/>
      </c>
      <c r="AR142" s="1" t="str">
        <f t="shared" si="34"/>
        <v/>
      </c>
      <c r="AS142" s="1" t="str">
        <f t="shared" si="34"/>
        <v/>
      </c>
      <c r="AT142" s="1" t="str">
        <f t="shared" si="34"/>
        <v/>
      </c>
      <c r="AU142" s="1" t="str">
        <f t="shared" si="34"/>
        <v/>
      </c>
      <c r="AV142" s="1" t="str">
        <f t="shared" si="34"/>
        <v/>
      </c>
      <c r="AW142" s="1" t="str">
        <f t="shared" si="34"/>
        <v/>
      </c>
      <c r="AX142" s="1" t="str">
        <f t="shared" si="35"/>
        <v/>
      </c>
      <c r="AY142" s="1" t="str">
        <f t="shared" si="35"/>
        <v/>
      </c>
      <c r="AZ142" s="1" t="str">
        <f t="shared" si="35"/>
        <v/>
      </c>
      <c r="BA142" s="1" t="str">
        <f t="shared" si="35"/>
        <v/>
      </c>
      <c r="BB142" s="1" t="str">
        <f t="shared" si="35"/>
        <v/>
      </c>
      <c r="BC142" s="1" t="str">
        <f t="shared" si="35"/>
        <v/>
      </c>
    </row>
    <row r="143" spans="1:55" x14ac:dyDescent="0.25">
      <c r="A143" s="15" t="s">
        <v>51</v>
      </c>
      <c r="B143" s="16" t="s">
        <v>56</v>
      </c>
      <c r="C143" s="2"/>
      <c r="F143" s="1">
        <f t="shared" si="33"/>
        <v>0</v>
      </c>
      <c r="G143" s="1">
        <f t="shared" si="33"/>
        <v>0</v>
      </c>
      <c r="H143" s="1">
        <f t="shared" si="33"/>
        <v>0</v>
      </c>
      <c r="I143" s="1">
        <f t="shared" si="33"/>
        <v>0</v>
      </c>
      <c r="J143" s="1">
        <f t="shared" si="33"/>
        <v>0</v>
      </c>
      <c r="K143" s="1">
        <f t="shared" si="33"/>
        <v>0</v>
      </c>
      <c r="L143" s="52">
        <f t="shared" si="33"/>
        <v>0</v>
      </c>
      <c r="M143" s="1">
        <f t="shared" si="33"/>
        <v>0</v>
      </c>
      <c r="N143" s="1">
        <f t="shared" si="33"/>
        <v>0</v>
      </c>
      <c r="O143" s="1">
        <f t="shared" si="33"/>
        <v>0</v>
      </c>
      <c r="P143" s="1">
        <f t="shared" si="33"/>
        <v>0</v>
      </c>
      <c r="Q143" s="1">
        <f t="shared" si="33"/>
        <v>0</v>
      </c>
      <c r="R143" s="1">
        <f t="shared" si="33"/>
        <v>0</v>
      </c>
      <c r="S143" s="1">
        <f t="shared" si="33"/>
        <v>0</v>
      </c>
      <c r="T143" s="1">
        <f t="shared" si="33"/>
        <v>0</v>
      </c>
      <c r="U143" s="1">
        <f t="shared" si="33"/>
        <v>0</v>
      </c>
      <c r="V143" s="1">
        <f t="shared" si="33"/>
        <v>0</v>
      </c>
      <c r="W143" s="1">
        <f t="shared" si="33"/>
        <v>0</v>
      </c>
      <c r="X143" s="54">
        <f t="shared" si="33"/>
        <v>0</v>
      </c>
      <c r="Y143" s="58">
        <f t="shared" si="33"/>
        <v>0</v>
      </c>
      <c r="Z143" s="1">
        <f t="shared" si="33"/>
        <v>0</v>
      </c>
      <c r="AA143" s="1">
        <f t="shared" si="33"/>
        <v>0</v>
      </c>
      <c r="AC143" s="15" t="s">
        <v>51</v>
      </c>
      <c r="AD143" s="16" t="s">
        <v>56</v>
      </c>
      <c r="AE143" s="2"/>
      <c r="AH143" s="1" t="str">
        <f t="shared" si="34"/>
        <v/>
      </c>
      <c r="AI143" s="1" t="str">
        <f t="shared" si="34"/>
        <v/>
      </c>
      <c r="AJ143" s="1" t="str">
        <f t="shared" si="34"/>
        <v/>
      </c>
      <c r="AK143" s="1" t="str">
        <f t="shared" si="34"/>
        <v/>
      </c>
      <c r="AL143" s="1" t="str">
        <f t="shared" si="34"/>
        <v/>
      </c>
      <c r="AM143" s="1" t="str">
        <f t="shared" si="34"/>
        <v/>
      </c>
      <c r="AN143" s="52" t="str">
        <f t="shared" si="34"/>
        <v/>
      </c>
      <c r="AO143" s="1" t="str">
        <f t="shared" si="34"/>
        <v/>
      </c>
      <c r="AP143" s="1" t="str">
        <f t="shared" si="34"/>
        <v/>
      </c>
      <c r="AQ143" s="1" t="str">
        <f t="shared" si="34"/>
        <v/>
      </c>
      <c r="AR143" s="1" t="str">
        <f t="shared" si="34"/>
        <v/>
      </c>
      <c r="AS143" s="1" t="str">
        <f t="shared" si="34"/>
        <v/>
      </c>
      <c r="AT143" s="1" t="str">
        <f t="shared" si="34"/>
        <v/>
      </c>
      <c r="AU143" s="1" t="str">
        <f t="shared" si="34"/>
        <v/>
      </c>
      <c r="AV143" s="1" t="str">
        <f t="shared" si="34"/>
        <v/>
      </c>
      <c r="AW143" s="1" t="str">
        <f t="shared" si="34"/>
        <v/>
      </c>
      <c r="AX143" s="1" t="str">
        <f t="shared" si="35"/>
        <v/>
      </c>
      <c r="AY143" s="1" t="str">
        <f t="shared" si="35"/>
        <v/>
      </c>
      <c r="AZ143" s="1" t="str">
        <f t="shared" si="35"/>
        <v/>
      </c>
      <c r="BA143" s="1" t="str">
        <f t="shared" si="35"/>
        <v/>
      </c>
      <c r="BB143" s="1" t="str">
        <f t="shared" si="35"/>
        <v/>
      </c>
      <c r="BC143" s="1" t="str">
        <f t="shared" si="35"/>
        <v/>
      </c>
    </row>
    <row r="144" spans="1:55" x14ac:dyDescent="0.25">
      <c r="A144" s="15" t="s">
        <v>51</v>
      </c>
      <c r="B144" s="16" t="s">
        <v>9</v>
      </c>
      <c r="C144" s="2"/>
      <c r="F144" s="1">
        <f t="shared" si="33"/>
        <v>0</v>
      </c>
      <c r="G144" s="1">
        <f t="shared" si="33"/>
        <v>0</v>
      </c>
      <c r="H144" s="1">
        <f t="shared" si="33"/>
        <v>0</v>
      </c>
      <c r="I144" s="1">
        <f t="shared" si="33"/>
        <v>0</v>
      </c>
      <c r="J144" s="1">
        <f t="shared" si="33"/>
        <v>0</v>
      </c>
      <c r="K144" s="1">
        <f t="shared" si="33"/>
        <v>0</v>
      </c>
      <c r="L144" s="52">
        <f t="shared" si="33"/>
        <v>0</v>
      </c>
      <c r="M144" s="1">
        <f t="shared" si="33"/>
        <v>0</v>
      </c>
      <c r="N144" s="1">
        <f t="shared" si="33"/>
        <v>0</v>
      </c>
      <c r="O144" s="1">
        <f t="shared" si="33"/>
        <v>0</v>
      </c>
      <c r="P144" s="1">
        <f t="shared" si="33"/>
        <v>0</v>
      </c>
      <c r="Q144" s="1">
        <f t="shared" si="33"/>
        <v>0</v>
      </c>
      <c r="R144" s="1">
        <f t="shared" si="33"/>
        <v>0</v>
      </c>
      <c r="S144" s="1">
        <f t="shared" si="33"/>
        <v>0</v>
      </c>
      <c r="T144" s="1">
        <f t="shared" si="33"/>
        <v>0</v>
      </c>
      <c r="U144" s="1">
        <f t="shared" si="33"/>
        <v>0</v>
      </c>
      <c r="V144" s="1">
        <f t="shared" si="33"/>
        <v>0</v>
      </c>
      <c r="W144" s="1">
        <f t="shared" si="33"/>
        <v>0</v>
      </c>
      <c r="X144" s="54">
        <f t="shared" si="33"/>
        <v>0</v>
      </c>
      <c r="Y144" s="58">
        <f t="shared" si="33"/>
        <v>0</v>
      </c>
      <c r="Z144" s="1">
        <f t="shared" si="33"/>
        <v>0</v>
      </c>
      <c r="AA144" s="1">
        <f t="shared" si="33"/>
        <v>0</v>
      </c>
      <c r="AC144" s="15" t="s">
        <v>51</v>
      </c>
      <c r="AD144" s="16" t="s">
        <v>9</v>
      </c>
      <c r="AE144" s="2"/>
      <c r="AH144" s="1" t="str">
        <f t="shared" si="34"/>
        <v/>
      </c>
      <c r="AI144" s="1" t="str">
        <f t="shared" si="34"/>
        <v/>
      </c>
      <c r="AJ144" s="1" t="str">
        <f t="shared" si="34"/>
        <v/>
      </c>
      <c r="AK144" s="1" t="str">
        <f t="shared" si="34"/>
        <v/>
      </c>
      <c r="AL144" s="1" t="str">
        <f t="shared" si="34"/>
        <v/>
      </c>
      <c r="AM144" s="1" t="str">
        <f t="shared" si="34"/>
        <v/>
      </c>
      <c r="AN144" s="52" t="str">
        <f t="shared" si="34"/>
        <v/>
      </c>
      <c r="AO144" s="1" t="str">
        <f t="shared" si="34"/>
        <v/>
      </c>
      <c r="AP144" s="1" t="str">
        <f t="shared" si="34"/>
        <v/>
      </c>
      <c r="AQ144" s="1" t="str">
        <f t="shared" si="34"/>
        <v/>
      </c>
      <c r="AR144" s="1" t="str">
        <f t="shared" si="34"/>
        <v/>
      </c>
      <c r="AS144" s="1" t="str">
        <f t="shared" si="34"/>
        <v/>
      </c>
      <c r="AT144" s="1" t="str">
        <f t="shared" si="34"/>
        <v/>
      </c>
      <c r="AU144" s="1" t="str">
        <f t="shared" si="34"/>
        <v/>
      </c>
      <c r="AV144" s="1" t="str">
        <f t="shared" si="34"/>
        <v/>
      </c>
      <c r="AW144" s="1" t="str">
        <f t="shared" si="34"/>
        <v/>
      </c>
      <c r="AX144" s="1" t="str">
        <f t="shared" si="35"/>
        <v/>
      </c>
      <c r="AY144" s="1" t="str">
        <f t="shared" si="35"/>
        <v/>
      </c>
      <c r="AZ144" s="1" t="str">
        <f t="shared" si="35"/>
        <v/>
      </c>
      <c r="BA144" s="1" t="str">
        <f t="shared" si="35"/>
        <v/>
      </c>
      <c r="BB144" s="1" t="str">
        <f t="shared" si="35"/>
        <v/>
      </c>
      <c r="BC144" s="1" t="str">
        <f t="shared" si="35"/>
        <v/>
      </c>
    </row>
    <row r="145" spans="1:55" x14ac:dyDescent="0.25">
      <c r="A145" s="30" t="s">
        <v>60</v>
      </c>
      <c r="B145" s="32" t="s">
        <v>13</v>
      </c>
      <c r="C145" s="2"/>
      <c r="F145" s="51">
        <f t="shared" si="33"/>
        <v>52.121212121212125</v>
      </c>
      <c r="G145" s="51">
        <f t="shared" si="33"/>
        <v>27.272727272727273</v>
      </c>
      <c r="H145" s="51">
        <f t="shared" si="33"/>
        <v>6.2222222222222223</v>
      </c>
      <c r="I145" s="51">
        <f t="shared" si="33"/>
        <v>29</v>
      </c>
      <c r="J145" s="51">
        <f t="shared" si="33"/>
        <v>66.666666666666671</v>
      </c>
      <c r="K145" s="51">
        <f t="shared" si="33"/>
        <v>29.000000000000004</v>
      </c>
      <c r="L145" s="52">
        <f t="shared" si="33"/>
        <v>0</v>
      </c>
      <c r="M145" s="51">
        <f t="shared" si="33"/>
        <v>400</v>
      </c>
      <c r="N145" s="51">
        <f t="shared" si="33"/>
        <v>999.99999999999989</v>
      </c>
      <c r="O145" s="51">
        <f t="shared" si="33"/>
        <v>12000</v>
      </c>
      <c r="P145" s="51">
        <f t="shared" si="33"/>
        <v>56250.000000000007</v>
      </c>
      <c r="Q145" s="51">
        <f t="shared" si="33"/>
        <v>939.99999999999989</v>
      </c>
      <c r="R145" s="51">
        <f t="shared" si="33"/>
        <v>426</v>
      </c>
      <c r="S145" s="51">
        <f t="shared" si="33"/>
        <v>0</v>
      </c>
      <c r="T145" s="51">
        <f t="shared" si="33"/>
        <v>426.00000000000006</v>
      </c>
      <c r="U145" s="51">
        <f t="shared" si="33"/>
        <v>426.00000000000006</v>
      </c>
      <c r="V145" s="51">
        <f t="shared" si="33"/>
        <v>426</v>
      </c>
      <c r="W145" s="51">
        <f t="shared" si="33"/>
        <v>426</v>
      </c>
      <c r="X145" s="55">
        <f t="shared" si="33"/>
        <v>426</v>
      </c>
      <c r="Y145" s="59">
        <f t="shared" si="33"/>
        <v>13.403069176357752</v>
      </c>
      <c r="Z145" s="51">
        <f t="shared" si="33"/>
        <v>1636.10764159976</v>
      </c>
      <c r="AA145" s="51">
        <f t="shared" si="33"/>
        <v>43.318298362117112</v>
      </c>
      <c r="AC145" s="30" t="s">
        <v>60</v>
      </c>
      <c r="AD145" s="32" t="s">
        <v>13</v>
      </c>
      <c r="AE145" s="2"/>
      <c r="AH145" s="1">
        <f t="shared" si="34"/>
        <v>9.0632254545454565</v>
      </c>
      <c r="AI145" s="1">
        <f t="shared" si="34"/>
        <v>8.4605690266551861</v>
      </c>
      <c r="AJ145" s="1">
        <f t="shared" si="34"/>
        <v>1.8333333333333333</v>
      </c>
      <c r="AK145" s="1">
        <f t="shared" si="34"/>
        <v>7.6544217687074827</v>
      </c>
      <c r="AL145" s="1">
        <f t="shared" si="34"/>
        <v>28.571428571428573</v>
      </c>
      <c r="AM145" s="1">
        <f t="shared" si="34"/>
        <v>8.3375000000000004</v>
      </c>
      <c r="AN145" s="52" t="str">
        <f t="shared" si="34"/>
        <v/>
      </c>
      <c r="AO145" s="1">
        <f t="shared" si="34"/>
        <v>195.55555555555554</v>
      </c>
      <c r="AP145" s="1">
        <f t="shared" si="34"/>
        <v>295.45454545454544</v>
      </c>
      <c r="AQ145" s="1">
        <f t="shared" si="34"/>
        <v>3333.333333333333</v>
      </c>
      <c r="AR145" s="1">
        <f t="shared" si="34"/>
        <v>9250</v>
      </c>
      <c r="AS145" s="1">
        <f t="shared" si="34"/>
        <v>281.99999999999994</v>
      </c>
      <c r="AT145" s="1">
        <f t="shared" si="34"/>
        <v>149.09999999999997</v>
      </c>
      <c r="AU145" s="1" t="str">
        <f t="shared" si="34"/>
        <v/>
      </c>
      <c r="AV145" s="1">
        <f t="shared" si="34"/>
        <v>170.4</v>
      </c>
      <c r="AW145" s="1">
        <f t="shared" si="34"/>
        <v>170.4</v>
      </c>
      <c r="AX145" s="1">
        <f t="shared" si="35"/>
        <v>511.2</v>
      </c>
      <c r="AY145" s="1">
        <f t="shared" si="35"/>
        <v>340.8</v>
      </c>
      <c r="AZ145" s="1">
        <f t="shared" si="35"/>
        <v>170.4</v>
      </c>
      <c r="BA145" s="1">
        <f t="shared" si="35"/>
        <v>3.6495227879232872</v>
      </c>
      <c r="BB145" s="1">
        <f t="shared" si="35"/>
        <v>398.69535329755433</v>
      </c>
      <c r="BC145" s="1">
        <f t="shared" si="35"/>
        <v>10.932355879916752</v>
      </c>
    </row>
    <row r="146" spans="1:55" x14ac:dyDescent="0.25">
      <c r="A146" s="30" t="s">
        <v>60</v>
      </c>
      <c r="B146" s="31" t="s">
        <v>23</v>
      </c>
      <c r="C146" s="2"/>
      <c r="F146" s="51">
        <f t="shared" si="33"/>
        <v>0</v>
      </c>
      <c r="G146" s="51">
        <f t="shared" si="33"/>
        <v>0</v>
      </c>
      <c r="H146" s="51">
        <f t="shared" si="33"/>
        <v>0</v>
      </c>
      <c r="I146" s="51">
        <f t="shared" si="33"/>
        <v>0</v>
      </c>
      <c r="J146" s="51">
        <f t="shared" si="33"/>
        <v>40.074300119410907</v>
      </c>
      <c r="K146" s="51">
        <f t="shared" si="33"/>
        <v>2.7317305154979983</v>
      </c>
      <c r="L146" s="52">
        <f t="shared" si="33"/>
        <v>0</v>
      </c>
      <c r="M146" s="51">
        <f t="shared" si="33"/>
        <v>0</v>
      </c>
      <c r="N146" s="51">
        <f t="shared" si="33"/>
        <v>1200</v>
      </c>
      <c r="O146" s="51">
        <f t="shared" si="33"/>
        <v>0</v>
      </c>
      <c r="P146" s="51">
        <f t="shared" si="33"/>
        <v>0</v>
      </c>
      <c r="Q146" s="51">
        <f t="shared" si="33"/>
        <v>0</v>
      </c>
      <c r="R146" s="51">
        <f t="shared" si="33"/>
        <v>0</v>
      </c>
      <c r="S146" s="51">
        <f t="shared" si="33"/>
        <v>99.999999999999986</v>
      </c>
      <c r="T146" s="51">
        <f t="shared" si="33"/>
        <v>406</v>
      </c>
      <c r="U146" s="51">
        <f t="shared" si="33"/>
        <v>0</v>
      </c>
      <c r="V146" s="51">
        <f t="shared" si="33"/>
        <v>406</v>
      </c>
      <c r="W146" s="51">
        <f t="shared" si="33"/>
        <v>0</v>
      </c>
      <c r="X146" s="55">
        <f t="shared" si="33"/>
        <v>100</v>
      </c>
      <c r="Y146" s="59">
        <f t="shared" si="33"/>
        <v>4.6255895063210497</v>
      </c>
      <c r="Z146" s="51">
        <f t="shared" si="33"/>
        <v>364.44244533969572</v>
      </c>
      <c r="AA146" s="51">
        <f t="shared" si="33"/>
        <v>7.3492485782960468</v>
      </c>
      <c r="AC146" s="30" t="s">
        <v>60</v>
      </c>
      <c r="AD146" s="31" t="s">
        <v>23</v>
      </c>
      <c r="AE146" s="2"/>
      <c r="AH146" s="1" t="str">
        <f t="shared" si="34"/>
        <v/>
      </c>
      <c r="AI146" s="1" t="str">
        <f t="shared" si="34"/>
        <v/>
      </c>
      <c r="AJ146" s="1" t="str">
        <f t="shared" si="34"/>
        <v/>
      </c>
      <c r="AK146" s="1" t="str">
        <f t="shared" si="34"/>
        <v/>
      </c>
      <c r="AL146" s="1">
        <f t="shared" si="34"/>
        <v>9.7735438503383314</v>
      </c>
      <c r="AM146" s="1">
        <f t="shared" si="34"/>
        <v>2.2950619252952729</v>
      </c>
      <c r="AN146" s="52" t="str">
        <f t="shared" si="34"/>
        <v/>
      </c>
      <c r="AO146" s="1" t="str">
        <f t="shared" si="34"/>
        <v/>
      </c>
      <c r="AP146" s="1">
        <f t="shared" si="34"/>
        <v>400</v>
      </c>
      <c r="AQ146" s="1" t="str">
        <f t="shared" si="34"/>
        <v/>
      </c>
      <c r="AR146" s="1" t="str">
        <f t="shared" si="34"/>
        <v/>
      </c>
      <c r="AS146" s="1" t="str">
        <f t="shared" si="34"/>
        <v/>
      </c>
      <c r="AT146" s="1" t="str">
        <f t="shared" si="34"/>
        <v/>
      </c>
      <c r="AU146" s="1">
        <f t="shared" si="34"/>
        <v>24.489795918367346</v>
      </c>
      <c r="AV146" s="1">
        <f t="shared" si="34"/>
        <v>162.4</v>
      </c>
      <c r="AW146" s="1" t="str">
        <f t="shared" si="34"/>
        <v/>
      </c>
      <c r="AX146" s="1">
        <f t="shared" si="35"/>
        <v>365.4</v>
      </c>
      <c r="AY146" s="1" t="str">
        <f t="shared" si="35"/>
        <v/>
      </c>
      <c r="AZ146" s="1">
        <f t="shared" si="35"/>
        <v>90</v>
      </c>
      <c r="BA146" s="1">
        <f t="shared" si="35"/>
        <v>2.674339258957025</v>
      </c>
      <c r="BB146" s="1">
        <f t="shared" si="35"/>
        <v>142.91860601556695</v>
      </c>
      <c r="BC146" s="1">
        <f t="shared" si="35"/>
        <v>3.7359281291043693</v>
      </c>
    </row>
    <row r="147" spans="1:55" x14ac:dyDescent="0.25">
      <c r="A147" s="30" t="s">
        <v>60</v>
      </c>
      <c r="B147" s="31" t="s">
        <v>65</v>
      </c>
      <c r="C147" s="46"/>
      <c r="F147" s="51">
        <f t="shared" si="33"/>
        <v>0</v>
      </c>
      <c r="G147" s="51">
        <f t="shared" si="33"/>
        <v>0</v>
      </c>
      <c r="H147" s="51">
        <f t="shared" si="33"/>
        <v>0</v>
      </c>
      <c r="I147" s="51">
        <f t="shared" si="33"/>
        <v>0</v>
      </c>
      <c r="J147" s="51">
        <f t="shared" si="33"/>
        <v>55.999999999999993</v>
      </c>
      <c r="K147" s="51">
        <f t="shared" si="33"/>
        <v>0</v>
      </c>
      <c r="L147" s="52">
        <f t="shared" si="33"/>
        <v>750</v>
      </c>
      <c r="M147" s="51">
        <f t="shared" si="33"/>
        <v>300</v>
      </c>
      <c r="N147" s="51">
        <f t="shared" si="33"/>
        <v>0</v>
      </c>
      <c r="O147" s="51">
        <f t="shared" si="33"/>
        <v>0</v>
      </c>
      <c r="P147" s="51">
        <f t="shared" si="33"/>
        <v>0</v>
      </c>
      <c r="Q147" s="51">
        <f t="shared" si="33"/>
        <v>939.99999999999989</v>
      </c>
      <c r="R147" s="51">
        <f t="shared" si="33"/>
        <v>426</v>
      </c>
      <c r="S147" s="51">
        <f t="shared" si="33"/>
        <v>0</v>
      </c>
      <c r="T147" s="51">
        <f t="shared" si="33"/>
        <v>426</v>
      </c>
      <c r="U147" s="51">
        <f t="shared" si="33"/>
        <v>425.99999999999994</v>
      </c>
      <c r="V147" s="51">
        <f t="shared" si="33"/>
        <v>426</v>
      </c>
      <c r="W147" s="51">
        <f t="shared" si="33"/>
        <v>426</v>
      </c>
      <c r="X147" s="55">
        <f t="shared" si="33"/>
        <v>426</v>
      </c>
      <c r="Y147" s="59">
        <f t="shared" si="33"/>
        <v>55.999999999999993</v>
      </c>
      <c r="Z147" s="51">
        <f t="shared" si="33"/>
        <v>476.18251923135057</v>
      </c>
      <c r="AA147" s="51">
        <f>IF(AA192&gt;0,AB12/AA192,0)</f>
        <v>519.21863031546093</v>
      </c>
      <c r="AC147" s="30" t="s">
        <v>60</v>
      </c>
      <c r="AD147" s="31" t="s">
        <v>65</v>
      </c>
      <c r="AE147" s="46"/>
      <c r="AH147" s="1" t="str">
        <f t="shared" si="34"/>
        <v/>
      </c>
      <c r="AI147" s="1" t="str">
        <f t="shared" si="34"/>
        <v/>
      </c>
      <c r="AJ147" s="1" t="str">
        <f t="shared" si="34"/>
        <v/>
      </c>
      <c r="AK147" s="1" t="str">
        <f t="shared" si="34"/>
        <v/>
      </c>
      <c r="AL147" s="1">
        <f t="shared" si="34"/>
        <v>6.7199999999999989</v>
      </c>
      <c r="AM147" s="1" t="str">
        <f t="shared" si="34"/>
        <v/>
      </c>
      <c r="AN147" s="52">
        <f t="shared" si="34"/>
        <v>56.25</v>
      </c>
      <c r="AO147" s="1">
        <f t="shared" si="34"/>
        <v>24</v>
      </c>
      <c r="AP147" s="1" t="str">
        <f t="shared" si="34"/>
        <v/>
      </c>
      <c r="AQ147" s="1" t="str">
        <f t="shared" si="34"/>
        <v/>
      </c>
      <c r="AR147" s="1" t="str">
        <f t="shared" si="34"/>
        <v/>
      </c>
      <c r="AS147" s="1">
        <f t="shared" si="34"/>
        <v>112.79999999999998</v>
      </c>
      <c r="AT147" s="1">
        <f t="shared" si="34"/>
        <v>76.680000000000007</v>
      </c>
      <c r="AU147" s="1" t="str">
        <f t="shared" si="34"/>
        <v/>
      </c>
      <c r="AV147" s="1">
        <f t="shared" si="34"/>
        <v>76.679999999999993</v>
      </c>
      <c r="AW147" s="1">
        <f t="shared" si="34"/>
        <v>93.72</v>
      </c>
      <c r="AX147" s="1">
        <f t="shared" si="35"/>
        <v>51.11999999999999</v>
      </c>
      <c r="AY147" s="1">
        <f t="shared" si="35"/>
        <v>51.11999999999999</v>
      </c>
      <c r="AZ147" s="1">
        <f t="shared" si="35"/>
        <v>51.12</v>
      </c>
      <c r="BA147" s="1">
        <f t="shared" si="35"/>
        <v>6.7199999999999989</v>
      </c>
      <c r="BB147" s="1">
        <f t="shared" si="35"/>
        <v>64.578177265621505</v>
      </c>
      <c r="BC147" s="1">
        <f t="shared" si="35"/>
        <v>52.349203468019724</v>
      </c>
    </row>
    <row r="148" spans="1:55" ht="15.75" thickBot="1" x14ac:dyDescent="0.3">
      <c r="A148" s="48" t="s">
        <v>60</v>
      </c>
      <c r="B148" s="49" t="s">
        <v>9</v>
      </c>
      <c r="C148" s="50"/>
      <c r="D148" s="50"/>
      <c r="E148" s="50"/>
      <c r="F148" s="53">
        <f t="shared" si="33"/>
        <v>0</v>
      </c>
      <c r="G148" s="53">
        <f t="shared" si="33"/>
        <v>0</v>
      </c>
      <c r="H148" s="53">
        <f t="shared" si="33"/>
        <v>0</v>
      </c>
      <c r="I148" s="53">
        <f t="shared" si="33"/>
        <v>0</v>
      </c>
      <c r="J148" s="53">
        <f t="shared" si="33"/>
        <v>0</v>
      </c>
      <c r="K148" s="53">
        <f t="shared" si="33"/>
        <v>0</v>
      </c>
      <c r="L148" s="62">
        <f t="shared" si="33"/>
        <v>0</v>
      </c>
      <c r="M148" s="53">
        <f t="shared" si="33"/>
        <v>0</v>
      </c>
      <c r="N148" s="53">
        <f t="shared" si="33"/>
        <v>0</v>
      </c>
      <c r="O148" s="53">
        <f t="shared" si="33"/>
        <v>0</v>
      </c>
      <c r="P148" s="53">
        <f t="shared" si="33"/>
        <v>0</v>
      </c>
      <c r="Q148" s="53">
        <f t="shared" si="33"/>
        <v>0</v>
      </c>
      <c r="R148" s="53">
        <f t="shared" si="33"/>
        <v>0</v>
      </c>
      <c r="S148" s="53">
        <f t="shared" si="33"/>
        <v>0</v>
      </c>
      <c r="T148" s="53">
        <f t="shared" si="33"/>
        <v>0</v>
      </c>
      <c r="U148" s="53">
        <f t="shared" si="33"/>
        <v>0</v>
      </c>
      <c r="V148" s="53">
        <f t="shared" si="33"/>
        <v>0</v>
      </c>
      <c r="W148" s="53">
        <f t="shared" si="33"/>
        <v>0</v>
      </c>
      <c r="X148" s="56">
        <f t="shared" si="33"/>
        <v>426</v>
      </c>
      <c r="Y148" s="60">
        <f t="shared" si="33"/>
        <v>0</v>
      </c>
      <c r="Z148" s="53">
        <f t="shared" si="33"/>
        <v>577.08799999999997</v>
      </c>
      <c r="AA148" s="53">
        <f t="shared" si="33"/>
        <v>437.35999999999996</v>
      </c>
      <c r="AC148" s="48" t="s">
        <v>60</v>
      </c>
      <c r="AD148" s="49" t="s">
        <v>9</v>
      </c>
      <c r="AE148" s="50"/>
      <c r="AF148" s="50"/>
      <c r="AG148" s="50"/>
      <c r="AH148" s="1" t="str">
        <f t="shared" si="34"/>
        <v/>
      </c>
      <c r="AI148" s="1" t="str">
        <f t="shared" si="34"/>
        <v/>
      </c>
      <c r="AJ148" s="1" t="str">
        <f t="shared" si="34"/>
        <v/>
      </c>
      <c r="AK148" s="1" t="str">
        <f t="shared" si="34"/>
        <v/>
      </c>
      <c r="AL148" s="1" t="str">
        <f t="shared" si="34"/>
        <v/>
      </c>
      <c r="AM148" s="1" t="str">
        <f t="shared" si="34"/>
        <v/>
      </c>
      <c r="AN148" s="52" t="str">
        <f t="shared" si="34"/>
        <v/>
      </c>
      <c r="AO148" s="1" t="str">
        <f t="shared" si="34"/>
        <v/>
      </c>
      <c r="AP148" s="1" t="str">
        <f t="shared" si="34"/>
        <v/>
      </c>
      <c r="AQ148" s="1" t="str">
        <f t="shared" si="34"/>
        <v/>
      </c>
      <c r="AR148" s="1" t="str">
        <f t="shared" si="34"/>
        <v/>
      </c>
      <c r="AS148" s="1" t="str">
        <f t="shared" si="34"/>
        <v/>
      </c>
      <c r="AT148" s="1" t="str">
        <f t="shared" si="34"/>
        <v/>
      </c>
      <c r="AU148" s="1" t="str">
        <f t="shared" si="34"/>
        <v/>
      </c>
      <c r="AV148" s="1" t="str">
        <f t="shared" si="34"/>
        <v/>
      </c>
      <c r="AW148" s="1" t="str">
        <f t="shared" si="34"/>
        <v/>
      </c>
      <c r="AX148" s="1" t="str">
        <f t="shared" si="35"/>
        <v/>
      </c>
      <c r="AY148" s="1" t="str">
        <f t="shared" si="35"/>
        <v/>
      </c>
      <c r="AZ148" s="1">
        <f t="shared" si="35"/>
        <v>178.92</v>
      </c>
      <c r="BA148" s="1" t="str">
        <f t="shared" si="35"/>
        <v/>
      </c>
      <c r="BB148" s="1">
        <f t="shared" si="35"/>
        <v>330.00799999999998</v>
      </c>
      <c r="BC148" s="1">
        <f t="shared" si="35"/>
        <v>218.67999999999998</v>
      </c>
    </row>
    <row r="149" spans="1:55" ht="15.75" thickTop="1" x14ac:dyDescent="0.25">
      <c r="A149" s="15" t="s">
        <v>51</v>
      </c>
      <c r="B149" s="16" t="s">
        <v>52</v>
      </c>
      <c r="C149" s="16" t="s">
        <v>53</v>
      </c>
      <c r="D149" s="2"/>
      <c r="E149" s="2"/>
      <c r="F149" s="47">
        <f t="shared" si="33"/>
        <v>0</v>
      </c>
      <c r="G149" s="47">
        <f t="shared" si="33"/>
        <v>0</v>
      </c>
      <c r="H149" s="47">
        <f t="shared" si="33"/>
        <v>0</v>
      </c>
      <c r="I149" s="47">
        <f t="shared" si="33"/>
        <v>0</v>
      </c>
      <c r="J149" s="47">
        <f t="shared" si="33"/>
        <v>0</v>
      </c>
      <c r="K149" s="47">
        <f t="shared" si="33"/>
        <v>0</v>
      </c>
      <c r="L149" s="63">
        <f t="shared" si="33"/>
        <v>0</v>
      </c>
      <c r="M149" s="47">
        <f t="shared" si="33"/>
        <v>0</v>
      </c>
      <c r="N149" s="47">
        <f t="shared" si="33"/>
        <v>0</v>
      </c>
      <c r="O149" s="47">
        <f t="shared" si="33"/>
        <v>0</v>
      </c>
      <c r="P149" s="47">
        <f t="shared" si="33"/>
        <v>0</v>
      </c>
      <c r="Q149" s="47">
        <f t="shared" si="33"/>
        <v>0</v>
      </c>
      <c r="R149" s="47">
        <f t="shared" si="33"/>
        <v>0</v>
      </c>
      <c r="S149" s="47">
        <f t="shared" si="33"/>
        <v>0</v>
      </c>
      <c r="T149" s="47">
        <f t="shared" si="33"/>
        <v>0</v>
      </c>
      <c r="U149" s="47">
        <f t="shared" si="33"/>
        <v>0</v>
      </c>
      <c r="V149" s="47">
        <f t="shared" si="33"/>
        <v>0</v>
      </c>
      <c r="W149" s="47">
        <f t="shared" si="33"/>
        <v>0</v>
      </c>
      <c r="X149" s="57">
        <f t="shared" si="33"/>
        <v>0</v>
      </c>
      <c r="Y149" s="61">
        <f t="shared" si="33"/>
        <v>0</v>
      </c>
      <c r="Z149" s="47">
        <f t="shared" si="33"/>
        <v>0</v>
      </c>
      <c r="AA149" s="47">
        <f t="shared" si="33"/>
        <v>0</v>
      </c>
      <c r="AC149" s="15" t="s">
        <v>51</v>
      </c>
      <c r="AD149" s="16" t="s">
        <v>52</v>
      </c>
      <c r="AE149" s="16" t="s">
        <v>53</v>
      </c>
      <c r="AF149" s="2"/>
      <c r="AG149" s="2"/>
      <c r="AH149" s="90" t="str">
        <f t="shared" si="34"/>
        <v/>
      </c>
      <c r="AI149" s="90" t="str">
        <f t="shared" si="34"/>
        <v/>
      </c>
      <c r="AJ149" s="90" t="str">
        <f t="shared" si="34"/>
        <v/>
      </c>
      <c r="AK149" s="90" t="str">
        <f t="shared" si="34"/>
        <v/>
      </c>
      <c r="AL149" s="90" t="str">
        <f t="shared" si="34"/>
        <v/>
      </c>
      <c r="AM149" s="90" t="str">
        <f t="shared" si="34"/>
        <v/>
      </c>
      <c r="AN149" s="90" t="str">
        <f t="shared" si="34"/>
        <v/>
      </c>
      <c r="AO149" s="90" t="str">
        <f t="shared" si="34"/>
        <v/>
      </c>
      <c r="AP149" s="90" t="str">
        <f t="shared" si="34"/>
        <v/>
      </c>
      <c r="AQ149" s="90" t="str">
        <f t="shared" si="34"/>
        <v/>
      </c>
      <c r="AR149" s="90" t="str">
        <f t="shared" si="34"/>
        <v/>
      </c>
      <c r="AS149" s="90" t="str">
        <f t="shared" si="34"/>
        <v/>
      </c>
      <c r="AT149" s="90" t="str">
        <f t="shared" si="34"/>
        <v/>
      </c>
      <c r="AU149" s="90" t="str">
        <f t="shared" si="34"/>
        <v/>
      </c>
      <c r="AV149" s="90" t="str">
        <f t="shared" si="34"/>
        <v/>
      </c>
      <c r="AW149" s="90" t="str">
        <f t="shared" si="34"/>
        <v/>
      </c>
      <c r="AX149" s="90" t="str">
        <f t="shared" si="35"/>
        <v/>
      </c>
      <c r="AY149" s="90" t="str">
        <f t="shared" si="35"/>
        <v/>
      </c>
      <c r="AZ149" s="90" t="str">
        <f t="shared" si="35"/>
        <v/>
      </c>
      <c r="BA149" s="90" t="str">
        <f t="shared" si="35"/>
        <v/>
      </c>
      <c r="BB149" s="90" t="str">
        <f t="shared" si="35"/>
        <v/>
      </c>
      <c r="BC149" s="90" t="str">
        <f t="shared" si="35"/>
        <v/>
      </c>
    </row>
    <row r="150" spans="1:55" x14ac:dyDescent="0.25">
      <c r="A150" s="15" t="s">
        <v>51</v>
      </c>
      <c r="B150" s="16" t="s">
        <v>52</v>
      </c>
      <c r="C150" s="16" t="s">
        <v>54</v>
      </c>
      <c r="D150" s="2"/>
      <c r="E150" s="2"/>
      <c r="F150" s="1">
        <f t="shared" si="33"/>
        <v>0</v>
      </c>
      <c r="G150" s="1">
        <f t="shared" si="33"/>
        <v>0</v>
      </c>
      <c r="H150" s="1">
        <f t="shared" si="33"/>
        <v>0</v>
      </c>
      <c r="I150" s="1">
        <f t="shared" si="33"/>
        <v>0</v>
      </c>
      <c r="J150" s="1">
        <f t="shared" si="33"/>
        <v>0</v>
      </c>
      <c r="K150" s="1">
        <f t="shared" si="33"/>
        <v>0</v>
      </c>
      <c r="L150" s="52">
        <f t="shared" si="33"/>
        <v>0</v>
      </c>
      <c r="M150" s="1">
        <f t="shared" si="33"/>
        <v>0</v>
      </c>
      <c r="N150" s="1">
        <f t="shared" si="33"/>
        <v>0</v>
      </c>
      <c r="O150" s="1">
        <f t="shared" si="33"/>
        <v>0</v>
      </c>
      <c r="P150" s="1">
        <f t="shared" si="33"/>
        <v>0</v>
      </c>
      <c r="Q150" s="1">
        <f t="shared" si="33"/>
        <v>0</v>
      </c>
      <c r="R150" s="1">
        <f t="shared" si="33"/>
        <v>0</v>
      </c>
      <c r="S150" s="1">
        <f t="shared" si="33"/>
        <v>0</v>
      </c>
      <c r="T150" s="1">
        <f t="shared" si="33"/>
        <v>0</v>
      </c>
      <c r="U150" s="1">
        <f t="shared" si="33"/>
        <v>0</v>
      </c>
      <c r="V150" s="1">
        <f t="shared" si="33"/>
        <v>0</v>
      </c>
      <c r="W150" s="1">
        <f t="shared" si="33"/>
        <v>0</v>
      </c>
      <c r="X150" s="54">
        <f t="shared" si="33"/>
        <v>0</v>
      </c>
      <c r="Y150" s="58">
        <f t="shared" si="33"/>
        <v>0</v>
      </c>
      <c r="Z150" s="1">
        <f t="shared" si="33"/>
        <v>0</v>
      </c>
      <c r="AA150" s="1">
        <f t="shared" si="33"/>
        <v>0</v>
      </c>
      <c r="AC150" s="15" t="s">
        <v>51</v>
      </c>
      <c r="AD150" s="16" t="s">
        <v>52</v>
      </c>
      <c r="AE150" s="16" t="s">
        <v>54</v>
      </c>
      <c r="AF150" s="2"/>
      <c r="AG150" s="2"/>
      <c r="AH150" s="90" t="str">
        <f t="shared" si="34"/>
        <v/>
      </c>
      <c r="AI150" s="90" t="str">
        <f t="shared" si="34"/>
        <v/>
      </c>
      <c r="AJ150" s="90" t="str">
        <f t="shared" si="34"/>
        <v/>
      </c>
      <c r="AK150" s="90" t="str">
        <f t="shared" si="34"/>
        <v/>
      </c>
      <c r="AL150" s="90" t="str">
        <f t="shared" si="34"/>
        <v/>
      </c>
      <c r="AM150" s="90" t="str">
        <f t="shared" si="34"/>
        <v/>
      </c>
      <c r="AN150" s="90" t="str">
        <f t="shared" si="34"/>
        <v/>
      </c>
      <c r="AO150" s="90" t="str">
        <f t="shared" si="34"/>
        <v/>
      </c>
      <c r="AP150" s="90" t="str">
        <f t="shared" si="34"/>
        <v/>
      </c>
      <c r="AQ150" s="90" t="str">
        <f t="shared" si="34"/>
        <v/>
      </c>
      <c r="AR150" s="90" t="str">
        <f t="shared" si="34"/>
        <v/>
      </c>
      <c r="AS150" s="90" t="str">
        <f t="shared" si="34"/>
        <v/>
      </c>
      <c r="AT150" s="90" t="str">
        <f t="shared" si="34"/>
        <v/>
      </c>
      <c r="AU150" s="90" t="str">
        <f t="shared" si="34"/>
        <v/>
      </c>
      <c r="AV150" s="90" t="str">
        <f t="shared" si="34"/>
        <v/>
      </c>
      <c r="AW150" s="90" t="str">
        <f t="shared" si="34"/>
        <v/>
      </c>
      <c r="AX150" s="90" t="str">
        <f t="shared" si="35"/>
        <v/>
      </c>
      <c r="AY150" s="90" t="str">
        <f t="shared" si="35"/>
        <v/>
      </c>
      <c r="AZ150" s="90" t="str">
        <f t="shared" si="35"/>
        <v/>
      </c>
      <c r="BA150" s="90" t="str">
        <f t="shared" si="35"/>
        <v/>
      </c>
      <c r="BB150" s="90" t="str">
        <f t="shared" si="35"/>
        <v/>
      </c>
      <c r="BC150" s="90" t="str">
        <f t="shared" si="35"/>
        <v/>
      </c>
    </row>
    <row r="151" spans="1:55" x14ac:dyDescent="0.25">
      <c r="A151" s="15" t="s">
        <v>51</v>
      </c>
      <c r="B151" s="16" t="s">
        <v>52</v>
      </c>
      <c r="C151" s="16" t="s">
        <v>55</v>
      </c>
      <c r="D151" s="2"/>
      <c r="E151" s="2"/>
      <c r="F151" s="1">
        <f t="shared" si="33"/>
        <v>0</v>
      </c>
      <c r="G151" s="1">
        <f t="shared" si="33"/>
        <v>0</v>
      </c>
      <c r="H151" s="1">
        <f t="shared" si="33"/>
        <v>0</v>
      </c>
      <c r="I151" s="1">
        <f t="shared" si="33"/>
        <v>0</v>
      </c>
      <c r="J151" s="1">
        <f t="shared" si="33"/>
        <v>0</v>
      </c>
      <c r="K151" s="1">
        <f t="shared" si="33"/>
        <v>0</v>
      </c>
      <c r="L151" s="52">
        <f t="shared" si="33"/>
        <v>0</v>
      </c>
      <c r="M151" s="1">
        <f t="shared" si="33"/>
        <v>0</v>
      </c>
      <c r="N151" s="1">
        <f t="shared" si="33"/>
        <v>0</v>
      </c>
      <c r="O151" s="1">
        <f t="shared" si="33"/>
        <v>0</v>
      </c>
      <c r="P151" s="1">
        <f t="shared" si="33"/>
        <v>0</v>
      </c>
      <c r="Q151" s="1">
        <f t="shared" si="33"/>
        <v>0</v>
      </c>
      <c r="R151" s="1">
        <f t="shared" si="33"/>
        <v>0</v>
      </c>
      <c r="S151" s="1">
        <f t="shared" si="33"/>
        <v>0</v>
      </c>
      <c r="T151" s="1">
        <f t="shared" ref="G151:AA165" si="36">IF(T196&gt;0,T16/T196,0)</f>
        <v>0</v>
      </c>
      <c r="U151" s="1">
        <f t="shared" si="36"/>
        <v>0</v>
      </c>
      <c r="V151" s="1">
        <f t="shared" si="36"/>
        <v>0</v>
      </c>
      <c r="W151" s="1">
        <f t="shared" si="36"/>
        <v>0</v>
      </c>
      <c r="X151" s="54">
        <f t="shared" si="36"/>
        <v>0</v>
      </c>
      <c r="Y151" s="58">
        <f t="shared" si="36"/>
        <v>0</v>
      </c>
      <c r="Z151" s="1">
        <f t="shared" si="36"/>
        <v>0</v>
      </c>
      <c r="AA151" s="1">
        <f t="shared" si="36"/>
        <v>0</v>
      </c>
      <c r="AC151" s="15" t="s">
        <v>51</v>
      </c>
      <c r="AD151" s="16" t="s">
        <v>52</v>
      </c>
      <c r="AE151" s="16" t="s">
        <v>55</v>
      </c>
      <c r="AF151" s="2"/>
      <c r="AG151" s="2"/>
      <c r="AH151" s="90" t="str">
        <f t="shared" si="34"/>
        <v/>
      </c>
      <c r="AI151" s="90" t="str">
        <f t="shared" si="34"/>
        <v/>
      </c>
      <c r="AJ151" s="90" t="str">
        <f t="shared" si="34"/>
        <v/>
      </c>
      <c r="AK151" s="90" t="str">
        <f t="shared" si="34"/>
        <v/>
      </c>
      <c r="AL151" s="90" t="str">
        <f t="shared" si="34"/>
        <v/>
      </c>
      <c r="AM151" s="90" t="str">
        <f t="shared" si="34"/>
        <v/>
      </c>
      <c r="AN151" s="90" t="str">
        <f t="shared" si="34"/>
        <v/>
      </c>
      <c r="AO151" s="90" t="str">
        <f t="shared" si="34"/>
        <v/>
      </c>
      <c r="AP151" s="90" t="str">
        <f t="shared" si="34"/>
        <v/>
      </c>
      <c r="AQ151" s="90" t="str">
        <f t="shared" si="34"/>
        <v/>
      </c>
      <c r="AR151" s="90" t="str">
        <f t="shared" si="34"/>
        <v/>
      </c>
      <c r="AS151" s="90" t="str">
        <f t="shared" si="34"/>
        <v/>
      </c>
      <c r="AT151" s="90" t="str">
        <f t="shared" si="34"/>
        <v/>
      </c>
      <c r="AU151" s="90" t="str">
        <f t="shared" si="34"/>
        <v/>
      </c>
      <c r="AV151" s="90" t="str">
        <f t="shared" si="34"/>
        <v/>
      </c>
      <c r="AW151" s="90" t="str">
        <f t="shared" si="34"/>
        <v/>
      </c>
      <c r="AX151" s="90" t="str">
        <f t="shared" si="35"/>
        <v/>
      </c>
      <c r="AY151" s="90" t="str">
        <f t="shared" si="35"/>
        <v/>
      </c>
      <c r="AZ151" s="90" t="str">
        <f t="shared" si="35"/>
        <v/>
      </c>
      <c r="BA151" s="90" t="str">
        <f t="shared" si="35"/>
        <v/>
      </c>
      <c r="BB151" s="90" t="str">
        <f t="shared" si="35"/>
        <v/>
      </c>
      <c r="BC151" s="90" t="str">
        <f t="shared" si="35"/>
        <v/>
      </c>
    </row>
    <row r="152" spans="1:55" x14ac:dyDescent="0.25">
      <c r="A152" s="25" t="s">
        <v>51</v>
      </c>
      <c r="B152" s="26" t="s">
        <v>56</v>
      </c>
      <c r="C152" s="26" t="s">
        <v>57</v>
      </c>
      <c r="D152" s="2"/>
      <c r="E152" s="2"/>
      <c r="F152" s="1">
        <f t="shared" ref="F152:F170" si="37">IF(F197&gt;0,F17/F197,0)</f>
        <v>0</v>
      </c>
      <c r="G152" s="1">
        <f t="shared" si="36"/>
        <v>0</v>
      </c>
      <c r="H152" s="1">
        <f t="shared" si="36"/>
        <v>0</v>
      </c>
      <c r="I152" s="1">
        <f t="shared" si="36"/>
        <v>0</v>
      </c>
      <c r="J152" s="1">
        <f t="shared" si="36"/>
        <v>0</v>
      </c>
      <c r="K152" s="1">
        <f t="shared" si="36"/>
        <v>0</v>
      </c>
      <c r="L152" s="52">
        <f t="shared" si="36"/>
        <v>0</v>
      </c>
      <c r="M152" s="1">
        <f t="shared" si="36"/>
        <v>0</v>
      </c>
      <c r="N152" s="1">
        <f t="shared" si="36"/>
        <v>0</v>
      </c>
      <c r="O152" s="1">
        <f t="shared" si="36"/>
        <v>0</v>
      </c>
      <c r="P152" s="1">
        <f t="shared" si="36"/>
        <v>0</v>
      </c>
      <c r="Q152" s="1">
        <f t="shared" si="36"/>
        <v>0</v>
      </c>
      <c r="R152" s="1">
        <f t="shared" si="36"/>
        <v>0</v>
      </c>
      <c r="S152" s="1">
        <f t="shared" si="36"/>
        <v>0</v>
      </c>
      <c r="T152" s="1">
        <f t="shared" si="36"/>
        <v>0</v>
      </c>
      <c r="U152" s="1">
        <f t="shared" si="36"/>
        <v>0</v>
      </c>
      <c r="V152" s="1">
        <f t="shared" si="36"/>
        <v>0</v>
      </c>
      <c r="W152" s="1">
        <f t="shared" si="36"/>
        <v>0</v>
      </c>
      <c r="X152" s="54">
        <f t="shared" si="36"/>
        <v>0</v>
      </c>
      <c r="Y152" s="58">
        <f t="shared" si="36"/>
        <v>0</v>
      </c>
      <c r="Z152" s="1">
        <f t="shared" si="36"/>
        <v>0</v>
      </c>
      <c r="AA152" s="1">
        <f t="shared" si="36"/>
        <v>0</v>
      </c>
      <c r="AC152" s="25" t="s">
        <v>51</v>
      </c>
      <c r="AD152" s="26" t="s">
        <v>56</v>
      </c>
      <c r="AE152" s="26" t="s">
        <v>57</v>
      </c>
      <c r="AF152" s="2"/>
      <c r="AG152" s="2"/>
      <c r="AH152" s="90" t="str">
        <f t="shared" si="34"/>
        <v/>
      </c>
      <c r="AI152" s="90" t="str">
        <f t="shared" si="34"/>
        <v/>
      </c>
      <c r="AJ152" s="90" t="str">
        <f t="shared" si="34"/>
        <v/>
      </c>
      <c r="AK152" s="90" t="str">
        <f t="shared" si="34"/>
        <v/>
      </c>
      <c r="AL152" s="90" t="str">
        <f t="shared" si="34"/>
        <v/>
      </c>
      <c r="AM152" s="90" t="str">
        <f t="shared" si="34"/>
        <v/>
      </c>
      <c r="AN152" s="90" t="str">
        <f t="shared" si="34"/>
        <v/>
      </c>
      <c r="AO152" s="90" t="str">
        <f t="shared" si="34"/>
        <v/>
      </c>
      <c r="AP152" s="90" t="str">
        <f t="shared" si="34"/>
        <v/>
      </c>
      <c r="AQ152" s="90" t="str">
        <f t="shared" si="34"/>
        <v/>
      </c>
      <c r="AR152" s="90" t="str">
        <f t="shared" si="34"/>
        <v/>
      </c>
      <c r="AS152" s="90" t="str">
        <f t="shared" si="34"/>
        <v/>
      </c>
      <c r="AT152" s="90" t="str">
        <f t="shared" si="34"/>
        <v/>
      </c>
      <c r="AU152" s="90" t="str">
        <f t="shared" si="34"/>
        <v/>
      </c>
      <c r="AV152" s="90" t="str">
        <f t="shared" si="34"/>
        <v/>
      </c>
      <c r="AW152" s="90" t="str">
        <f t="shared" si="34"/>
        <v/>
      </c>
      <c r="AX152" s="90" t="str">
        <f t="shared" si="35"/>
        <v/>
      </c>
      <c r="AY152" s="90" t="str">
        <f t="shared" si="35"/>
        <v/>
      </c>
      <c r="AZ152" s="90" t="str">
        <f t="shared" si="35"/>
        <v/>
      </c>
      <c r="BA152" s="90" t="str">
        <f t="shared" si="35"/>
        <v/>
      </c>
      <c r="BB152" s="90" t="str">
        <f t="shared" si="35"/>
        <v/>
      </c>
      <c r="BC152" s="90" t="str">
        <f t="shared" si="35"/>
        <v/>
      </c>
    </row>
    <row r="153" spans="1:55" x14ac:dyDescent="0.25">
      <c r="A153" s="15" t="s">
        <v>51</v>
      </c>
      <c r="B153" s="16" t="s">
        <v>56</v>
      </c>
      <c r="C153" s="27" t="s">
        <v>58</v>
      </c>
      <c r="D153" s="2"/>
      <c r="E153" s="2"/>
      <c r="F153" s="1">
        <f t="shared" si="37"/>
        <v>0</v>
      </c>
      <c r="G153" s="1">
        <f t="shared" si="36"/>
        <v>0</v>
      </c>
      <c r="H153" s="1">
        <f t="shared" si="36"/>
        <v>0</v>
      </c>
      <c r="I153" s="1">
        <f t="shared" si="36"/>
        <v>0</v>
      </c>
      <c r="J153" s="1">
        <f t="shared" si="36"/>
        <v>0</v>
      </c>
      <c r="K153" s="1">
        <f t="shared" si="36"/>
        <v>0</v>
      </c>
      <c r="L153" s="52">
        <f t="shared" si="36"/>
        <v>0</v>
      </c>
      <c r="M153" s="1">
        <f t="shared" si="36"/>
        <v>0</v>
      </c>
      <c r="N153" s="1">
        <f t="shared" si="36"/>
        <v>0</v>
      </c>
      <c r="O153" s="1">
        <f t="shared" si="36"/>
        <v>0</v>
      </c>
      <c r="P153" s="1">
        <f t="shared" si="36"/>
        <v>0</v>
      </c>
      <c r="Q153" s="1">
        <f t="shared" si="36"/>
        <v>0</v>
      </c>
      <c r="R153" s="1">
        <f t="shared" si="36"/>
        <v>0</v>
      </c>
      <c r="S153" s="1">
        <f t="shared" si="36"/>
        <v>0</v>
      </c>
      <c r="T153" s="1">
        <f t="shared" si="36"/>
        <v>0</v>
      </c>
      <c r="U153" s="1">
        <f t="shared" si="36"/>
        <v>0</v>
      </c>
      <c r="V153" s="1">
        <f t="shared" si="36"/>
        <v>0</v>
      </c>
      <c r="W153" s="1">
        <f t="shared" si="36"/>
        <v>0</v>
      </c>
      <c r="X153" s="54">
        <f t="shared" si="36"/>
        <v>0</v>
      </c>
      <c r="Y153" s="58">
        <f t="shared" si="36"/>
        <v>0</v>
      </c>
      <c r="Z153" s="1">
        <f t="shared" si="36"/>
        <v>0</v>
      </c>
      <c r="AA153" s="1">
        <f t="shared" si="36"/>
        <v>0</v>
      </c>
      <c r="AC153" s="15" t="s">
        <v>51</v>
      </c>
      <c r="AD153" s="16" t="s">
        <v>56</v>
      </c>
      <c r="AE153" s="27" t="s">
        <v>58</v>
      </c>
      <c r="AF153" s="2"/>
      <c r="AG153" s="2"/>
      <c r="AH153" s="90" t="str">
        <f t="shared" si="34"/>
        <v/>
      </c>
      <c r="AI153" s="90" t="str">
        <f t="shared" si="34"/>
        <v/>
      </c>
      <c r="AJ153" s="90" t="str">
        <f t="shared" si="34"/>
        <v/>
      </c>
      <c r="AK153" s="90" t="str">
        <f t="shared" si="34"/>
        <v/>
      </c>
      <c r="AL153" s="90" t="str">
        <f t="shared" si="34"/>
        <v/>
      </c>
      <c r="AM153" s="90" t="str">
        <f t="shared" si="34"/>
        <v/>
      </c>
      <c r="AN153" s="90" t="str">
        <f t="shared" si="34"/>
        <v/>
      </c>
      <c r="AO153" s="90" t="str">
        <f t="shared" si="34"/>
        <v/>
      </c>
      <c r="AP153" s="90" t="str">
        <f t="shared" si="34"/>
        <v/>
      </c>
      <c r="AQ153" s="90" t="str">
        <f t="shared" si="34"/>
        <v/>
      </c>
      <c r="AR153" s="90" t="str">
        <f t="shared" si="34"/>
        <v/>
      </c>
      <c r="AS153" s="90" t="str">
        <f t="shared" si="34"/>
        <v/>
      </c>
      <c r="AT153" s="90" t="str">
        <f t="shared" si="34"/>
        <v/>
      </c>
      <c r="AU153" s="90" t="str">
        <f t="shared" si="34"/>
        <v/>
      </c>
      <c r="AV153" s="90" t="str">
        <f t="shared" si="34"/>
        <v/>
      </c>
      <c r="AW153" s="90" t="str">
        <f t="shared" si="34"/>
        <v/>
      </c>
      <c r="AX153" s="90" t="str">
        <f t="shared" si="35"/>
        <v/>
      </c>
      <c r="AY153" s="90" t="str">
        <f t="shared" si="35"/>
        <v/>
      </c>
      <c r="AZ153" s="90" t="str">
        <f t="shared" si="35"/>
        <v/>
      </c>
      <c r="BA153" s="90" t="str">
        <f t="shared" si="35"/>
        <v/>
      </c>
      <c r="BB153" s="90" t="str">
        <f t="shared" si="35"/>
        <v/>
      </c>
      <c r="BC153" s="90" t="str">
        <f t="shared" si="35"/>
        <v/>
      </c>
    </row>
    <row r="154" spans="1:55" x14ac:dyDescent="0.25">
      <c r="A154" s="15" t="s">
        <v>51</v>
      </c>
      <c r="B154" s="16" t="s">
        <v>9</v>
      </c>
      <c r="C154" s="27" t="s">
        <v>59</v>
      </c>
      <c r="D154" s="2"/>
      <c r="E154" s="2"/>
      <c r="F154" s="1">
        <f t="shared" si="37"/>
        <v>0</v>
      </c>
      <c r="G154" s="1">
        <f t="shared" si="36"/>
        <v>0</v>
      </c>
      <c r="H154" s="1">
        <f t="shared" si="36"/>
        <v>0</v>
      </c>
      <c r="I154" s="1">
        <f t="shared" si="36"/>
        <v>0</v>
      </c>
      <c r="J154" s="1">
        <f t="shared" si="36"/>
        <v>0</v>
      </c>
      <c r="K154" s="1">
        <f t="shared" si="36"/>
        <v>0</v>
      </c>
      <c r="L154" s="52">
        <f t="shared" si="36"/>
        <v>0</v>
      </c>
      <c r="M154" s="1">
        <f t="shared" si="36"/>
        <v>0</v>
      </c>
      <c r="N154" s="1">
        <f t="shared" si="36"/>
        <v>0</v>
      </c>
      <c r="O154" s="1">
        <f t="shared" si="36"/>
        <v>0</v>
      </c>
      <c r="P154" s="1">
        <f t="shared" si="36"/>
        <v>0</v>
      </c>
      <c r="Q154" s="1">
        <f t="shared" si="36"/>
        <v>0</v>
      </c>
      <c r="R154" s="1">
        <f t="shared" si="36"/>
        <v>0</v>
      </c>
      <c r="S154" s="1">
        <f t="shared" si="36"/>
        <v>0</v>
      </c>
      <c r="T154" s="1">
        <f t="shared" si="36"/>
        <v>0</v>
      </c>
      <c r="U154" s="1">
        <f t="shared" si="36"/>
        <v>0</v>
      </c>
      <c r="V154" s="1">
        <f t="shared" si="36"/>
        <v>0</v>
      </c>
      <c r="W154" s="1">
        <f t="shared" si="36"/>
        <v>0</v>
      </c>
      <c r="X154" s="54">
        <f t="shared" si="36"/>
        <v>0</v>
      </c>
      <c r="Y154" s="58">
        <f t="shared" si="36"/>
        <v>0</v>
      </c>
      <c r="Z154" s="1">
        <f t="shared" si="36"/>
        <v>0</v>
      </c>
      <c r="AA154" s="1">
        <f t="shared" si="36"/>
        <v>0</v>
      </c>
      <c r="AC154" s="15" t="s">
        <v>51</v>
      </c>
      <c r="AD154" s="16" t="s">
        <v>9</v>
      </c>
      <c r="AE154" s="27" t="s">
        <v>59</v>
      </c>
      <c r="AF154" s="2"/>
      <c r="AG154" s="2"/>
      <c r="AH154" s="90" t="str">
        <f t="shared" si="34"/>
        <v/>
      </c>
      <c r="AI154" s="90" t="str">
        <f t="shared" si="34"/>
        <v/>
      </c>
      <c r="AJ154" s="90" t="str">
        <f t="shared" si="34"/>
        <v/>
      </c>
      <c r="AK154" s="90" t="str">
        <f t="shared" si="34"/>
        <v/>
      </c>
      <c r="AL154" s="90" t="str">
        <f t="shared" si="34"/>
        <v/>
      </c>
      <c r="AM154" s="90" t="str">
        <f t="shared" si="34"/>
        <v/>
      </c>
      <c r="AN154" s="90" t="str">
        <f t="shared" si="34"/>
        <v/>
      </c>
      <c r="AO154" s="90" t="str">
        <f t="shared" si="34"/>
        <v/>
      </c>
      <c r="AP154" s="90" t="str">
        <f t="shared" si="34"/>
        <v/>
      </c>
      <c r="AQ154" s="90" t="str">
        <f t="shared" si="34"/>
        <v/>
      </c>
      <c r="AR154" s="90" t="str">
        <f t="shared" si="34"/>
        <v/>
      </c>
      <c r="AS154" s="90" t="str">
        <f t="shared" si="34"/>
        <v/>
      </c>
      <c r="AT154" s="90" t="str">
        <f t="shared" si="34"/>
        <v/>
      </c>
      <c r="AU154" s="90" t="str">
        <f t="shared" si="34"/>
        <v/>
      </c>
      <c r="AV154" s="90" t="str">
        <f t="shared" si="34"/>
        <v/>
      </c>
      <c r="AW154" s="90" t="str">
        <f t="shared" si="34"/>
        <v/>
      </c>
      <c r="AX154" s="90" t="str">
        <f t="shared" si="35"/>
        <v/>
      </c>
      <c r="AY154" s="90" t="str">
        <f t="shared" si="35"/>
        <v/>
      </c>
      <c r="AZ154" s="90" t="str">
        <f t="shared" si="35"/>
        <v/>
      </c>
      <c r="BA154" s="90" t="str">
        <f t="shared" si="35"/>
        <v/>
      </c>
      <c r="BB154" s="90" t="str">
        <f t="shared" si="35"/>
        <v/>
      </c>
      <c r="BC154" s="90" t="str">
        <f t="shared" si="35"/>
        <v/>
      </c>
    </row>
    <row r="155" spans="1:55" x14ac:dyDescent="0.25">
      <c r="A155" s="15" t="s">
        <v>51</v>
      </c>
      <c r="B155" s="16" t="s">
        <v>9</v>
      </c>
      <c r="C155" s="27" t="s">
        <v>9</v>
      </c>
      <c r="D155" s="2"/>
      <c r="E155" s="2"/>
      <c r="F155" s="1">
        <f t="shared" si="37"/>
        <v>0</v>
      </c>
      <c r="G155" s="1">
        <f t="shared" si="36"/>
        <v>0</v>
      </c>
      <c r="H155" s="1">
        <f t="shared" si="36"/>
        <v>0</v>
      </c>
      <c r="I155" s="1">
        <f t="shared" si="36"/>
        <v>0</v>
      </c>
      <c r="J155" s="1">
        <f t="shared" si="36"/>
        <v>0</v>
      </c>
      <c r="K155" s="1">
        <f t="shared" si="36"/>
        <v>0</v>
      </c>
      <c r="L155" s="52">
        <f t="shared" si="36"/>
        <v>0</v>
      </c>
      <c r="M155" s="1">
        <f t="shared" si="36"/>
        <v>0</v>
      </c>
      <c r="N155" s="1">
        <f t="shared" si="36"/>
        <v>0</v>
      </c>
      <c r="O155" s="1">
        <f t="shared" si="36"/>
        <v>0</v>
      </c>
      <c r="P155" s="1">
        <f t="shared" si="36"/>
        <v>0</v>
      </c>
      <c r="Q155" s="1">
        <f t="shared" si="36"/>
        <v>0</v>
      </c>
      <c r="R155" s="1">
        <f t="shared" si="36"/>
        <v>0</v>
      </c>
      <c r="S155" s="1">
        <f t="shared" si="36"/>
        <v>0</v>
      </c>
      <c r="T155" s="1">
        <f t="shared" si="36"/>
        <v>0</v>
      </c>
      <c r="U155" s="1">
        <f t="shared" si="36"/>
        <v>0</v>
      </c>
      <c r="V155" s="1">
        <f t="shared" si="36"/>
        <v>0</v>
      </c>
      <c r="W155" s="1">
        <f t="shared" si="36"/>
        <v>0</v>
      </c>
      <c r="X155" s="54">
        <f t="shared" si="36"/>
        <v>0</v>
      </c>
      <c r="Y155" s="58">
        <f t="shared" si="36"/>
        <v>0</v>
      </c>
      <c r="Z155" s="1">
        <f t="shared" si="36"/>
        <v>0</v>
      </c>
      <c r="AA155" s="1">
        <f t="shared" si="36"/>
        <v>0</v>
      </c>
      <c r="AC155" s="15" t="s">
        <v>51</v>
      </c>
      <c r="AD155" s="16" t="s">
        <v>9</v>
      </c>
      <c r="AE155" s="27" t="s">
        <v>9</v>
      </c>
      <c r="AF155" s="2"/>
      <c r="AG155" s="2"/>
      <c r="AH155" s="90" t="str">
        <f t="shared" si="34"/>
        <v/>
      </c>
      <c r="AI155" s="90" t="str">
        <f t="shared" si="34"/>
        <v/>
      </c>
      <c r="AJ155" s="90" t="str">
        <f t="shared" si="34"/>
        <v/>
      </c>
      <c r="AK155" s="90" t="str">
        <f t="shared" si="34"/>
        <v/>
      </c>
      <c r="AL155" s="90" t="str">
        <f t="shared" si="34"/>
        <v/>
      </c>
      <c r="AM155" s="90" t="str">
        <f t="shared" si="34"/>
        <v/>
      </c>
      <c r="AN155" s="90" t="str">
        <f t="shared" si="34"/>
        <v/>
      </c>
      <c r="AO155" s="90" t="str">
        <f t="shared" si="34"/>
        <v/>
      </c>
      <c r="AP155" s="90" t="str">
        <f t="shared" si="34"/>
        <v/>
      </c>
      <c r="AQ155" s="90" t="str">
        <f t="shared" si="34"/>
        <v/>
      </c>
      <c r="AR155" s="90" t="str">
        <f t="shared" si="34"/>
        <v/>
      </c>
      <c r="AS155" s="90" t="str">
        <f t="shared" si="34"/>
        <v/>
      </c>
      <c r="AT155" s="90" t="str">
        <f t="shared" si="34"/>
        <v/>
      </c>
      <c r="AU155" s="90" t="str">
        <f t="shared" si="34"/>
        <v/>
      </c>
      <c r="AV155" s="90" t="str">
        <f t="shared" si="34"/>
        <v/>
      </c>
      <c r="AW155" s="90" t="str">
        <f t="shared" ref="AW155:BC180" si="38">IF(U200&gt;0,U65/U200,"")</f>
        <v/>
      </c>
      <c r="AX155" s="90" t="str">
        <f t="shared" si="35"/>
        <v/>
      </c>
      <c r="AY155" s="90" t="str">
        <f t="shared" si="35"/>
        <v/>
      </c>
      <c r="AZ155" s="90" t="str">
        <f t="shared" si="35"/>
        <v/>
      </c>
      <c r="BA155" s="90" t="str">
        <f t="shared" si="35"/>
        <v/>
      </c>
      <c r="BB155" s="90" t="str">
        <f t="shared" si="35"/>
        <v/>
      </c>
      <c r="BC155" s="90" t="str">
        <f t="shared" si="35"/>
        <v/>
      </c>
    </row>
    <row r="156" spans="1:55" x14ac:dyDescent="0.25">
      <c r="A156" s="28" t="s">
        <v>60</v>
      </c>
      <c r="B156" s="29" t="s">
        <v>13</v>
      </c>
      <c r="C156" s="29" t="s">
        <v>61</v>
      </c>
      <c r="D156" s="2"/>
      <c r="E156" s="2"/>
      <c r="F156" s="51">
        <f t="shared" si="37"/>
        <v>55.595959595959599</v>
      </c>
      <c r="G156" s="51">
        <f t="shared" si="36"/>
        <v>0</v>
      </c>
      <c r="H156" s="51">
        <f t="shared" si="36"/>
        <v>7.839999999999999</v>
      </c>
      <c r="I156" s="91">
        <v>29</v>
      </c>
      <c r="J156" s="51">
        <f>IF(J201&gt;0,J21/J201,0)</f>
        <v>66.666666666666671</v>
      </c>
      <c r="K156" s="91">
        <v>29</v>
      </c>
      <c r="L156" s="52">
        <f t="shared" si="36"/>
        <v>0</v>
      </c>
      <c r="M156" s="64">
        <v>400</v>
      </c>
      <c r="N156" s="51">
        <f>N21/N201</f>
        <v>999.99999999999989</v>
      </c>
      <c r="O156" s="51">
        <f t="shared" ref="O156:P157" si="39">O21/O201</f>
        <v>12000</v>
      </c>
      <c r="P156" s="51">
        <f t="shared" si="39"/>
        <v>83333.333333333343</v>
      </c>
      <c r="Q156" s="77">
        <v>940</v>
      </c>
      <c r="R156" s="77">
        <v>426</v>
      </c>
      <c r="S156" s="51">
        <f t="shared" si="36"/>
        <v>0</v>
      </c>
      <c r="T156" s="77">
        <v>426</v>
      </c>
      <c r="U156" s="77">
        <v>426</v>
      </c>
      <c r="V156" s="77">
        <v>426</v>
      </c>
      <c r="W156" s="77">
        <v>426</v>
      </c>
      <c r="X156" s="79">
        <v>426</v>
      </c>
      <c r="Y156" s="59">
        <f t="shared" si="36"/>
        <v>21.819128510527516</v>
      </c>
      <c r="Z156" s="51">
        <f t="shared" si="36"/>
        <v>1071.5022927462417</v>
      </c>
      <c r="AA156" s="51">
        <f t="shared" si="36"/>
        <v>75.290303712611291</v>
      </c>
      <c r="AC156" s="28" t="s">
        <v>60</v>
      </c>
      <c r="AD156" s="29" t="s">
        <v>13</v>
      </c>
      <c r="AE156" s="29" t="s">
        <v>61</v>
      </c>
      <c r="AF156" s="2"/>
      <c r="AG156" s="2"/>
      <c r="AH156" s="1">
        <f t="shared" ref="AH156:AV172" si="40">IF(F201&gt;0,F66/F201,"")</f>
        <v>7.9224258585858589</v>
      </c>
      <c r="AI156" s="1" t="str">
        <f t="shared" si="40"/>
        <v/>
      </c>
      <c r="AJ156" s="1">
        <f t="shared" si="40"/>
        <v>1.98</v>
      </c>
      <c r="AK156" s="1">
        <f t="shared" si="40"/>
        <v>7.6544217687074827</v>
      </c>
      <c r="AL156" s="1">
        <f t="shared" si="40"/>
        <v>28.571428571428573</v>
      </c>
      <c r="AM156" s="1">
        <f t="shared" si="40"/>
        <v>8.3375000000000004</v>
      </c>
      <c r="AN156" s="52" t="str">
        <f t="shared" si="40"/>
        <v/>
      </c>
      <c r="AO156" s="1">
        <f t="shared" si="40"/>
        <v>195.55555555555554</v>
      </c>
      <c r="AP156" s="1">
        <f t="shared" si="40"/>
        <v>295.45454545454544</v>
      </c>
      <c r="AQ156" s="1">
        <f t="shared" si="40"/>
        <v>3333.333333333333</v>
      </c>
      <c r="AR156" s="1">
        <f t="shared" si="40"/>
        <v>13333.333333333334</v>
      </c>
      <c r="AS156" s="1">
        <f t="shared" si="40"/>
        <v>281.99999999999994</v>
      </c>
      <c r="AT156" s="1">
        <f t="shared" si="40"/>
        <v>149.09999999999997</v>
      </c>
      <c r="AU156" s="1" t="str">
        <f t="shared" si="40"/>
        <v/>
      </c>
      <c r="AV156" s="1">
        <f t="shared" si="40"/>
        <v>170.4</v>
      </c>
      <c r="AW156" s="1">
        <f t="shared" si="38"/>
        <v>170.4</v>
      </c>
      <c r="AX156" s="1">
        <f t="shared" si="38"/>
        <v>511.2</v>
      </c>
      <c r="AY156" s="1">
        <f t="shared" si="38"/>
        <v>340.8</v>
      </c>
      <c r="AZ156" s="1">
        <f t="shared" si="38"/>
        <v>170.4</v>
      </c>
      <c r="BA156" s="1">
        <f t="shared" si="38"/>
        <v>5.2552141104494128</v>
      </c>
      <c r="BB156" s="1">
        <f t="shared" si="38"/>
        <v>305.46732202657159</v>
      </c>
      <c r="BC156" s="1">
        <f t="shared" si="38"/>
        <v>20.548108925865449</v>
      </c>
    </row>
    <row r="157" spans="1:55" x14ac:dyDescent="0.25">
      <c r="A157" s="36" t="s">
        <v>60</v>
      </c>
      <c r="B157" s="37" t="s">
        <v>13</v>
      </c>
      <c r="C157" s="29" t="s">
        <v>62</v>
      </c>
      <c r="D157" s="2"/>
      <c r="E157" s="2"/>
      <c r="F157" s="51">
        <f t="shared" si="37"/>
        <v>41.696969696969695</v>
      </c>
      <c r="G157" s="51">
        <f t="shared" si="36"/>
        <v>27.272727272727273</v>
      </c>
      <c r="H157" s="51">
        <f t="shared" si="36"/>
        <v>5.6</v>
      </c>
      <c r="I157" s="77">
        <v>20</v>
      </c>
      <c r="J157" s="51">
        <f t="shared" si="36"/>
        <v>0</v>
      </c>
      <c r="K157" s="51">
        <f t="shared" si="36"/>
        <v>0</v>
      </c>
      <c r="L157" s="52">
        <f t="shared" si="36"/>
        <v>0</v>
      </c>
      <c r="M157" s="51">
        <f t="shared" si="36"/>
        <v>0</v>
      </c>
      <c r="N157" s="51">
        <f t="shared" si="36"/>
        <v>0</v>
      </c>
      <c r="O157" s="51">
        <f t="shared" si="36"/>
        <v>0</v>
      </c>
      <c r="P157" s="51">
        <f t="shared" si="39"/>
        <v>44642.857142857145</v>
      </c>
      <c r="Q157" s="51">
        <f t="shared" si="36"/>
        <v>0</v>
      </c>
      <c r="R157" s="51">
        <f t="shared" si="36"/>
        <v>0</v>
      </c>
      <c r="S157" s="51">
        <f t="shared" si="36"/>
        <v>0</v>
      </c>
      <c r="T157" s="51">
        <f t="shared" si="36"/>
        <v>0</v>
      </c>
      <c r="U157" s="51">
        <f t="shared" si="36"/>
        <v>0</v>
      </c>
      <c r="V157" s="51">
        <f t="shared" si="36"/>
        <v>0</v>
      </c>
      <c r="W157" s="51">
        <f t="shared" si="36"/>
        <v>0</v>
      </c>
      <c r="X157" s="55">
        <f t="shared" si="36"/>
        <v>0</v>
      </c>
      <c r="Y157" s="59">
        <f t="shared" si="36"/>
        <v>8.9626556016597512</v>
      </c>
      <c r="Z157" s="51">
        <f t="shared" si="36"/>
        <v>44642.857142857145</v>
      </c>
      <c r="AA157" s="51">
        <f t="shared" si="36"/>
        <v>25.550666640120522</v>
      </c>
      <c r="AB157" s="14">
        <f>0.74*55</f>
        <v>40.700000000000003</v>
      </c>
      <c r="AC157" s="36" t="s">
        <v>60</v>
      </c>
      <c r="AD157" s="37" t="s">
        <v>13</v>
      </c>
      <c r="AE157" s="29" t="s">
        <v>62</v>
      </c>
      <c r="AF157" s="2"/>
      <c r="AG157" s="2"/>
      <c r="AH157" s="1">
        <f t="shared" si="40"/>
        <v>12.485624242424244</v>
      </c>
      <c r="AI157" s="1">
        <f t="shared" si="40"/>
        <v>8.4605690266551861</v>
      </c>
      <c r="AJ157" s="1">
        <f t="shared" si="40"/>
        <v>1.7769230769230768</v>
      </c>
      <c r="AK157" s="1" t="str">
        <f t="shared" si="40"/>
        <v/>
      </c>
      <c r="AL157" s="1" t="str">
        <f t="shared" si="40"/>
        <v/>
      </c>
      <c r="AM157" s="1" t="str">
        <f t="shared" si="40"/>
        <v/>
      </c>
      <c r="AN157" s="52" t="str">
        <f t="shared" si="40"/>
        <v/>
      </c>
      <c r="AO157" s="1" t="str">
        <f t="shared" si="40"/>
        <v/>
      </c>
      <c r="AP157" s="1" t="str">
        <f t="shared" si="40"/>
        <v/>
      </c>
      <c r="AQ157" s="1" t="str">
        <f t="shared" si="40"/>
        <v/>
      </c>
      <c r="AR157" s="1">
        <f t="shared" si="40"/>
        <v>7500.0000000000009</v>
      </c>
      <c r="AS157" s="1" t="str">
        <f t="shared" si="40"/>
        <v/>
      </c>
      <c r="AT157" s="1" t="str">
        <f t="shared" si="40"/>
        <v/>
      </c>
      <c r="AU157" s="1" t="str">
        <f t="shared" si="40"/>
        <v/>
      </c>
      <c r="AV157" s="1" t="str">
        <f t="shared" si="40"/>
        <v/>
      </c>
      <c r="AW157" s="1" t="str">
        <f t="shared" si="38"/>
        <v/>
      </c>
      <c r="AX157" s="1" t="str">
        <f t="shared" si="38"/>
        <v/>
      </c>
      <c r="AY157" s="1" t="str">
        <f t="shared" si="38"/>
        <v/>
      </c>
      <c r="AZ157" s="1" t="str">
        <f t="shared" si="38"/>
        <v/>
      </c>
      <c r="BA157" s="1">
        <f t="shared" si="38"/>
        <v>2.8023408394344274</v>
      </c>
      <c r="BB157" s="1">
        <f t="shared" si="38"/>
        <v>7500.0000000000009</v>
      </c>
      <c r="BC157" s="1">
        <f t="shared" si="38"/>
        <v>5.5886448121515695</v>
      </c>
    </row>
    <row r="158" spans="1:55" x14ac:dyDescent="0.25">
      <c r="A158" s="30" t="s">
        <v>60</v>
      </c>
      <c r="B158" s="31" t="s">
        <v>13</v>
      </c>
      <c r="C158" s="32" t="s">
        <v>63</v>
      </c>
      <c r="D158" s="2"/>
      <c r="E158" s="2"/>
      <c r="F158" s="51">
        <f t="shared" si="37"/>
        <v>0</v>
      </c>
      <c r="G158" s="51">
        <f t="shared" si="36"/>
        <v>0</v>
      </c>
      <c r="H158" s="51">
        <f t="shared" si="36"/>
        <v>0</v>
      </c>
      <c r="I158" s="51">
        <f t="shared" si="36"/>
        <v>0</v>
      </c>
      <c r="J158" s="51">
        <f t="shared" si="36"/>
        <v>0</v>
      </c>
      <c r="K158" s="51">
        <f t="shared" si="36"/>
        <v>0</v>
      </c>
      <c r="L158" s="52">
        <f t="shared" si="36"/>
        <v>0</v>
      </c>
      <c r="M158" s="51">
        <f t="shared" si="36"/>
        <v>0</v>
      </c>
      <c r="N158" s="51">
        <f t="shared" si="36"/>
        <v>0</v>
      </c>
      <c r="O158" s="51">
        <f t="shared" si="36"/>
        <v>0</v>
      </c>
      <c r="P158" s="51">
        <f t="shared" si="36"/>
        <v>0</v>
      </c>
      <c r="Q158" s="51">
        <f t="shared" si="36"/>
        <v>0</v>
      </c>
      <c r="R158" s="51">
        <f t="shared" si="36"/>
        <v>0</v>
      </c>
      <c r="S158" s="51">
        <f t="shared" si="36"/>
        <v>0</v>
      </c>
      <c r="T158" s="51">
        <f t="shared" si="36"/>
        <v>0</v>
      </c>
      <c r="U158" s="51">
        <f t="shared" si="36"/>
        <v>0</v>
      </c>
      <c r="V158" s="51">
        <f t="shared" si="36"/>
        <v>0</v>
      </c>
      <c r="W158" s="51">
        <f t="shared" si="36"/>
        <v>0</v>
      </c>
      <c r="X158" s="55">
        <f t="shared" si="36"/>
        <v>0</v>
      </c>
      <c r="Y158" s="59">
        <f t="shared" si="36"/>
        <v>0</v>
      </c>
      <c r="Z158" s="51">
        <f t="shared" si="36"/>
        <v>0</v>
      </c>
      <c r="AA158" s="51">
        <f t="shared" si="36"/>
        <v>0</v>
      </c>
      <c r="AB158" s="14">
        <f>0.75*70</f>
        <v>52.5</v>
      </c>
      <c r="AC158" s="30" t="s">
        <v>60</v>
      </c>
      <c r="AD158" s="31" t="s">
        <v>13</v>
      </c>
      <c r="AE158" s="32" t="s">
        <v>63</v>
      </c>
      <c r="AF158" s="2"/>
      <c r="AG158" s="2"/>
      <c r="AH158" s="1" t="str">
        <f t="shared" si="40"/>
        <v/>
      </c>
      <c r="AI158" s="1" t="str">
        <f t="shared" si="40"/>
        <v/>
      </c>
      <c r="AJ158" s="1" t="str">
        <f t="shared" si="40"/>
        <v/>
      </c>
      <c r="AK158" s="1" t="str">
        <f t="shared" si="40"/>
        <v/>
      </c>
      <c r="AL158" s="1" t="str">
        <f t="shared" si="40"/>
        <v/>
      </c>
      <c r="AM158" s="1" t="str">
        <f t="shared" si="40"/>
        <v/>
      </c>
      <c r="AN158" s="52" t="str">
        <f t="shared" si="40"/>
        <v/>
      </c>
      <c r="AO158" s="1" t="str">
        <f t="shared" si="40"/>
        <v/>
      </c>
      <c r="AP158" s="1" t="str">
        <f t="shared" si="40"/>
        <v/>
      </c>
      <c r="AQ158" s="1" t="str">
        <f t="shared" si="40"/>
        <v/>
      </c>
      <c r="AR158" s="1" t="str">
        <f t="shared" si="40"/>
        <v/>
      </c>
      <c r="AS158" s="1" t="str">
        <f t="shared" si="40"/>
        <v/>
      </c>
      <c r="AT158" s="1" t="str">
        <f t="shared" si="40"/>
        <v/>
      </c>
      <c r="AU158" s="1" t="str">
        <f t="shared" si="40"/>
        <v/>
      </c>
      <c r="AV158" s="1" t="str">
        <f t="shared" si="40"/>
        <v/>
      </c>
      <c r="AW158" s="1" t="str">
        <f t="shared" si="38"/>
        <v/>
      </c>
      <c r="AX158" s="1" t="str">
        <f t="shared" si="38"/>
        <v/>
      </c>
      <c r="AY158" s="1" t="str">
        <f t="shared" si="38"/>
        <v/>
      </c>
      <c r="AZ158" s="1" t="str">
        <f t="shared" si="38"/>
        <v/>
      </c>
      <c r="BA158" s="1" t="str">
        <f t="shared" si="38"/>
        <v/>
      </c>
      <c r="BB158" s="1" t="str">
        <f t="shared" si="38"/>
        <v/>
      </c>
      <c r="BC158" s="1" t="str">
        <f t="shared" si="38"/>
        <v/>
      </c>
    </row>
    <row r="159" spans="1:55" x14ac:dyDescent="0.25">
      <c r="A159" s="30" t="s">
        <v>60</v>
      </c>
      <c r="B159" s="32" t="s">
        <v>23</v>
      </c>
      <c r="C159" s="31" t="s">
        <v>50</v>
      </c>
      <c r="D159" s="2"/>
      <c r="E159" s="2"/>
      <c r="F159" s="77">
        <v>40</v>
      </c>
      <c r="G159" s="51">
        <f t="shared" si="36"/>
        <v>0</v>
      </c>
      <c r="H159" s="51">
        <f t="shared" si="36"/>
        <v>0</v>
      </c>
      <c r="I159" s="51">
        <f t="shared" si="36"/>
        <v>0</v>
      </c>
      <c r="J159" s="77">
        <v>45</v>
      </c>
      <c r="K159" s="77">
        <v>2.2000000000000002</v>
      </c>
      <c r="L159" s="52">
        <f t="shared" si="36"/>
        <v>0</v>
      </c>
      <c r="M159" s="51">
        <f t="shared" si="36"/>
        <v>0</v>
      </c>
      <c r="N159" s="51">
        <f>N24/N204</f>
        <v>1200</v>
      </c>
      <c r="O159" s="51">
        <f t="shared" si="36"/>
        <v>0</v>
      </c>
      <c r="P159" s="51">
        <f t="shared" si="36"/>
        <v>0</v>
      </c>
      <c r="Q159" s="51">
        <f t="shared" si="36"/>
        <v>0</v>
      </c>
      <c r="R159" s="51">
        <f t="shared" si="36"/>
        <v>0</v>
      </c>
      <c r="S159" s="51">
        <f t="shared" si="36"/>
        <v>0</v>
      </c>
      <c r="T159" s="51">
        <f t="shared" si="36"/>
        <v>0</v>
      </c>
      <c r="U159" s="51">
        <f t="shared" si="36"/>
        <v>0</v>
      </c>
      <c r="V159" s="77">
        <v>426</v>
      </c>
      <c r="W159" s="51">
        <f t="shared" si="36"/>
        <v>0</v>
      </c>
      <c r="X159" s="55">
        <f t="shared" si="36"/>
        <v>0</v>
      </c>
      <c r="Y159" s="59">
        <f t="shared" si="36"/>
        <v>2.2344360619422794</v>
      </c>
      <c r="Z159" s="51">
        <f t="shared" si="36"/>
        <v>1200</v>
      </c>
      <c r="AA159" s="51">
        <f t="shared" si="36"/>
        <v>4.7782041883314248</v>
      </c>
      <c r="AC159" s="30" t="s">
        <v>60</v>
      </c>
      <c r="AD159" s="32" t="s">
        <v>23</v>
      </c>
      <c r="AE159" s="31" t="s">
        <v>50</v>
      </c>
      <c r="AF159" s="2"/>
      <c r="AG159" s="2"/>
      <c r="AH159" s="1" t="str">
        <f t="shared" si="40"/>
        <v/>
      </c>
      <c r="AI159" s="1" t="str">
        <f t="shared" si="40"/>
        <v/>
      </c>
      <c r="AJ159" s="1" t="str">
        <f t="shared" si="40"/>
        <v/>
      </c>
      <c r="AK159" s="1" t="str">
        <f t="shared" si="40"/>
        <v/>
      </c>
      <c r="AL159" s="1">
        <f t="shared" si="40"/>
        <v>14.85</v>
      </c>
      <c r="AM159" s="1">
        <f t="shared" si="40"/>
        <v>2.1880423529411765</v>
      </c>
      <c r="AN159" s="52" t="str">
        <f t="shared" si="40"/>
        <v/>
      </c>
      <c r="AO159" s="1" t="str">
        <f t="shared" si="40"/>
        <v/>
      </c>
      <c r="AP159" s="1">
        <f t="shared" si="40"/>
        <v>400</v>
      </c>
      <c r="AQ159" s="1" t="str">
        <f t="shared" si="40"/>
        <v/>
      </c>
      <c r="AR159" s="1" t="str">
        <f t="shared" si="40"/>
        <v/>
      </c>
      <c r="AS159" s="1" t="str">
        <f t="shared" si="40"/>
        <v/>
      </c>
      <c r="AT159" s="1" t="str">
        <f t="shared" si="40"/>
        <v/>
      </c>
      <c r="AU159" s="1" t="str">
        <f t="shared" si="40"/>
        <v/>
      </c>
      <c r="AV159" s="1" t="str">
        <f t="shared" si="40"/>
        <v/>
      </c>
      <c r="AW159" s="1" t="str">
        <f t="shared" si="38"/>
        <v/>
      </c>
      <c r="AX159" s="1" t="str">
        <f t="shared" si="38"/>
        <v/>
      </c>
      <c r="AY159" s="1" t="str">
        <f t="shared" si="38"/>
        <v/>
      </c>
      <c r="AZ159" s="1" t="str">
        <f t="shared" si="38"/>
        <v/>
      </c>
      <c r="BA159" s="1">
        <f t="shared" si="38"/>
        <v>2.1982299220496961</v>
      </c>
      <c r="BB159" s="1">
        <f t="shared" si="38"/>
        <v>400</v>
      </c>
      <c r="BC159" s="1">
        <f t="shared" si="38"/>
        <v>2.7119537285124302</v>
      </c>
    </row>
    <row r="160" spans="1:55" x14ac:dyDescent="0.25">
      <c r="A160" s="30" t="s">
        <v>60</v>
      </c>
      <c r="B160" s="32" t="s">
        <v>23</v>
      </c>
      <c r="C160" s="31" t="s">
        <v>49</v>
      </c>
      <c r="D160" s="2"/>
      <c r="E160" s="2"/>
      <c r="F160" s="51">
        <f t="shared" si="37"/>
        <v>0</v>
      </c>
      <c r="G160" s="51">
        <f t="shared" si="36"/>
        <v>0</v>
      </c>
      <c r="H160" s="51">
        <f t="shared" si="36"/>
        <v>0</v>
      </c>
      <c r="I160" s="51">
        <f t="shared" si="36"/>
        <v>0</v>
      </c>
      <c r="J160" s="77">
        <v>40</v>
      </c>
      <c r="K160" s="77">
        <v>40</v>
      </c>
      <c r="L160" s="52">
        <f t="shared" si="36"/>
        <v>0</v>
      </c>
      <c r="M160" s="51">
        <f t="shared" si="36"/>
        <v>0</v>
      </c>
      <c r="N160" s="51">
        <f t="shared" si="36"/>
        <v>0</v>
      </c>
      <c r="O160" s="51">
        <f t="shared" si="36"/>
        <v>0</v>
      </c>
      <c r="P160" s="51">
        <f t="shared" si="36"/>
        <v>0</v>
      </c>
      <c r="Q160" s="51">
        <f t="shared" si="36"/>
        <v>0</v>
      </c>
      <c r="R160" s="51">
        <f t="shared" si="36"/>
        <v>0</v>
      </c>
      <c r="S160" s="77">
        <v>100</v>
      </c>
      <c r="T160" s="77">
        <v>406</v>
      </c>
      <c r="U160" s="51">
        <f t="shared" si="36"/>
        <v>0</v>
      </c>
      <c r="V160" s="77">
        <v>406</v>
      </c>
      <c r="W160" s="51">
        <f t="shared" si="36"/>
        <v>0</v>
      </c>
      <c r="X160" s="77">
        <v>100</v>
      </c>
      <c r="Y160" s="59">
        <f t="shared" si="36"/>
        <v>40</v>
      </c>
      <c r="Z160" s="51">
        <f t="shared" si="36"/>
        <v>206.70944343702052</v>
      </c>
      <c r="AA160" s="51">
        <f t="shared" si="36"/>
        <v>55.339121729588207</v>
      </c>
      <c r="AC160" s="30" t="s">
        <v>60</v>
      </c>
      <c r="AD160" s="32" t="s">
        <v>23</v>
      </c>
      <c r="AE160" s="31" t="s">
        <v>49</v>
      </c>
      <c r="AF160" s="2"/>
      <c r="AG160" s="2"/>
      <c r="AH160" s="1" t="str">
        <f t="shared" si="40"/>
        <v/>
      </c>
      <c r="AI160" s="1" t="str">
        <f t="shared" si="40"/>
        <v/>
      </c>
      <c r="AJ160" s="1" t="str">
        <f t="shared" si="40"/>
        <v/>
      </c>
      <c r="AK160" s="1" t="str">
        <f t="shared" si="40"/>
        <v/>
      </c>
      <c r="AL160" s="1">
        <f t="shared" si="40"/>
        <v>9.6969696969696972</v>
      </c>
      <c r="AM160" s="1">
        <f t="shared" si="40"/>
        <v>9.795918367346939</v>
      </c>
      <c r="AN160" s="52" t="str">
        <f t="shared" si="40"/>
        <v/>
      </c>
      <c r="AO160" s="1" t="str">
        <f t="shared" si="40"/>
        <v/>
      </c>
      <c r="AP160" s="1" t="str">
        <f t="shared" si="40"/>
        <v/>
      </c>
      <c r="AQ160" s="1" t="str">
        <f t="shared" si="40"/>
        <v/>
      </c>
      <c r="AR160" s="1" t="str">
        <f t="shared" si="40"/>
        <v/>
      </c>
      <c r="AS160" s="1" t="str">
        <f t="shared" si="40"/>
        <v/>
      </c>
      <c r="AT160" s="1" t="str">
        <f t="shared" si="40"/>
        <v/>
      </c>
      <c r="AU160" s="1">
        <f t="shared" si="40"/>
        <v>24.489795918367346</v>
      </c>
      <c r="AV160" s="1">
        <f t="shared" si="40"/>
        <v>162.4</v>
      </c>
      <c r="AW160" s="1" t="str">
        <f t="shared" si="38"/>
        <v/>
      </c>
      <c r="AX160" s="1">
        <f t="shared" si="38"/>
        <v>365.4</v>
      </c>
      <c r="AY160" s="1" t="str">
        <f t="shared" si="38"/>
        <v/>
      </c>
      <c r="AZ160" s="1">
        <f t="shared" si="38"/>
        <v>90</v>
      </c>
      <c r="BA160" s="1">
        <f t="shared" si="38"/>
        <v>9.7178383548541376</v>
      </c>
      <c r="BB160" s="1">
        <f t="shared" si="38"/>
        <v>94.387873715534482</v>
      </c>
      <c r="BC160" s="1">
        <f t="shared" si="38"/>
        <v>21.711833698049357</v>
      </c>
    </row>
    <row r="161" spans="1:55" x14ac:dyDescent="0.25">
      <c r="A161" s="30" t="s">
        <v>60</v>
      </c>
      <c r="B161" s="32" t="s">
        <v>23</v>
      </c>
      <c r="C161" s="31" t="s">
        <v>64</v>
      </c>
      <c r="D161" s="2"/>
      <c r="E161" s="2"/>
      <c r="F161" s="51">
        <f t="shared" si="37"/>
        <v>0</v>
      </c>
      <c r="G161" s="51">
        <f t="shared" si="36"/>
        <v>0</v>
      </c>
      <c r="H161" s="51">
        <f t="shared" si="36"/>
        <v>0</v>
      </c>
      <c r="I161" s="51">
        <f t="shared" si="36"/>
        <v>0</v>
      </c>
      <c r="J161" s="51">
        <f t="shared" si="36"/>
        <v>0</v>
      </c>
      <c r="K161" s="51">
        <f t="shared" si="36"/>
        <v>0</v>
      </c>
      <c r="L161" s="52">
        <f t="shared" si="36"/>
        <v>0</v>
      </c>
      <c r="M161" s="51">
        <f t="shared" si="36"/>
        <v>0</v>
      </c>
      <c r="N161" s="51">
        <f t="shared" si="36"/>
        <v>0</v>
      </c>
      <c r="O161" s="51">
        <f t="shared" si="36"/>
        <v>0</v>
      </c>
      <c r="P161" s="51">
        <f t="shared" si="36"/>
        <v>0</v>
      </c>
      <c r="Q161" s="51">
        <f t="shared" si="36"/>
        <v>0</v>
      </c>
      <c r="R161" s="51">
        <f t="shared" si="36"/>
        <v>0</v>
      </c>
      <c r="S161" s="51">
        <f t="shared" si="36"/>
        <v>0</v>
      </c>
      <c r="T161" s="51">
        <f t="shared" si="36"/>
        <v>0</v>
      </c>
      <c r="U161" s="51">
        <f t="shared" si="36"/>
        <v>0</v>
      </c>
      <c r="V161" s="51">
        <f t="shared" si="36"/>
        <v>0</v>
      </c>
      <c r="W161" s="51">
        <f t="shared" si="36"/>
        <v>0</v>
      </c>
      <c r="X161" s="55">
        <f t="shared" si="36"/>
        <v>0</v>
      </c>
      <c r="Y161" s="59">
        <f t="shared" si="36"/>
        <v>0</v>
      </c>
      <c r="Z161" s="51">
        <f t="shared" si="36"/>
        <v>0</v>
      </c>
      <c r="AA161" s="51">
        <f t="shared" si="36"/>
        <v>0</v>
      </c>
      <c r="AC161" s="30" t="s">
        <v>60</v>
      </c>
      <c r="AD161" s="32" t="s">
        <v>23</v>
      </c>
      <c r="AE161" s="31" t="s">
        <v>64</v>
      </c>
      <c r="AF161" s="2"/>
      <c r="AG161" s="2"/>
      <c r="AH161" s="1" t="str">
        <f t="shared" si="40"/>
        <v/>
      </c>
      <c r="AI161" s="1" t="str">
        <f t="shared" si="40"/>
        <v/>
      </c>
      <c r="AJ161" s="1" t="str">
        <f t="shared" si="40"/>
        <v/>
      </c>
      <c r="AK161" s="1" t="str">
        <f t="shared" si="40"/>
        <v/>
      </c>
      <c r="AL161" s="1" t="str">
        <f t="shared" si="40"/>
        <v/>
      </c>
      <c r="AM161" s="1" t="str">
        <f t="shared" si="40"/>
        <v/>
      </c>
      <c r="AN161" s="52" t="str">
        <f t="shared" si="40"/>
        <v/>
      </c>
      <c r="AO161" s="1" t="str">
        <f t="shared" si="40"/>
        <v/>
      </c>
      <c r="AP161" s="1" t="str">
        <f t="shared" si="40"/>
        <v/>
      </c>
      <c r="AQ161" s="1" t="str">
        <f t="shared" si="40"/>
        <v/>
      </c>
      <c r="AR161" s="1" t="str">
        <f t="shared" si="40"/>
        <v/>
      </c>
      <c r="AS161" s="1" t="str">
        <f t="shared" si="40"/>
        <v/>
      </c>
      <c r="AT161" s="1" t="str">
        <f t="shared" si="40"/>
        <v/>
      </c>
      <c r="AU161" s="1" t="str">
        <f t="shared" si="40"/>
        <v/>
      </c>
      <c r="AV161" s="1" t="str">
        <f t="shared" si="40"/>
        <v/>
      </c>
      <c r="AW161" s="1" t="str">
        <f t="shared" si="38"/>
        <v/>
      </c>
      <c r="AX161" s="1" t="str">
        <f t="shared" si="38"/>
        <v/>
      </c>
      <c r="AY161" s="1" t="str">
        <f t="shared" si="38"/>
        <v/>
      </c>
      <c r="AZ161" s="1" t="str">
        <f t="shared" si="38"/>
        <v/>
      </c>
      <c r="BA161" s="1" t="str">
        <f t="shared" si="38"/>
        <v/>
      </c>
      <c r="BB161" s="1" t="str">
        <f t="shared" si="38"/>
        <v/>
      </c>
      <c r="BC161" s="1" t="str">
        <f t="shared" si="38"/>
        <v/>
      </c>
    </row>
    <row r="162" spans="1:55" x14ac:dyDescent="0.25">
      <c r="A162" s="30" t="s">
        <v>60</v>
      </c>
      <c r="B162" s="32" t="s">
        <v>65</v>
      </c>
      <c r="C162" s="31" t="s">
        <v>66</v>
      </c>
      <c r="D162" s="2"/>
      <c r="E162" s="2"/>
      <c r="F162" s="51">
        <f t="shared" si="37"/>
        <v>0</v>
      </c>
      <c r="G162" s="51">
        <f t="shared" si="36"/>
        <v>0</v>
      </c>
      <c r="H162" s="51">
        <f t="shared" si="36"/>
        <v>0</v>
      </c>
      <c r="I162" s="51">
        <f t="shared" si="36"/>
        <v>0</v>
      </c>
      <c r="J162" s="77">
        <v>56</v>
      </c>
      <c r="K162" s="51">
        <f t="shared" si="36"/>
        <v>0</v>
      </c>
      <c r="L162" s="52">
        <f t="shared" si="36"/>
        <v>0</v>
      </c>
      <c r="M162" s="77">
        <f>300</f>
        <v>300</v>
      </c>
      <c r="N162" s="51">
        <f t="shared" si="36"/>
        <v>0</v>
      </c>
      <c r="O162" s="51">
        <f t="shared" si="36"/>
        <v>0</v>
      </c>
      <c r="P162" s="51">
        <f t="shared" si="36"/>
        <v>0</v>
      </c>
      <c r="Q162" s="51">
        <f t="shared" si="36"/>
        <v>0</v>
      </c>
      <c r="R162" s="51">
        <f t="shared" si="36"/>
        <v>0</v>
      </c>
      <c r="S162" s="51">
        <f t="shared" si="36"/>
        <v>0</v>
      </c>
      <c r="T162" s="51">
        <f t="shared" si="36"/>
        <v>0</v>
      </c>
      <c r="U162" s="51">
        <f t="shared" si="36"/>
        <v>0</v>
      </c>
      <c r="V162" s="51">
        <f t="shared" si="36"/>
        <v>0</v>
      </c>
      <c r="W162" s="51">
        <f t="shared" si="36"/>
        <v>0</v>
      </c>
      <c r="X162" s="55">
        <f t="shared" si="36"/>
        <v>0</v>
      </c>
      <c r="Y162" s="59">
        <f t="shared" si="36"/>
        <v>55.999999999999993</v>
      </c>
      <c r="Z162" s="51">
        <f t="shared" si="36"/>
        <v>300</v>
      </c>
      <c r="AA162" s="51">
        <f t="shared" si="36"/>
        <v>151.44975819451906</v>
      </c>
      <c r="AC162" s="30" t="s">
        <v>60</v>
      </c>
      <c r="AD162" s="32" t="s">
        <v>65</v>
      </c>
      <c r="AE162" s="31" t="s">
        <v>66</v>
      </c>
      <c r="AF162" s="2"/>
      <c r="AG162" s="2"/>
      <c r="AH162" s="1" t="str">
        <f t="shared" si="40"/>
        <v/>
      </c>
      <c r="AI162" s="1" t="str">
        <f t="shared" si="40"/>
        <v/>
      </c>
      <c r="AJ162" s="1" t="str">
        <f t="shared" si="40"/>
        <v/>
      </c>
      <c r="AK162" s="1" t="str">
        <f t="shared" si="40"/>
        <v/>
      </c>
      <c r="AL162" s="1">
        <f t="shared" si="40"/>
        <v>6.7199999999999989</v>
      </c>
      <c r="AM162" s="1" t="str">
        <f t="shared" si="40"/>
        <v/>
      </c>
      <c r="AN162" s="52" t="str">
        <f t="shared" si="40"/>
        <v/>
      </c>
      <c r="AO162" s="1">
        <f t="shared" si="40"/>
        <v>24</v>
      </c>
      <c r="AP162" s="1" t="str">
        <f t="shared" si="40"/>
        <v/>
      </c>
      <c r="AQ162" s="1" t="str">
        <f t="shared" si="40"/>
        <v/>
      </c>
      <c r="AR162" s="1" t="str">
        <f t="shared" si="40"/>
        <v/>
      </c>
      <c r="AS162" s="1" t="str">
        <f t="shared" si="40"/>
        <v/>
      </c>
      <c r="AT162" s="1" t="str">
        <f t="shared" si="40"/>
        <v/>
      </c>
      <c r="AU162" s="1" t="str">
        <f t="shared" si="40"/>
        <v/>
      </c>
      <c r="AV162" s="1" t="str">
        <f t="shared" si="40"/>
        <v/>
      </c>
      <c r="AW162" s="1" t="str">
        <f t="shared" si="38"/>
        <v/>
      </c>
      <c r="AX162" s="1" t="str">
        <f t="shared" si="38"/>
        <v/>
      </c>
      <c r="AY162" s="1" t="str">
        <f t="shared" si="38"/>
        <v/>
      </c>
      <c r="AZ162" s="1" t="str">
        <f t="shared" si="38"/>
        <v/>
      </c>
      <c r="BA162" s="1">
        <f t="shared" si="38"/>
        <v>6.7199999999999989</v>
      </c>
      <c r="BB162" s="1">
        <f t="shared" si="38"/>
        <v>24</v>
      </c>
      <c r="BC162" s="1">
        <f t="shared" si="38"/>
        <v>13.479720580333153</v>
      </c>
    </row>
    <row r="163" spans="1:55" x14ac:dyDescent="0.25">
      <c r="A163" s="30" t="s">
        <v>60</v>
      </c>
      <c r="B163" s="32" t="s">
        <v>65</v>
      </c>
      <c r="C163" s="31" t="s">
        <v>67</v>
      </c>
      <c r="D163" s="2"/>
      <c r="E163" s="2"/>
      <c r="F163" s="51">
        <f t="shared" si="37"/>
        <v>0</v>
      </c>
      <c r="G163" s="51">
        <f t="shared" si="36"/>
        <v>0</v>
      </c>
      <c r="H163" s="51">
        <f t="shared" si="36"/>
        <v>0</v>
      </c>
      <c r="I163" s="51">
        <f t="shared" si="36"/>
        <v>0</v>
      </c>
      <c r="J163" s="51">
        <f t="shared" si="36"/>
        <v>0</v>
      </c>
      <c r="K163" s="51">
        <f t="shared" si="36"/>
        <v>0</v>
      </c>
      <c r="L163" s="52">
        <f t="shared" si="36"/>
        <v>0</v>
      </c>
      <c r="M163" s="51">
        <f t="shared" si="36"/>
        <v>0</v>
      </c>
      <c r="N163" s="51">
        <f t="shared" si="36"/>
        <v>0</v>
      </c>
      <c r="O163" s="51">
        <f t="shared" si="36"/>
        <v>0</v>
      </c>
      <c r="P163" s="51">
        <f t="shared" si="36"/>
        <v>0</v>
      </c>
      <c r="Q163" s="77">
        <v>940</v>
      </c>
      <c r="R163" s="77">
        <v>426</v>
      </c>
      <c r="S163" s="51">
        <f t="shared" si="36"/>
        <v>0</v>
      </c>
      <c r="T163" s="77">
        <v>426</v>
      </c>
      <c r="U163" s="77">
        <v>426</v>
      </c>
      <c r="V163" s="77">
        <v>426</v>
      </c>
      <c r="W163" s="77">
        <v>426</v>
      </c>
      <c r="X163" s="79">
        <v>426</v>
      </c>
      <c r="Y163" s="59">
        <f t="shared" si="36"/>
        <v>0</v>
      </c>
      <c r="Z163" s="51">
        <f t="shared" si="36"/>
        <v>537.79847510254331</v>
      </c>
      <c r="AA163" s="51">
        <f t="shared" si="36"/>
        <v>537.79847510254331</v>
      </c>
      <c r="AC163" s="30" t="s">
        <v>60</v>
      </c>
      <c r="AD163" s="32" t="s">
        <v>65</v>
      </c>
      <c r="AE163" s="31" t="s">
        <v>67</v>
      </c>
      <c r="AF163" s="2"/>
      <c r="AG163" s="2"/>
      <c r="AH163" s="1" t="str">
        <f t="shared" si="40"/>
        <v/>
      </c>
      <c r="AI163" s="1" t="str">
        <f t="shared" si="40"/>
        <v/>
      </c>
      <c r="AJ163" s="1" t="str">
        <f t="shared" si="40"/>
        <v/>
      </c>
      <c r="AK163" s="1" t="str">
        <f t="shared" si="40"/>
        <v/>
      </c>
      <c r="AL163" s="1" t="str">
        <f t="shared" si="40"/>
        <v/>
      </c>
      <c r="AM163" s="1" t="str">
        <f t="shared" si="40"/>
        <v/>
      </c>
      <c r="AN163" s="52" t="str">
        <f t="shared" si="40"/>
        <v/>
      </c>
      <c r="AO163" s="1" t="str">
        <f t="shared" si="40"/>
        <v/>
      </c>
      <c r="AP163" s="1" t="str">
        <f t="shared" si="40"/>
        <v/>
      </c>
      <c r="AQ163" s="1" t="str">
        <f t="shared" si="40"/>
        <v/>
      </c>
      <c r="AR163" s="1" t="str">
        <f t="shared" si="40"/>
        <v/>
      </c>
      <c r="AS163" s="1">
        <f t="shared" si="40"/>
        <v>112.79999999999998</v>
      </c>
      <c r="AT163" s="1">
        <f t="shared" si="40"/>
        <v>76.680000000000007</v>
      </c>
      <c r="AU163" s="1" t="str">
        <f t="shared" si="40"/>
        <v/>
      </c>
      <c r="AV163" s="1">
        <f t="shared" si="40"/>
        <v>76.679999999999993</v>
      </c>
      <c r="AW163" s="1">
        <f t="shared" si="38"/>
        <v>93.72</v>
      </c>
      <c r="AX163" s="1">
        <f t="shared" si="38"/>
        <v>51.11999999999999</v>
      </c>
      <c r="AY163" s="1">
        <f t="shared" si="38"/>
        <v>51.11999999999999</v>
      </c>
      <c r="AZ163" s="1">
        <f t="shared" si="38"/>
        <v>51.12</v>
      </c>
      <c r="BA163" s="1" t="str">
        <f t="shared" si="38"/>
        <v/>
      </c>
      <c r="BB163" s="1">
        <f t="shared" si="38"/>
        <v>78.769501073682193</v>
      </c>
      <c r="BC163" s="1">
        <f t="shared" si="38"/>
        <v>78.769501073682193</v>
      </c>
    </row>
    <row r="164" spans="1:55" x14ac:dyDescent="0.25">
      <c r="A164" s="30" t="s">
        <v>60</v>
      </c>
      <c r="B164" s="32" t="s">
        <v>65</v>
      </c>
      <c r="C164" s="31" t="s">
        <v>68</v>
      </c>
      <c r="D164" s="2"/>
      <c r="E164" s="2"/>
      <c r="F164" s="51">
        <f t="shared" si="37"/>
        <v>0</v>
      </c>
      <c r="G164" s="51">
        <f t="shared" si="36"/>
        <v>0</v>
      </c>
      <c r="H164" s="51">
        <f t="shared" si="36"/>
        <v>0</v>
      </c>
      <c r="I164" s="51">
        <f t="shared" si="36"/>
        <v>0</v>
      </c>
      <c r="J164" s="51">
        <f t="shared" si="36"/>
        <v>0</v>
      </c>
      <c r="K164" s="51">
        <f t="shared" si="36"/>
        <v>0</v>
      </c>
      <c r="L164" s="77">
        <v>750</v>
      </c>
      <c r="M164" s="51">
        <f t="shared" si="36"/>
        <v>0</v>
      </c>
      <c r="N164" s="51">
        <f t="shared" si="36"/>
        <v>0</v>
      </c>
      <c r="O164" s="51">
        <f t="shared" si="36"/>
        <v>0</v>
      </c>
      <c r="P164" s="51">
        <f t="shared" si="36"/>
        <v>0</v>
      </c>
      <c r="Q164" s="51">
        <f t="shared" si="36"/>
        <v>0</v>
      </c>
      <c r="R164" s="51">
        <f t="shared" si="36"/>
        <v>0</v>
      </c>
      <c r="S164" s="51">
        <f t="shared" si="36"/>
        <v>0</v>
      </c>
      <c r="T164" s="51">
        <f t="shared" si="36"/>
        <v>0</v>
      </c>
      <c r="U164" s="51">
        <f t="shared" si="36"/>
        <v>0</v>
      </c>
      <c r="V164" s="51">
        <f t="shared" si="36"/>
        <v>0</v>
      </c>
      <c r="W164" s="51">
        <f t="shared" si="36"/>
        <v>0</v>
      </c>
      <c r="X164" s="55">
        <f t="shared" si="36"/>
        <v>0</v>
      </c>
      <c r="Y164" s="59">
        <f t="shared" si="36"/>
        <v>0</v>
      </c>
      <c r="Z164" s="51">
        <f t="shared" si="36"/>
        <v>0</v>
      </c>
      <c r="AA164" s="51">
        <f t="shared" si="36"/>
        <v>750</v>
      </c>
      <c r="AC164" s="30" t="s">
        <v>60</v>
      </c>
      <c r="AD164" s="32" t="s">
        <v>65</v>
      </c>
      <c r="AE164" s="31" t="s">
        <v>68</v>
      </c>
      <c r="AF164" s="2"/>
      <c r="AG164" s="2"/>
      <c r="AH164" s="1" t="str">
        <f t="shared" si="40"/>
        <v/>
      </c>
      <c r="AI164" s="1" t="str">
        <f t="shared" si="40"/>
        <v/>
      </c>
      <c r="AJ164" s="1" t="str">
        <f t="shared" si="40"/>
        <v/>
      </c>
      <c r="AK164" s="1" t="str">
        <f t="shared" si="40"/>
        <v/>
      </c>
      <c r="AL164" s="1" t="str">
        <f t="shared" si="40"/>
        <v/>
      </c>
      <c r="AM164" s="1" t="str">
        <f t="shared" si="40"/>
        <v/>
      </c>
      <c r="AN164" s="52">
        <f t="shared" si="40"/>
        <v>56.25</v>
      </c>
      <c r="AO164" s="1" t="str">
        <f t="shared" si="40"/>
        <v/>
      </c>
      <c r="AP164" s="1" t="str">
        <f t="shared" si="40"/>
        <v/>
      </c>
      <c r="AQ164" s="1" t="str">
        <f t="shared" si="40"/>
        <v/>
      </c>
      <c r="AR164" s="1" t="str">
        <f t="shared" si="40"/>
        <v/>
      </c>
      <c r="AS164" s="1" t="str">
        <f t="shared" si="40"/>
        <v/>
      </c>
      <c r="AT164" s="1" t="str">
        <f t="shared" si="40"/>
        <v/>
      </c>
      <c r="AU164" s="1" t="str">
        <f t="shared" si="40"/>
        <v/>
      </c>
      <c r="AV164" s="1" t="str">
        <f t="shared" si="40"/>
        <v/>
      </c>
      <c r="AW164" s="1" t="str">
        <f t="shared" si="38"/>
        <v/>
      </c>
      <c r="AX164" s="1" t="str">
        <f t="shared" si="38"/>
        <v/>
      </c>
      <c r="AY164" s="1" t="str">
        <f t="shared" si="38"/>
        <v/>
      </c>
      <c r="AZ164" s="1" t="str">
        <f t="shared" si="38"/>
        <v/>
      </c>
      <c r="BA164" s="1" t="str">
        <f t="shared" si="38"/>
        <v/>
      </c>
      <c r="BB164" s="1" t="str">
        <f t="shared" si="38"/>
        <v/>
      </c>
      <c r="BC164" s="1">
        <f t="shared" si="38"/>
        <v>56.25</v>
      </c>
    </row>
    <row r="165" spans="1:55" x14ac:dyDescent="0.25">
      <c r="A165" s="30" t="s">
        <v>60</v>
      </c>
      <c r="B165" s="32" t="s">
        <v>9</v>
      </c>
      <c r="C165" s="31" t="s">
        <v>69</v>
      </c>
      <c r="D165" s="2"/>
      <c r="E165" s="2"/>
      <c r="F165" s="51">
        <f t="shared" si="37"/>
        <v>0</v>
      </c>
      <c r="G165" s="51">
        <f t="shared" si="36"/>
        <v>0</v>
      </c>
      <c r="H165" s="51">
        <f t="shared" si="36"/>
        <v>0</v>
      </c>
      <c r="I165" s="51">
        <f t="shared" si="36"/>
        <v>0</v>
      </c>
      <c r="J165" s="51">
        <f t="shared" si="36"/>
        <v>0</v>
      </c>
      <c r="K165" s="51">
        <f t="shared" si="36"/>
        <v>0</v>
      </c>
      <c r="L165" s="52">
        <f t="shared" si="36"/>
        <v>0</v>
      </c>
      <c r="M165" s="51">
        <f t="shared" si="36"/>
        <v>0</v>
      </c>
      <c r="N165" s="51">
        <f t="shared" si="36"/>
        <v>0</v>
      </c>
      <c r="O165" s="51">
        <f t="shared" si="36"/>
        <v>0</v>
      </c>
      <c r="P165" s="51">
        <f t="shared" si="36"/>
        <v>0</v>
      </c>
      <c r="Q165" s="51">
        <f t="shared" ref="G165:AA179" si="41">IF(Q210&gt;0,Q30/Q210,0)</f>
        <v>0</v>
      </c>
      <c r="R165" s="51">
        <f t="shared" si="41"/>
        <v>0</v>
      </c>
      <c r="S165" s="51">
        <f t="shared" si="41"/>
        <v>0</v>
      </c>
      <c r="T165" s="51">
        <f t="shared" si="41"/>
        <v>0</v>
      </c>
      <c r="U165" s="51">
        <f t="shared" si="41"/>
        <v>0</v>
      </c>
      <c r="V165" s="51">
        <f t="shared" si="41"/>
        <v>0</v>
      </c>
      <c r="W165" s="51">
        <f t="shared" si="41"/>
        <v>0</v>
      </c>
      <c r="X165" s="79">
        <v>426</v>
      </c>
      <c r="Y165" s="59">
        <f t="shared" si="41"/>
        <v>0</v>
      </c>
      <c r="Z165" s="51">
        <f t="shared" si="41"/>
        <v>577.08799999999997</v>
      </c>
      <c r="AA165" s="51">
        <f t="shared" si="41"/>
        <v>577.08799999999997</v>
      </c>
      <c r="AC165" s="30" t="s">
        <v>60</v>
      </c>
      <c r="AD165" s="32" t="s">
        <v>9</v>
      </c>
      <c r="AE165" s="31" t="s">
        <v>69</v>
      </c>
      <c r="AF165" s="2"/>
      <c r="AG165" s="2"/>
      <c r="AH165" s="1" t="str">
        <f t="shared" si="40"/>
        <v/>
      </c>
      <c r="AI165" s="1" t="str">
        <f t="shared" si="40"/>
        <v/>
      </c>
      <c r="AJ165" s="1" t="str">
        <f t="shared" si="40"/>
        <v/>
      </c>
      <c r="AK165" s="1" t="str">
        <f t="shared" si="40"/>
        <v/>
      </c>
      <c r="AL165" s="1" t="str">
        <f t="shared" si="40"/>
        <v/>
      </c>
      <c r="AM165" s="1" t="str">
        <f t="shared" si="40"/>
        <v/>
      </c>
      <c r="AN165" s="52" t="str">
        <f t="shared" si="40"/>
        <v/>
      </c>
      <c r="AO165" s="1" t="str">
        <f t="shared" si="40"/>
        <v/>
      </c>
      <c r="AP165" s="1" t="str">
        <f t="shared" si="40"/>
        <v/>
      </c>
      <c r="AQ165" s="1" t="str">
        <f t="shared" si="40"/>
        <v/>
      </c>
      <c r="AR165" s="1" t="str">
        <f t="shared" si="40"/>
        <v/>
      </c>
      <c r="AS165" s="1" t="str">
        <f t="shared" si="40"/>
        <v/>
      </c>
      <c r="AT165" s="1" t="str">
        <f t="shared" si="40"/>
        <v/>
      </c>
      <c r="AU165" s="1" t="str">
        <f t="shared" si="40"/>
        <v/>
      </c>
      <c r="AV165" s="1" t="str">
        <f t="shared" si="40"/>
        <v/>
      </c>
      <c r="AW165" s="1" t="str">
        <f t="shared" si="38"/>
        <v/>
      </c>
      <c r="AX165" s="1" t="str">
        <f t="shared" si="38"/>
        <v/>
      </c>
      <c r="AY165" s="1" t="str">
        <f t="shared" si="38"/>
        <v/>
      </c>
      <c r="AZ165" s="1">
        <f t="shared" si="38"/>
        <v>178.92</v>
      </c>
      <c r="BA165" s="1" t="str">
        <f t="shared" si="38"/>
        <v/>
      </c>
      <c r="BB165" s="1">
        <f t="shared" si="38"/>
        <v>330.00799999999998</v>
      </c>
      <c r="BC165" s="1">
        <f t="shared" si="38"/>
        <v>330.00799999999998</v>
      </c>
    </row>
    <row r="166" spans="1:55" x14ac:dyDescent="0.25">
      <c r="A166" s="15" t="s">
        <v>51</v>
      </c>
      <c r="B166" s="16" t="s">
        <v>56</v>
      </c>
      <c r="C166" s="27" t="s">
        <v>57</v>
      </c>
      <c r="D166" s="16" t="s">
        <v>70</v>
      </c>
      <c r="E166" s="16"/>
      <c r="F166" s="1">
        <f t="shared" si="37"/>
        <v>0</v>
      </c>
      <c r="G166" s="1">
        <f t="shared" si="41"/>
        <v>0</v>
      </c>
      <c r="H166" s="1">
        <f t="shared" si="41"/>
        <v>0</v>
      </c>
      <c r="I166" s="1">
        <f t="shared" si="41"/>
        <v>0</v>
      </c>
      <c r="J166" s="1">
        <f t="shared" si="41"/>
        <v>0</v>
      </c>
      <c r="K166" s="1">
        <f t="shared" si="41"/>
        <v>0</v>
      </c>
      <c r="L166" s="52">
        <f t="shared" si="41"/>
        <v>0</v>
      </c>
      <c r="M166" s="1">
        <f t="shared" si="41"/>
        <v>0</v>
      </c>
      <c r="N166" s="1">
        <f t="shared" si="41"/>
        <v>0</v>
      </c>
      <c r="O166" s="1">
        <f t="shared" si="41"/>
        <v>0</v>
      </c>
      <c r="P166" s="1">
        <f t="shared" si="41"/>
        <v>0</v>
      </c>
      <c r="Q166" s="1">
        <f t="shared" si="41"/>
        <v>0</v>
      </c>
      <c r="R166" s="1">
        <f t="shared" si="41"/>
        <v>0</v>
      </c>
      <c r="S166" s="1">
        <f t="shared" si="41"/>
        <v>0</v>
      </c>
      <c r="T166" s="1">
        <f t="shared" si="41"/>
        <v>0</v>
      </c>
      <c r="U166" s="1">
        <f t="shared" si="41"/>
        <v>0</v>
      </c>
      <c r="V166" s="1">
        <f t="shared" si="41"/>
        <v>0</v>
      </c>
      <c r="W166" s="1">
        <f t="shared" si="41"/>
        <v>0</v>
      </c>
      <c r="X166" s="54">
        <f t="shared" si="41"/>
        <v>0</v>
      </c>
      <c r="Y166" s="58">
        <f t="shared" si="41"/>
        <v>0</v>
      </c>
      <c r="Z166" s="1">
        <f t="shared" si="41"/>
        <v>0</v>
      </c>
      <c r="AA166" s="1">
        <f t="shared" si="41"/>
        <v>0</v>
      </c>
      <c r="AC166" s="15" t="s">
        <v>51</v>
      </c>
      <c r="AD166" s="16" t="s">
        <v>56</v>
      </c>
      <c r="AE166" s="27" t="s">
        <v>57</v>
      </c>
      <c r="AF166" s="16" t="s">
        <v>70</v>
      </c>
      <c r="AG166" s="16"/>
      <c r="AH166" s="90" t="str">
        <f t="shared" si="40"/>
        <v/>
      </c>
      <c r="AI166" s="90" t="str">
        <f t="shared" si="40"/>
        <v/>
      </c>
      <c r="AJ166" s="90" t="str">
        <f t="shared" si="40"/>
        <v/>
      </c>
      <c r="AK166" s="90" t="str">
        <f t="shared" si="40"/>
        <v/>
      </c>
      <c r="AL166" s="90" t="str">
        <f t="shared" si="40"/>
        <v/>
      </c>
      <c r="AM166" s="90" t="str">
        <f t="shared" si="40"/>
        <v/>
      </c>
      <c r="AN166" s="90" t="str">
        <f t="shared" si="40"/>
        <v/>
      </c>
      <c r="AO166" s="90" t="str">
        <f t="shared" si="40"/>
        <v/>
      </c>
      <c r="AP166" s="90" t="str">
        <f t="shared" si="40"/>
        <v/>
      </c>
      <c r="AQ166" s="90" t="str">
        <f t="shared" si="40"/>
        <v/>
      </c>
      <c r="AR166" s="90" t="str">
        <f t="shared" si="40"/>
        <v/>
      </c>
      <c r="AS166" s="90" t="str">
        <f t="shared" si="40"/>
        <v/>
      </c>
      <c r="AT166" s="90" t="str">
        <f t="shared" si="40"/>
        <v/>
      </c>
      <c r="AU166" s="90" t="str">
        <f t="shared" si="40"/>
        <v/>
      </c>
      <c r="AV166" s="90" t="str">
        <f t="shared" si="40"/>
        <v/>
      </c>
      <c r="AW166" s="90" t="str">
        <f t="shared" si="38"/>
        <v/>
      </c>
      <c r="AX166" s="90" t="str">
        <f t="shared" si="38"/>
        <v/>
      </c>
      <c r="AY166" s="90" t="str">
        <f t="shared" si="38"/>
        <v/>
      </c>
      <c r="AZ166" s="90" t="str">
        <f t="shared" si="38"/>
        <v/>
      </c>
      <c r="BA166" s="90" t="str">
        <f t="shared" si="38"/>
        <v/>
      </c>
      <c r="BB166" s="90" t="str">
        <f t="shared" si="38"/>
        <v/>
      </c>
      <c r="BC166" s="90" t="str">
        <f t="shared" si="38"/>
        <v/>
      </c>
    </row>
    <row r="167" spans="1:55" x14ac:dyDescent="0.25">
      <c r="A167" s="15" t="s">
        <v>51</v>
      </c>
      <c r="B167" s="16" t="s">
        <v>56</v>
      </c>
      <c r="C167" s="27" t="s">
        <v>57</v>
      </c>
      <c r="D167" s="16" t="s">
        <v>71</v>
      </c>
      <c r="E167" s="16"/>
      <c r="F167" s="1">
        <f t="shared" si="37"/>
        <v>0</v>
      </c>
      <c r="G167" s="1">
        <f t="shared" si="41"/>
        <v>0</v>
      </c>
      <c r="H167" s="1">
        <f t="shared" si="41"/>
        <v>0</v>
      </c>
      <c r="I167" s="1">
        <f t="shared" si="41"/>
        <v>0</v>
      </c>
      <c r="J167" s="1">
        <f t="shared" si="41"/>
        <v>0</v>
      </c>
      <c r="K167" s="1">
        <f t="shared" si="41"/>
        <v>0</v>
      </c>
      <c r="L167" s="52">
        <f t="shared" si="41"/>
        <v>0</v>
      </c>
      <c r="M167" s="1">
        <f t="shared" si="41"/>
        <v>0</v>
      </c>
      <c r="N167" s="1">
        <f t="shared" si="41"/>
        <v>0</v>
      </c>
      <c r="O167" s="1">
        <f t="shared" si="41"/>
        <v>0</v>
      </c>
      <c r="P167" s="1">
        <f t="shared" si="41"/>
        <v>0</v>
      </c>
      <c r="Q167" s="1">
        <f t="shared" si="41"/>
        <v>0</v>
      </c>
      <c r="R167" s="1">
        <f t="shared" si="41"/>
        <v>0</v>
      </c>
      <c r="S167" s="1">
        <f t="shared" si="41"/>
        <v>0</v>
      </c>
      <c r="T167" s="1">
        <f t="shared" si="41"/>
        <v>0</v>
      </c>
      <c r="U167" s="1">
        <f t="shared" si="41"/>
        <v>0</v>
      </c>
      <c r="V167" s="1">
        <f t="shared" si="41"/>
        <v>0</v>
      </c>
      <c r="W167" s="1">
        <f t="shared" si="41"/>
        <v>0</v>
      </c>
      <c r="X167" s="54">
        <f t="shared" si="41"/>
        <v>0</v>
      </c>
      <c r="Y167" s="58">
        <f t="shared" si="41"/>
        <v>0</v>
      </c>
      <c r="Z167" s="1">
        <f t="shared" si="41"/>
        <v>0</v>
      </c>
      <c r="AA167" s="1">
        <f t="shared" si="41"/>
        <v>0</v>
      </c>
      <c r="AC167" s="15" t="s">
        <v>51</v>
      </c>
      <c r="AD167" s="16" t="s">
        <v>56</v>
      </c>
      <c r="AE167" s="27" t="s">
        <v>57</v>
      </c>
      <c r="AF167" s="16" t="s">
        <v>71</v>
      </c>
      <c r="AG167" s="16"/>
      <c r="AH167" s="90" t="str">
        <f t="shared" si="40"/>
        <v/>
      </c>
      <c r="AI167" s="90" t="str">
        <f t="shared" si="40"/>
        <v/>
      </c>
      <c r="AJ167" s="90" t="str">
        <f t="shared" si="40"/>
        <v/>
      </c>
      <c r="AK167" s="90" t="str">
        <f t="shared" si="40"/>
        <v/>
      </c>
      <c r="AL167" s="90" t="str">
        <f t="shared" si="40"/>
        <v/>
      </c>
      <c r="AM167" s="90" t="str">
        <f t="shared" si="40"/>
        <v/>
      </c>
      <c r="AN167" s="90" t="str">
        <f t="shared" si="40"/>
        <v/>
      </c>
      <c r="AO167" s="90" t="str">
        <f t="shared" si="40"/>
        <v/>
      </c>
      <c r="AP167" s="90" t="str">
        <f t="shared" si="40"/>
        <v/>
      </c>
      <c r="AQ167" s="90" t="str">
        <f t="shared" si="40"/>
        <v/>
      </c>
      <c r="AR167" s="90" t="str">
        <f t="shared" si="40"/>
        <v/>
      </c>
      <c r="AS167" s="90" t="str">
        <f t="shared" si="40"/>
        <v/>
      </c>
      <c r="AT167" s="90" t="str">
        <f t="shared" si="40"/>
        <v/>
      </c>
      <c r="AU167" s="90" t="str">
        <f t="shared" si="40"/>
        <v/>
      </c>
      <c r="AV167" s="90" t="str">
        <f t="shared" si="40"/>
        <v/>
      </c>
      <c r="AW167" s="90" t="str">
        <f t="shared" si="38"/>
        <v/>
      </c>
      <c r="AX167" s="90" t="str">
        <f t="shared" si="38"/>
        <v/>
      </c>
      <c r="AY167" s="90" t="str">
        <f t="shared" si="38"/>
        <v/>
      </c>
      <c r="AZ167" s="90" t="str">
        <f t="shared" si="38"/>
        <v/>
      </c>
      <c r="BA167" s="90" t="str">
        <f t="shared" si="38"/>
        <v/>
      </c>
      <c r="BB167" s="90" t="str">
        <f t="shared" si="38"/>
        <v/>
      </c>
      <c r="BC167" s="90" t="str">
        <f t="shared" si="38"/>
        <v/>
      </c>
    </row>
    <row r="168" spans="1:55" x14ac:dyDescent="0.25">
      <c r="A168" s="15" t="s">
        <v>51</v>
      </c>
      <c r="B168" s="16" t="s">
        <v>56</v>
      </c>
      <c r="C168" s="27" t="s">
        <v>27</v>
      </c>
      <c r="D168" s="16" t="s">
        <v>72</v>
      </c>
      <c r="E168" s="16"/>
      <c r="F168" s="1">
        <f t="shared" si="37"/>
        <v>0</v>
      </c>
      <c r="G168" s="1">
        <f t="shared" si="41"/>
        <v>0</v>
      </c>
      <c r="H168" s="1">
        <f t="shared" si="41"/>
        <v>0</v>
      </c>
      <c r="I168" s="1">
        <f t="shared" si="41"/>
        <v>0</v>
      </c>
      <c r="J168" s="1">
        <f t="shared" si="41"/>
        <v>0</v>
      </c>
      <c r="K168" s="1">
        <f t="shared" si="41"/>
        <v>0</v>
      </c>
      <c r="L168" s="52">
        <f t="shared" si="41"/>
        <v>0</v>
      </c>
      <c r="M168" s="1">
        <f t="shared" si="41"/>
        <v>0</v>
      </c>
      <c r="N168" s="1">
        <f t="shared" si="41"/>
        <v>0</v>
      </c>
      <c r="O168" s="1">
        <f t="shared" si="41"/>
        <v>0</v>
      </c>
      <c r="P168" s="1">
        <f t="shared" si="41"/>
        <v>0</v>
      </c>
      <c r="Q168" s="1">
        <f t="shared" si="41"/>
        <v>0</v>
      </c>
      <c r="R168" s="1">
        <f t="shared" si="41"/>
        <v>0</v>
      </c>
      <c r="S168" s="1">
        <f t="shared" si="41"/>
        <v>0</v>
      </c>
      <c r="T168" s="1">
        <f t="shared" si="41"/>
        <v>0</v>
      </c>
      <c r="U168" s="1">
        <f t="shared" si="41"/>
        <v>0</v>
      </c>
      <c r="V168" s="1">
        <f t="shared" si="41"/>
        <v>0</v>
      </c>
      <c r="W168" s="1">
        <f t="shared" si="41"/>
        <v>0</v>
      </c>
      <c r="X168" s="54">
        <f t="shared" si="41"/>
        <v>0</v>
      </c>
      <c r="Y168" s="58">
        <f t="shared" si="41"/>
        <v>0</v>
      </c>
      <c r="Z168" s="1">
        <f t="shared" si="41"/>
        <v>0</v>
      </c>
      <c r="AA168" s="1">
        <f t="shared" si="41"/>
        <v>0</v>
      </c>
      <c r="AC168" s="15" t="s">
        <v>51</v>
      </c>
      <c r="AD168" s="16" t="s">
        <v>56</v>
      </c>
      <c r="AE168" s="27" t="s">
        <v>27</v>
      </c>
      <c r="AF168" s="16" t="s">
        <v>72</v>
      </c>
      <c r="AG168" s="16"/>
      <c r="AH168" s="90" t="str">
        <f t="shared" si="40"/>
        <v/>
      </c>
      <c r="AI168" s="90" t="str">
        <f t="shared" si="40"/>
        <v/>
      </c>
      <c r="AJ168" s="90" t="str">
        <f t="shared" si="40"/>
        <v/>
      </c>
      <c r="AK168" s="90" t="str">
        <f t="shared" si="40"/>
        <v/>
      </c>
      <c r="AL168" s="90" t="str">
        <f t="shared" si="40"/>
        <v/>
      </c>
      <c r="AM168" s="90" t="str">
        <f t="shared" si="40"/>
        <v/>
      </c>
      <c r="AN168" s="90" t="str">
        <f t="shared" si="40"/>
        <v/>
      </c>
      <c r="AO168" s="90" t="str">
        <f t="shared" si="40"/>
        <v/>
      </c>
      <c r="AP168" s="90" t="str">
        <f t="shared" si="40"/>
        <v/>
      </c>
      <c r="AQ168" s="90" t="str">
        <f t="shared" si="40"/>
        <v/>
      </c>
      <c r="AR168" s="90" t="str">
        <f t="shared" si="40"/>
        <v/>
      </c>
      <c r="AS168" s="90" t="str">
        <f t="shared" si="40"/>
        <v/>
      </c>
      <c r="AT168" s="90" t="str">
        <f t="shared" si="40"/>
        <v/>
      </c>
      <c r="AU168" s="90" t="str">
        <f t="shared" si="40"/>
        <v/>
      </c>
      <c r="AV168" s="90" t="str">
        <f t="shared" si="40"/>
        <v/>
      </c>
      <c r="AW168" s="90" t="str">
        <f t="shared" si="38"/>
        <v/>
      </c>
      <c r="AX168" s="90" t="str">
        <f t="shared" si="38"/>
        <v/>
      </c>
      <c r="AY168" s="90" t="str">
        <f t="shared" si="38"/>
        <v/>
      </c>
      <c r="AZ168" s="90" t="str">
        <f t="shared" si="38"/>
        <v/>
      </c>
      <c r="BA168" s="90" t="str">
        <f t="shared" si="38"/>
        <v/>
      </c>
      <c r="BB168" s="90" t="str">
        <f t="shared" si="38"/>
        <v/>
      </c>
      <c r="BC168" s="90" t="str">
        <f t="shared" si="38"/>
        <v/>
      </c>
    </row>
    <row r="169" spans="1:55" x14ac:dyDescent="0.25">
      <c r="A169" s="15" t="s">
        <v>51</v>
      </c>
      <c r="B169" s="16" t="s">
        <v>56</v>
      </c>
      <c r="C169" s="27" t="s">
        <v>57</v>
      </c>
      <c r="D169" s="16" t="s">
        <v>73</v>
      </c>
      <c r="E169" s="16"/>
      <c r="F169" s="1">
        <f t="shared" si="37"/>
        <v>0</v>
      </c>
      <c r="G169" s="1">
        <f t="shared" si="41"/>
        <v>0</v>
      </c>
      <c r="H169" s="1">
        <f t="shared" si="41"/>
        <v>0</v>
      </c>
      <c r="I169" s="1">
        <f t="shared" si="41"/>
        <v>0</v>
      </c>
      <c r="J169" s="1">
        <f t="shared" si="41"/>
        <v>0</v>
      </c>
      <c r="K169" s="1">
        <f t="shared" si="41"/>
        <v>0</v>
      </c>
      <c r="L169" s="52">
        <f t="shared" si="41"/>
        <v>0</v>
      </c>
      <c r="M169" s="1">
        <f t="shared" si="41"/>
        <v>0</v>
      </c>
      <c r="N169" s="1">
        <f t="shared" si="41"/>
        <v>0</v>
      </c>
      <c r="O169" s="1">
        <f t="shared" si="41"/>
        <v>0</v>
      </c>
      <c r="P169" s="1">
        <f t="shared" si="41"/>
        <v>0</v>
      </c>
      <c r="Q169" s="1">
        <f t="shared" si="41"/>
        <v>0</v>
      </c>
      <c r="R169" s="1">
        <f t="shared" si="41"/>
        <v>0</v>
      </c>
      <c r="S169" s="1">
        <f t="shared" si="41"/>
        <v>0</v>
      </c>
      <c r="T169" s="1">
        <f t="shared" si="41"/>
        <v>0</v>
      </c>
      <c r="U169" s="1">
        <f t="shared" si="41"/>
        <v>0</v>
      </c>
      <c r="V169" s="1">
        <f t="shared" si="41"/>
        <v>0</v>
      </c>
      <c r="W169" s="1">
        <f t="shared" si="41"/>
        <v>0</v>
      </c>
      <c r="X169" s="54">
        <f t="shared" si="41"/>
        <v>0</v>
      </c>
      <c r="Y169" s="58">
        <f t="shared" si="41"/>
        <v>0</v>
      </c>
      <c r="Z169" s="1">
        <f t="shared" si="41"/>
        <v>0</v>
      </c>
      <c r="AA169" s="1">
        <f t="shared" si="41"/>
        <v>0</v>
      </c>
      <c r="AC169" s="15" t="s">
        <v>51</v>
      </c>
      <c r="AD169" s="16" t="s">
        <v>56</v>
      </c>
      <c r="AE169" s="27" t="s">
        <v>57</v>
      </c>
      <c r="AF169" s="16" t="s">
        <v>73</v>
      </c>
      <c r="AG169" s="16"/>
      <c r="AH169" s="90" t="str">
        <f t="shared" si="40"/>
        <v/>
      </c>
      <c r="AI169" s="90" t="str">
        <f t="shared" si="40"/>
        <v/>
      </c>
      <c r="AJ169" s="90" t="str">
        <f t="shared" si="40"/>
        <v/>
      </c>
      <c r="AK169" s="90" t="str">
        <f t="shared" si="40"/>
        <v/>
      </c>
      <c r="AL169" s="90" t="str">
        <f t="shared" si="40"/>
        <v/>
      </c>
      <c r="AM169" s="90" t="str">
        <f t="shared" si="40"/>
        <v/>
      </c>
      <c r="AN169" s="90" t="str">
        <f t="shared" si="40"/>
        <v/>
      </c>
      <c r="AO169" s="90" t="str">
        <f t="shared" si="40"/>
        <v/>
      </c>
      <c r="AP169" s="90" t="str">
        <f t="shared" si="40"/>
        <v/>
      </c>
      <c r="AQ169" s="90" t="str">
        <f t="shared" si="40"/>
        <v/>
      </c>
      <c r="AR169" s="90" t="str">
        <f t="shared" si="40"/>
        <v/>
      </c>
      <c r="AS169" s="90" t="str">
        <f t="shared" si="40"/>
        <v/>
      </c>
      <c r="AT169" s="90" t="str">
        <f t="shared" si="40"/>
        <v/>
      </c>
      <c r="AU169" s="90" t="str">
        <f t="shared" si="40"/>
        <v/>
      </c>
      <c r="AV169" s="90" t="str">
        <f t="shared" si="40"/>
        <v/>
      </c>
      <c r="AW169" s="90" t="str">
        <f t="shared" si="38"/>
        <v/>
      </c>
      <c r="AX169" s="90" t="str">
        <f t="shared" si="38"/>
        <v/>
      </c>
      <c r="AY169" s="90" t="str">
        <f t="shared" si="38"/>
        <v/>
      </c>
      <c r="AZ169" s="90" t="str">
        <f t="shared" si="38"/>
        <v/>
      </c>
      <c r="BA169" s="90" t="str">
        <f t="shared" si="38"/>
        <v/>
      </c>
      <c r="BB169" s="90" t="str">
        <f t="shared" si="38"/>
        <v/>
      </c>
      <c r="BC169" s="90" t="str">
        <f t="shared" si="38"/>
        <v/>
      </c>
    </row>
    <row r="170" spans="1:55" x14ac:dyDescent="0.25">
      <c r="A170" s="15" t="s">
        <v>51</v>
      </c>
      <c r="B170" s="16" t="s">
        <v>56</v>
      </c>
      <c r="C170" s="27" t="s">
        <v>57</v>
      </c>
      <c r="D170" s="16" t="s">
        <v>74</v>
      </c>
      <c r="E170" s="16"/>
      <c r="F170" s="1">
        <f t="shared" si="37"/>
        <v>0</v>
      </c>
      <c r="G170" s="1">
        <f t="shared" si="41"/>
        <v>0</v>
      </c>
      <c r="H170" s="1">
        <f t="shared" si="41"/>
        <v>0</v>
      </c>
      <c r="I170" s="1">
        <f t="shared" si="41"/>
        <v>0</v>
      </c>
      <c r="J170" s="1">
        <f t="shared" si="41"/>
        <v>0</v>
      </c>
      <c r="K170" s="1">
        <f t="shared" si="41"/>
        <v>0</v>
      </c>
      <c r="L170" s="52">
        <f t="shared" si="41"/>
        <v>0</v>
      </c>
      <c r="M170" s="1">
        <f t="shared" si="41"/>
        <v>0</v>
      </c>
      <c r="N170" s="1">
        <f t="shared" si="41"/>
        <v>0</v>
      </c>
      <c r="O170" s="1">
        <f t="shared" si="41"/>
        <v>0</v>
      </c>
      <c r="P170" s="1">
        <f t="shared" si="41"/>
        <v>0</v>
      </c>
      <c r="Q170" s="1">
        <f t="shared" si="41"/>
        <v>0</v>
      </c>
      <c r="R170" s="1">
        <f t="shared" si="41"/>
        <v>0</v>
      </c>
      <c r="S170" s="1">
        <f t="shared" si="41"/>
        <v>0</v>
      </c>
      <c r="T170" s="1">
        <f t="shared" si="41"/>
        <v>0</v>
      </c>
      <c r="U170" s="1">
        <f t="shared" si="41"/>
        <v>0</v>
      </c>
      <c r="V170" s="1">
        <f t="shared" si="41"/>
        <v>0</v>
      </c>
      <c r="W170" s="1">
        <f t="shared" si="41"/>
        <v>0</v>
      </c>
      <c r="X170" s="54">
        <f t="shared" si="41"/>
        <v>0</v>
      </c>
      <c r="Y170" s="58">
        <f t="shared" si="41"/>
        <v>0</v>
      </c>
      <c r="Z170" s="1">
        <f t="shared" si="41"/>
        <v>0</v>
      </c>
      <c r="AA170" s="1">
        <f t="shared" si="41"/>
        <v>0</v>
      </c>
      <c r="AC170" s="15" t="s">
        <v>51</v>
      </c>
      <c r="AD170" s="16" t="s">
        <v>56</v>
      </c>
      <c r="AE170" s="27" t="s">
        <v>57</v>
      </c>
      <c r="AF170" s="16" t="s">
        <v>74</v>
      </c>
      <c r="AG170" s="16"/>
      <c r="AH170" s="90" t="str">
        <f t="shared" si="40"/>
        <v/>
      </c>
      <c r="AI170" s="90" t="str">
        <f t="shared" si="40"/>
        <v/>
      </c>
      <c r="AJ170" s="90" t="str">
        <f t="shared" si="40"/>
        <v/>
      </c>
      <c r="AK170" s="90" t="str">
        <f t="shared" si="40"/>
        <v/>
      </c>
      <c r="AL170" s="90" t="str">
        <f t="shared" si="40"/>
        <v/>
      </c>
      <c r="AM170" s="90" t="str">
        <f t="shared" si="40"/>
        <v/>
      </c>
      <c r="AN170" s="90" t="str">
        <f t="shared" si="40"/>
        <v/>
      </c>
      <c r="AO170" s="90" t="str">
        <f t="shared" si="40"/>
        <v/>
      </c>
      <c r="AP170" s="90" t="str">
        <f t="shared" si="40"/>
        <v/>
      </c>
      <c r="AQ170" s="90" t="str">
        <f t="shared" si="40"/>
        <v/>
      </c>
      <c r="AR170" s="90" t="str">
        <f t="shared" si="40"/>
        <v/>
      </c>
      <c r="AS170" s="90" t="str">
        <f t="shared" si="40"/>
        <v/>
      </c>
      <c r="AT170" s="90" t="str">
        <f t="shared" si="40"/>
        <v/>
      </c>
      <c r="AU170" s="90" t="str">
        <f t="shared" si="40"/>
        <v/>
      </c>
      <c r="AV170" s="90" t="str">
        <f t="shared" si="40"/>
        <v/>
      </c>
      <c r="AW170" s="90" t="str">
        <f t="shared" si="38"/>
        <v/>
      </c>
      <c r="AX170" s="90" t="str">
        <f t="shared" si="38"/>
        <v/>
      </c>
      <c r="AY170" s="90" t="str">
        <f t="shared" si="38"/>
        <v/>
      </c>
      <c r="AZ170" s="90" t="str">
        <f t="shared" si="38"/>
        <v/>
      </c>
      <c r="BA170" s="90" t="str">
        <f t="shared" si="38"/>
        <v/>
      </c>
      <c r="BB170" s="90" t="str">
        <f t="shared" si="38"/>
        <v/>
      </c>
      <c r="BC170" s="90" t="str">
        <f t="shared" si="38"/>
        <v/>
      </c>
    </row>
    <row r="171" spans="1:55" x14ac:dyDescent="0.25">
      <c r="A171" s="30" t="s">
        <v>60</v>
      </c>
      <c r="B171" s="31" t="s">
        <v>13</v>
      </c>
      <c r="C171" s="32" t="s">
        <v>61</v>
      </c>
      <c r="D171" s="31" t="s">
        <v>75</v>
      </c>
      <c r="E171" s="31"/>
      <c r="F171" s="51">
        <f>F156*0.9</f>
        <v>50.036363636363639</v>
      </c>
      <c r="G171" s="73"/>
      <c r="H171" s="51">
        <f>H156</f>
        <v>7.839999999999999</v>
      </c>
      <c r="I171" s="51">
        <f>I156*0.9</f>
        <v>26.1</v>
      </c>
      <c r="J171" s="51">
        <f>J156*0.3</f>
        <v>20</v>
      </c>
      <c r="K171" s="51">
        <f>K156*0.8</f>
        <v>23.200000000000003</v>
      </c>
      <c r="L171" s="52">
        <v>0</v>
      </c>
      <c r="M171" s="73">
        <f>M156*0.1</f>
        <v>40</v>
      </c>
      <c r="N171" s="73">
        <v>0</v>
      </c>
      <c r="O171" s="73">
        <v>0</v>
      </c>
      <c r="P171" s="73">
        <v>0</v>
      </c>
      <c r="Q171" s="73"/>
      <c r="R171" s="73"/>
      <c r="S171" s="51"/>
      <c r="T171" s="51"/>
      <c r="U171" s="51"/>
      <c r="V171" s="51"/>
      <c r="W171" s="51">
        <f>W156</f>
        <v>426</v>
      </c>
      <c r="X171" s="55">
        <f>X201*0.1</f>
        <v>1.1737089201877935</v>
      </c>
      <c r="Y171" s="59">
        <f t="shared" si="41"/>
        <v>15.58458647605914</v>
      </c>
      <c r="Z171" s="51">
        <f t="shared" si="41"/>
        <v>419.28003235809626</v>
      </c>
      <c r="AA171" s="51">
        <f t="shared" si="41"/>
        <v>18.249027916244668</v>
      </c>
      <c r="AC171" s="30" t="s">
        <v>60</v>
      </c>
      <c r="AD171" s="31" t="s">
        <v>13</v>
      </c>
      <c r="AE171" s="32" t="s">
        <v>61</v>
      </c>
      <c r="AF171" s="31" t="s">
        <v>75</v>
      </c>
      <c r="AG171" s="31"/>
      <c r="AH171" s="1">
        <f t="shared" si="40"/>
        <v>7.9224258585858598</v>
      </c>
      <c r="AI171" s="1" t="str">
        <f t="shared" si="40"/>
        <v/>
      </c>
      <c r="AJ171" s="1">
        <f t="shared" si="40"/>
        <v>1.98</v>
      </c>
      <c r="AK171" s="1">
        <f t="shared" si="40"/>
        <v>7.6544217687074827</v>
      </c>
      <c r="AL171" s="1">
        <f t="shared" si="40"/>
        <v>28.571428571428573</v>
      </c>
      <c r="AM171" s="1">
        <f t="shared" si="40"/>
        <v>8.3374999999999986</v>
      </c>
      <c r="AN171" s="52" t="str">
        <f t="shared" si="40"/>
        <v/>
      </c>
      <c r="AO171" s="1">
        <f t="shared" si="40"/>
        <v>195.55555555555554</v>
      </c>
      <c r="AP171" s="1" t="str">
        <f t="shared" si="40"/>
        <v/>
      </c>
      <c r="AQ171" s="1" t="str">
        <f t="shared" si="40"/>
        <v/>
      </c>
      <c r="AR171" s="1" t="str">
        <f t="shared" si="40"/>
        <v/>
      </c>
      <c r="AS171" s="1" t="str">
        <f t="shared" si="40"/>
        <v/>
      </c>
      <c r="AT171" s="1" t="str">
        <f t="shared" si="40"/>
        <v/>
      </c>
      <c r="AU171" s="1" t="str">
        <f t="shared" si="40"/>
        <v/>
      </c>
      <c r="AV171" s="1" t="str">
        <f t="shared" si="40"/>
        <v/>
      </c>
      <c r="AW171" s="1" t="str">
        <f t="shared" si="38"/>
        <v/>
      </c>
      <c r="AX171" s="1" t="str">
        <f t="shared" si="38"/>
        <v/>
      </c>
      <c r="AY171" s="1">
        <f t="shared" si="38"/>
        <v>340.8</v>
      </c>
      <c r="AZ171" s="1">
        <f t="shared" si="38"/>
        <v>170.39999999999998</v>
      </c>
      <c r="BA171" s="1">
        <f t="shared" si="38"/>
        <v>3.7692414992446928</v>
      </c>
      <c r="BB171" s="1">
        <f t="shared" si="38"/>
        <v>257.31158150195495</v>
      </c>
      <c r="BC171" s="1">
        <f t="shared" si="38"/>
        <v>5.4426532863626251</v>
      </c>
    </row>
    <row r="172" spans="1:55" x14ac:dyDescent="0.25">
      <c r="A172" s="30" t="s">
        <v>60</v>
      </c>
      <c r="B172" s="31" t="s">
        <v>13</v>
      </c>
      <c r="C172" s="32" t="s">
        <v>61</v>
      </c>
      <c r="D172" s="31" t="s">
        <v>76</v>
      </c>
      <c r="E172" s="31"/>
      <c r="F172" s="51">
        <f>F156*0.1</f>
        <v>5.5595959595959599</v>
      </c>
      <c r="G172" s="51">
        <v>0</v>
      </c>
      <c r="H172" s="51">
        <v>0</v>
      </c>
      <c r="I172" s="51">
        <f>I156*0.05</f>
        <v>1.4500000000000002</v>
      </c>
      <c r="J172" s="51">
        <f>J156*0.7</f>
        <v>46.666666666666664</v>
      </c>
      <c r="K172" s="51">
        <f>K156*0.05</f>
        <v>1.4500000000000002</v>
      </c>
      <c r="L172" s="52">
        <v>0</v>
      </c>
      <c r="M172" s="73">
        <f>M156*0.5</f>
        <v>200</v>
      </c>
      <c r="N172" s="73">
        <f>N156</f>
        <v>999.99999999999989</v>
      </c>
      <c r="O172" s="73">
        <f>O156*0.3</f>
        <v>3600</v>
      </c>
      <c r="P172" s="73">
        <f>P156*0.38</f>
        <v>31666.666666666672</v>
      </c>
      <c r="Q172" s="73"/>
      <c r="R172" s="73">
        <f>R156</f>
        <v>426</v>
      </c>
      <c r="S172" s="51"/>
      <c r="T172" s="51"/>
      <c r="U172" s="51"/>
      <c r="V172" s="51"/>
      <c r="W172" s="51"/>
      <c r="X172" s="55">
        <f>X201*0.1</f>
        <v>1.1737089201877935</v>
      </c>
      <c r="Y172" s="59">
        <f t="shared" si="41"/>
        <v>52.640808283851513</v>
      </c>
      <c r="Z172" s="51">
        <f t="shared" si="41"/>
        <v>1110.2666110502016</v>
      </c>
      <c r="AA172" s="51">
        <f t="shared" si="41"/>
        <v>142.46289429114984</v>
      </c>
      <c r="AC172" s="30" t="s">
        <v>60</v>
      </c>
      <c r="AD172" s="31" t="s">
        <v>13</v>
      </c>
      <c r="AE172" s="32" t="s">
        <v>61</v>
      </c>
      <c r="AF172" s="31" t="s">
        <v>76</v>
      </c>
      <c r="AG172" s="31"/>
      <c r="AH172" s="1">
        <f t="shared" si="40"/>
        <v>7.9224258585858589</v>
      </c>
      <c r="AI172" s="1" t="str">
        <f t="shared" si="40"/>
        <v/>
      </c>
      <c r="AJ172" s="1" t="str">
        <f t="shared" si="40"/>
        <v/>
      </c>
      <c r="AK172" s="1">
        <f t="shared" si="40"/>
        <v>7.6544217687074827</v>
      </c>
      <c r="AL172" s="1">
        <f t="shared" si="40"/>
        <v>28.571428571428573</v>
      </c>
      <c r="AM172" s="1">
        <f t="shared" si="40"/>
        <v>8.3374999999999986</v>
      </c>
      <c r="AN172" s="52" t="str">
        <f t="shared" si="40"/>
        <v/>
      </c>
      <c r="AO172" s="1">
        <f t="shared" si="40"/>
        <v>195.55555555555554</v>
      </c>
      <c r="AP172" s="1">
        <f t="shared" si="40"/>
        <v>295.45454545454544</v>
      </c>
      <c r="AQ172" s="1">
        <f t="shared" si="40"/>
        <v>3333.333333333333</v>
      </c>
      <c r="AR172" s="1">
        <f t="shared" si="40"/>
        <v>13333.333333333334</v>
      </c>
      <c r="AS172" s="1" t="str">
        <f t="shared" si="40"/>
        <v/>
      </c>
      <c r="AT172" s="1">
        <f t="shared" si="40"/>
        <v>149.09999999999997</v>
      </c>
      <c r="AU172" s="1" t="str">
        <f t="shared" si="40"/>
        <v/>
      </c>
      <c r="AV172" s="1" t="str">
        <f t="shared" si="40"/>
        <v/>
      </c>
      <c r="AW172" s="1" t="str">
        <f t="shared" si="38"/>
        <v/>
      </c>
      <c r="AX172" s="1" t="str">
        <f t="shared" si="38"/>
        <v/>
      </c>
      <c r="AY172" s="1" t="str">
        <f t="shared" si="38"/>
        <v/>
      </c>
      <c r="AZ172" s="1">
        <f t="shared" si="38"/>
        <v>170.39999999999998</v>
      </c>
      <c r="BA172" s="1">
        <f t="shared" si="38"/>
        <v>12.531167192562519</v>
      </c>
      <c r="BB172" s="1">
        <f t="shared" si="38"/>
        <v>303.80030237711389</v>
      </c>
      <c r="BC172" s="1">
        <f t="shared" si="38"/>
        <v>37.268083825446482</v>
      </c>
    </row>
    <row r="173" spans="1:55" x14ac:dyDescent="0.25">
      <c r="A173" s="30" t="s">
        <v>60</v>
      </c>
      <c r="B173" s="31" t="s">
        <v>13</v>
      </c>
      <c r="C173" s="32" t="s">
        <v>61</v>
      </c>
      <c r="D173" s="31" t="s">
        <v>77</v>
      </c>
      <c r="E173" s="31"/>
      <c r="F173" s="51">
        <v>0</v>
      </c>
      <c r="G173" s="51">
        <v>0</v>
      </c>
      <c r="H173" s="51">
        <v>0</v>
      </c>
      <c r="I173" s="51">
        <v>0</v>
      </c>
      <c r="J173" s="51">
        <v>0</v>
      </c>
      <c r="K173" s="51">
        <f>K156*0.1</f>
        <v>2.9000000000000004</v>
      </c>
      <c r="L173" s="52">
        <v>0</v>
      </c>
      <c r="M173" s="73">
        <f>M156*0.4</f>
        <v>160</v>
      </c>
      <c r="N173" s="73">
        <v>0</v>
      </c>
      <c r="O173" s="73">
        <f>O156*0.8</f>
        <v>9600</v>
      </c>
      <c r="P173" s="73">
        <f>P156*0.6</f>
        <v>50000.000000000007</v>
      </c>
      <c r="Q173" s="73"/>
      <c r="R173" s="73"/>
      <c r="S173" s="51"/>
      <c r="T173" s="51">
        <f>T156</f>
        <v>426</v>
      </c>
      <c r="U173" s="51">
        <f>U156</f>
        <v>426</v>
      </c>
      <c r="V173" s="51"/>
      <c r="W173" s="51"/>
      <c r="X173" s="55">
        <f>X201*0.7</f>
        <v>8.215962441314554</v>
      </c>
      <c r="Y173" s="59">
        <f t="shared" si="41"/>
        <v>28.999999999999996</v>
      </c>
      <c r="Z173" s="51">
        <f t="shared" si="41"/>
        <v>1215.6530817672142</v>
      </c>
      <c r="AA173" s="51">
        <f t="shared" si="41"/>
        <v>1083.8105763092485</v>
      </c>
      <c r="AC173" s="30" t="s">
        <v>60</v>
      </c>
      <c r="AD173" s="31" t="s">
        <v>13</v>
      </c>
      <c r="AE173" s="32" t="s">
        <v>61</v>
      </c>
      <c r="AF173" s="31" t="s">
        <v>77</v>
      </c>
      <c r="AG173" s="31"/>
      <c r="AH173" s="1" t="str">
        <f t="shared" ref="AH173:AV180" si="42">IF(F218&gt;0,F83/F218,"")</f>
        <v/>
      </c>
      <c r="AI173" s="1" t="str">
        <f t="shared" si="42"/>
        <v/>
      </c>
      <c r="AJ173" s="1" t="str">
        <f t="shared" si="42"/>
        <v/>
      </c>
      <c r="AK173" s="1" t="str">
        <f t="shared" si="42"/>
        <v/>
      </c>
      <c r="AL173" s="1" t="str">
        <f t="shared" si="42"/>
        <v/>
      </c>
      <c r="AM173" s="1">
        <f t="shared" si="42"/>
        <v>8.3374999999999986</v>
      </c>
      <c r="AN173" s="52" t="str">
        <f t="shared" si="42"/>
        <v/>
      </c>
      <c r="AO173" s="1">
        <f t="shared" si="42"/>
        <v>195.55555555555554</v>
      </c>
      <c r="AP173" s="1" t="str">
        <f t="shared" si="42"/>
        <v/>
      </c>
      <c r="AQ173" s="1">
        <f t="shared" si="42"/>
        <v>3333.3333333333335</v>
      </c>
      <c r="AR173" s="1">
        <f t="shared" si="42"/>
        <v>13333.333333333334</v>
      </c>
      <c r="AS173" s="1" t="str">
        <f t="shared" si="42"/>
        <v/>
      </c>
      <c r="AT173" s="1" t="str">
        <f t="shared" si="42"/>
        <v/>
      </c>
      <c r="AU173" s="1" t="str">
        <f t="shared" si="42"/>
        <v/>
      </c>
      <c r="AV173" s="1">
        <f t="shared" si="42"/>
        <v>170.4</v>
      </c>
      <c r="AW173" s="1">
        <f t="shared" si="38"/>
        <v>170.4</v>
      </c>
      <c r="AX173" s="1" t="str">
        <f t="shared" si="38"/>
        <v/>
      </c>
      <c r="AY173" s="1" t="str">
        <f t="shared" si="38"/>
        <v/>
      </c>
      <c r="AZ173" s="1">
        <f t="shared" si="38"/>
        <v>170.4</v>
      </c>
      <c r="BA173" s="1">
        <f t="shared" si="38"/>
        <v>8.3374999999999986</v>
      </c>
      <c r="BB173" s="1">
        <f t="shared" si="38"/>
        <v>322.15033214181483</v>
      </c>
      <c r="BC173" s="1">
        <f t="shared" si="38"/>
        <v>287.28431218186063</v>
      </c>
    </row>
    <row r="174" spans="1:55" x14ac:dyDescent="0.25">
      <c r="A174" s="30" t="s">
        <v>60</v>
      </c>
      <c r="B174" s="31" t="s">
        <v>13</v>
      </c>
      <c r="C174" s="32" t="s">
        <v>61</v>
      </c>
      <c r="D174" s="31" t="s">
        <v>78</v>
      </c>
      <c r="E174" s="31"/>
      <c r="F174" s="51">
        <v>0</v>
      </c>
      <c r="G174" s="51">
        <v>0</v>
      </c>
      <c r="H174" s="51">
        <v>0</v>
      </c>
      <c r="I174" s="51">
        <f>I156*0.05</f>
        <v>1.4500000000000002</v>
      </c>
      <c r="J174" s="51">
        <v>0</v>
      </c>
      <c r="K174" s="51">
        <f>K156*0.05</f>
        <v>1.4500000000000002</v>
      </c>
      <c r="L174" s="52">
        <v>0</v>
      </c>
      <c r="M174" s="73">
        <f>M156*0</f>
        <v>0</v>
      </c>
      <c r="N174" s="73">
        <v>0</v>
      </c>
      <c r="O174" s="73">
        <f>O156*0</f>
        <v>0</v>
      </c>
      <c r="P174" s="73">
        <f>(P156)*0.02</f>
        <v>1666.666666666667</v>
      </c>
      <c r="Q174" s="73">
        <f>Q156</f>
        <v>940</v>
      </c>
      <c r="R174" s="73"/>
      <c r="S174" s="51"/>
      <c r="T174" s="51"/>
      <c r="U174" s="51"/>
      <c r="V174" s="51"/>
      <c r="W174" s="51"/>
      <c r="X174" s="55">
        <f>X156*0.1</f>
        <v>42.6</v>
      </c>
      <c r="Y174" s="59">
        <f t="shared" si="41"/>
        <v>28.999999999999996</v>
      </c>
      <c r="Z174" s="51">
        <f t="shared" si="41"/>
        <v>888.24949252268254</v>
      </c>
      <c r="AA174" s="51">
        <f t="shared" si="41"/>
        <v>358.73347897846332</v>
      </c>
      <c r="AC174" s="30" t="s">
        <v>60</v>
      </c>
      <c r="AD174" s="31" t="s">
        <v>13</v>
      </c>
      <c r="AE174" s="32" t="s">
        <v>61</v>
      </c>
      <c r="AF174" s="31" t="s">
        <v>78</v>
      </c>
      <c r="AG174" s="31"/>
      <c r="AH174" s="1" t="str">
        <f t="shared" si="42"/>
        <v/>
      </c>
      <c r="AI174" s="1" t="str">
        <f t="shared" si="42"/>
        <v/>
      </c>
      <c r="AJ174" s="1" t="str">
        <f t="shared" si="42"/>
        <v/>
      </c>
      <c r="AK174" s="1">
        <f t="shared" si="42"/>
        <v>7.6544217687074827</v>
      </c>
      <c r="AL174" s="1" t="str">
        <f t="shared" si="42"/>
        <v/>
      </c>
      <c r="AM174" s="1">
        <f t="shared" si="42"/>
        <v>8.3374999999999986</v>
      </c>
      <c r="AN174" s="52" t="str">
        <f t="shared" si="42"/>
        <v/>
      </c>
      <c r="AO174" s="1" t="str">
        <f t="shared" si="42"/>
        <v/>
      </c>
      <c r="AP174" s="1" t="str">
        <f t="shared" si="42"/>
        <v/>
      </c>
      <c r="AQ174" s="1" t="str">
        <f t="shared" si="42"/>
        <v/>
      </c>
      <c r="AR174" s="1">
        <f t="shared" si="42"/>
        <v>13333.333333333334</v>
      </c>
      <c r="AS174" s="1">
        <f t="shared" si="42"/>
        <v>281.99999999999994</v>
      </c>
      <c r="AT174" s="1" t="str">
        <f t="shared" si="42"/>
        <v/>
      </c>
      <c r="AU174" s="1" t="str">
        <f t="shared" si="42"/>
        <v/>
      </c>
      <c r="AV174" s="1" t="str">
        <f t="shared" si="42"/>
        <v/>
      </c>
      <c r="AW174" s="1" t="str">
        <f t="shared" si="38"/>
        <v/>
      </c>
      <c r="AX174" s="1" t="str">
        <f t="shared" si="38"/>
        <v/>
      </c>
      <c r="AY174" s="1" t="str">
        <f t="shared" si="38"/>
        <v/>
      </c>
      <c r="AZ174" s="1">
        <f t="shared" si="38"/>
        <v>170.39999999999998</v>
      </c>
      <c r="BA174" s="1">
        <f t="shared" si="38"/>
        <v>7.800534759358289</v>
      </c>
      <c r="BB174" s="1">
        <f t="shared" si="38"/>
        <v>264.98059627405632</v>
      </c>
      <c r="BC174" s="1">
        <f t="shared" si="38"/>
        <v>106.49233166478155</v>
      </c>
    </row>
    <row r="175" spans="1:55" ht="15.75" thickBot="1" x14ac:dyDescent="0.3">
      <c r="A175" s="33" t="s">
        <v>60</v>
      </c>
      <c r="B175" s="34" t="s">
        <v>13</v>
      </c>
      <c r="C175" s="35" t="s">
        <v>61</v>
      </c>
      <c r="D175" s="34" t="s">
        <v>79</v>
      </c>
      <c r="E175" s="31"/>
      <c r="F175" s="51">
        <v>0</v>
      </c>
      <c r="G175" s="51">
        <v>0</v>
      </c>
      <c r="H175" s="51">
        <v>0</v>
      </c>
      <c r="I175" s="51">
        <v>0</v>
      </c>
      <c r="J175" s="51">
        <v>0</v>
      </c>
      <c r="K175" s="51">
        <v>0</v>
      </c>
      <c r="L175" s="52">
        <v>0</v>
      </c>
      <c r="M175" s="51">
        <v>0</v>
      </c>
      <c r="N175" s="51">
        <v>0</v>
      </c>
      <c r="O175" s="51">
        <v>0</v>
      </c>
      <c r="P175" s="51">
        <v>0</v>
      </c>
      <c r="Q175" s="51">
        <v>0</v>
      </c>
      <c r="R175" s="51">
        <v>0</v>
      </c>
      <c r="S175" s="51">
        <v>0</v>
      </c>
      <c r="T175" s="51">
        <v>0</v>
      </c>
      <c r="U175" s="51">
        <v>0</v>
      </c>
      <c r="V175" s="51">
        <v>0</v>
      </c>
      <c r="W175" s="51">
        <v>0</v>
      </c>
      <c r="X175" s="55">
        <v>0</v>
      </c>
      <c r="Y175" s="59">
        <f t="shared" si="41"/>
        <v>0</v>
      </c>
      <c r="Z175" s="51">
        <f t="shared" si="41"/>
        <v>0</v>
      </c>
      <c r="AA175" s="51">
        <f t="shared" si="41"/>
        <v>0</v>
      </c>
      <c r="AC175" s="33" t="s">
        <v>60</v>
      </c>
      <c r="AD175" s="34" t="s">
        <v>13</v>
      </c>
      <c r="AE175" s="35" t="s">
        <v>61</v>
      </c>
      <c r="AF175" s="34" t="s">
        <v>79</v>
      </c>
      <c r="AG175" s="31"/>
      <c r="AH175" s="1" t="str">
        <f t="shared" si="42"/>
        <v/>
      </c>
      <c r="AI175" s="1" t="str">
        <f t="shared" si="42"/>
        <v/>
      </c>
      <c r="AJ175" s="1" t="str">
        <f t="shared" si="42"/>
        <v/>
      </c>
      <c r="AK175" s="1" t="str">
        <f t="shared" si="42"/>
        <v/>
      </c>
      <c r="AL175" s="1" t="str">
        <f t="shared" si="42"/>
        <v/>
      </c>
      <c r="AM175" s="1" t="str">
        <f t="shared" si="42"/>
        <v/>
      </c>
      <c r="AN175" s="52" t="str">
        <f t="shared" si="42"/>
        <v/>
      </c>
      <c r="AO175" s="1" t="str">
        <f t="shared" si="42"/>
        <v/>
      </c>
      <c r="AP175" s="1" t="str">
        <f t="shared" si="42"/>
        <v/>
      </c>
      <c r="AQ175" s="1" t="str">
        <f t="shared" si="42"/>
        <v/>
      </c>
      <c r="AR175" s="1" t="str">
        <f t="shared" si="42"/>
        <v/>
      </c>
      <c r="AS175" s="1" t="str">
        <f t="shared" si="42"/>
        <v/>
      </c>
      <c r="AT175" s="1" t="str">
        <f t="shared" si="42"/>
        <v/>
      </c>
      <c r="AU175" s="1" t="str">
        <f t="shared" si="42"/>
        <v/>
      </c>
      <c r="AV175" s="1" t="str">
        <f t="shared" si="42"/>
        <v/>
      </c>
      <c r="AW175" s="1" t="str">
        <f t="shared" si="38"/>
        <v/>
      </c>
      <c r="AX175" s="1" t="str">
        <f t="shared" si="38"/>
        <v/>
      </c>
      <c r="AY175" s="1" t="str">
        <f t="shared" si="38"/>
        <v/>
      </c>
      <c r="AZ175" s="1" t="str">
        <f t="shared" si="38"/>
        <v/>
      </c>
      <c r="BA175" s="1" t="str">
        <f t="shared" si="38"/>
        <v/>
      </c>
      <c r="BB175" s="1" t="str">
        <f t="shared" si="38"/>
        <v/>
      </c>
      <c r="BC175" s="1" t="str">
        <f t="shared" si="38"/>
        <v/>
      </c>
    </row>
    <row r="176" spans="1:55" x14ac:dyDescent="0.25">
      <c r="A176" s="30" t="s">
        <v>60</v>
      </c>
      <c r="B176" s="31" t="s">
        <v>13</v>
      </c>
      <c r="C176" s="32" t="s">
        <v>62</v>
      </c>
      <c r="D176" s="31" t="s">
        <v>75</v>
      </c>
      <c r="E176" s="31"/>
      <c r="F176" s="51"/>
      <c r="G176" s="73">
        <f>G157</f>
        <v>27.272727272727273</v>
      </c>
      <c r="H176" s="51">
        <f>H157*0.2</f>
        <v>1.1199999999999999</v>
      </c>
      <c r="I176" s="51">
        <v>0</v>
      </c>
      <c r="J176" s="51">
        <v>0</v>
      </c>
      <c r="K176" s="51">
        <v>0</v>
      </c>
      <c r="L176" s="52">
        <v>0</v>
      </c>
      <c r="M176" s="51">
        <v>0</v>
      </c>
      <c r="N176" s="51">
        <v>0</v>
      </c>
      <c r="O176" s="51">
        <v>0</v>
      </c>
      <c r="P176" s="51">
        <v>0</v>
      </c>
      <c r="Q176" s="51">
        <v>0</v>
      </c>
      <c r="R176" s="51">
        <v>0</v>
      </c>
      <c r="S176" s="51">
        <v>0</v>
      </c>
      <c r="T176" s="51">
        <v>0</v>
      </c>
      <c r="U176" s="51">
        <v>0</v>
      </c>
      <c r="V176" s="51">
        <v>0</v>
      </c>
      <c r="W176" s="51">
        <v>0</v>
      </c>
      <c r="X176" s="55">
        <v>0</v>
      </c>
      <c r="Y176" s="59">
        <f t="shared" si="41"/>
        <v>10.82043795620438</v>
      </c>
      <c r="Z176" s="51">
        <f t="shared" si="41"/>
        <v>0</v>
      </c>
      <c r="AA176" s="51">
        <f t="shared" si="41"/>
        <v>10.82043795620438</v>
      </c>
      <c r="AC176" s="30" t="s">
        <v>60</v>
      </c>
      <c r="AD176" s="31" t="s">
        <v>13</v>
      </c>
      <c r="AE176" s="32" t="s">
        <v>62</v>
      </c>
      <c r="AF176" s="31" t="s">
        <v>75</v>
      </c>
      <c r="AG176" s="31"/>
      <c r="AH176" s="1" t="str">
        <f t="shared" si="42"/>
        <v/>
      </c>
      <c r="AI176" s="1">
        <f t="shared" si="42"/>
        <v>8.4605690266551861</v>
      </c>
      <c r="AJ176" s="1">
        <f t="shared" si="42"/>
        <v>1.7769230769230768</v>
      </c>
      <c r="AK176" s="1" t="str">
        <f t="shared" si="42"/>
        <v/>
      </c>
      <c r="AL176" s="1" t="str">
        <f t="shared" si="42"/>
        <v/>
      </c>
      <c r="AM176" s="1" t="str">
        <f t="shared" si="42"/>
        <v/>
      </c>
      <c r="AN176" s="52" t="str">
        <f t="shared" si="42"/>
        <v/>
      </c>
      <c r="AO176" s="1" t="str">
        <f t="shared" si="42"/>
        <v/>
      </c>
      <c r="AP176" s="1" t="str">
        <f t="shared" si="42"/>
        <v/>
      </c>
      <c r="AQ176" s="1" t="str">
        <f t="shared" si="42"/>
        <v/>
      </c>
      <c r="AR176" s="1" t="str">
        <f t="shared" si="42"/>
        <v/>
      </c>
      <c r="AS176" s="1" t="str">
        <f t="shared" si="42"/>
        <v/>
      </c>
      <c r="AT176" s="1" t="str">
        <f t="shared" si="42"/>
        <v/>
      </c>
      <c r="AU176" s="1" t="str">
        <f t="shared" si="42"/>
        <v/>
      </c>
      <c r="AV176" s="1" t="str">
        <f t="shared" si="42"/>
        <v/>
      </c>
      <c r="AW176" s="1" t="str">
        <f t="shared" si="38"/>
        <v/>
      </c>
      <c r="AX176" s="1" t="str">
        <f t="shared" si="38"/>
        <v/>
      </c>
      <c r="AY176" s="1" t="str">
        <f t="shared" si="38"/>
        <v/>
      </c>
      <c r="AZ176" s="1" t="str">
        <f t="shared" si="38"/>
        <v/>
      </c>
      <c r="BA176" s="1">
        <f t="shared" si="38"/>
        <v>3.3868523932819059</v>
      </c>
      <c r="BB176" s="1" t="str">
        <f t="shared" si="38"/>
        <v/>
      </c>
      <c r="BC176" s="1">
        <f t="shared" si="38"/>
        <v>3.3868523932819059</v>
      </c>
    </row>
    <row r="177" spans="1:55" x14ac:dyDescent="0.25">
      <c r="A177" s="30" t="s">
        <v>60</v>
      </c>
      <c r="B177" s="31" t="s">
        <v>13</v>
      </c>
      <c r="C177" s="32" t="s">
        <v>62</v>
      </c>
      <c r="D177" s="31" t="s">
        <v>76</v>
      </c>
      <c r="E177" s="31"/>
      <c r="F177" s="51">
        <f>F157</f>
        <v>41.696969696969695</v>
      </c>
      <c r="G177" s="51">
        <f>G157*0</f>
        <v>0</v>
      </c>
      <c r="H177" s="51">
        <f>H157*0.8</f>
        <v>4.4799999999999995</v>
      </c>
      <c r="I177" s="51">
        <v>0</v>
      </c>
      <c r="J177" s="51">
        <v>0</v>
      </c>
      <c r="K177" s="51">
        <v>0</v>
      </c>
      <c r="L177" s="52">
        <v>0</v>
      </c>
      <c r="M177" s="51">
        <v>0</v>
      </c>
      <c r="N177" s="51">
        <v>0</v>
      </c>
      <c r="O177" s="51">
        <v>0</v>
      </c>
      <c r="P177" s="51">
        <f>P157</f>
        <v>44642.857142857145</v>
      </c>
      <c r="Q177" s="51">
        <v>0</v>
      </c>
      <c r="R177" s="51">
        <v>0</v>
      </c>
      <c r="S177" s="51">
        <v>0</v>
      </c>
      <c r="T177" s="51">
        <v>0</v>
      </c>
      <c r="U177" s="51">
        <v>0</v>
      </c>
      <c r="V177" s="51">
        <v>0</v>
      </c>
      <c r="W177" s="51">
        <v>0</v>
      </c>
      <c r="X177" s="55">
        <v>0</v>
      </c>
      <c r="Y177" s="59">
        <f t="shared" si="41"/>
        <v>8.4158968850698166</v>
      </c>
      <c r="Z177" s="51">
        <f t="shared" si="41"/>
        <v>44642.857142857145</v>
      </c>
      <c r="AA177" s="51">
        <f t="shared" si="41"/>
        <v>29.883793834975222</v>
      </c>
      <c r="AC177" s="30" t="s">
        <v>60</v>
      </c>
      <c r="AD177" s="31" t="s">
        <v>13</v>
      </c>
      <c r="AE177" s="32" t="s">
        <v>62</v>
      </c>
      <c r="AF177" s="31" t="s">
        <v>76</v>
      </c>
      <c r="AG177" s="31"/>
      <c r="AH177" s="1">
        <f t="shared" si="42"/>
        <v>12.485624242424244</v>
      </c>
      <c r="AI177" s="1">
        <f t="shared" si="42"/>
        <v>8.4605690266551861</v>
      </c>
      <c r="AJ177" s="1">
        <f t="shared" si="42"/>
        <v>1.7769230769230768</v>
      </c>
      <c r="AK177" s="1" t="str">
        <f t="shared" si="42"/>
        <v/>
      </c>
      <c r="AL177" s="1" t="str">
        <f t="shared" si="42"/>
        <v/>
      </c>
      <c r="AM177" s="1" t="str">
        <f t="shared" si="42"/>
        <v/>
      </c>
      <c r="AN177" s="52" t="str">
        <f t="shared" si="42"/>
        <v/>
      </c>
      <c r="AO177" s="1" t="str">
        <f t="shared" si="42"/>
        <v/>
      </c>
      <c r="AP177" s="1" t="str">
        <f t="shared" si="42"/>
        <v/>
      </c>
      <c r="AQ177" s="1" t="str">
        <f t="shared" si="42"/>
        <v/>
      </c>
      <c r="AR177" s="1">
        <f t="shared" si="42"/>
        <v>7500.0000000000009</v>
      </c>
      <c r="AS177" s="1" t="str">
        <f t="shared" si="42"/>
        <v/>
      </c>
      <c r="AT177" s="1" t="str">
        <f t="shared" si="42"/>
        <v/>
      </c>
      <c r="AU177" s="1" t="str">
        <f t="shared" si="42"/>
        <v/>
      </c>
      <c r="AV177" s="1" t="str">
        <f t="shared" si="42"/>
        <v/>
      </c>
      <c r="AW177" s="1" t="str">
        <f t="shared" si="38"/>
        <v/>
      </c>
      <c r="AX177" s="1" t="str">
        <f t="shared" si="38"/>
        <v/>
      </c>
      <c r="AY177" s="1" t="str">
        <f t="shared" si="38"/>
        <v/>
      </c>
      <c r="AZ177" s="1" t="str">
        <f t="shared" si="38"/>
        <v/>
      </c>
      <c r="BA177" s="1">
        <f t="shared" si="38"/>
        <v>2.6303148826629883</v>
      </c>
      <c r="BB177" s="1">
        <f t="shared" si="38"/>
        <v>7500.0000000000009</v>
      </c>
      <c r="BC177" s="1">
        <f t="shared" si="38"/>
        <v>6.2363364951765883</v>
      </c>
    </row>
    <row r="178" spans="1:55" x14ac:dyDescent="0.25">
      <c r="A178" s="30" t="s">
        <v>60</v>
      </c>
      <c r="B178" s="31" t="s">
        <v>13</v>
      </c>
      <c r="C178" s="32" t="s">
        <v>62</v>
      </c>
      <c r="D178" s="31" t="s">
        <v>77</v>
      </c>
      <c r="E178" s="31"/>
      <c r="F178" s="51">
        <v>0</v>
      </c>
      <c r="G178" s="51">
        <v>0</v>
      </c>
      <c r="H178" s="51">
        <v>0</v>
      </c>
      <c r="I178" s="51">
        <v>0</v>
      </c>
      <c r="J178" s="51">
        <v>0</v>
      </c>
      <c r="K178" s="51">
        <v>0</v>
      </c>
      <c r="L178" s="52">
        <v>0</v>
      </c>
      <c r="M178" s="51">
        <v>0</v>
      </c>
      <c r="N178" s="51">
        <v>0</v>
      </c>
      <c r="O178" s="51">
        <v>0</v>
      </c>
      <c r="P178" s="51">
        <v>0</v>
      </c>
      <c r="Q178" s="51">
        <v>0</v>
      </c>
      <c r="R178" s="51">
        <v>0</v>
      </c>
      <c r="S178" s="51">
        <v>0</v>
      </c>
      <c r="T178" s="51">
        <v>0</v>
      </c>
      <c r="U178" s="51">
        <v>0</v>
      </c>
      <c r="V178" s="51">
        <v>0</v>
      </c>
      <c r="W178" s="51">
        <v>0</v>
      </c>
      <c r="X178" s="55">
        <v>0</v>
      </c>
      <c r="Y178" s="59">
        <f t="shared" si="41"/>
        <v>0</v>
      </c>
      <c r="Z178" s="51">
        <f t="shared" si="41"/>
        <v>0</v>
      </c>
      <c r="AA178" s="51">
        <f t="shared" si="41"/>
        <v>0</v>
      </c>
      <c r="AC178" s="30" t="s">
        <v>60</v>
      </c>
      <c r="AD178" s="31" t="s">
        <v>13</v>
      </c>
      <c r="AE178" s="32" t="s">
        <v>62</v>
      </c>
      <c r="AF178" s="31" t="s">
        <v>77</v>
      </c>
      <c r="AG178" s="31"/>
      <c r="AH178" s="1" t="str">
        <f t="shared" si="42"/>
        <v/>
      </c>
      <c r="AI178" s="1" t="str">
        <f t="shared" si="42"/>
        <v/>
      </c>
      <c r="AJ178" s="1" t="str">
        <f t="shared" si="42"/>
        <v/>
      </c>
      <c r="AK178" s="1" t="str">
        <f t="shared" si="42"/>
        <v/>
      </c>
      <c r="AL178" s="1" t="str">
        <f t="shared" si="42"/>
        <v/>
      </c>
      <c r="AM178" s="1" t="str">
        <f t="shared" si="42"/>
        <v/>
      </c>
      <c r="AN178" s="52" t="str">
        <f t="shared" si="42"/>
        <v/>
      </c>
      <c r="AO178" s="1" t="str">
        <f t="shared" si="42"/>
        <v/>
      </c>
      <c r="AP178" s="1" t="str">
        <f t="shared" si="42"/>
        <v/>
      </c>
      <c r="AQ178" s="1" t="str">
        <f t="shared" si="42"/>
        <v/>
      </c>
      <c r="AR178" s="1" t="str">
        <f t="shared" si="42"/>
        <v/>
      </c>
      <c r="AS178" s="1" t="str">
        <f t="shared" si="42"/>
        <v/>
      </c>
      <c r="AT178" s="1" t="str">
        <f t="shared" si="42"/>
        <v/>
      </c>
      <c r="AU178" s="1" t="str">
        <f t="shared" si="42"/>
        <v/>
      </c>
      <c r="AV178" s="1" t="str">
        <f t="shared" si="42"/>
        <v/>
      </c>
      <c r="AW178" s="1" t="str">
        <f t="shared" si="38"/>
        <v/>
      </c>
      <c r="AX178" s="1" t="str">
        <f t="shared" si="38"/>
        <v/>
      </c>
      <c r="AY178" s="1" t="str">
        <f t="shared" si="38"/>
        <v/>
      </c>
      <c r="AZ178" s="1" t="str">
        <f t="shared" si="38"/>
        <v/>
      </c>
      <c r="BA178" s="1" t="str">
        <f t="shared" si="38"/>
        <v/>
      </c>
      <c r="BB178" s="1" t="str">
        <f t="shared" si="38"/>
        <v/>
      </c>
      <c r="BC178" s="1" t="str">
        <f t="shared" si="38"/>
        <v/>
      </c>
    </row>
    <row r="179" spans="1:55" x14ac:dyDescent="0.25">
      <c r="A179" s="30" t="s">
        <v>60</v>
      </c>
      <c r="B179" s="31" t="s">
        <v>13</v>
      </c>
      <c r="C179" s="32" t="s">
        <v>62</v>
      </c>
      <c r="D179" s="31" t="s">
        <v>78</v>
      </c>
      <c r="E179" s="31"/>
      <c r="F179" s="51">
        <v>0</v>
      </c>
      <c r="G179" s="51">
        <v>0</v>
      </c>
      <c r="H179" s="51">
        <v>0</v>
      </c>
      <c r="I179" s="51">
        <v>0</v>
      </c>
      <c r="J179" s="51">
        <v>0</v>
      </c>
      <c r="K179" s="51">
        <v>0</v>
      </c>
      <c r="L179" s="52">
        <v>0</v>
      </c>
      <c r="M179" s="51">
        <v>0</v>
      </c>
      <c r="N179" s="51">
        <v>0</v>
      </c>
      <c r="O179" s="51">
        <v>0</v>
      </c>
      <c r="P179" s="51">
        <v>0</v>
      </c>
      <c r="Q179" s="51">
        <v>0</v>
      </c>
      <c r="R179" s="51">
        <v>0</v>
      </c>
      <c r="S179" s="51">
        <v>0</v>
      </c>
      <c r="T179" s="51">
        <v>0</v>
      </c>
      <c r="U179" s="51">
        <v>0</v>
      </c>
      <c r="V179" s="51">
        <v>0</v>
      </c>
      <c r="W179" s="51">
        <v>0</v>
      </c>
      <c r="X179" s="55">
        <v>0</v>
      </c>
      <c r="Y179" s="59">
        <f t="shared" si="41"/>
        <v>0</v>
      </c>
      <c r="Z179" s="51">
        <f t="shared" ref="Y179:AA180" si="43">IF(Z224&gt;0,Z44/Z224,0)</f>
        <v>0</v>
      </c>
      <c r="AA179" s="51">
        <f t="shared" si="43"/>
        <v>0</v>
      </c>
      <c r="AC179" s="30" t="s">
        <v>60</v>
      </c>
      <c r="AD179" s="31" t="s">
        <v>13</v>
      </c>
      <c r="AE179" s="32" t="s">
        <v>62</v>
      </c>
      <c r="AF179" s="31" t="s">
        <v>78</v>
      </c>
      <c r="AG179" s="31"/>
      <c r="AH179" s="1" t="str">
        <f t="shared" si="42"/>
        <v/>
      </c>
      <c r="AI179" s="1" t="str">
        <f t="shared" si="42"/>
        <v/>
      </c>
      <c r="AJ179" s="1" t="str">
        <f t="shared" si="42"/>
        <v/>
      </c>
      <c r="AK179" s="1" t="str">
        <f t="shared" si="42"/>
        <v/>
      </c>
      <c r="AL179" s="1" t="str">
        <f t="shared" si="42"/>
        <v/>
      </c>
      <c r="AM179" s="1" t="str">
        <f t="shared" si="42"/>
        <v/>
      </c>
      <c r="AN179" s="52" t="str">
        <f t="shared" si="42"/>
        <v/>
      </c>
      <c r="AO179" s="1" t="str">
        <f t="shared" si="42"/>
        <v/>
      </c>
      <c r="AP179" s="1" t="str">
        <f t="shared" si="42"/>
        <v/>
      </c>
      <c r="AQ179" s="1" t="str">
        <f t="shared" si="42"/>
        <v/>
      </c>
      <c r="AR179" s="1" t="str">
        <f t="shared" si="42"/>
        <v/>
      </c>
      <c r="AS179" s="1" t="str">
        <f t="shared" si="42"/>
        <v/>
      </c>
      <c r="AT179" s="1" t="str">
        <f t="shared" si="42"/>
        <v/>
      </c>
      <c r="AU179" s="1" t="str">
        <f t="shared" si="42"/>
        <v/>
      </c>
      <c r="AV179" s="1" t="str">
        <f t="shared" si="42"/>
        <v/>
      </c>
      <c r="AW179" s="1" t="str">
        <f t="shared" si="38"/>
        <v/>
      </c>
      <c r="AX179" s="1" t="str">
        <f t="shared" si="38"/>
        <v/>
      </c>
      <c r="AY179" s="1" t="str">
        <f t="shared" si="38"/>
        <v/>
      </c>
      <c r="AZ179" s="1" t="str">
        <f t="shared" si="38"/>
        <v/>
      </c>
      <c r="BA179" s="1" t="str">
        <f t="shared" si="38"/>
        <v/>
      </c>
      <c r="BB179" s="1" t="str">
        <f t="shared" si="38"/>
        <v/>
      </c>
      <c r="BC179" s="1" t="str">
        <f t="shared" si="38"/>
        <v/>
      </c>
    </row>
    <row r="180" spans="1:55" ht="15.75" thickBot="1" x14ac:dyDescent="0.3">
      <c r="A180" s="33" t="s">
        <v>60</v>
      </c>
      <c r="B180" s="34" t="s">
        <v>13</v>
      </c>
      <c r="C180" s="32" t="s">
        <v>62</v>
      </c>
      <c r="D180" s="34" t="s">
        <v>79</v>
      </c>
      <c r="E180" s="31"/>
      <c r="F180" s="51">
        <v>0</v>
      </c>
      <c r="G180" s="51">
        <v>0</v>
      </c>
      <c r="H180" s="51">
        <v>0</v>
      </c>
      <c r="I180" s="51">
        <v>0</v>
      </c>
      <c r="J180" s="51">
        <v>0</v>
      </c>
      <c r="K180" s="51">
        <v>0</v>
      </c>
      <c r="L180" s="52">
        <v>0</v>
      </c>
      <c r="M180" s="51">
        <v>0</v>
      </c>
      <c r="N180" s="51">
        <v>0</v>
      </c>
      <c r="O180" s="51">
        <v>0</v>
      </c>
      <c r="P180" s="51">
        <v>0</v>
      </c>
      <c r="Q180" s="51">
        <v>0</v>
      </c>
      <c r="R180" s="51">
        <v>0</v>
      </c>
      <c r="S180" s="51">
        <v>0</v>
      </c>
      <c r="T180" s="51">
        <v>0</v>
      </c>
      <c r="U180" s="51">
        <v>0</v>
      </c>
      <c r="V180" s="51">
        <v>0</v>
      </c>
      <c r="W180" s="51">
        <v>0</v>
      </c>
      <c r="X180" s="55">
        <v>0</v>
      </c>
      <c r="Y180" s="59">
        <f t="shared" si="43"/>
        <v>0</v>
      </c>
      <c r="Z180" s="51">
        <f t="shared" si="43"/>
        <v>0</v>
      </c>
      <c r="AA180" s="51">
        <f t="shared" si="43"/>
        <v>0</v>
      </c>
      <c r="AC180" s="33" t="s">
        <v>60</v>
      </c>
      <c r="AD180" s="34" t="s">
        <v>13</v>
      </c>
      <c r="AE180" s="32" t="s">
        <v>62</v>
      </c>
      <c r="AF180" s="34" t="s">
        <v>79</v>
      </c>
      <c r="AG180" s="31"/>
      <c r="AH180" s="1" t="str">
        <f t="shared" si="42"/>
        <v/>
      </c>
      <c r="AI180" s="1" t="str">
        <f t="shared" si="42"/>
        <v/>
      </c>
      <c r="AJ180" s="1" t="str">
        <f t="shared" si="42"/>
        <v/>
      </c>
      <c r="AK180" s="1" t="str">
        <f t="shared" si="42"/>
        <v/>
      </c>
      <c r="AL180" s="1" t="str">
        <f t="shared" si="42"/>
        <v/>
      </c>
      <c r="AM180" s="1" t="str">
        <f t="shared" si="42"/>
        <v/>
      </c>
      <c r="AN180" s="52" t="str">
        <f t="shared" si="42"/>
        <v/>
      </c>
      <c r="AO180" s="1" t="str">
        <f t="shared" si="42"/>
        <v/>
      </c>
      <c r="AP180" s="1" t="str">
        <f t="shared" si="42"/>
        <v/>
      </c>
      <c r="AQ180" s="1" t="str">
        <f t="shared" si="42"/>
        <v/>
      </c>
      <c r="AR180" s="1" t="str">
        <f t="shared" si="42"/>
        <v/>
      </c>
      <c r="AS180" s="1" t="str">
        <f t="shared" si="42"/>
        <v/>
      </c>
      <c r="AT180" s="1" t="str">
        <f t="shared" si="42"/>
        <v/>
      </c>
      <c r="AU180" s="1" t="str">
        <f t="shared" si="42"/>
        <v/>
      </c>
      <c r="AV180" s="1" t="str">
        <f t="shared" si="42"/>
        <v/>
      </c>
      <c r="AW180" s="1" t="str">
        <f t="shared" si="38"/>
        <v/>
      </c>
      <c r="AX180" s="1" t="str">
        <f t="shared" si="38"/>
        <v/>
      </c>
      <c r="AY180" s="1" t="str">
        <f t="shared" si="38"/>
        <v/>
      </c>
      <c r="AZ180" s="1" t="str">
        <f t="shared" si="38"/>
        <v/>
      </c>
      <c r="BA180" s="1" t="str">
        <f t="shared" si="38"/>
        <v/>
      </c>
      <c r="BB180" s="1" t="str">
        <f t="shared" si="38"/>
        <v/>
      </c>
      <c r="BC180" s="1" t="str">
        <f t="shared" si="38"/>
        <v/>
      </c>
    </row>
    <row r="181" spans="1:55" x14ac:dyDescent="0.25">
      <c r="F181" s="99">
        <v>170</v>
      </c>
      <c r="G181" s="99">
        <v>230</v>
      </c>
      <c r="H181" s="99">
        <v>1900</v>
      </c>
    </row>
    <row r="182" spans="1:55" x14ac:dyDescent="0.25">
      <c r="D182" s="41" t="s">
        <v>35</v>
      </c>
      <c r="E182" s="41"/>
      <c r="M182" s="24" t="s">
        <v>81</v>
      </c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AF182" s="41" t="s">
        <v>101</v>
      </c>
      <c r="AG182" s="41"/>
      <c r="AO182" s="24" t="s">
        <v>81</v>
      </c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</row>
    <row r="183" spans="1:55" x14ac:dyDescent="0.25">
      <c r="F183" s="23" t="s">
        <v>44</v>
      </c>
      <c r="G183" s="23"/>
      <c r="H183" s="23"/>
      <c r="I183" s="23"/>
      <c r="J183" s="23"/>
      <c r="K183" s="23"/>
      <c r="L183" s="7" t="s">
        <v>30</v>
      </c>
      <c r="M183" s="24" t="s">
        <v>46</v>
      </c>
      <c r="N183" s="24"/>
      <c r="O183" s="24"/>
      <c r="P183" s="24"/>
      <c r="Q183" s="24"/>
      <c r="R183" s="24" t="s">
        <v>47</v>
      </c>
      <c r="S183" s="24"/>
      <c r="T183" s="24"/>
      <c r="U183" s="24"/>
      <c r="V183" s="24"/>
      <c r="W183" s="24"/>
      <c r="X183" s="24"/>
      <c r="Y183" s="44" t="s">
        <v>85</v>
      </c>
      <c r="Z183" s="44" t="s">
        <v>48</v>
      </c>
      <c r="AA183" s="44" t="s">
        <v>3</v>
      </c>
      <c r="AH183" s="23" t="s">
        <v>44</v>
      </c>
      <c r="AI183" s="23"/>
      <c r="AJ183" s="23"/>
      <c r="AK183" s="23"/>
      <c r="AL183" s="23"/>
      <c r="AM183" s="23"/>
      <c r="AN183" s="7" t="s">
        <v>30</v>
      </c>
      <c r="AO183" s="24" t="s">
        <v>46</v>
      </c>
      <c r="AP183" s="24"/>
      <c r="AQ183" s="24"/>
      <c r="AR183" s="24"/>
      <c r="AS183" s="24"/>
      <c r="AT183" s="24" t="s">
        <v>47</v>
      </c>
      <c r="AU183" s="24"/>
      <c r="AV183" s="24"/>
      <c r="AW183" s="24"/>
      <c r="AX183" s="24"/>
      <c r="AY183" s="24"/>
      <c r="AZ183" s="24"/>
      <c r="BA183" s="44" t="s">
        <v>85</v>
      </c>
      <c r="BB183" s="44" t="s">
        <v>48</v>
      </c>
      <c r="BC183" s="44" t="s">
        <v>3</v>
      </c>
    </row>
    <row r="184" spans="1:55" ht="63" x14ac:dyDescent="0.25">
      <c r="F184" s="38" t="s">
        <v>36</v>
      </c>
      <c r="G184" s="38" t="s">
        <v>37</v>
      </c>
      <c r="H184" s="38" t="s">
        <v>38</v>
      </c>
      <c r="I184" s="38" t="s">
        <v>80</v>
      </c>
      <c r="J184" s="38" t="s">
        <v>39</v>
      </c>
      <c r="K184" s="38" t="s">
        <v>45</v>
      </c>
      <c r="L184" s="39" t="s">
        <v>16</v>
      </c>
      <c r="M184" s="40" t="s">
        <v>34</v>
      </c>
      <c r="N184" s="40" t="s">
        <v>5</v>
      </c>
      <c r="O184" s="40" t="s">
        <v>7</v>
      </c>
      <c r="P184" s="40" t="s">
        <v>8</v>
      </c>
      <c r="Q184" s="40" t="s">
        <v>40</v>
      </c>
      <c r="R184" s="40" t="s">
        <v>41</v>
      </c>
      <c r="S184" s="40" t="s">
        <v>42</v>
      </c>
      <c r="T184" s="40" t="s">
        <v>31</v>
      </c>
      <c r="U184" s="40" t="s">
        <v>43</v>
      </c>
      <c r="V184" s="40" t="s">
        <v>82</v>
      </c>
      <c r="W184" s="40" t="s">
        <v>87</v>
      </c>
      <c r="X184" s="40" t="s">
        <v>83</v>
      </c>
      <c r="Y184" s="45" t="s">
        <v>3</v>
      </c>
      <c r="Z184" s="45" t="s">
        <v>3</v>
      </c>
      <c r="AA184" s="45" t="s">
        <v>3</v>
      </c>
      <c r="AH184" s="38" t="s">
        <v>36</v>
      </c>
      <c r="AI184" s="38" t="s">
        <v>37</v>
      </c>
      <c r="AJ184" s="38" t="s">
        <v>38</v>
      </c>
      <c r="AK184" s="38" t="s">
        <v>80</v>
      </c>
      <c r="AL184" s="38" t="s">
        <v>39</v>
      </c>
      <c r="AM184" s="38" t="s">
        <v>45</v>
      </c>
      <c r="AN184" s="39" t="s">
        <v>16</v>
      </c>
      <c r="AO184" s="40" t="s">
        <v>34</v>
      </c>
      <c r="AP184" s="40" t="s">
        <v>5</v>
      </c>
      <c r="AQ184" s="40" t="s">
        <v>7</v>
      </c>
      <c r="AR184" s="40" t="s">
        <v>8</v>
      </c>
      <c r="AS184" s="40" t="s">
        <v>40</v>
      </c>
      <c r="AT184" s="40" t="s">
        <v>41</v>
      </c>
      <c r="AU184" s="40" t="s">
        <v>42</v>
      </c>
      <c r="AV184" s="40" t="s">
        <v>31</v>
      </c>
      <c r="AW184" s="40" t="s">
        <v>43</v>
      </c>
      <c r="AX184" s="40" t="s">
        <v>82</v>
      </c>
      <c r="AY184" s="40" t="s">
        <v>87</v>
      </c>
      <c r="AZ184" s="40" t="s">
        <v>83</v>
      </c>
      <c r="BA184" s="45" t="s">
        <v>3</v>
      </c>
      <c r="BB184" s="45" t="s">
        <v>86</v>
      </c>
      <c r="BC184" s="45" t="s">
        <v>3</v>
      </c>
    </row>
    <row r="185" spans="1:55" x14ac:dyDescent="0.25">
      <c r="A185" s="15" t="s">
        <v>51</v>
      </c>
      <c r="B185" s="2"/>
      <c r="C185" s="2"/>
      <c r="F185" s="1">
        <f t="shared" ref="F185:X185" si="44">F187+F188+F189</f>
        <v>0</v>
      </c>
      <c r="G185" s="1">
        <f t="shared" si="44"/>
        <v>0</v>
      </c>
      <c r="H185" s="1">
        <f t="shared" si="44"/>
        <v>0</v>
      </c>
      <c r="I185" s="1">
        <f t="shared" si="44"/>
        <v>0</v>
      </c>
      <c r="J185" s="1">
        <f t="shared" si="44"/>
        <v>0</v>
      </c>
      <c r="K185" s="1">
        <f t="shared" si="44"/>
        <v>0</v>
      </c>
      <c r="L185" s="52">
        <f t="shared" si="44"/>
        <v>0</v>
      </c>
      <c r="M185" s="1">
        <f t="shared" si="44"/>
        <v>0</v>
      </c>
      <c r="N185" s="1">
        <f t="shared" si="44"/>
        <v>0</v>
      </c>
      <c r="O185" s="1">
        <f t="shared" si="44"/>
        <v>0</v>
      </c>
      <c r="P185" s="1">
        <f t="shared" si="44"/>
        <v>0</v>
      </c>
      <c r="Q185" s="1">
        <f t="shared" si="44"/>
        <v>0</v>
      </c>
      <c r="R185" s="1">
        <f t="shared" si="44"/>
        <v>0</v>
      </c>
      <c r="S185" s="1">
        <f t="shared" si="44"/>
        <v>0</v>
      </c>
      <c r="T185" s="1">
        <f t="shared" si="44"/>
        <v>0</v>
      </c>
      <c r="U185" s="1">
        <f t="shared" si="44"/>
        <v>0</v>
      </c>
      <c r="V185" s="1">
        <f t="shared" si="44"/>
        <v>0</v>
      </c>
      <c r="W185" s="1">
        <f t="shared" si="44"/>
        <v>0</v>
      </c>
      <c r="X185" s="1">
        <f t="shared" si="44"/>
        <v>0</v>
      </c>
      <c r="Y185" s="58">
        <f t="shared" ref="Y185:Y225" si="45">SUM(F185:K185)</f>
        <v>0</v>
      </c>
      <c r="Z185" s="1">
        <f t="shared" ref="Z185:Z225" si="46">SUM(M185:X185)</f>
        <v>0</v>
      </c>
      <c r="AA185" s="1">
        <f t="shared" ref="AA185:AA225" si="47">L185+Y185+Z185</f>
        <v>0</v>
      </c>
      <c r="AC185" s="15" t="s">
        <v>51</v>
      </c>
      <c r="AD185" s="2"/>
      <c r="AE185" s="2"/>
      <c r="AH185" s="1" t="str">
        <f t="shared" ref="AH185:AW200" si="48">IF(F185&gt;0,F230/F185*1000,"")</f>
        <v/>
      </c>
      <c r="AI185" s="1" t="str">
        <f t="shared" si="48"/>
        <v/>
      </c>
      <c r="AJ185" s="1" t="str">
        <f t="shared" si="48"/>
        <v/>
      </c>
      <c r="AK185" s="1" t="str">
        <f t="shared" si="48"/>
        <v/>
      </c>
      <c r="AL185" s="1" t="str">
        <f t="shared" si="48"/>
        <v/>
      </c>
      <c r="AM185" s="1" t="str">
        <f t="shared" si="48"/>
        <v/>
      </c>
      <c r="AN185" s="52" t="str">
        <f t="shared" si="48"/>
        <v/>
      </c>
      <c r="AO185" s="1" t="str">
        <f t="shared" si="48"/>
        <v/>
      </c>
      <c r="AP185" s="1" t="str">
        <f t="shared" si="48"/>
        <v/>
      </c>
      <c r="AQ185" s="1" t="str">
        <f t="shared" si="48"/>
        <v/>
      </c>
      <c r="AR185" s="1" t="str">
        <f t="shared" si="48"/>
        <v/>
      </c>
      <c r="AS185" s="1" t="str">
        <f t="shared" si="48"/>
        <v/>
      </c>
      <c r="AT185" s="1" t="str">
        <f t="shared" si="48"/>
        <v/>
      </c>
      <c r="AU185" s="1" t="str">
        <f t="shared" si="48"/>
        <v/>
      </c>
      <c r="AV185" s="1" t="str">
        <f t="shared" si="48"/>
        <v/>
      </c>
      <c r="AW185" s="1" t="str">
        <f t="shared" si="48"/>
        <v/>
      </c>
      <c r="AX185" s="1" t="str">
        <f t="shared" ref="AX185:BC200" si="49">IF(V185&gt;0,V230/V185*1000,"")</f>
        <v/>
      </c>
      <c r="AY185" s="1" t="str">
        <f t="shared" si="49"/>
        <v/>
      </c>
      <c r="AZ185" s="1" t="str">
        <f t="shared" si="49"/>
        <v/>
      </c>
      <c r="BA185" s="1" t="str">
        <f t="shared" si="49"/>
        <v/>
      </c>
      <c r="BB185" s="1" t="str">
        <f t="shared" si="49"/>
        <v/>
      </c>
      <c r="BC185" s="1" t="str">
        <f t="shared" si="49"/>
        <v/>
      </c>
    </row>
    <row r="186" spans="1:55" x14ac:dyDescent="0.25">
      <c r="A186" s="30" t="s">
        <v>60</v>
      </c>
      <c r="B186" s="2"/>
      <c r="C186" s="2"/>
      <c r="F186" s="1">
        <f>F190+F191+F192+F193</f>
        <v>165</v>
      </c>
      <c r="G186" s="1">
        <f t="shared" ref="G186:X186" si="50">G190+G191+G192+G193</f>
        <v>165</v>
      </c>
      <c r="H186" s="1">
        <f t="shared" si="50"/>
        <v>1800</v>
      </c>
      <c r="I186" s="1">
        <f t="shared" si="50"/>
        <v>101.37931034482759</v>
      </c>
      <c r="J186" s="1">
        <f t="shared" si="50"/>
        <v>168.17281746031748</v>
      </c>
      <c r="K186" s="1">
        <f t="shared" si="50"/>
        <v>811.33847962382436</v>
      </c>
      <c r="L186" s="52">
        <f t="shared" si="50"/>
        <v>400</v>
      </c>
      <c r="M186" s="1">
        <f t="shared" si="50"/>
        <v>65.416666666666657</v>
      </c>
      <c r="N186" s="1">
        <f t="shared" si="50"/>
        <v>3.2</v>
      </c>
      <c r="O186" s="1">
        <f t="shared" si="50"/>
        <v>0.45</v>
      </c>
      <c r="P186" s="1">
        <f t="shared" si="50"/>
        <v>0.79999999999999993</v>
      </c>
      <c r="Q186" s="1">
        <f t="shared" si="50"/>
        <v>36.524822695035468</v>
      </c>
      <c r="R186" s="1">
        <f t="shared" si="50"/>
        <v>40.539533497279976</v>
      </c>
      <c r="S186" s="1">
        <f t="shared" si="50"/>
        <v>2.4500000000000002</v>
      </c>
      <c r="T186" s="1">
        <f t="shared" si="50"/>
        <v>36.016739003625844</v>
      </c>
      <c r="U186" s="1">
        <f t="shared" si="50"/>
        <v>15.951771233461374</v>
      </c>
      <c r="V186" s="1">
        <f t="shared" si="50"/>
        <v>10.144583978969605</v>
      </c>
      <c r="W186" s="1">
        <f t="shared" si="50"/>
        <v>18.681533646322382</v>
      </c>
      <c r="X186" s="54">
        <f t="shared" si="50"/>
        <v>33.416722557567631</v>
      </c>
      <c r="Y186" s="58">
        <f t="shared" si="45"/>
        <v>3210.8906074289694</v>
      </c>
      <c r="Z186" s="1">
        <f t="shared" si="46"/>
        <v>263.5923732789289</v>
      </c>
      <c r="AA186" s="1">
        <f t="shared" si="47"/>
        <v>3874.4829807078982</v>
      </c>
      <c r="AC186" s="30" t="s">
        <v>60</v>
      </c>
      <c r="AD186" s="2"/>
      <c r="AE186" s="2"/>
      <c r="AH186" s="1">
        <f t="shared" si="48"/>
        <v>287.99708799708799</v>
      </c>
      <c r="AI186" s="1">
        <f t="shared" si="48"/>
        <v>147.42014742014743</v>
      </c>
      <c r="AJ186" s="1">
        <f t="shared" si="48"/>
        <v>35.921568627450981</v>
      </c>
      <c r="AK186" s="1">
        <f t="shared" si="48"/>
        <v>170.58823529411762</v>
      </c>
      <c r="AL186" s="1">
        <f t="shared" si="48"/>
        <v>1020.3126763131738</v>
      </c>
      <c r="AM186" s="1">
        <f t="shared" si="48"/>
        <v>47.811853638004592</v>
      </c>
      <c r="AN186" s="52">
        <f t="shared" si="48"/>
        <v>18750</v>
      </c>
      <c r="AO186" s="1">
        <f t="shared" si="48"/>
        <v>6592.3566878980901</v>
      </c>
      <c r="AP186" s="1">
        <f t="shared" si="48"/>
        <v>10066.105769230768</v>
      </c>
      <c r="AQ186" s="1">
        <f t="shared" si="48"/>
        <v>66666.666666666672</v>
      </c>
      <c r="AR186" s="1">
        <f t="shared" si="48"/>
        <v>312500</v>
      </c>
      <c r="AS186" s="1">
        <f t="shared" si="48"/>
        <v>25176.760671906297</v>
      </c>
      <c r="AT186" s="1">
        <f t="shared" si="48"/>
        <v>11198.161764705883</v>
      </c>
      <c r="AU186" s="1">
        <f t="shared" si="48"/>
        <v>2222.2222222222222</v>
      </c>
      <c r="AV186" s="1">
        <f t="shared" si="48"/>
        <v>11475.043611028865</v>
      </c>
      <c r="AW186" s="1">
        <f t="shared" si="48"/>
        <v>8925.0358337314847</v>
      </c>
      <c r="AX186" s="1">
        <f t="shared" si="49"/>
        <v>11981.528202595131</v>
      </c>
      <c r="AY186" s="1">
        <f t="shared" si="49"/>
        <v>11093.418100224384</v>
      </c>
      <c r="AZ186" s="1">
        <f t="shared" si="49"/>
        <v>7666.5350932944411</v>
      </c>
      <c r="BA186" s="1">
        <f t="shared" si="49"/>
        <v>113.41938535135519</v>
      </c>
      <c r="BB186" s="1">
        <f t="shared" si="49"/>
        <v>12379.322114877525</v>
      </c>
      <c r="BC186" s="1">
        <f t="shared" si="49"/>
        <v>2871.9372856651162</v>
      </c>
    </row>
    <row r="187" spans="1:55" x14ac:dyDescent="0.25">
      <c r="A187" s="15" t="s">
        <v>51</v>
      </c>
      <c r="B187" s="16" t="s">
        <v>52</v>
      </c>
      <c r="C187" s="2"/>
      <c r="F187" s="1">
        <f>F194+F195+F196</f>
        <v>0</v>
      </c>
      <c r="G187" s="1">
        <f t="shared" ref="G187:X187" si="51">G194+G195+G196</f>
        <v>0</v>
      </c>
      <c r="H187" s="1">
        <f t="shared" si="51"/>
        <v>0</v>
      </c>
      <c r="I187" s="1">
        <f t="shared" si="51"/>
        <v>0</v>
      </c>
      <c r="J187" s="1">
        <f t="shared" si="51"/>
        <v>0</v>
      </c>
      <c r="K187" s="1">
        <f t="shared" si="51"/>
        <v>0</v>
      </c>
      <c r="L187" s="52">
        <f t="shared" si="51"/>
        <v>0</v>
      </c>
      <c r="M187" s="1">
        <f t="shared" si="51"/>
        <v>0</v>
      </c>
      <c r="N187" s="1">
        <f t="shared" si="51"/>
        <v>0</v>
      </c>
      <c r="O187" s="1">
        <f t="shared" si="51"/>
        <v>0</v>
      </c>
      <c r="P187" s="1">
        <f t="shared" si="51"/>
        <v>0</v>
      </c>
      <c r="Q187" s="1">
        <f t="shared" si="51"/>
        <v>0</v>
      </c>
      <c r="R187" s="1">
        <f t="shared" si="51"/>
        <v>0</v>
      </c>
      <c r="S187" s="1">
        <f t="shared" si="51"/>
        <v>0</v>
      </c>
      <c r="T187" s="1">
        <f t="shared" si="51"/>
        <v>0</v>
      </c>
      <c r="U187" s="1">
        <f t="shared" si="51"/>
        <v>0</v>
      </c>
      <c r="V187" s="1">
        <f t="shared" si="51"/>
        <v>0</v>
      </c>
      <c r="W187" s="1">
        <f t="shared" si="51"/>
        <v>0</v>
      </c>
      <c r="X187" s="54">
        <f t="shared" si="51"/>
        <v>0</v>
      </c>
      <c r="Y187" s="58">
        <f t="shared" si="45"/>
        <v>0</v>
      </c>
      <c r="Z187" s="1">
        <f t="shared" si="46"/>
        <v>0</v>
      </c>
      <c r="AA187" s="1">
        <f t="shared" si="47"/>
        <v>0</v>
      </c>
      <c r="AC187" s="15" t="s">
        <v>51</v>
      </c>
      <c r="AD187" s="16" t="s">
        <v>52</v>
      </c>
      <c r="AE187" s="2"/>
      <c r="AH187" s="1" t="str">
        <f t="shared" si="48"/>
        <v/>
      </c>
      <c r="AI187" s="1" t="str">
        <f t="shared" si="48"/>
        <v/>
      </c>
      <c r="AJ187" s="1" t="str">
        <f t="shared" si="48"/>
        <v/>
      </c>
      <c r="AK187" s="1" t="str">
        <f t="shared" si="48"/>
        <v/>
      </c>
      <c r="AL187" s="1" t="str">
        <f t="shared" si="48"/>
        <v/>
      </c>
      <c r="AM187" s="1" t="str">
        <f t="shared" si="48"/>
        <v/>
      </c>
      <c r="AN187" s="52" t="str">
        <f t="shared" si="48"/>
        <v/>
      </c>
      <c r="AO187" s="1" t="str">
        <f t="shared" si="48"/>
        <v/>
      </c>
      <c r="AP187" s="1" t="str">
        <f t="shared" si="48"/>
        <v/>
      </c>
      <c r="AQ187" s="1" t="str">
        <f t="shared" si="48"/>
        <v/>
      </c>
      <c r="AR187" s="1" t="str">
        <f t="shared" si="48"/>
        <v/>
      </c>
      <c r="AS187" s="1" t="str">
        <f t="shared" si="48"/>
        <v/>
      </c>
      <c r="AT187" s="1" t="str">
        <f t="shared" si="48"/>
        <v/>
      </c>
      <c r="AU187" s="1" t="str">
        <f t="shared" si="48"/>
        <v/>
      </c>
      <c r="AV187" s="1" t="str">
        <f t="shared" si="48"/>
        <v/>
      </c>
      <c r="AW187" s="1" t="str">
        <f t="shared" si="48"/>
        <v/>
      </c>
      <c r="AX187" s="1" t="str">
        <f t="shared" si="49"/>
        <v/>
      </c>
      <c r="AY187" s="1" t="str">
        <f t="shared" si="49"/>
        <v/>
      </c>
      <c r="AZ187" s="1" t="str">
        <f t="shared" si="49"/>
        <v/>
      </c>
      <c r="BA187" s="1" t="str">
        <f t="shared" si="49"/>
        <v/>
      </c>
      <c r="BB187" s="1" t="str">
        <f t="shared" si="49"/>
        <v/>
      </c>
      <c r="BC187" s="1" t="str">
        <f t="shared" si="49"/>
        <v/>
      </c>
    </row>
    <row r="188" spans="1:55" x14ac:dyDescent="0.25">
      <c r="A188" s="15" t="s">
        <v>51</v>
      </c>
      <c r="B188" s="16" t="s">
        <v>56</v>
      </c>
      <c r="C188" s="2"/>
      <c r="F188" s="1">
        <f>F197+F198+F199</f>
        <v>0</v>
      </c>
      <c r="G188" s="1">
        <f t="shared" ref="G188:X188" si="52">G197+G198+G199</f>
        <v>0</v>
      </c>
      <c r="H188" s="1">
        <f t="shared" si="52"/>
        <v>0</v>
      </c>
      <c r="I188" s="1">
        <f t="shared" si="52"/>
        <v>0</v>
      </c>
      <c r="J188" s="1">
        <f t="shared" si="52"/>
        <v>0</v>
      </c>
      <c r="K188" s="1">
        <f t="shared" si="52"/>
        <v>0</v>
      </c>
      <c r="L188" s="52">
        <f t="shared" si="52"/>
        <v>0</v>
      </c>
      <c r="M188" s="1">
        <f t="shared" si="52"/>
        <v>0</v>
      </c>
      <c r="N188" s="1">
        <f t="shared" si="52"/>
        <v>0</v>
      </c>
      <c r="O188" s="1">
        <f t="shared" si="52"/>
        <v>0</v>
      </c>
      <c r="P188" s="1">
        <f t="shared" si="52"/>
        <v>0</v>
      </c>
      <c r="Q188" s="1">
        <f t="shared" si="52"/>
        <v>0</v>
      </c>
      <c r="R188" s="1">
        <f t="shared" si="52"/>
        <v>0</v>
      </c>
      <c r="S188" s="1">
        <f t="shared" si="52"/>
        <v>0</v>
      </c>
      <c r="T188" s="1">
        <f t="shared" si="52"/>
        <v>0</v>
      </c>
      <c r="U188" s="1">
        <f t="shared" si="52"/>
        <v>0</v>
      </c>
      <c r="V188" s="1">
        <f t="shared" si="52"/>
        <v>0</v>
      </c>
      <c r="W188" s="1">
        <f t="shared" si="52"/>
        <v>0</v>
      </c>
      <c r="X188" s="54">
        <f t="shared" si="52"/>
        <v>0</v>
      </c>
      <c r="Y188" s="58">
        <f t="shared" si="45"/>
        <v>0</v>
      </c>
      <c r="Z188" s="1">
        <f t="shared" si="46"/>
        <v>0</v>
      </c>
      <c r="AA188" s="1">
        <f t="shared" si="47"/>
        <v>0</v>
      </c>
      <c r="AC188" s="15" t="s">
        <v>51</v>
      </c>
      <c r="AD188" s="16" t="s">
        <v>56</v>
      </c>
      <c r="AE188" s="2"/>
      <c r="AH188" s="1" t="str">
        <f t="shared" si="48"/>
        <v/>
      </c>
      <c r="AI188" s="1" t="str">
        <f t="shared" si="48"/>
        <v/>
      </c>
      <c r="AJ188" s="1" t="str">
        <f t="shared" si="48"/>
        <v/>
      </c>
      <c r="AK188" s="1" t="str">
        <f t="shared" si="48"/>
        <v/>
      </c>
      <c r="AL188" s="1" t="str">
        <f t="shared" si="48"/>
        <v/>
      </c>
      <c r="AM188" s="1" t="str">
        <f t="shared" si="48"/>
        <v/>
      </c>
      <c r="AN188" s="52" t="str">
        <f t="shared" si="48"/>
        <v/>
      </c>
      <c r="AO188" s="1" t="str">
        <f t="shared" si="48"/>
        <v/>
      </c>
      <c r="AP188" s="1" t="str">
        <f t="shared" si="48"/>
        <v/>
      </c>
      <c r="AQ188" s="1" t="str">
        <f t="shared" si="48"/>
        <v/>
      </c>
      <c r="AR188" s="1" t="str">
        <f t="shared" si="48"/>
        <v/>
      </c>
      <c r="AS188" s="1" t="str">
        <f t="shared" si="48"/>
        <v/>
      </c>
      <c r="AT188" s="1" t="str">
        <f t="shared" si="48"/>
        <v/>
      </c>
      <c r="AU188" s="1" t="str">
        <f t="shared" si="48"/>
        <v/>
      </c>
      <c r="AV188" s="1" t="str">
        <f t="shared" si="48"/>
        <v/>
      </c>
      <c r="AW188" s="1" t="str">
        <f t="shared" si="48"/>
        <v/>
      </c>
      <c r="AX188" s="1" t="str">
        <f t="shared" si="49"/>
        <v/>
      </c>
      <c r="AY188" s="1" t="str">
        <f t="shared" si="49"/>
        <v/>
      </c>
      <c r="AZ188" s="1" t="str">
        <f t="shared" si="49"/>
        <v/>
      </c>
      <c r="BA188" s="1" t="str">
        <f t="shared" si="49"/>
        <v/>
      </c>
      <c r="BB188" s="1" t="str">
        <f t="shared" si="49"/>
        <v/>
      </c>
      <c r="BC188" s="1" t="str">
        <f t="shared" si="49"/>
        <v/>
      </c>
    </row>
    <row r="189" spans="1:55" x14ac:dyDescent="0.25">
      <c r="A189" s="15" t="s">
        <v>51</v>
      </c>
      <c r="B189" s="16" t="s">
        <v>9</v>
      </c>
      <c r="C189" s="2"/>
      <c r="F189" s="1">
        <f>F200</f>
        <v>0</v>
      </c>
      <c r="G189" s="1">
        <f t="shared" ref="G189:X189" si="53">G200</f>
        <v>0</v>
      </c>
      <c r="H189" s="1">
        <f t="shared" si="53"/>
        <v>0</v>
      </c>
      <c r="I189" s="1">
        <f t="shared" si="53"/>
        <v>0</v>
      </c>
      <c r="J189" s="1">
        <f t="shared" si="53"/>
        <v>0</v>
      </c>
      <c r="K189" s="1">
        <f t="shared" si="53"/>
        <v>0</v>
      </c>
      <c r="L189" s="52">
        <f t="shared" si="53"/>
        <v>0</v>
      </c>
      <c r="M189" s="1">
        <f t="shared" si="53"/>
        <v>0</v>
      </c>
      <c r="N189" s="1">
        <f t="shared" si="53"/>
        <v>0</v>
      </c>
      <c r="O189" s="1">
        <f t="shared" si="53"/>
        <v>0</v>
      </c>
      <c r="P189" s="1">
        <f t="shared" si="53"/>
        <v>0</v>
      </c>
      <c r="Q189" s="1">
        <f t="shared" si="53"/>
        <v>0</v>
      </c>
      <c r="R189" s="1">
        <f t="shared" si="53"/>
        <v>0</v>
      </c>
      <c r="S189" s="1">
        <f t="shared" si="53"/>
        <v>0</v>
      </c>
      <c r="T189" s="1">
        <f t="shared" si="53"/>
        <v>0</v>
      </c>
      <c r="U189" s="1">
        <f t="shared" si="53"/>
        <v>0</v>
      </c>
      <c r="V189" s="1">
        <f t="shared" si="53"/>
        <v>0</v>
      </c>
      <c r="W189" s="1">
        <f t="shared" si="53"/>
        <v>0</v>
      </c>
      <c r="X189" s="54">
        <f t="shared" si="53"/>
        <v>0</v>
      </c>
      <c r="Y189" s="58">
        <f t="shared" si="45"/>
        <v>0</v>
      </c>
      <c r="Z189" s="1">
        <f t="shared" si="46"/>
        <v>0</v>
      </c>
      <c r="AA189" s="1">
        <f t="shared" si="47"/>
        <v>0</v>
      </c>
      <c r="AC189" s="15" t="s">
        <v>51</v>
      </c>
      <c r="AD189" s="16" t="s">
        <v>9</v>
      </c>
      <c r="AE189" s="2"/>
      <c r="AH189" s="1" t="str">
        <f t="shared" si="48"/>
        <v/>
      </c>
      <c r="AI189" s="1" t="str">
        <f t="shared" si="48"/>
        <v/>
      </c>
      <c r="AJ189" s="1" t="str">
        <f t="shared" si="48"/>
        <v/>
      </c>
      <c r="AK189" s="1" t="str">
        <f t="shared" si="48"/>
        <v/>
      </c>
      <c r="AL189" s="1" t="str">
        <f t="shared" si="48"/>
        <v/>
      </c>
      <c r="AM189" s="1" t="str">
        <f t="shared" si="48"/>
        <v/>
      </c>
      <c r="AN189" s="52" t="str">
        <f t="shared" si="48"/>
        <v/>
      </c>
      <c r="AO189" s="1" t="str">
        <f t="shared" si="48"/>
        <v/>
      </c>
      <c r="AP189" s="1" t="str">
        <f t="shared" si="48"/>
        <v/>
      </c>
      <c r="AQ189" s="1" t="str">
        <f t="shared" si="48"/>
        <v/>
      </c>
      <c r="AR189" s="1" t="str">
        <f t="shared" si="48"/>
        <v/>
      </c>
      <c r="AS189" s="1" t="str">
        <f t="shared" si="48"/>
        <v/>
      </c>
      <c r="AT189" s="1" t="str">
        <f t="shared" si="48"/>
        <v/>
      </c>
      <c r="AU189" s="1" t="str">
        <f t="shared" si="48"/>
        <v/>
      </c>
      <c r="AV189" s="1" t="str">
        <f t="shared" si="48"/>
        <v/>
      </c>
      <c r="AW189" s="1" t="str">
        <f t="shared" si="48"/>
        <v/>
      </c>
      <c r="AX189" s="1" t="str">
        <f t="shared" si="49"/>
        <v/>
      </c>
      <c r="AY189" s="1" t="str">
        <f t="shared" si="49"/>
        <v/>
      </c>
      <c r="AZ189" s="1" t="str">
        <f t="shared" si="49"/>
        <v/>
      </c>
      <c r="BA189" s="1" t="str">
        <f t="shared" si="49"/>
        <v/>
      </c>
      <c r="BB189" s="1" t="str">
        <f t="shared" si="49"/>
        <v/>
      </c>
      <c r="BC189" s="1" t="str">
        <f t="shared" si="49"/>
        <v/>
      </c>
    </row>
    <row r="190" spans="1:55" x14ac:dyDescent="0.25">
      <c r="A190" s="30" t="s">
        <v>60</v>
      </c>
      <c r="B190" s="32" t="s">
        <v>13</v>
      </c>
      <c r="C190" s="2"/>
      <c r="F190" s="51">
        <f>F201+F202+F203</f>
        <v>165</v>
      </c>
      <c r="G190" s="51">
        <f t="shared" ref="G190:X190" si="54">G201+G202+G203</f>
        <v>165</v>
      </c>
      <c r="H190" s="51">
        <f t="shared" si="54"/>
        <v>1800</v>
      </c>
      <c r="I190" s="51">
        <f t="shared" si="54"/>
        <v>101.37931034482759</v>
      </c>
      <c r="J190" s="51">
        <f t="shared" si="54"/>
        <v>42</v>
      </c>
      <c r="K190" s="51">
        <f t="shared" si="54"/>
        <v>27.586206896551722</v>
      </c>
      <c r="L190" s="52">
        <f t="shared" si="54"/>
        <v>0</v>
      </c>
      <c r="M190" s="51">
        <f t="shared" si="54"/>
        <v>11.25</v>
      </c>
      <c r="N190" s="51">
        <f t="shared" si="54"/>
        <v>2.2000000000000002</v>
      </c>
      <c r="O190" s="51">
        <f t="shared" si="54"/>
        <v>0.45</v>
      </c>
      <c r="P190" s="51">
        <f t="shared" si="54"/>
        <v>0.79999999999999993</v>
      </c>
      <c r="Q190" s="51">
        <f t="shared" si="54"/>
        <v>2.836879432624114</v>
      </c>
      <c r="R190" s="51">
        <f t="shared" si="54"/>
        <v>4.0241448692152924</v>
      </c>
      <c r="S190" s="51">
        <f t="shared" si="54"/>
        <v>0</v>
      </c>
      <c r="T190" s="51">
        <f t="shared" si="54"/>
        <v>2.464788732394366</v>
      </c>
      <c r="U190" s="51">
        <f t="shared" si="54"/>
        <v>5.28169014084507</v>
      </c>
      <c r="V190" s="51">
        <f t="shared" si="54"/>
        <v>0.11737089201877934</v>
      </c>
      <c r="W190" s="51">
        <f t="shared" si="54"/>
        <v>2.0539906103286385</v>
      </c>
      <c r="X190" s="55">
        <f t="shared" si="54"/>
        <v>11.737089201877934</v>
      </c>
      <c r="Y190" s="59">
        <f t="shared" si="45"/>
        <v>2300.9655172413791</v>
      </c>
      <c r="Z190" s="51">
        <f t="shared" si="46"/>
        <v>43.215953879304195</v>
      </c>
      <c r="AA190" s="51">
        <f t="shared" si="47"/>
        <v>2344.1814711206835</v>
      </c>
      <c r="AB190" s="97">
        <v>5200</v>
      </c>
      <c r="AC190" s="30" t="s">
        <v>60</v>
      </c>
      <c r="AD190" s="32" t="s">
        <v>13</v>
      </c>
      <c r="AE190" s="2"/>
      <c r="AH190" s="1">
        <f t="shared" si="48"/>
        <v>287.99708799708799</v>
      </c>
      <c r="AI190" s="1">
        <f t="shared" si="48"/>
        <v>147.42014742014743</v>
      </c>
      <c r="AJ190" s="1">
        <f t="shared" si="48"/>
        <v>35.921568627450981</v>
      </c>
      <c r="AK190" s="1">
        <f t="shared" si="48"/>
        <v>170.58823529411762</v>
      </c>
      <c r="AL190" s="1">
        <f t="shared" si="48"/>
        <v>392.15686274509795</v>
      </c>
      <c r="AM190" s="1">
        <f t="shared" si="48"/>
        <v>170.58823529411765</v>
      </c>
      <c r="AN190" s="52" t="str">
        <f t="shared" si="48"/>
        <v/>
      </c>
      <c r="AO190" s="1">
        <f t="shared" si="48"/>
        <v>2222.2222222222222</v>
      </c>
      <c r="AP190" s="1">
        <f t="shared" si="48"/>
        <v>6249.9999999999991</v>
      </c>
      <c r="AQ190" s="1">
        <f t="shared" si="48"/>
        <v>66666.666666666672</v>
      </c>
      <c r="AR190" s="1">
        <f t="shared" si="48"/>
        <v>312500</v>
      </c>
      <c r="AS190" s="1">
        <f t="shared" si="48"/>
        <v>5222.2222222222217</v>
      </c>
      <c r="AT190" s="1">
        <f t="shared" si="48"/>
        <v>2366.6666666666665</v>
      </c>
      <c r="AU190" s="1" t="str">
        <f t="shared" si="48"/>
        <v/>
      </c>
      <c r="AV190" s="1">
        <f t="shared" si="48"/>
        <v>2366.6666666666665</v>
      </c>
      <c r="AW190" s="1">
        <f t="shared" si="48"/>
        <v>2366.6666666666665</v>
      </c>
      <c r="AX190" s="1">
        <f t="shared" si="49"/>
        <v>2366.6666666666665</v>
      </c>
      <c r="AY190" s="1">
        <f t="shared" si="49"/>
        <v>2366.6666666666661</v>
      </c>
      <c r="AZ190" s="1">
        <f t="shared" si="49"/>
        <v>2366.6666666666665</v>
      </c>
      <c r="BA190" s="1">
        <f t="shared" si="49"/>
        <v>76.043406255963646</v>
      </c>
      <c r="BB190" s="1">
        <f t="shared" si="49"/>
        <v>9124.839068459627</v>
      </c>
      <c r="BC190" s="1">
        <f t="shared" si="49"/>
        <v>242.86169264660339</v>
      </c>
    </row>
    <row r="191" spans="1:55" x14ac:dyDescent="0.25">
      <c r="A191" s="30" t="s">
        <v>60</v>
      </c>
      <c r="B191" s="31" t="s">
        <v>23</v>
      </c>
      <c r="C191" s="2"/>
      <c r="F191" s="51">
        <f>F204+F205+F206</f>
        <v>0</v>
      </c>
      <c r="G191" s="51">
        <f t="shared" ref="G191:X191" si="55">G204+G205+G206</f>
        <v>0</v>
      </c>
      <c r="H191" s="51">
        <f t="shared" si="55"/>
        <v>0</v>
      </c>
      <c r="I191" s="51">
        <f t="shared" si="55"/>
        <v>0</v>
      </c>
      <c r="J191" s="51">
        <f t="shared" si="55"/>
        <v>41.87222222222222</v>
      </c>
      <c r="K191" s="51">
        <f t="shared" si="55"/>
        <v>783.75227272727261</v>
      </c>
      <c r="L191" s="52">
        <f t="shared" si="55"/>
        <v>0</v>
      </c>
      <c r="M191" s="51">
        <f t="shared" si="55"/>
        <v>0</v>
      </c>
      <c r="N191" s="51">
        <f t="shared" si="55"/>
        <v>1</v>
      </c>
      <c r="O191" s="51">
        <f t="shared" si="55"/>
        <v>0</v>
      </c>
      <c r="P191" s="51">
        <f t="shared" si="55"/>
        <v>0</v>
      </c>
      <c r="Q191" s="51">
        <f t="shared" si="55"/>
        <v>0</v>
      </c>
      <c r="R191" s="51">
        <f t="shared" si="55"/>
        <v>0</v>
      </c>
      <c r="S191" s="51">
        <f t="shared" si="55"/>
        <v>2.4500000000000002</v>
      </c>
      <c r="T191" s="51">
        <f t="shared" si="55"/>
        <v>1.6009852216748768</v>
      </c>
      <c r="U191" s="51">
        <f t="shared" si="55"/>
        <v>0</v>
      </c>
      <c r="V191" s="51">
        <f t="shared" si="55"/>
        <v>0.24630541871921183</v>
      </c>
      <c r="W191" s="51">
        <f t="shared" si="55"/>
        <v>0</v>
      </c>
      <c r="X191" s="55">
        <f t="shared" si="55"/>
        <v>1</v>
      </c>
      <c r="Y191" s="59">
        <f t="shared" si="45"/>
        <v>825.62449494949487</v>
      </c>
      <c r="Z191" s="51">
        <f t="shared" si="46"/>
        <v>6.2972906403940883</v>
      </c>
      <c r="AA191" s="51">
        <f t="shared" si="47"/>
        <v>831.92178558988894</v>
      </c>
      <c r="AC191" s="30" t="s">
        <v>60</v>
      </c>
      <c r="AD191" s="31" t="s">
        <v>23</v>
      </c>
      <c r="AE191" s="2"/>
      <c r="AH191" s="1" t="str">
        <f t="shared" si="48"/>
        <v/>
      </c>
      <c r="AI191" s="1" t="str">
        <f t="shared" si="48"/>
        <v/>
      </c>
      <c r="AJ191" s="1" t="str">
        <f t="shared" si="48"/>
        <v/>
      </c>
      <c r="AK191" s="1" t="str">
        <f t="shared" si="48"/>
        <v/>
      </c>
      <c r="AL191" s="1">
        <f t="shared" si="48"/>
        <v>885.96768761290446</v>
      </c>
      <c r="AM191" s="1">
        <f t="shared" si="48"/>
        <v>43.490418429160101</v>
      </c>
      <c r="AN191" s="52" t="str">
        <f t="shared" si="48"/>
        <v/>
      </c>
      <c r="AO191" s="1" t="str">
        <f t="shared" si="48"/>
        <v/>
      </c>
      <c r="AP191" s="1">
        <f t="shared" si="48"/>
        <v>18461.538461538461</v>
      </c>
      <c r="AQ191" s="1" t="str">
        <f t="shared" si="48"/>
        <v/>
      </c>
      <c r="AR191" s="1" t="str">
        <f t="shared" si="48"/>
        <v/>
      </c>
      <c r="AS191" s="1" t="str">
        <f t="shared" si="48"/>
        <v/>
      </c>
      <c r="AT191" s="1" t="str">
        <f t="shared" si="48"/>
        <v/>
      </c>
      <c r="AU191" s="1">
        <f t="shared" si="48"/>
        <v>2222.2222222222222</v>
      </c>
      <c r="AV191" s="1">
        <f t="shared" si="48"/>
        <v>11600.000000000002</v>
      </c>
      <c r="AW191" s="1" t="str">
        <f t="shared" si="48"/>
        <v/>
      </c>
      <c r="AX191" s="1">
        <f t="shared" si="49"/>
        <v>9022.2222222222226</v>
      </c>
      <c r="AY191" s="1" t="str">
        <f t="shared" si="49"/>
        <v/>
      </c>
      <c r="AZ191" s="1">
        <f t="shared" si="49"/>
        <v>2222.2222222222222</v>
      </c>
      <c r="BA191" s="1">
        <f t="shared" si="49"/>
        <v>86.217342894489349</v>
      </c>
      <c r="BB191" s="1">
        <f t="shared" si="49"/>
        <v>7451.1180444610263</v>
      </c>
      <c r="BC191" s="1">
        <f t="shared" si="49"/>
        <v>141.9664782804812</v>
      </c>
    </row>
    <row r="192" spans="1:55" x14ac:dyDescent="0.25">
      <c r="A192" s="30" t="s">
        <v>60</v>
      </c>
      <c r="B192" s="31" t="s">
        <v>65</v>
      </c>
      <c r="C192" s="46"/>
      <c r="F192" s="51">
        <f>F207+F208+F209</f>
        <v>0</v>
      </c>
      <c r="G192" s="51">
        <f t="shared" ref="G192:X192" si="56">G207+G208+G209</f>
        <v>0</v>
      </c>
      <c r="H192" s="51">
        <f t="shared" si="56"/>
        <v>0</v>
      </c>
      <c r="I192" s="51">
        <f t="shared" si="56"/>
        <v>0</v>
      </c>
      <c r="J192" s="51">
        <f t="shared" si="56"/>
        <v>84.300595238095255</v>
      </c>
      <c r="K192" s="51">
        <f t="shared" si="56"/>
        <v>0</v>
      </c>
      <c r="L192" s="52">
        <f t="shared" si="56"/>
        <v>400</v>
      </c>
      <c r="M192" s="51">
        <f t="shared" si="56"/>
        <v>54.166666666666664</v>
      </c>
      <c r="N192" s="51">
        <f t="shared" si="56"/>
        <v>0</v>
      </c>
      <c r="O192" s="51">
        <f t="shared" si="56"/>
        <v>0</v>
      </c>
      <c r="P192" s="51">
        <f t="shared" si="56"/>
        <v>0</v>
      </c>
      <c r="Q192" s="51">
        <f t="shared" si="56"/>
        <v>33.687943262411352</v>
      </c>
      <c r="R192" s="51">
        <f t="shared" si="56"/>
        <v>36.515388628064684</v>
      </c>
      <c r="S192" s="51">
        <f t="shared" si="56"/>
        <v>0</v>
      </c>
      <c r="T192" s="51">
        <f t="shared" si="56"/>
        <v>31.950965049556601</v>
      </c>
      <c r="U192" s="51">
        <f t="shared" si="56"/>
        <v>10.670081092616304</v>
      </c>
      <c r="V192" s="51">
        <f t="shared" si="56"/>
        <v>9.7809076682316132</v>
      </c>
      <c r="W192" s="51">
        <f t="shared" si="56"/>
        <v>16.627543035993742</v>
      </c>
      <c r="X192" s="55">
        <f t="shared" si="56"/>
        <v>15.649452269170579</v>
      </c>
      <c r="Y192" s="59">
        <f t="shared" si="45"/>
        <v>84.300595238095255</v>
      </c>
      <c r="Z192" s="51">
        <f t="shared" si="46"/>
        <v>209.04894767271153</v>
      </c>
      <c r="AA192" s="51">
        <f t="shared" si="47"/>
        <v>693.3495429108068</v>
      </c>
      <c r="AC192" s="30" t="s">
        <v>60</v>
      </c>
      <c r="AD192" s="31" t="s">
        <v>65</v>
      </c>
      <c r="AE192" s="46"/>
      <c r="AH192" s="1" t="str">
        <f t="shared" si="48"/>
        <v/>
      </c>
      <c r="AI192" s="1" t="str">
        <f t="shared" si="48"/>
        <v/>
      </c>
      <c r="AJ192" s="1" t="str">
        <f t="shared" si="48"/>
        <v/>
      </c>
      <c r="AK192" s="1" t="str">
        <f t="shared" si="48"/>
        <v/>
      </c>
      <c r="AL192" s="1">
        <f t="shared" si="48"/>
        <v>1400</v>
      </c>
      <c r="AM192" s="1" t="str">
        <f t="shared" si="48"/>
        <v/>
      </c>
      <c r="AN192" s="52">
        <f t="shared" si="48"/>
        <v>18750</v>
      </c>
      <c r="AO192" s="1">
        <f t="shared" si="48"/>
        <v>7500</v>
      </c>
      <c r="AP192" s="1" t="str">
        <f t="shared" si="48"/>
        <v/>
      </c>
      <c r="AQ192" s="1" t="str">
        <f t="shared" si="48"/>
        <v/>
      </c>
      <c r="AR192" s="1" t="str">
        <f t="shared" si="48"/>
        <v/>
      </c>
      <c r="AS192" s="1">
        <f t="shared" si="48"/>
        <v>26857.142857142855</v>
      </c>
      <c r="AT192" s="1">
        <f t="shared" si="48"/>
        <v>12171.428571428572</v>
      </c>
      <c r="AU192" s="1" t="str">
        <f t="shared" si="48"/>
        <v/>
      </c>
      <c r="AV192" s="1">
        <f t="shared" si="48"/>
        <v>12171.428571428571</v>
      </c>
      <c r="AW192" s="1">
        <f t="shared" si="48"/>
        <v>12171.428571428571</v>
      </c>
      <c r="AX192" s="1">
        <f t="shared" si="49"/>
        <v>12171.428571428571</v>
      </c>
      <c r="AY192" s="1">
        <f t="shared" si="49"/>
        <v>12171.428571428571</v>
      </c>
      <c r="AZ192" s="1">
        <f t="shared" si="49"/>
        <v>12171.428571428571</v>
      </c>
      <c r="BA192" s="1">
        <f t="shared" si="49"/>
        <v>1400</v>
      </c>
      <c r="BB192" s="1">
        <f t="shared" si="49"/>
        <v>13327.597009634792</v>
      </c>
      <c r="BC192" s="1">
        <f t="shared" si="49"/>
        <v>15005.62172367634</v>
      </c>
    </row>
    <row r="193" spans="1:55" ht="15.75" thickBot="1" x14ac:dyDescent="0.3">
      <c r="A193" s="48" t="s">
        <v>60</v>
      </c>
      <c r="B193" s="49" t="s">
        <v>9</v>
      </c>
      <c r="C193" s="50"/>
      <c r="D193" s="50"/>
      <c r="E193" s="50"/>
      <c r="F193" s="53">
        <f>F210</f>
        <v>0</v>
      </c>
      <c r="G193" s="53">
        <f t="shared" ref="G193:X193" si="57">G210</f>
        <v>0</v>
      </c>
      <c r="H193" s="53">
        <f t="shared" si="57"/>
        <v>0</v>
      </c>
      <c r="I193" s="53">
        <f t="shared" si="57"/>
        <v>0</v>
      </c>
      <c r="J193" s="53">
        <f t="shared" si="57"/>
        <v>0</v>
      </c>
      <c r="K193" s="53">
        <f t="shared" si="57"/>
        <v>0</v>
      </c>
      <c r="L193" s="62">
        <f t="shared" si="57"/>
        <v>0</v>
      </c>
      <c r="M193" s="53">
        <f t="shared" si="57"/>
        <v>0</v>
      </c>
      <c r="N193" s="53">
        <f t="shared" si="57"/>
        <v>0</v>
      </c>
      <c r="O193" s="53">
        <f t="shared" si="57"/>
        <v>0</v>
      </c>
      <c r="P193" s="53">
        <f t="shared" si="57"/>
        <v>0</v>
      </c>
      <c r="Q193" s="53">
        <f t="shared" si="57"/>
        <v>0</v>
      </c>
      <c r="R193" s="53">
        <f t="shared" si="57"/>
        <v>0</v>
      </c>
      <c r="S193" s="53">
        <f t="shared" si="57"/>
        <v>0</v>
      </c>
      <c r="T193" s="53">
        <f t="shared" si="57"/>
        <v>0</v>
      </c>
      <c r="U193" s="53">
        <f t="shared" si="57"/>
        <v>0</v>
      </c>
      <c r="V193" s="53">
        <f t="shared" si="57"/>
        <v>0</v>
      </c>
      <c r="W193" s="53">
        <f t="shared" si="57"/>
        <v>0</v>
      </c>
      <c r="X193" s="56">
        <f t="shared" si="57"/>
        <v>5.0301810865191152</v>
      </c>
      <c r="Y193" s="60">
        <f t="shared" si="45"/>
        <v>0</v>
      </c>
      <c r="Z193" s="53">
        <f t="shared" si="46"/>
        <v>5.0301810865191152</v>
      </c>
      <c r="AA193" s="53">
        <f t="shared" si="47"/>
        <v>5.0301810865191152</v>
      </c>
      <c r="AC193" s="48" t="s">
        <v>60</v>
      </c>
      <c r="AD193" s="49" t="s">
        <v>9</v>
      </c>
      <c r="AE193" s="50"/>
      <c r="AF193" s="50"/>
      <c r="AG193" s="50"/>
      <c r="AH193" s="1" t="str">
        <f t="shared" si="48"/>
        <v/>
      </c>
      <c r="AI193" s="1" t="str">
        <f t="shared" si="48"/>
        <v/>
      </c>
      <c r="AJ193" s="1" t="str">
        <f t="shared" si="48"/>
        <v/>
      </c>
      <c r="AK193" s="1" t="str">
        <f t="shared" si="48"/>
        <v/>
      </c>
      <c r="AL193" s="1" t="str">
        <f t="shared" si="48"/>
        <v/>
      </c>
      <c r="AM193" s="1" t="str">
        <f t="shared" si="48"/>
        <v/>
      </c>
      <c r="AN193" s="52" t="str">
        <f t="shared" si="48"/>
        <v/>
      </c>
      <c r="AO193" s="1" t="str">
        <f t="shared" si="48"/>
        <v/>
      </c>
      <c r="AP193" s="1" t="str">
        <f t="shared" si="48"/>
        <v/>
      </c>
      <c r="AQ193" s="1" t="str">
        <f t="shared" si="48"/>
        <v/>
      </c>
      <c r="AR193" s="1" t="str">
        <f t="shared" si="48"/>
        <v/>
      </c>
      <c r="AS193" s="1" t="str">
        <f t="shared" si="48"/>
        <v/>
      </c>
      <c r="AT193" s="1" t="str">
        <f t="shared" si="48"/>
        <v/>
      </c>
      <c r="AU193" s="1" t="str">
        <f t="shared" si="48"/>
        <v/>
      </c>
      <c r="AV193" s="1" t="str">
        <f t="shared" si="48"/>
        <v/>
      </c>
      <c r="AW193" s="1" t="str">
        <f t="shared" si="48"/>
        <v/>
      </c>
      <c r="AX193" s="1" t="str">
        <f t="shared" si="49"/>
        <v/>
      </c>
      <c r="AY193" s="1" t="str">
        <f t="shared" si="49"/>
        <v/>
      </c>
      <c r="AZ193" s="1">
        <f t="shared" si="49"/>
        <v>7100</v>
      </c>
      <c r="BA193" s="1" t="str">
        <f t="shared" si="49"/>
        <v/>
      </c>
      <c r="BB193" s="1">
        <f t="shared" si="49"/>
        <v>7100</v>
      </c>
      <c r="BC193" s="1">
        <f t="shared" si="49"/>
        <v>7100</v>
      </c>
    </row>
    <row r="194" spans="1:55" ht="15.75" thickTop="1" x14ac:dyDescent="0.25">
      <c r="A194" s="15" t="s">
        <v>51</v>
      </c>
      <c r="B194" s="16" t="s">
        <v>52</v>
      </c>
      <c r="C194" s="16" t="s">
        <v>53</v>
      </c>
      <c r="D194" s="2"/>
      <c r="E194" s="2"/>
      <c r="F194" s="47">
        <v>0</v>
      </c>
      <c r="G194" s="47">
        <v>0</v>
      </c>
      <c r="H194" s="47">
        <v>0</v>
      </c>
      <c r="I194" s="47">
        <v>0</v>
      </c>
      <c r="J194" s="47">
        <v>0</v>
      </c>
      <c r="K194" s="47">
        <v>0</v>
      </c>
      <c r="L194" s="63">
        <v>0</v>
      </c>
      <c r="M194" s="47">
        <v>0</v>
      </c>
      <c r="N194" s="47">
        <v>0</v>
      </c>
      <c r="O194" s="47">
        <v>0</v>
      </c>
      <c r="P194" s="47">
        <v>0</v>
      </c>
      <c r="Q194" s="47">
        <v>0</v>
      </c>
      <c r="R194" s="47">
        <v>0</v>
      </c>
      <c r="S194" s="47">
        <v>0</v>
      </c>
      <c r="T194" s="47">
        <v>0</v>
      </c>
      <c r="U194" s="47">
        <v>0</v>
      </c>
      <c r="V194" s="47">
        <v>0</v>
      </c>
      <c r="W194" s="47">
        <v>0</v>
      </c>
      <c r="X194" s="57">
        <v>0</v>
      </c>
      <c r="Y194" s="61">
        <f t="shared" si="45"/>
        <v>0</v>
      </c>
      <c r="Z194" s="47">
        <f t="shared" si="46"/>
        <v>0</v>
      </c>
      <c r="AA194" s="47">
        <f t="shared" si="47"/>
        <v>0</v>
      </c>
      <c r="AC194" s="15" t="s">
        <v>51</v>
      </c>
      <c r="AD194" s="16" t="s">
        <v>52</v>
      </c>
      <c r="AE194" s="16" t="s">
        <v>53</v>
      </c>
      <c r="AF194" s="2"/>
      <c r="AG194" s="2"/>
      <c r="AH194" s="90" t="str">
        <f t="shared" si="48"/>
        <v/>
      </c>
      <c r="AI194" s="90" t="str">
        <f t="shared" si="48"/>
        <v/>
      </c>
      <c r="AJ194" s="90" t="str">
        <f t="shared" si="48"/>
        <v/>
      </c>
      <c r="AK194" s="90" t="str">
        <f t="shared" si="48"/>
        <v/>
      </c>
      <c r="AL194" s="90" t="str">
        <f t="shared" si="48"/>
        <v/>
      </c>
      <c r="AM194" s="90" t="str">
        <f t="shared" si="48"/>
        <v/>
      </c>
      <c r="AN194" s="90" t="str">
        <f t="shared" si="48"/>
        <v/>
      </c>
      <c r="AO194" s="90" t="str">
        <f t="shared" si="48"/>
        <v/>
      </c>
      <c r="AP194" s="90" t="str">
        <f t="shared" si="48"/>
        <v/>
      </c>
      <c r="AQ194" s="90" t="str">
        <f t="shared" si="48"/>
        <v/>
      </c>
      <c r="AR194" s="90" t="str">
        <f t="shared" si="48"/>
        <v/>
      </c>
      <c r="AS194" s="90" t="str">
        <f t="shared" si="48"/>
        <v/>
      </c>
      <c r="AT194" s="90" t="str">
        <f t="shared" si="48"/>
        <v/>
      </c>
      <c r="AU194" s="90" t="str">
        <f t="shared" si="48"/>
        <v/>
      </c>
      <c r="AV194" s="90" t="str">
        <f t="shared" si="48"/>
        <v/>
      </c>
      <c r="AW194" s="90" t="str">
        <f t="shared" si="48"/>
        <v/>
      </c>
      <c r="AX194" s="90" t="str">
        <f t="shared" si="49"/>
        <v/>
      </c>
      <c r="AY194" s="90" t="str">
        <f t="shared" si="49"/>
        <v/>
      </c>
      <c r="AZ194" s="90" t="str">
        <f t="shared" si="49"/>
        <v/>
      </c>
      <c r="BA194" s="90" t="str">
        <f t="shared" si="49"/>
        <v/>
      </c>
      <c r="BB194" s="90" t="str">
        <f t="shared" si="49"/>
        <v/>
      </c>
      <c r="BC194" s="90" t="str">
        <f t="shared" si="49"/>
        <v/>
      </c>
    </row>
    <row r="195" spans="1:55" x14ac:dyDescent="0.25">
      <c r="A195" s="15" t="s">
        <v>51</v>
      </c>
      <c r="B195" s="16" t="s">
        <v>52</v>
      </c>
      <c r="C195" s="16" t="s">
        <v>54</v>
      </c>
      <c r="D195" s="2"/>
      <c r="E195" s="2"/>
      <c r="F195" s="47">
        <v>0</v>
      </c>
      <c r="G195" s="47">
        <v>0</v>
      </c>
      <c r="H195" s="1">
        <v>0</v>
      </c>
      <c r="I195" s="1">
        <v>0</v>
      </c>
      <c r="J195" s="1">
        <v>0</v>
      </c>
      <c r="K195" s="1">
        <v>0</v>
      </c>
      <c r="L195" s="52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54">
        <v>0</v>
      </c>
      <c r="Y195" s="58">
        <f t="shared" si="45"/>
        <v>0</v>
      </c>
      <c r="Z195" s="1">
        <f t="shared" si="46"/>
        <v>0</v>
      </c>
      <c r="AA195" s="1">
        <f t="shared" si="47"/>
        <v>0</v>
      </c>
      <c r="AC195" s="15" t="s">
        <v>51</v>
      </c>
      <c r="AD195" s="16" t="s">
        <v>52</v>
      </c>
      <c r="AE195" s="16" t="s">
        <v>54</v>
      </c>
      <c r="AF195" s="2"/>
      <c r="AG195" s="2"/>
      <c r="AH195" s="90" t="str">
        <f t="shared" si="48"/>
        <v/>
      </c>
      <c r="AI195" s="90" t="str">
        <f t="shared" si="48"/>
        <v/>
      </c>
      <c r="AJ195" s="90" t="str">
        <f t="shared" si="48"/>
        <v/>
      </c>
      <c r="AK195" s="90" t="str">
        <f t="shared" si="48"/>
        <v/>
      </c>
      <c r="AL195" s="90" t="str">
        <f t="shared" si="48"/>
        <v/>
      </c>
      <c r="AM195" s="90" t="str">
        <f t="shared" si="48"/>
        <v/>
      </c>
      <c r="AN195" s="90" t="str">
        <f t="shared" si="48"/>
        <v/>
      </c>
      <c r="AO195" s="90" t="str">
        <f t="shared" si="48"/>
        <v/>
      </c>
      <c r="AP195" s="90" t="str">
        <f t="shared" si="48"/>
        <v/>
      </c>
      <c r="AQ195" s="90" t="str">
        <f t="shared" si="48"/>
        <v/>
      </c>
      <c r="AR195" s="90" t="str">
        <f t="shared" si="48"/>
        <v/>
      </c>
      <c r="AS195" s="90" t="str">
        <f t="shared" si="48"/>
        <v/>
      </c>
      <c r="AT195" s="90" t="str">
        <f t="shared" si="48"/>
        <v/>
      </c>
      <c r="AU195" s="90" t="str">
        <f t="shared" si="48"/>
        <v/>
      </c>
      <c r="AV195" s="90" t="str">
        <f t="shared" si="48"/>
        <v/>
      </c>
      <c r="AW195" s="90" t="str">
        <f t="shared" si="48"/>
        <v/>
      </c>
      <c r="AX195" s="90" t="str">
        <f t="shared" si="49"/>
        <v/>
      </c>
      <c r="AY195" s="90" t="str">
        <f t="shared" si="49"/>
        <v/>
      </c>
      <c r="AZ195" s="90" t="str">
        <f t="shared" si="49"/>
        <v/>
      </c>
      <c r="BA195" s="90" t="str">
        <f t="shared" si="49"/>
        <v/>
      </c>
      <c r="BB195" s="90" t="str">
        <f t="shared" si="49"/>
        <v/>
      </c>
      <c r="BC195" s="90" t="str">
        <f t="shared" si="49"/>
        <v/>
      </c>
    </row>
    <row r="196" spans="1:55" x14ac:dyDescent="0.25">
      <c r="A196" s="15" t="s">
        <v>51</v>
      </c>
      <c r="B196" s="16" t="s">
        <v>52</v>
      </c>
      <c r="C196" s="16" t="s">
        <v>55</v>
      </c>
      <c r="D196" s="2"/>
      <c r="E196" s="2"/>
      <c r="F196" s="47">
        <v>0</v>
      </c>
      <c r="G196" s="47">
        <v>0</v>
      </c>
      <c r="H196" s="1">
        <v>0</v>
      </c>
      <c r="I196" s="1">
        <v>0</v>
      </c>
      <c r="J196" s="1">
        <v>0</v>
      </c>
      <c r="K196" s="1">
        <v>0</v>
      </c>
      <c r="L196" s="52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54">
        <v>0</v>
      </c>
      <c r="Y196" s="58">
        <f t="shared" si="45"/>
        <v>0</v>
      </c>
      <c r="Z196" s="1">
        <f t="shared" si="46"/>
        <v>0</v>
      </c>
      <c r="AA196" s="1">
        <f t="shared" si="47"/>
        <v>0</v>
      </c>
      <c r="AC196" s="15" t="s">
        <v>51</v>
      </c>
      <c r="AD196" s="16" t="s">
        <v>52</v>
      </c>
      <c r="AE196" s="16" t="s">
        <v>55</v>
      </c>
      <c r="AF196" s="2"/>
      <c r="AG196" s="2"/>
      <c r="AH196" s="90" t="str">
        <f t="shared" si="48"/>
        <v/>
      </c>
      <c r="AI196" s="90" t="str">
        <f t="shared" si="48"/>
        <v/>
      </c>
      <c r="AJ196" s="90" t="str">
        <f t="shared" si="48"/>
        <v/>
      </c>
      <c r="AK196" s="90" t="str">
        <f t="shared" si="48"/>
        <v/>
      </c>
      <c r="AL196" s="90" t="str">
        <f t="shared" si="48"/>
        <v/>
      </c>
      <c r="AM196" s="90" t="str">
        <f t="shared" si="48"/>
        <v/>
      </c>
      <c r="AN196" s="90" t="str">
        <f t="shared" si="48"/>
        <v/>
      </c>
      <c r="AO196" s="90" t="str">
        <f t="shared" si="48"/>
        <v/>
      </c>
      <c r="AP196" s="90" t="str">
        <f t="shared" si="48"/>
        <v/>
      </c>
      <c r="AQ196" s="90" t="str">
        <f t="shared" si="48"/>
        <v/>
      </c>
      <c r="AR196" s="90" t="str">
        <f t="shared" si="48"/>
        <v/>
      </c>
      <c r="AS196" s="90" t="str">
        <f t="shared" si="48"/>
        <v/>
      </c>
      <c r="AT196" s="90" t="str">
        <f t="shared" si="48"/>
        <v/>
      </c>
      <c r="AU196" s="90" t="str">
        <f t="shared" si="48"/>
        <v/>
      </c>
      <c r="AV196" s="90" t="str">
        <f t="shared" si="48"/>
        <v/>
      </c>
      <c r="AW196" s="90" t="str">
        <f t="shared" si="48"/>
        <v/>
      </c>
      <c r="AX196" s="90" t="str">
        <f t="shared" si="49"/>
        <v/>
      </c>
      <c r="AY196" s="90" t="str">
        <f t="shared" si="49"/>
        <v/>
      </c>
      <c r="AZ196" s="90" t="str">
        <f t="shared" si="49"/>
        <v/>
      </c>
      <c r="BA196" s="90" t="str">
        <f t="shared" si="49"/>
        <v/>
      </c>
      <c r="BB196" s="90" t="str">
        <f t="shared" si="49"/>
        <v/>
      </c>
      <c r="BC196" s="90" t="str">
        <f t="shared" si="49"/>
        <v/>
      </c>
    </row>
    <row r="197" spans="1:55" x14ac:dyDescent="0.25">
      <c r="A197" s="25" t="s">
        <v>51</v>
      </c>
      <c r="B197" s="26" t="s">
        <v>56</v>
      </c>
      <c r="C197" s="26" t="s">
        <v>57</v>
      </c>
      <c r="D197" s="2"/>
      <c r="E197" s="2"/>
      <c r="F197" s="47">
        <v>0</v>
      </c>
      <c r="G197" s="47">
        <v>0</v>
      </c>
      <c r="H197" s="1">
        <v>0</v>
      </c>
      <c r="I197" s="1">
        <v>0</v>
      </c>
      <c r="J197" s="1">
        <v>0</v>
      </c>
      <c r="K197" s="1">
        <v>0</v>
      </c>
      <c r="L197" s="52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54">
        <v>0</v>
      </c>
      <c r="Y197" s="58">
        <f t="shared" si="45"/>
        <v>0</v>
      </c>
      <c r="Z197" s="1">
        <f t="shared" si="46"/>
        <v>0</v>
      </c>
      <c r="AA197" s="1">
        <f t="shared" si="47"/>
        <v>0</v>
      </c>
      <c r="AC197" s="25" t="s">
        <v>51</v>
      </c>
      <c r="AD197" s="26" t="s">
        <v>56</v>
      </c>
      <c r="AE197" s="26" t="s">
        <v>57</v>
      </c>
      <c r="AF197" s="2"/>
      <c r="AG197" s="2"/>
      <c r="AH197" s="90" t="str">
        <f t="shared" si="48"/>
        <v/>
      </c>
      <c r="AI197" s="90" t="str">
        <f t="shared" si="48"/>
        <v/>
      </c>
      <c r="AJ197" s="90" t="str">
        <f t="shared" si="48"/>
        <v/>
      </c>
      <c r="AK197" s="90" t="str">
        <f t="shared" si="48"/>
        <v/>
      </c>
      <c r="AL197" s="90" t="str">
        <f t="shared" si="48"/>
        <v/>
      </c>
      <c r="AM197" s="90" t="str">
        <f t="shared" si="48"/>
        <v/>
      </c>
      <c r="AN197" s="90" t="str">
        <f t="shared" si="48"/>
        <v/>
      </c>
      <c r="AO197" s="90" t="str">
        <f t="shared" si="48"/>
        <v/>
      </c>
      <c r="AP197" s="90" t="str">
        <f t="shared" si="48"/>
        <v/>
      </c>
      <c r="AQ197" s="90" t="str">
        <f t="shared" si="48"/>
        <v/>
      </c>
      <c r="AR197" s="90" t="str">
        <f t="shared" si="48"/>
        <v/>
      </c>
      <c r="AS197" s="90" t="str">
        <f t="shared" si="48"/>
        <v/>
      </c>
      <c r="AT197" s="90" t="str">
        <f t="shared" si="48"/>
        <v/>
      </c>
      <c r="AU197" s="90" t="str">
        <f t="shared" si="48"/>
        <v/>
      </c>
      <c r="AV197" s="90" t="str">
        <f t="shared" si="48"/>
        <v/>
      </c>
      <c r="AW197" s="90" t="str">
        <f t="shared" si="48"/>
        <v/>
      </c>
      <c r="AX197" s="90" t="str">
        <f t="shared" si="49"/>
        <v/>
      </c>
      <c r="AY197" s="90" t="str">
        <f t="shared" si="49"/>
        <v/>
      </c>
      <c r="AZ197" s="90" t="str">
        <f t="shared" si="49"/>
        <v/>
      </c>
      <c r="BA197" s="90" t="str">
        <f t="shared" si="49"/>
        <v/>
      </c>
      <c r="BB197" s="90" t="str">
        <f t="shared" si="49"/>
        <v/>
      </c>
      <c r="BC197" s="90" t="str">
        <f t="shared" si="49"/>
        <v/>
      </c>
    </row>
    <row r="198" spans="1:55" x14ac:dyDescent="0.25">
      <c r="A198" s="15" t="s">
        <v>51</v>
      </c>
      <c r="B198" s="16" t="s">
        <v>56</v>
      </c>
      <c r="C198" s="27" t="s">
        <v>58</v>
      </c>
      <c r="D198" s="2"/>
      <c r="E198" s="2"/>
      <c r="F198" s="47">
        <v>0</v>
      </c>
      <c r="G198" s="47">
        <v>0</v>
      </c>
      <c r="H198" s="1">
        <v>0</v>
      </c>
      <c r="I198" s="1">
        <v>0</v>
      </c>
      <c r="J198" s="1">
        <v>0</v>
      </c>
      <c r="K198" s="1">
        <v>0</v>
      </c>
      <c r="L198" s="52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54">
        <v>0</v>
      </c>
      <c r="Y198" s="58">
        <f t="shared" si="45"/>
        <v>0</v>
      </c>
      <c r="Z198" s="1">
        <f t="shared" si="46"/>
        <v>0</v>
      </c>
      <c r="AA198" s="1">
        <f t="shared" si="47"/>
        <v>0</v>
      </c>
      <c r="AC198" s="15" t="s">
        <v>51</v>
      </c>
      <c r="AD198" s="16" t="s">
        <v>56</v>
      </c>
      <c r="AE198" s="27" t="s">
        <v>58</v>
      </c>
      <c r="AF198" s="2"/>
      <c r="AG198" s="2"/>
      <c r="AH198" s="90" t="str">
        <f t="shared" si="48"/>
        <v/>
      </c>
      <c r="AI198" s="90" t="str">
        <f t="shared" si="48"/>
        <v/>
      </c>
      <c r="AJ198" s="90" t="str">
        <f t="shared" si="48"/>
        <v/>
      </c>
      <c r="AK198" s="90" t="str">
        <f t="shared" si="48"/>
        <v/>
      </c>
      <c r="AL198" s="90" t="str">
        <f t="shared" si="48"/>
        <v/>
      </c>
      <c r="AM198" s="90" t="str">
        <f t="shared" si="48"/>
        <v/>
      </c>
      <c r="AN198" s="90" t="str">
        <f t="shared" si="48"/>
        <v/>
      </c>
      <c r="AO198" s="90" t="str">
        <f t="shared" si="48"/>
        <v/>
      </c>
      <c r="AP198" s="90" t="str">
        <f t="shared" si="48"/>
        <v/>
      </c>
      <c r="AQ198" s="90" t="str">
        <f t="shared" si="48"/>
        <v/>
      </c>
      <c r="AR198" s="90" t="str">
        <f t="shared" si="48"/>
        <v/>
      </c>
      <c r="AS198" s="90" t="str">
        <f t="shared" si="48"/>
        <v/>
      </c>
      <c r="AT198" s="90" t="str">
        <f t="shared" si="48"/>
        <v/>
      </c>
      <c r="AU198" s="90" t="str">
        <f t="shared" si="48"/>
        <v/>
      </c>
      <c r="AV198" s="90" t="str">
        <f t="shared" si="48"/>
        <v/>
      </c>
      <c r="AW198" s="90" t="str">
        <f t="shared" si="48"/>
        <v/>
      </c>
      <c r="AX198" s="90" t="str">
        <f t="shared" si="49"/>
        <v/>
      </c>
      <c r="AY198" s="90" t="str">
        <f t="shared" si="49"/>
        <v/>
      </c>
      <c r="AZ198" s="90" t="str">
        <f t="shared" si="49"/>
        <v/>
      </c>
      <c r="BA198" s="90" t="str">
        <f t="shared" si="49"/>
        <v/>
      </c>
      <c r="BB198" s="90" t="str">
        <f t="shared" si="49"/>
        <v/>
      </c>
      <c r="BC198" s="90" t="str">
        <f t="shared" si="49"/>
        <v/>
      </c>
    </row>
    <row r="199" spans="1:55" x14ac:dyDescent="0.25">
      <c r="A199" s="15" t="s">
        <v>51</v>
      </c>
      <c r="B199" s="16" t="s">
        <v>9</v>
      </c>
      <c r="C199" s="27" t="s">
        <v>59</v>
      </c>
      <c r="D199" s="2"/>
      <c r="E199" s="2"/>
      <c r="F199" s="47">
        <v>0</v>
      </c>
      <c r="G199" s="47">
        <v>0</v>
      </c>
      <c r="H199" s="1">
        <v>0</v>
      </c>
      <c r="I199" s="1">
        <v>0</v>
      </c>
      <c r="J199" s="1">
        <v>0</v>
      </c>
      <c r="K199" s="1">
        <v>0</v>
      </c>
      <c r="L199" s="52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54">
        <v>0</v>
      </c>
      <c r="Y199" s="58">
        <f t="shared" si="45"/>
        <v>0</v>
      </c>
      <c r="Z199" s="1">
        <f t="shared" si="46"/>
        <v>0</v>
      </c>
      <c r="AA199" s="1">
        <f t="shared" si="47"/>
        <v>0</v>
      </c>
      <c r="AC199" s="15" t="s">
        <v>51</v>
      </c>
      <c r="AD199" s="16" t="s">
        <v>9</v>
      </c>
      <c r="AE199" s="27" t="s">
        <v>59</v>
      </c>
      <c r="AF199" s="2"/>
      <c r="AG199" s="2"/>
      <c r="AH199" s="90" t="str">
        <f t="shared" si="48"/>
        <v/>
      </c>
      <c r="AI199" s="90" t="str">
        <f t="shared" si="48"/>
        <v/>
      </c>
      <c r="AJ199" s="90" t="str">
        <f t="shared" si="48"/>
        <v/>
      </c>
      <c r="AK199" s="90" t="str">
        <f t="shared" si="48"/>
        <v/>
      </c>
      <c r="AL199" s="90" t="str">
        <f t="shared" si="48"/>
        <v/>
      </c>
      <c r="AM199" s="90" t="str">
        <f t="shared" si="48"/>
        <v/>
      </c>
      <c r="AN199" s="90" t="str">
        <f t="shared" si="48"/>
        <v/>
      </c>
      <c r="AO199" s="90" t="str">
        <f t="shared" si="48"/>
        <v/>
      </c>
      <c r="AP199" s="90" t="str">
        <f t="shared" si="48"/>
        <v/>
      </c>
      <c r="AQ199" s="90" t="str">
        <f t="shared" si="48"/>
        <v/>
      </c>
      <c r="AR199" s="90" t="str">
        <f t="shared" si="48"/>
        <v/>
      </c>
      <c r="AS199" s="90" t="str">
        <f t="shared" si="48"/>
        <v/>
      </c>
      <c r="AT199" s="90" t="str">
        <f t="shared" si="48"/>
        <v/>
      </c>
      <c r="AU199" s="90" t="str">
        <f t="shared" si="48"/>
        <v/>
      </c>
      <c r="AV199" s="90" t="str">
        <f t="shared" si="48"/>
        <v/>
      </c>
      <c r="AW199" s="90" t="str">
        <f t="shared" si="48"/>
        <v/>
      </c>
      <c r="AX199" s="90" t="str">
        <f t="shared" si="49"/>
        <v/>
      </c>
      <c r="AY199" s="90" t="str">
        <f t="shared" si="49"/>
        <v/>
      </c>
      <c r="AZ199" s="90" t="str">
        <f t="shared" si="49"/>
        <v/>
      </c>
      <c r="BA199" s="90" t="str">
        <f t="shared" si="49"/>
        <v/>
      </c>
      <c r="BB199" s="90" t="str">
        <f t="shared" si="49"/>
        <v/>
      </c>
      <c r="BC199" s="90" t="str">
        <f t="shared" si="49"/>
        <v/>
      </c>
    </row>
    <row r="200" spans="1:55" x14ac:dyDescent="0.25">
      <c r="A200" s="15" t="s">
        <v>51</v>
      </c>
      <c r="B200" s="16" t="s">
        <v>9</v>
      </c>
      <c r="C200" s="27" t="s">
        <v>9</v>
      </c>
      <c r="D200" s="2"/>
      <c r="E200" s="2"/>
      <c r="F200" s="47">
        <v>0</v>
      </c>
      <c r="G200" s="47">
        <v>0</v>
      </c>
      <c r="H200" s="1">
        <v>0</v>
      </c>
      <c r="I200" s="1">
        <v>0</v>
      </c>
      <c r="J200" s="1">
        <v>0</v>
      </c>
      <c r="K200" s="1">
        <v>0</v>
      </c>
      <c r="L200" s="52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54">
        <v>0</v>
      </c>
      <c r="Y200" s="58">
        <f t="shared" si="45"/>
        <v>0</v>
      </c>
      <c r="Z200" s="1">
        <f t="shared" si="46"/>
        <v>0</v>
      </c>
      <c r="AA200" s="1">
        <f t="shared" si="47"/>
        <v>0</v>
      </c>
      <c r="AC200" s="15" t="s">
        <v>51</v>
      </c>
      <c r="AD200" s="16" t="s">
        <v>9</v>
      </c>
      <c r="AE200" s="27" t="s">
        <v>9</v>
      </c>
      <c r="AF200" s="2"/>
      <c r="AG200" s="2"/>
      <c r="AH200" s="90" t="str">
        <f t="shared" si="48"/>
        <v/>
      </c>
      <c r="AI200" s="90" t="str">
        <f t="shared" si="48"/>
        <v/>
      </c>
      <c r="AJ200" s="90" t="str">
        <f t="shared" si="48"/>
        <v/>
      </c>
      <c r="AK200" s="90" t="str">
        <f t="shared" si="48"/>
        <v/>
      </c>
      <c r="AL200" s="90" t="str">
        <f t="shared" si="48"/>
        <v/>
      </c>
      <c r="AM200" s="90" t="str">
        <f t="shared" si="48"/>
        <v/>
      </c>
      <c r="AN200" s="90" t="str">
        <f t="shared" si="48"/>
        <v/>
      </c>
      <c r="AO200" s="90" t="str">
        <f t="shared" si="48"/>
        <v/>
      </c>
      <c r="AP200" s="90" t="str">
        <f t="shared" si="48"/>
        <v/>
      </c>
      <c r="AQ200" s="90" t="str">
        <f t="shared" si="48"/>
        <v/>
      </c>
      <c r="AR200" s="90" t="str">
        <f t="shared" si="48"/>
        <v/>
      </c>
      <c r="AS200" s="90" t="str">
        <f t="shared" si="48"/>
        <v/>
      </c>
      <c r="AT200" s="90" t="str">
        <f t="shared" si="48"/>
        <v/>
      </c>
      <c r="AU200" s="90" t="str">
        <f t="shared" si="48"/>
        <v/>
      </c>
      <c r="AV200" s="90" t="str">
        <f t="shared" si="48"/>
        <v/>
      </c>
      <c r="AW200" s="90" t="str">
        <f t="shared" ref="AW200:BC225" si="58">IF(U200&gt;0,U245/U200*1000,"")</f>
        <v/>
      </c>
      <c r="AX200" s="90" t="str">
        <f t="shared" si="49"/>
        <v/>
      </c>
      <c r="AY200" s="90" t="str">
        <f t="shared" si="49"/>
        <v/>
      </c>
      <c r="AZ200" s="90" t="str">
        <f t="shared" si="49"/>
        <v/>
      </c>
      <c r="BA200" s="90" t="str">
        <f t="shared" si="49"/>
        <v/>
      </c>
      <c r="BB200" s="90" t="str">
        <f t="shared" si="49"/>
        <v/>
      </c>
      <c r="BC200" s="90" t="str">
        <f t="shared" si="49"/>
        <v/>
      </c>
    </row>
    <row r="201" spans="1:55" x14ac:dyDescent="0.25">
      <c r="A201" s="28" t="s">
        <v>60</v>
      </c>
      <c r="B201" s="29" t="s">
        <v>13</v>
      </c>
      <c r="C201" s="29" t="s">
        <v>61</v>
      </c>
      <c r="D201" s="2"/>
      <c r="E201" s="2"/>
      <c r="F201" s="103">
        <f>165*0.75</f>
        <v>123.75</v>
      </c>
      <c r="G201" s="51">
        <v>0</v>
      </c>
      <c r="H201" s="91">
        <v>500</v>
      </c>
      <c r="I201" s="77">
        <f>I21/I156</f>
        <v>101.37931034482759</v>
      </c>
      <c r="J201" s="83">
        <f>70*0.6</f>
        <v>42</v>
      </c>
      <c r="K201" s="77">
        <f>K21/K156</f>
        <v>27.586206896551722</v>
      </c>
      <c r="L201" s="52">
        <v>0</v>
      </c>
      <c r="M201" s="80">
        <f>M21/M156</f>
        <v>11.25</v>
      </c>
      <c r="N201" s="107">
        <v>2.2000000000000002</v>
      </c>
      <c r="O201" s="107">
        <v>0.45</v>
      </c>
      <c r="P201" s="107">
        <f>0.8*0.3</f>
        <v>0.24</v>
      </c>
      <c r="Q201" s="84">
        <f t="shared" ref="Q201:X201" si="59">Q21/Q156</f>
        <v>2.836879432624114</v>
      </c>
      <c r="R201" s="80">
        <f t="shared" si="59"/>
        <v>4.0241448692152924</v>
      </c>
      <c r="S201" s="51">
        <v>0</v>
      </c>
      <c r="T201" s="80">
        <f t="shared" si="59"/>
        <v>2.464788732394366</v>
      </c>
      <c r="U201" s="80">
        <f t="shared" si="59"/>
        <v>5.28169014084507</v>
      </c>
      <c r="V201" s="80">
        <f t="shared" si="59"/>
        <v>0.11737089201877934</v>
      </c>
      <c r="W201" s="80">
        <f t="shared" si="59"/>
        <v>2.0539906103286385</v>
      </c>
      <c r="X201" s="80">
        <f t="shared" si="59"/>
        <v>11.737089201877934</v>
      </c>
      <c r="Y201" s="59">
        <f t="shared" si="45"/>
        <v>794.7155172413793</v>
      </c>
      <c r="Z201" s="51">
        <f t="shared" si="46"/>
        <v>42.655953879304192</v>
      </c>
      <c r="AA201" s="51">
        <f t="shared" si="47"/>
        <v>837.37147112068351</v>
      </c>
      <c r="AB201" s="5" t="s">
        <v>124</v>
      </c>
      <c r="AC201" s="28" t="s">
        <v>60</v>
      </c>
      <c r="AD201" s="29" t="s">
        <v>13</v>
      </c>
      <c r="AE201" s="29" t="s">
        <v>61</v>
      </c>
      <c r="AF201" s="2"/>
      <c r="AG201" s="2"/>
      <c r="AH201" s="1">
        <f t="shared" ref="AH201:AV217" si="60">IF(F201&gt;0,F246/F201*1000,"")</f>
        <v>308.86644219977552</v>
      </c>
      <c r="AI201" s="1" t="str">
        <f t="shared" si="60"/>
        <v/>
      </c>
      <c r="AJ201" s="1">
        <f t="shared" si="60"/>
        <v>46.117647058823522</v>
      </c>
      <c r="AK201" s="1">
        <f t="shared" si="60"/>
        <v>170.58823529411762</v>
      </c>
      <c r="AL201" s="1">
        <f t="shared" si="60"/>
        <v>392.15686274509795</v>
      </c>
      <c r="AM201" s="1">
        <f t="shared" si="60"/>
        <v>170.58823529411765</v>
      </c>
      <c r="AN201" s="52" t="str">
        <f t="shared" si="60"/>
        <v/>
      </c>
      <c r="AO201" s="1">
        <f t="shared" si="60"/>
        <v>2222.2222222222222</v>
      </c>
      <c r="AP201" s="1">
        <f t="shared" si="60"/>
        <v>6249.9999999999991</v>
      </c>
      <c r="AQ201" s="1">
        <f t="shared" si="60"/>
        <v>66666.666666666672</v>
      </c>
      <c r="AR201" s="1">
        <f t="shared" si="60"/>
        <v>462962.96296296298</v>
      </c>
      <c r="AS201" s="1">
        <f t="shared" si="60"/>
        <v>5222.2222222222217</v>
      </c>
      <c r="AT201" s="1">
        <f t="shared" si="60"/>
        <v>2366.6666666666665</v>
      </c>
      <c r="AU201" s="1" t="str">
        <f t="shared" si="60"/>
        <v/>
      </c>
      <c r="AV201" s="1">
        <f t="shared" si="60"/>
        <v>2366.6666666666665</v>
      </c>
      <c r="AW201" s="1">
        <f t="shared" si="58"/>
        <v>2366.6666666666665</v>
      </c>
      <c r="AX201" s="1">
        <f t="shared" si="58"/>
        <v>2366.6666666666665</v>
      </c>
      <c r="AY201" s="1">
        <f t="shared" si="58"/>
        <v>2366.6666666666661</v>
      </c>
      <c r="AZ201" s="1">
        <f t="shared" si="58"/>
        <v>2366.6666666666665</v>
      </c>
      <c r="BA201" s="1">
        <f t="shared" si="58"/>
        <v>0</v>
      </c>
      <c r="BB201" s="1">
        <f t="shared" si="58"/>
        <v>0</v>
      </c>
      <c r="BC201" s="1">
        <f t="shared" si="58"/>
        <v>0</v>
      </c>
    </row>
    <row r="202" spans="1:55" x14ac:dyDescent="0.25">
      <c r="A202" s="36" t="s">
        <v>60</v>
      </c>
      <c r="B202" s="37" t="s">
        <v>13</v>
      </c>
      <c r="C202" s="29" t="s">
        <v>62</v>
      </c>
      <c r="D202" s="2"/>
      <c r="E202" s="2"/>
      <c r="F202" s="103">
        <f>165*0.25</f>
        <v>41.25</v>
      </c>
      <c r="G202" s="91">
        <v>165</v>
      </c>
      <c r="H202" s="91">
        <v>1300</v>
      </c>
      <c r="I202" s="51">
        <v>0</v>
      </c>
      <c r="J202" s="51">
        <v>0</v>
      </c>
      <c r="K202" s="51">
        <v>0</v>
      </c>
      <c r="L202" s="52">
        <v>0</v>
      </c>
      <c r="M202" s="51">
        <v>0</v>
      </c>
      <c r="N202" s="51">
        <v>0</v>
      </c>
      <c r="O202" s="51">
        <v>0</v>
      </c>
      <c r="P202" s="107">
        <f>0.8*0.7</f>
        <v>0.55999999999999994</v>
      </c>
      <c r="Q202" s="51">
        <v>0</v>
      </c>
      <c r="R202" s="51">
        <v>0</v>
      </c>
      <c r="S202" s="51">
        <v>0</v>
      </c>
      <c r="T202" s="51">
        <v>0</v>
      </c>
      <c r="U202" s="51">
        <v>0</v>
      </c>
      <c r="V202" s="51">
        <v>0</v>
      </c>
      <c r="W202" s="51">
        <v>0</v>
      </c>
      <c r="X202" s="55">
        <v>0</v>
      </c>
      <c r="Y202" s="59">
        <f t="shared" si="45"/>
        <v>1506.25</v>
      </c>
      <c r="Z202" s="51">
        <f t="shared" si="46"/>
        <v>0.55999999999999994</v>
      </c>
      <c r="AA202" s="51">
        <f t="shared" si="47"/>
        <v>1506.81</v>
      </c>
      <c r="AC202" s="36" t="s">
        <v>60</v>
      </c>
      <c r="AD202" s="37" t="s">
        <v>13</v>
      </c>
      <c r="AE202" s="29" t="s">
        <v>62</v>
      </c>
      <c r="AF202" s="2"/>
      <c r="AG202" s="2"/>
      <c r="AH202" s="1">
        <f t="shared" si="60"/>
        <v>225.38902538902536</v>
      </c>
      <c r="AI202" s="1">
        <f t="shared" si="60"/>
        <v>147.42014742014743</v>
      </c>
      <c r="AJ202" s="1">
        <f t="shared" si="60"/>
        <v>32</v>
      </c>
      <c r="AK202" s="1" t="str">
        <f t="shared" si="60"/>
        <v/>
      </c>
      <c r="AL202" s="1" t="str">
        <f t="shared" si="60"/>
        <v/>
      </c>
      <c r="AM202" s="1" t="str">
        <f t="shared" si="60"/>
        <v/>
      </c>
      <c r="AN202" s="52" t="str">
        <f t="shared" si="60"/>
        <v/>
      </c>
      <c r="AO202" s="1" t="str">
        <f t="shared" si="60"/>
        <v/>
      </c>
      <c r="AP202" s="1" t="str">
        <f t="shared" si="60"/>
        <v/>
      </c>
      <c r="AQ202" s="1" t="str">
        <f t="shared" si="60"/>
        <v/>
      </c>
      <c r="AR202" s="1">
        <f t="shared" si="60"/>
        <v>248015.87301587305</v>
      </c>
      <c r="AS202" s="1" t="str">
        <f t="shared" si="60"/>
        <v/>
      </c>
      <c r="AT202" s="1" t="str">
        <f t="shared" si="60"/>
        <v/>
      </c>
      <c r="AU202" s="1" t="str">
        <f t="shared" si="60"/>
        <v/>
      </c>
      <c r="AV202" s="1" t="str">
        <f t="shared" si="60"/>
        <v/>
      </c>
      <c r="AW202" s="1" t="str">
        <f t="shared" si="58"/>
        <v/>
      </c>
      <c r="AX202" s="1" t="str">
        <f t="shared" si="58"/>
        <v/>
      </c>
      <c r="AY202" s="1" t="str">
        <f t="shared" si="58"/>
        <v/>
      </c>
      <c r="AZ202" s="1" t="str">
        <f t="shared" si="58"/>
        <v/>
      </c>
      <c r="BA202" s="1">
        <f t="shared" si="58"/>
        <v>0</v>
      </c>
      <c r="BB202" s="1">
        <f t="shared" si="58"/>
        <v>0</v>
      </c>
      <c r="BC202" s="1">
        <f t="shared" si="58"/>
        <v>0</v>
      </c>
    </row>
    <row r="203" spans="1:55" x14ac:dyDescent="0.25">
      <c r="A203" s="30" t="s">
        <v>60</v>
      </c>
      <c r="B203" s="31" t="s">
        <v>13</v>
      </c>
      <c r="C203" s="32" t="s">
        <v>63</v>
      </c>
      <c r="D203" s="2"/>
      <c r="E203" s="2"/>
      <c r="F203" s="51">
        <v>0</v>
      </c>
      <c r="G203" s="51">
        <v>0</v>
      </c>
      <c r="H203" s="51">
        <v>0</v>
      </c>
      <c r="I203" s="51">
        <v>0</v>
      </c>
      <c r="J203" s="51">
        <v>0</v>
      </c>
      <c r="K203" s="51">
        <v>0</v>
      </c>
      <c r="L203" s="52">
        <v>0</v>
      </c>
      <c r="M203" s="51">
        <v>0</v>
      </c>
      <c r="N203" s="51">
        <v>0</v>
      </c>
      <c r="O203" s="51">
        <v>0</v>
      </c>
      <c r="P203" s="51">
        <v>0</v>
      </c>
      <c r="Q203" s="51">
        <v>0</v>
      </c>
      <c r="R203" s="51">
        <v>0</v>
      </c>
      <c r="S203" s="51">
        <v>0</v>
      </c>
      <c r="T203" s="51">
        <v>0</v>
      </c>
      <c r="U203" s="51">
        <v>0</v>
      </c>
      <c r="V203" s="51">
        <v>0</v>
      </c>
      <c r="W203" s="51">
        <v>0</v>
      </c>
      <c r="X203" s="55">
        <v>0</v>
      </c>
      <c r="Y203" s="59">
        <f t="shared" si="45"/>
        <v>0</v>
      </c>
      <c r="Z203" s="51">
        <f t="shared" si="46"/>
        <v>0</v>
      </c>
      <c r="AA203" s="51">
        <f t="shared" si="47"/>
        <v>0</v>
      </c>
      <c r="AC203" s="30" t="s">
        <v>60</v>
      </c>
      <c r="AD203" s="31" t="s">
        <v>13</v>
      </c>
      <c r="AE203" s="32" t="s">
        <v>63</v>
      </c>
      <c r="AF203" s="2"/>
      <c r="AG203" s="2"/>
      <c r="AH203" s="1" t="str">
        <f t="shared" si="60"/>
        <v/>
      </c>
      <c r="AI203" s="1" t="str">
        <f t="shared" si="60"/>
        <v/>
      </c>
      <c r="AJ203" s="1" t="str">
        <f t="shared" si="60"/>
        <v/>
      </c>
      <c r="AK203" s="1" t="str">
        <f t="shared" si="60"/>
        <v/>
      </c>
      <c r="AL203" s="1" t="str">
        <f t="shared" si="60"/>
        <v/>
      </c>
      <c r="AM203" s="1" t="str">
        <f t="shared" si="60"/>
        <v/>
      </c>
      <c r="AN203" s="52" t="str">
        <f t="shared" si="60"/>
        <v/>
      </c>
      <c r="AO203" s="1" t="str">
        <f t="shared" si="60"/>
        <v/>
      </c>
      <c r="AP203" s="1" t="str">
        <f t="shared" si="60"/>
        <v/>
      </c>
      <c r="AQ203" s="1" t="str">
        <f t="shared" si="60"/>
        <v/>
      </c>
      <c r="AR203" s="1" t="str">
        <f t="shared" si="60"/>
        <v/>
      </c>
      <c r="AS203" s="1" t="str">
        <f t="shared" si="60"/>
        <v/>
      </c>
      <c r="AT203" s="1" t="str">
        <f t="shared" si="60"/>
        <v/>
      </c>
      <c r="AU203" s="1" t="str">
        <f t="shared" si="60"/>
        <v/>
      </c>
      <c r="AV203" s="1" t="str">
        <f t="shared" si="60"/>
        <v/>
      </c>
      <c r="AW203" s="1" t="str">
        <f t="shared" si="58"/>
        <v/>
      </c>
      <c r="AX203" s="1" t="str">
        <f t="shared" si="58"/>
        <v/>
      </c>
      <c r="AY203" s="1" t="str">
        <f t="shared" si="58"/>
        <v/>
      </c>
      <c r="AZ203" s="1" t="str">
        <f t="shared" si="58"/>
        <v/>
      </c>
      <c r="BA203" s="1" t="str">
        <f t="shared" si="58"/>
        <v/>
      </c>
      <c r="BB203" s="1" t="str">
        <f t="shared" si="58"/>
        <v/>
      </c>
      <c r="BC203" s="1" t="str">
        <f t="shared" si="58"/>
        <v/>
      </c>
    </row>
    <row r="204" spans="1:55" x14ac:dyDescent="0.25">
      <c r="A204" s="30" t="s">
        <v>60</v>
      </c>
      <c r="B204" s="32" t="s">
        <v>23</v>
      </c>
      <c r="C204" s="31" t="s">
        <v>50</v>
      </c>
      <c r="D204" s="2"/>
      <c r="E204" s="2"/>
      <c r="F204" s="64">
        <v>0</v>
      </c>
      <c r="G204" s="51">
        <v>0</v>
      </c>
      <c r="H204" s="51">
        <v>0</v>
      </c>
      <c r="I204" s="51">
        <v>0</v>
      </c>
      <c r="J204" s="80">
        <f>J24/J159</f>
        <v>0.62222222222222223</v>
      </c>
      <c r="K204" s="77">
        <f>K24/K159</f>
        <v>772.72727272727263</v>
      </c>
      <c r="L204" s="52">
        <v>0</v>
      </c>
      <c r="M204" s="51">
        <v>0</v>
      </c>
      <c r="N204" s="107">
        <v>1</v>
      </c>
      <c r="O204" s="51">
        <v>0</v>
      </c>
      <c r="P204" s="51">
        <v>0</v>
      </c>
      <c r="Q204" s="51">
        <v>0</v>
      </c>
      <c r="R204" s="51">
        <v>0</v>
      </c>
      <c r="S204" s="51">
        <v>0</v>
      </c>
      <c r="T204" s="51">
        <v>0</v>
      </c>
      <c r="U204" s="51">
        <v>0</v>
      </c>
      <c r="V204" s="51">
        <v>0</v>
      </c>
      <c r="W204" s="51">
        <v>0</v>
      </c>
      <c r="X204" s="55">
        <v>0</v>
      </c>
      <c r="Y204" s="59">
        <f t="shared" si="45"/>
        <v>773.3494949494949</v>
      </c>
      <c r="Z204" s="51">
        <f t="shared" si="46"/>
        <v>1</v>
      </c>
      <c r="AA204" s="51">
        <f t="shared" si="47"/>
        <v>774.3494949494949</v>
      </c>
      <c r="AB204" s="64">
        <v>1200</v>
      </c>
      <c r="AC204" s="30" t="s">
        <v>60</v>
      </c>
      <c r="AD204" s="32" t="s">
        <v>23</v>
      </c>
      <c r="AE204" s="31" t="s">
        <v>50</v>
      </c>
      <c r="AF204" s="2"/>
      <c r="AG204" s="2"/>
      <c r="AH204" s="1" t="str">
        <f t="shared" si="60"/>
        <v/>
      </c>
      <c r="AI204" s="1" t="str">
        <f t="shared" si="60"/>
        <v/>
      </c>
      <c r="AJ204" s="1" t="str">
        <f t="shared" si="60"/>
        <v/>
      </c>
      <c r="AK204" s="1" t="str">
        <f t="shared" si="60"/>
        <v/>
      </c>
      <c r="AL204" s="1">
        <f t="shared" si="60"/>
        <v>692.30769230769226</v>
      </c>
      <c r="AM204" s="1">
        <f t="shared" si="60"/>
        <v>31.428571428571431</v>
      </c>
      <c r="AN204" s="52" t="str">
        <f t="shared" si="60"/>
        <v/>
      </c>
      <c r="AO204" s="1" t="str">
        <f t="shared" si="60"/>
        <v/>
      </c>
      <c r="AP204" s="1">
        <f t="shared" si="60"/>
        <v>18461.538461538461</v>
      </c>
      <c r="AQ204" s="1" t="str">
        <f t="shared" si="60"/>
        <v/>
      </c>
      <c r="AR204" s="1" t="str">
        <f t="shared" si="60"/>
        <v/>
      </c>
      <c r="AS204" s="1" t="str">
        <f t="shared" si="60"/>
        <v/>
      </c>
      <c r="AT204" s="1" t="str">
        <f t="shared" si="60"/>
        <v/>
      </c>
      <c r="AU204" s="1" t="str">
        <f t="shared" si="60"/>
        <v/>
      </c>
      <c r="AV204" s="1" t="str">
        <f t="shared" si="60"/>
        <v/>
      </c>
      <c r="AW204" s="1" t="str">
        <f t="shared" si="58"/>
        <v/>
      </c>
      <c r="AX204" s="1" t="str">
        <f t="shared" si="58"/>
        <v/>
      </c>
      <c r="AY204" s="1" t="str">
        <f t="shared" si="58"/>
        <v/>
      </c>
      <c r="AZ204" s="1" t="str">
        <f t="shared" si="58"/>
        <v/>
      </c>
      <c r="BA204" s="1">
        <f t="shared" si="58"/>
        <v>0</v>
      </c>
      <c r="BB204" s="1">
        <f t="shared" si="58"/>
        <v>0</v>
      </c>
      <c r="BC204" s="1">
        <f t="shared" si="58"/>
        <v>0</v>
      </c>
    </row>
    <row r="205" spans="1:55" x14ac:dyDescent="0.25">
      <c r="A205" s="30" t="s">
        <v>60</v>
      </c>
      <c r="B205" s="32" t="s">
        <v>23</v>
      </c>
      <c r="C205" s="31" t="s">
        <v>49</v>
      </c>
      <c r="D205" s="2"/>
      <c r="E205" s="2"/>
      <c r="F205" s="51">
        <v>0</v>
      </c>
      <c r="G205" s="51">
        <v>0</v>
      </c>
      <c r="H205" s="51">
        <v>0</v>
      </c>
      <c r="I205" s="51">
        <v>0</v>
      </c>
      <c r="J205" s="80">
        <f>J25/J160</f>
        <v>41.25</v>
      </c>
      <c r="K205" s="80">
        <f>K25/K160</f>
        <v>11.025</v>
      </c>
      <c r="L205" s="52">
        <v>0</v>
      </c>
      <c r="M205" s="51">
        <v>0</v>
      </c>
      <c r="N205" s="51">
        <v>0</v>
      </c>
      <c r="O205" s="51">
        <v>0</v>
      </c>
      <c r="P205" s="51">
        <v>0</v>
      </c>
      <c r="Q205" s="51">
        <v>0</v>
      </c>
      <c r="R205" s="51">
        <v>0</v>
      </c>
      <c r="S205" s="77">
        <f t="shared" ref="S205:X205" si="61">S25/S160</f>
        <v>2.4500000000000002</v>
      </c>
      <c r="T205" s="80">
        <f t="shared" si="61"/>
        <v>1.6009852216748768</v>
      </c>
      <c r="U205" s="86">
        <v>0</v>
      </c>
      <c r="V205" s="80">
        <f t="shared" si="61"/>
        <v>0.24630541871921183</v>
      </c>
      <c r="W205" s="86">
        <v>0</v>
      </c>
      <c r="X205" s="80">
        <f t="shared" si="61"/>
        <v>1</v>
      </c>
      <c r="Y205" s="59">
        <f t="shared" si="45"/>
        <v>52.274999999999999</v>
      </c>
      <c r="Z205" s="51">
        <f t="shared" si="46"/>
        <v>5.2972906403940883</v>
      </c>
      <c r="AA205" s="51">
        <f t="shared" si="47"/>
        <v>57.572290640394087</v>
      </c>
      <c r="AB205" s="97">
        <v>900</v>
      </c>
      <c r="AC205" s="30" t="s">
        <v>60</v>
      </c>
      <c r="AD205" s="32" t="s">
        <v>23</v>
      </c>
      <c r="AE205" s="31" t="s">
        <v>49</v>
      </c>
      <c r="AF205" s="2"/>
      <c r="AG205" s="2"/>
      <c r="AH205" s="1" t="str">
        <f t="shared" si="60"/>
        <v/>
      </c>
      <c r="AI205" s="1" t="str">
        <f t="shared" si="60"/>
        <v/>
      </c>
      <c r="AJ205" s="1" t="str">
        <f t="shared" si="60"/>
        <v/>
      </c>
      <c r="AK205" s="1" t="str">
        <f t="shared" si="60"/>
        <v/>
      </c>
      <c r="AL205" s="1">
        <f t="shared" si="60"/>
        <v>888.8888888888888</v>
      </c>
      <c r="AM205" s="1">
        <f t="shared" si="60"/>
        <v>888.88888888888891</v>
      </c>
      <c r="AN205" s="52" t="str">
        <f t="shared" si="60"/>
        <v/>
      </c>
      <c r="AO205" s="1" t="str">
        <f t="shared" si="60"/>
        <v/>
      </c>
      <c r="AP205" s="1" t="str">
        <f t="shared" si="60"/>
        <v/>
      </c>
      <c r="AQ205" s="1" t="str">
        <f t="shared" si="60"/>
        <v/>
      </c>
      <c r="AR205" s="1" t="str">
        <f t="shared" si="60"/>
        <v/>
      </c>
      <c r="AS205" s="1" t="str">
        <f t="shared" si="60"/>
        <v/>
      </c>
      <c r="AT205" s="1" t="str">
        <f t="shared" si="60"/>
        <v/>
      </c>
      <c r="AU205" s="1">
        <f t="shared" si="60"/>
        <v>2222.2222222222222</v>
      </c>
      <c r="AV205" s="1">
        <f t="shared" si="60"/>
        <v>11600.000000000002</v>
      </c>
      <c r="AW205" s="1" t="str">
        <f t="shared" si="58"/>
        <v/>
      </c>
      <c r="AX205" s="1">
        <f t="shared" si="58"/>
        <v>9022.2222222222226</v>
      </c>
      <c r="AY205" s="1" t="str">
        <f t="shared" si="58"/>
        <v/>
      </c>
      <c r="AZ205" s="1">
        <f t="shared" si="58"/>
        <v>2222.2222222222222</v>
      </c>
      <c r="BA205" s="1">
        <f t="shared" si="58"/>
        <v>0</v>
      </c>
      <c r="BB205" s="1">
        <f t="shared" si="58"/>
        <v>0</v>
      </c>
      <c r="BC205" s="1">
        <f t="shared" si="58"/>
        <v>0</v>
      </c>
    </row>
    <row r="206" spans="1:55" x14ac:dyDescent="0.25">
      <c r="A206" s="30" t="s">
        <v>60</v>
      </c>
      <c r="B206" s="32" t="s">
        <v>23</v>
      </c>
      <c r="C206" s="31" t="s">
        <v>64</v>
      </c>
      <c r="D206" s="2"/>
      <c r="E206" s="2"/>
      <c r="F206" s="51">
        <v>0</v>
      </c>
      <c r="G206" s="51">
        <v>0</v>
      </c>
      <c r="H206" s="51">
        <v>0</v>
      </c>
      <c r="I206" s="51">
        <v>0</v>
      </c>
      <c r="J206" s="51">
        <v>0</v>
      </c>
      <c r="K206" s="51">
        <v>0</v>
      </c>
      <c r="L206" s="52">
        <v>0</v>
      </c>
      <c r="M206" s="51">
        <v>0</v>
      </c>
      <c r="N206" s="51">
        <v>0</v>
      </c>
      <c r="O206" s="51">
        <v>0</v>
      </c>
      <c r="P206" s="51">
        <v>0</v>
      </c>
      <c r="Q206" s="51">
        <v>0</v>
      </c>
      <c r="R206" s="51">
        <v>0</v>
      </c>
      <c r="S206" s="51">
        <v>0</v>
      </c>
      <c r="T206" s="51">
        <v>0</v>
      </c>
      <c r="U206" s="51">
        <v>0</v>
      </c>
      <c r="V206" s="51">
        <v>0</v>
      </c>
      <c r="W206" s="51">
        <v>0</v>
      </c>
      <c r="X206" s="55">
        <v>0</v>
      </c>
      <c r="Y206" s="59">
        <f t="shared" si="45"/>
        <v>0</v>
      </c>
      <c r="Z206" s="51">
        <f t="shared" si="46"/>
        <v>0</v>
      </c>
      <c r="AA206" s="51">
        <f t="shared" si="47"/>
        <v>0</v>
      </c>
      <c r="AC206" s="30" t="s">
        <v>60</v>
      </c>
      <c r="AD206" s="32" t="s">
        <v>23</v>
      </c>
      <c r="AE206" s="31" t="s">
        <v>64</v>
      </c>
      <c r="AF206" s="2"/>
      <c r="AG206" s="2"/>
      <c r="AH206" s="1" t="str">
        <f t="shared" si="60"/>
        <v/>
      </c>
      <c r="AI206" s="1" t="str">
        <f t="shared" si="60"/>
        <v/>
      </c>
      <c r="AJ206" s="1" t="str">
        <f t="shared" si="60"/>
        <v/>
      </c>
      <c r="AK206" s="1" t="str">
        <f t="shared" si="60"/>
        <v/>
      </c>
      <c r="AL206" s="1" t="str">
        <f t="shared" si="60"/>
        <v/>
      </c>
      <c r="AM206" s="1" t="str">
        <f t="shared" si="60"/>
        <v/>
      </c>
      <c r="AN206" s="52" t="str">
        <f t="shared" si="60"/>
        <v/>
      </c>
      <c r="AO206" s="1" t="str">
        <f t="shared" si="60"/>
        <v/>
      </c>
      <c r="AP206" s="1" t="str">
        <f t="shared" si="60"/>
        <v/>
      </c>
      <c r="AQ206" s="1" t="str">
        <f t="shared" si="60"/>
        <v/>
      </c>
      <c r="AR206" s="1" t="str">
        <f t="shared" si="60"/>
        <v/>
      </c>
      <c r="AS206" s="1" t="str">
        <f t="shared" si="60"/>
        <v/>
      </c>
      <c r="AT206" s="1" t="str">
        <f t="shared" si="60"/>
        <v/>
      </c>
      <c r="AU206" s="1" t="str">
        <f t="shared" si="60"/>
        <v/>
      </c>
      <c r="AV206" s="1" t="str">
        <f t="shared" si="60"/>
        <v/>
      </c>
      <c r="AW206" s="1" t="str">
        <f t="shared" si="58"/>
        <v/>
      </c>
      <c r="AX206" s="1" t="str">
        <f t="shared" si="58"/>
        <v/>
      </c>
      <c r="AY206" s="1" t="str">
        <f t="shared" si="58"/>
        <v/>
      </c>
      <c r="AZ206" s="1" t="str">
        <f t="shared" si="58"/>
        <v/>
      </c>
      <c r="BA206" s="1" t="str">
        <f t="shared" si="58"/>
        <v/>
      </c>
      <c r="BB206" s="1" t="str">
        <f t="shared" si="58"/>
        <v/>
      </c>
      <c r="BC206" s="1" t="str">
        <f t="shared" si="58"/>
        <v/>
      </c>
    </row>
    <row r="207" spans="1:55" x14ac:dyDescent="0.25">
      <c r="A207" s="30" t="s">
        <v>60</v>
      </c>
      <c r="B207" s="32" t="s">
        <v>65</v>
      </c>
      <c r="C207" s="31" t="s">
        <v>66</v>
      </c>
      <c r="D207" s="2"/>
      <c r="E207" s="2"/>
      <c r="F207" s="51">
        <v>0</v>
      </c>
      <c r="G207" s="51">
        <v>0</v>
      </c>
      <c r="H207" s="51">
        <v>0</v>
      </c>
      <c r="I207" s="51">
        <v>0</v>
      </c>
      <c r="J207" s="80">
        <f>J27/J162</f>
        <v>84.300595238095255</v>
      </c>
      <c r="K207" s="51">
        <v>0</v>
      </c>
      <c r="L207" s="52">
        <v>0</v>
      </c>
      <c r="M207" s="81">
        <f>M27/M162</f>
        <v>54.166666666666664</v>
      </c>
      <c r="N207" s="51">
        <v>0</v>
      </c>
      <c r="O207" s="51">
        <v>0</v>
      </c>
      <c r="P207" s="51">
        <v>0</v>
      </c>
      <c r="Q207" s="51">
        <v>0</v>
      </c>
      <c r="R207" s="51">
        <v>0</v>
      </c>
      <c r="S207" s="51">
        <v>0</v>
      </c>
      <c r="T207" s="51">
        <v>0</v>
      </c>
      <c r="U207" s="51">
        <v>0</v>
      </c>
      <c r="V207" s="51">
        <v>0</v>
      </c>
      <c r="W207" s="51">
        <v>0</v>
      </c>
      <c r="X207" s="55">
        <v>0</v>
      </c>
      <c r="Y207" s="59">
        <f t="shared" si="45"/>
        <v>84.300595238095255</v>
      </c>
      <c r="Z207" s="51">
        <f t="shared" si="46"/>
        <v>54.166666666666664</v>
      </c>
      <c r="AA207" s="51">
        <f t="shared" si="47"/>
        <v>138.46726190476193</v>
      </c>
      <c r="AC207" s="30" t="s">
        <v>60</v>
      </c>
      <c r="AD207" s="32" t="s">
        <v>65</v>
      </c>
      <c r="AE207" s="31" t="s">
        <v>66</v>
      </c>
      <c r="AF207" s="2"/>
      <c r="AG207" s="2"/>
      <c r="AH207" s="1" t="str">
        <f t="shared" si="60"/>
        <v/>
      </c>
      <c r="AI207" s="1" t="str">
        <f t="shared" si="60"/>
        <v/>
      </c>
      <c r="AJ207" s="1" t="str">
        <f t="shared" si="60"/>
        <v/>
      </c>
      <c r="AK207" s="1" t="str">
        <f t="shared" si="60"/>
        <v/>
      </c>
      <c r="AL207" s="1">
        <f t="shared" si="60"/>
        <v>1400</v>
      </c>
      <c r="AM207" s="1" t="str">
        <f t="shared" si="60"/>
        <v/>
      </c>
      <c r="AN207" s="52" t="str">
        <f t="shared" si="60"/>
        <v/>
      </c>
      <c r="AO207" s="1">
        <f t="shared" si="60"/>
        <v>7500</v>
      </c>
      <c r="AP207" s="1" t="str">
        <f t="shared" si="60"/>
        <v/>
      </c>
      <c r="AQ207" s="1" t="str">
        <f t="shared" si="60"/>
        <v/>
      </c>
      <c r="AR207" s="1" t="str">
        <f t="shared" si="60"/>
        <v/>
      </c>
      <c r="AS207" s="1" t="str">
        <f t="shared" si="60"/>
        <v/>
      </c>
      <c r="AT207" s="1" t="str">
        <f t="shared" si="60"/>
        <v/>
      </c>
      <c r="AU207" s="1" t="str">
        <f t="shared" si="60"/>
        <v/>
      </c>
      <c r="AV207" s="1" t="str">
        <f t="shared" si="60"/>
        <v/>
      </c>
      <c r="AW207" s="1" t="str">
        <f t="shared" si="58"/>
        <v/>
      </c>
      <c r="AX207" s="1" t="str">
        <f t="shared" si="58"/>
        <v/>
      </c>
      <c r="AY207" s="1" t="str">
        <f t="shared" si="58"/>
        <v/>
      </c>
      <c r="AZ207" s="1" t="str">
        <f t="shared" si="58"/>
        <v/>
      </c>
      <c r="BA207" s="1">
        <f t="shared" si="58"/>
        <v>0</v>
      </c>
      <c r="BB207" s="1">
        <f t="shared" si="58"/>
        <v>0</v>
      </c>
      <c r="BC207" s="1">
        <f t="shared" si="58"/>
        <v>0</v>
      </c>
    </row>
    <row r="208" spans="1:55" x14ac:dyDescent="0.25">
      <c r="A208" s="30" t="s">
        <v>60</v>
      </c>
      <c r="B208" s="32" t="s">
        <v>65</v>
      </c>
      <c r="C208" s="31" t="s">
        <v>67</v>
      </c>
      <c r="D208" s="2"/>
      <c r="E208" s="2"/>
      <c r="F208" s="51">
        <v>0</v>
      </c>
      <c r="G208" s="51">
        <v>0</v>
      </c>
      <c r="H208" s="51">
        <v>0</v>
      </c>
      <c r="I208" s="51">
        <v>0</v>
      </c>
      <c r="J208" s="51">
        <v>0</v>
      </c>
      <c r="K208" s="51">
        <v>0</v>
      </c>
      <c r="L208" s="52">
        <v>0</v>
      </c>
      <c r="M208" s="51">
        <v>0</v>
      </c>
      <c r="N208" s="51">
        <v>0</v>
      </c>
      <c r="O208" s="51">
        <v>0</v>
      </c>
      <c r="P208" s="51">
        <v>0</v>
      </c>
      <c r="Q208" s="80">
        <f>Q28/Q163</f>
        <v>33.687943262411352</v>
      </c>
      <c r="R208" s="80">
        <f>R28/R163</f>
        <v>36.515388628064684</v>
      </c>
      <c r="S208" s="51">
        <v>0</v>
      </c>
      <c r="T208" s="80">
        <f>T28/T163</f>
        <v>31.950965049556601</v>
      </c>
      <c r="U208" s="80">
        <f>U28/U163</f>
        <v>10.670081092616304</v>
      </c>
      <c r="V208" s="80">
        <f>V28/V163</f>
        <v>9.7809076682316132</v>
      </c>
      <c r="W208" s="80">
        <f>W28/W163</f>
        <v>16.627543035993742</v>
      </c>
      <c r="X208" s="80">
        <f>X28/X163</f>
        <v>15.649452269170579</v>
      </c>
      <c r="Y208" s="59">
        <f t="shared" si="45"/>
        <v>0</v>
      </c>
      <c r="Z208" s="51">
        <f t="shared" si="46"/>
        <v>154.88228100604488</v>
      </c>
      <c r="AA208" s="51">
        <f t="shared" si="47"/>
        <v>154.88228100604488</v>
      </c>
      <c r="AC208" s="30" t="s">
        <v>60</v>
      </c>
      <c r="AD208" s="32" t="s">
        <v>65</v>
      </c>
      <c r="AE208" s="31" t="s">
        <v>67</v>
      </c>
      <c r="AF208" s="2"/>
      <c r="AG208" s="2"/>
      <c r="AH208" s="1" t="str">
        <f t="shared" si="60"/>
        <v/>
      </c>
      <c r="AI208" s="1" t="str">
        <f t="shared" si="60"/>
        <v/>
      </c>
      <c r="AJ208" s="1" t="str">
        <f t="shared" si="60"/>
        <v/>
      </c>
      <c r="AK208" s="1" t="str">
        <f t="shared" si="60"/>
        <v/>
      </c>
      <c r="AL208" s="1" t="str">
        <f t="shared" si="60"/>
        <v/>
      </c>
      <c r="AM208" s="1" t="str">
        <f t="shared" si="60"/>
        <v/>
      </c>
      <c r="AN208" s="52" t="str">
        <f t="shared" si="60"/>
        <v/>
      </c>
      <c r="AO208" s="1" t="str">
        <f t="shared" si="60"/>
        <v/>
      </c>
      <c r="AP208" s="1" t="str">
        <f t="shared" si="60"/>
        <v/>
      </c>
      <c r="AQ208" s="1" t="str">
        <f t="shared" si="60"/>
        <v/>
      </c>
      <c r="AR208" s="1" t="str">
        <f t="shared" si="60"/>
        <v/>
      </c>
      <c r="AS208" s="1">
        <f t="shared" si="60"/>
        <v>26857.142857142855</v>
      </c>
      <c r="AT208" s="1">
        <f t="shared" si="60"/>
        <v>12171.428571428572</v>
      </c>
      <c r="AU208" s="1" t="str">
        <f t="shared" si="60"/>
        <v/>
      </c>
      <c r="AV208" s="1">
        <f t="shared" si="60"/>
        <v>12171.428571428571</v>
      </c>
      <c r="AW208" s="1">
        <f t="shared" si="58"/>
        <v>12171.428571428571</v>
      </c>
      <c r="AX208" s="1">
        <f t="shared" si="58"/>
        <v>12171.428571428571</v>
      </c>
      <c r="AY208" s="1">
        <f t="shared" si="58"/>
        <v>12171.428571428571</v>
      </c>
      <c r="AZ208" s="1">
        <f t="shared" si="58"/>
        <v>12171.428571428571</v>
      </c>
      <c r="BA208" s="1" t="str">
        <f t="shared" si="58"/>
        <v/>
      </c>
      <c r="BB208" s="1">
        <f t="shared" si="58"/>
        <v>0</v>
      </c>
      <c r="BC208" s="1">
        <f t="shared" si="58"/>
        <v>0</v>
      </c>
    </row>
    <row r="209" spans="1:55" x14ac:dyDescent="0.25">
      <c r="A209" s="30" t="s">
        <v>60</v>
      </c>
      <c r="B209" s="32" t="s">
        <v>65</v>
      </c>
      <c r="C209" s="31" t="s">
        <v>68</v>
      </c>
      <c r="D209" s="2"/>
      <c r="E209" s="2"/>
      <c r="F209" s="51">
        <v>0</v>
      </c>
      <c r="G209" s="51">
        <v>0</v>
      </c>
      <c r="H209" s="51">
        <v>0</v>
      </c>
      <c r="I209" s="51">
        <v>0</v>
      </c>
      <c r="J209" s="51">
        <v>0</v>
      </c>
      <c r="K209" s="51">
        <v>0</v>
      </c>
      <c r="L209" s="80">
        <f>L29/L164</f>
        <v>400</v>
      </c>
      <c r="M209" s="51">
        <v>0</v>
      </c>
      <c r="N209" s="51">
        <v>0</v>
      </c>
      <c r="O209" s="51">
        <v>0</v>
      </c>
      <c r="P209" s="51">
        <v>0</v>
      </c>
      <c r="Q209" s="51">
        <v>0</v>
      </c>
      <c r="R209" s="51">
        <v>0</v>
      </c>
      <c r="S209" s="51">
        <v>0</v>
      </c>
      <c r="T209" s="51">
        <v>0</v>
      </c>
      <c r="U209" s="51">
        <v>0</v>
      </c>
      <c r="V209" s="51">
        <v>0</v>
      </c>
      <c r="W209" s="51">
        <v>0</v>
      </c>
      <c r="X209" s="55">
        <v>0</v>
      </c>
      <c r="Y209" s="59">
        <f t="shared" si="45"/>
        <v>0</v>
      </c>
      <c r="Z209" s="51">
        <f t="shared" si="46"/>
        <v>0</v>
      </c>
      <c r="AA209" s="51">
        <f t="shared" si="47"/>
        <v>400</v>
      </c>
      <c r="AC209" s="30" t="s">
        <v>60</v>
      </c>
      <c r="AD209" s="32" t="s">
        <v>65</v>
      </c>
      <c r="AE209" s="31" t="s">
        <v>68</v>
      </c>
      <c r="AF209" s="2"/>
      <c r="AG209" s="2"/>
      <c r="AH209" s="1" t="str">
        <f t="shared" si="60"/>
        <v/>
      </c>
      <c r="AI209" s="1" t="str">
        <f t="shared" si="60"/>
        <v/>
      </c>
      <c r="AJ209" s="1" t="str">
        <f t="shared" si="60"/>
        <v/>
      </c>
      <c r="AK209" s="1" t="str">
        <f t="shared" si="60"/>
        <v/>
      </c>
      <c r="AL209" s="1" t="str">
        <f t="shared" si="60"/>
        <v/>
      </c>
      <c r="AM209" s="1" t="str">
        <f t="shared" si="60"/>
        <v/>
      </c>
      <c r="AN209" s="52">
        <f t="shared" si="60"/>
        <v>18750</v>
      </c>
      <c r="AO209" s="1" t="str">
        <f t="shared" si="60"/>
        <v/>
      </c>
      <c r="AP209" s="1" t="str">
        <f t="shared" si="60"/>
        <v/>
      </c>
      <c r="AQ209" s="1" t="str">
        <f t="shared" si="60"/>
        <v/>
      </c>
      <c r="AR209" s="1" t="str">
        <f t="shared" si="60"/>
        <v/>
      </c>
      <c r="AS209" s="1" t="str">
        <f t="shared" si="60"/>
        <v/>
      </c>
      <c r="AT209" s="1" t="str">
        <f t="shared" si="60"/>
        <v/>
      </c>
      <c r="AU209" s="1" t="str">
        <f t="shared" si="60"/>
        <v/>
      </c>
      <c r="AV209" s="1" t="str">
        <f t="shared" si="60"/>
        <v/>
      </c>
      <c r="AW209" s="1" t="str">
        <f t="shared" si="58"/>
        <v/>
      </c>
      <c r="AX209" s="1" t="str">
        <f t="shared" si="58"/>
        <v/>
      </c>
      <c r="AY209" s="1" t="str">
        <f t="shared" si="58"/>
        <v/>
      </c>
      <c r="AZ209" s="1" t="str">
        <f t="shared" si="58"/>
        <v/>
      </c>
      <c r="BA209" s="1" t="str">
        <f t="shared" si="58"/>
        <v/>
      </c>
      <c r="BB209" s="1" t="str">
        <f t="shared" si="58"/>
        <v/>
      </c>
      <c r="BC209" s="1">
        <f t="shared" si="58"/>
        <v>0</v>
      </c>
    </row>
    <row r="210" spans="1:55" x14ac:dyDescent="0.25">
      <c r="A210" s="30" t="s">
        <v>60</v>
      </c>
      <c r="B210" s="32" t="s">
        <v>9</v>
      </c>
      <c r="C210" s="31" t="s">
        <v>69</v>
      </c>
      <c r="D210" s="2"/>
      <c r="E210" s="2"/>
      <c r="F210" s="51">
        <v>0</v>
      </c>
      <c r="G210" s="51">
        <v>0</v>
      </c>
      <c r="H210" s="51">
        <v>0</v>
      </c>
      <c r="I210" s="51">
        <v>0</v>
      </c>
      <c r="J210" s="51">
        <v>0</v>
      </c>
      <c r="K210" s="51">
        <v>0</v>
      </c>
      <c r="L210" s="52">
        <v>0</v>
      </c>
      <c r="M210" s="51">
        <v>0</v>
      </c>
      <c r="N210" s="51">
        <v>0</v>
      </c>
      <c r="O210" s="51">
        <v>0</v>
      </c>
      <c r="P210" s="51">
        <v>0</v>
      </c>
      <c r="Q210" s="51">
        <v>0</v>
      </c>
      <c r="R210" s="51">
        <v>0</v>
      </c>
      <c r="S210" s="51">
        <v>0</v>
      </c>
      <c r="T210" s="51">
        <v>0</v>
      </c>
      <c r="U210" s="51">
        <v>0</v>
      </c>
      <c r="V210" s="51">
        <v>0</v>
      </c>
      <c r="W210" s="51">
        <v>0</v>
      </c>
      <c r="X210" s="80">
        <f>X30/X165</f>
        <v>5.0301810865191152</v>
      </c>
      <c r="Y210" s="80">
        <f t="shared" si="45"/>
        <v>0</v>
      </c>
      <c r="Z210" s="80">
        <f t="shared" si="46"/>
        <v>5.0301810865191152</v>
      </c>
      <c r="AA210" s="51">
        <f t="shared" si="47"/>
        <v>5.0301810865191152</v>
      </c>
      <c r="AC210" s="30" t="s">
        <v>60</v>
      </c>
      <c r="AD210" s="32" t="s">
        <v>9</v>
      </c>
      <c r="AE210" s="31" t="s">
        <v>69</v>
      </c>
      <c r="AF210" s="2"/>
      <c r="AG210" s="2"/>
      <c r="AH210" s="1" t="str">
        <f t="shared" si="60"/>
        <v/>
      </c>
      <c r="AI210" s="1" t="str">
        <f t="shared" si="60"/>
        <v/>
      </c>
      <c r="AJ210" s="1" t="str">
        <f t="shared" si="60"/>
        <v/>
      </c>
      <c r="AK210" s="1" t="str">
        <f t="shared" si="60"/>
        <v/>
      </c>
      <c r="AL210" s="1" t="str">
        <f t="shared" si="60"/>
        <v/>
      </c>
      <c r="AM210" s="1" t="str">
        <f t="shared" si="60"/>
        <v/>
      </c>
      <c r="AN210" s="52" t="str">
        <f t="shared" si="60"/>
        <v/>
      </c>
      <c r="AO210" s="1" t="str">
        <f t="shared" si="60"/>
        <v/>
      </c>
      <c r="AP210" s="1" t="str">
        <f t="shared" si="60"/>
        <v/>
      </c>
      <c r="AQ210" s="1" t="str">
        <f t="shared" si="60"/>
        <v/>
      </c>
      <c r="AR210" s="1" t="str">
        <f t="shared" si="60"/>
        <v/>
      </c>
      <c r="AS210" s="1" t="str">
        <f t="shared" si="60"/>
        <v/>
      </c>
      <c r="AT210" s="1" t="str">
        <f t="shared" si="60"/>
        <v/>
      </c>
      <c r="AU210" s="1" t="str">
        <f t="shared" si="60"/>
        <v/>
      </c>
      <c r="AV210" s="1" t="str">
        <f t="shared" si="60"/>
        <v/>
      </c>
      <c r="AW210" s="1" t="str">
        <f t="shared" si="58"/>
        <v/>
      </c>
      <c r="AX210" s="1" t="str">
        <f t="shared" si="58"/>
        <v/>
      </c>
      <c r="AY210" s="1" t="str">
        <f t="shared" si="58"/>
        <v/>
      </c>
      <c r="AZ210" s="1">
        <f t="shared" si="58"/>
        <v>7100</v>
      </c>
      <c r="BA210" s="1" t="str">
        <f t="shared" si="58"/>
        <v/>
      </c>
      <c r="BB210" s="1">
        <f t="shared" si="58"/>
        <v>0</v>
      </c>
      <c r="BC210" s="1">
        <f t="shared" si="58"/>
        <v>0</v>
      </c>
    </row>
    <row r="211" spans="1:55" x14ac:dyDescent="0.25">
      <c r="A211" s="15" t="s">
        <v>51</v>
      </c>
      <c r="B211" s="16" t="s">
        <v>56</v>
      </c>
      <c r="C211" s="27" t="s">
        <v>57</v>
      </c>
      <c r="D211" s="16" t="s">
        <v>70</v>
      </c>
      <c r="E211" s="16"/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52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54">
        <v>0</v>
      </c>
      <c r="Y211" s="58">
        <f t="shared" si="45"/>
        <v>0</v>
      </c>
      <c r="Z211" s="1">
        <f t="shared" si="46"/>
        <v>0</v>
      </c>
      <c r="AA211" s="1">
        <f t="shared" si="47"/>
        <v>0</v>
      </c>
      <c r="AC211" s="15" t="s">
        <v>51</v>
      </c>
      <c r="AD211" s="16" t="s">
        <v>56</v>
      </c>
      <c r="AE211" s="27" t="s">
        <v>57</v>
      </c>
      <c r="AF211" s="16" t="s">
        <v>70</v>
      </c>
      <c r="AG211" s="16"/>
      <c r="AH211" s="90" t="str">
        <f t="shared" si="60"/>
        <v/>
      </c>
      <c r="AI211" s="90" t="str">
        <f t="shared" si="60"/>
        <v/>
      </c>
      <c r="AJ211" s="90" t="str">
        <f t="shared" si="60"/>
        <v/>
      </c>
      <c r="AK211" s="90" t="str">
        <f t="shared" si="60"/>
        <v/>
      </c>
      <c r="AL211" s="90" t="str">
        <f t="shared" si="60"/>
        <v/>
      </c>
      <c r="AM211" s="90" t="str">
        <f t="shared" si="60"/>
        <v/>
      </c>
      <c r="AN211" s="90" t="str">
        <f t="shared" si="60"/>
        <v/>
      </c>
      <c r="AO211" s="90" t="str">
        <f t="shared" si="60"/>
        <v/>
      </c>
      <c r="AP211" s="90" t="str">
        <f t="shared" si="60"/>
        <v/>
      </c>
      <c r="AQ211" s="90" t="str">
        <f t="shared" si="60"/>
        <v/>
      </c>
      <c r="AR211" s="90" t="str">
        <f t="shared" si="60"/>
        <v/>
      </c>
      <c r="AS211" s="90" t="str">
        <f t="shared" si="60"/>
        <v/>
      </c>
      <c r="AT211" s="90" t="str">
        <f t="shared" si="60"/>
        <v/>
      </c>
      <c r="AU211" s="90" t="str">
        <f t="shared" si="60"/>
        <v/>
      </c>
      <c r="AV211" s="90" t="str">
        <f t="shared" si="60"/>
        <v/>
      </c>
      <c r="AW211" s="90" t="str">
        <f t="shared" si="58"/>
        <v/>
      </c>
      <c r="AX211" s="90" t="str">
        <f t="shared" si="58"/>
        <v/>
      </c>
      <c r="AY211" s="90" t="str">
        <f t="shared" si="58"/>
        <v/>
      </c>
      <c r="AZ211" s="90" t="str">
        <f t="shared" si="58"/>
        <v/>
      </c>
      <c r="BA211" s="90" t="str">
        <f t="shared" si="58"/>
        <v/>
      </c>
      <c r="BB211" s="90" t="str">
        <f t="shared" si="58"/>
        <v/>
      </c>
      <c r="BC211" s="90" t="str">
        <f t="shared" si="58"/>
        <v/>
      </c>
    </row>
    <row r="212" spans="1:55" x14ac:dyDescent="0.25">
      <c r="A212" s="15" t="s">
        <v>51</v>
      </c>
      <c r="B212" s="16" t="s">
        <v>56</v>
      </c>
      <c r="C212" s="27" t="s">
        <v>57</v>
      </c>
      <c r="D212" s="16" t="s">
        <v>71</v>
      </c>
      <c r="E212" s="16"/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52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54">
        <v>0</v>
      </c>
      <c r="Y212" s="58">
        <f t="shared" si="45"/>
        <v>0</v>
      </c>
      <c r="Z212" s="1">
        <f t="shared" si="46"/>
        <v>0</v>
      </c>
      <c r="AA212" s="1">
        <f t="shared" si="47"/>
        <v>0</v>
      </c>
      <c r="AC212" s="15" t="s">
        <v>51</v>
      </c>
      <c r="AD212" s="16" t="s">
        <v>56</v>
      </c>
      <c r="AE212" s="27" t="s">
        <v>57</v>
      </c>
      <c r="AF212" s="16" t="s">
        <v>71</v>
      </c>
      <c r="AG212" s="16"/>
      <c r="AH212" s="90" t="str">
        <f t="shared" si="60"/>
        <v/>
      </c>
      <c r="AI212" s="90" t="str">
        <f t="shared" si="60"/>
        <v/>
      </c>
      <c r="AJ212" s="90" t="str">
        <f t="shared" si="60"/>
        <v/>
      </c>
      <c r="AK212" s="90" t="str">
        <f t="shared" si="60"/>
        <v/>
      </c>
      <c r="AL212" s="90" t="str">
        <f t="shared" si="60"/>
        <v/>
      </c>
      <c r="AM212" s="90" t="str">
        <f t="shared" si="60"/>
        <v/>
      </c>
      <c r="AN212" s="90" t="str">
        <f t="shared" si="60"/>
        <v/>
      </c>
      <c r="AO212" s="90" t="str">
        <f t="shared" si="60"/>
        <v/>
      </c>
      <c r="AP212" s="90" t="str">
        <f t="shared" si="60"/>
        <v/>
      </c>
      <c r="AQ212" s="90" t="str">
        <f t="shared" si="60"/>
        <v/>
      </c>
      <c r="AR212" s="90" t="str">
        <f t="shared" si="60"/>
        <v/>
      </c>
      <c r="AS212" s="90" t="str">
        <f t="shared" si="60"/>
        <v/>
      </c>
      <c r="AT212" s="90" t="str">
        <f t="shared" si="60"/>
        <v/>
      </c>
      <c r="AU212" s="90" t="str">
        <f t="shared" si="60"/>
        <v/>
      </c>
      <c r="AV212" s="90" t="str">
        <f t="shared" si="60"/>
        <v/>
      </c>
      <c r="AW212" s="90" t="str">
        <f t="shared" si="58"/>
        <v/>
      </c>
      <c r="AX212" s="90" t="str">
        <f t="shared" si="58"/>
        <v/>
      </c>
      <c r="AY212" s="90" t="str">
        <f t="shared" si="58"/>
        <v/>
      </c>
      <c r="AZ212" s="90" t="str">
        <f t="shared" si="58"/>
        <v/>
      </c>
      <c r="BA212" s="90" t="str">
        <f t="shared" si="58"/>
        <v/>
      </c>
      <c r="BB212" s="90" t="str">
        <f t="shared" si="58"/>
        <v/>
      </c>
      <c r="BC212" s="90" t="str">
        <f t="shared" si="58"/>
        <v/>
      </c>
    </row>
    <row r="213" spans="1:55" x14ac:dyDescent="0.25">
      <c r="A213" s="15" t="s">
        <v>51</v>
      </c>
      <c r="B213" s="16" t="s">
        <v>56</v>
      </c>
      <c r="C213" s="27" t="s">
        <v>27</v>
      </c>
      <c r="D213" s="16" t="s">
        <v>72</v>
      </c>
      <c r="E213" s="16"/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52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54">
        <v>0</v>
      </c>
      <c r="Y213" s="58">
        <f t="shared" si="45"/>
        <v>0</v>
      </c>
      <c r="Z213" s="1">
        <f t="shared" si="46"/>
        <v>0</v>
      </c>
      <c r="AA213" s="1">
        <f t="shared" si="47"/>
        <v>0</v>
      </c>
      <c r="AC213" s="15" t="s">
        <v>51</v>
      </c>
      <c r="AD213" s="16" t="s">
        <v>56</v>
      </c>
      <c r="AE213" s="27" t="s">
        <v>27</v>
      </c>
      <c r="AF213" s="16" t="s">
        <v>72</v>
      </c>
      <c r="AG213" s="16"/>
      <c r="AH213" s="90" t="str">
        <f t="shared" si="60"/>
        <v/>
      </c>
      <c r="AI213" s="90" t="str">
        <f t="shared" si="60"/>
        <v/>
      </c>
      <c r="AJ213" s="90" t="str">
        <f t="shared" si="60"/>
        <v/>
      </c>
      <c r="AK213" s="90" t="str">
        <f t="shared" si="60"/>
        <v/>
      </c>
      <c r="AL213" s="90" t="str">
        <f t="shared" si="60"/>
        <v/>
      </c>
      <c r="AM213" s="90" t="str">
        <f t="shared" si="60"/>
        <v/>
      </c>
      <c r="AN213" s="90" t="str">
        <f t="shared" si="60"/>
        <v/>
      </c>
      <c r="AO213" s="90" t="str">
        <f t="shared" si="60"/>
        <v/>
      </c>
      <c r="AP213" s="90" t="str">
        <f t="shared" si="60"/>
        <v/>
      </c>
      <c r="AQ213" s="90" t="str">
        <f t="shared" si="60"/>
        <v/>
      </c>
      <c r="AR213" s="90" t="str">
        <f t="shared" si="60"/>
        <v/>
      </c>
      <c r="AS213" s="90" t="str">
        <f t="shared" si="60"/>
        <v/>
      </c>
      <c r="AT213" s="90" t="str">
        <f t="shared" si="60"/>
        <v/>
      </c>
      <c r="AU213" s="90" t="str">
        <f t="shared" si="60"/>
        <v/>
      </c>
      <c r="AV213" s="90" t="str">
        <f t="shared" si="60"/>
        <v/>
      </c>
      <c r="AW213" s="90" t="str">
        <f t="shared" si="58"/>
        <v/>
      </c>
      <c r="AX213" s="90" t="str">
        <f t="shared" si="58"/>
        <v/>
      </c>
      <c r="AY213" s="90" t="str">
        <f t="shared" si="58"/>
        <v/>
      </c>
      <c r="AZ213" s="90" t="str">
        <f t="shared" si="58"/>
        <v/>
      </c>
      <c r="BA213" s="90" t="str">
        <f t="shared" si="58"/>
        <v/>
      </c>
      <c r="BB213" s="90" t="str">
        <f t="shared" si="58"/>
        <v/>
      </c>
      <c r="BC213" s="90" t="str">
        <f t="shared" si="58"/>
        <v/>
      </c>
    </row>
    <row r="214" spans="1:55" x14ac:dyDescent="0.25">
      <c r="A214" s="15" t="s">
        <v>51</v>
      </c>
      <c r="B214" s="16" t="s">
        <v>56</v>
      </c>
      <c r="C214" s="27" t="s">
        <v>57</v>
      </c>
      <c r="D214" s="16" t="s">
        <v>73</v>
      </c>
      <c r="E214" s="16"/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52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54">
        <v>0</v>
      </c>
      <c r="Y214" s="58">
        <f t="shared" si="45"/>
        <v>0</v>
      </c>
      <c r="Z214" s="1">
        <f t="shared" si="46"/>
        <v>0</v>
      </c>
      <c r="AA214" s="1">
        <f t="shared" si="47"/>
        <v>0</v>
      </c>
      <c r="AC214" s="15" t="s">
        <v>51</v>
      </c>
      <c r="AD214" s="16" t="s">
        <v>56</v>
      </c>
      <c r="AE214" s="27" t="s">
        <v>57</v>
      </c>
      <c r="AF214" s="16" t="s">
        <v>73</v>
      </c>
      <c r="AG214" s="16"/>
      <c r="AH214" s="90" t="str">
        <f t="shared" si="60"/>
        <v/>
      </c>
      <c r="AI214" s="90" t="str">
        <f t="shared" si="60"/>
        <v/>
      </c>
      <c r="AJ214" s="90" t="str">
        <f t="shared" si="60"/>
        <v/>
      </c>
      <c r="AK214" s="90" t="str">
        <f t="shared" si="60"/>
        <v/>
      </c>
      <c r="AL214" s="90" t="str">
        <f t="shared" si="60"/>
        <v/>
      </c>
      <c r="AM214" s="90" t="str">
        <f t="shared" si="60"/>
        <v/>
      </c>
      <c r="AN214" s="90" t="str">
        <f t="shared" si="60"/>
        <v/>
      </c>
      <c r="AO214" s="90" t="str">
        <f t="shared" si="60"/>
        <v/>
      </c>
      <c r="AP214" s="90" t="str">
        <f t="shared" si="60"/>
        <v/>
      </c>
      <c r="AQ214" s="90" t="str">
        <f t="shared" si="60"/>
        <v/>
      </c>
      <c r="AR214" s="90" t="str">
        <f t="shared" si="60"/>
        <v/>
      </c>
      <c r="AS214" s="90" t="str">
        <f t="shared" si="60"/>
        <v/>
      </c>
      <c r="AT214" s="90" t="str">
        <f t="shared" si="60"/>
        <v/>
      </c>
      <c r="AU214" s="90" t="str">
        <f t="shared" si="60"/>
        <v/>
      </c>
      <c r="AV214" s="90" t="str">
        <f t="shared" si="60"/>
        <v/>
      </c>
      <c r="AW214" s="90" t="str">
        <f t="shared" si="58"/>
        <v/>
      </c>
      <c r="AX214" s="90" t="str">
        <f t="shared" si="58"/>
        <v/>
      </c>
      <c r="AY214" s="90" t="str">
        <f t="shared" si="58"/>
        <v/>
      </c>
      <c r="AZ214" s="90" t="str">
        <f t="shared" si="58"/>
        <v/>
      </c>
      <c r="BA214" s="90" t="str">
        <f t="shared" si="58"/>
        <v/>
      </c>
      <c r="BB214" s="90" t="str">
        <f t="shared" si="58"/>
        <v/>
      </c>
      <c r="BC214" s="90" t="str">
        <f t="shared" si="58"/>
        <v/>
      </c>
    </row>
    <row r="215" spans="1:55" x14ac:dyDescent="0.25">
      <c r="A215" s="15" t="s">
        <v>51</v>
      </c>
      <c r="B215" s="16" t="s">
        <v>56</v>
      </c>
      <c r="C215" s="27" t="s">
        <v>57</v>
      </c>
      <c r="D215" s="16" t="s">
        <v>74</v>
      </c>
      <c r="E215" s="16"/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52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54">
        <v>0</v>
      </c>
      <c r="Y215" s="58">
        <f t="shared" si="45"/>
        <v>0</v>
      </c>
      <c r="Z215" s="1">
        <f t="shared" si="46"/>
        <v>0</v>
      </c>
      <c r="AA215" s="1">
        <f t="shared" si="47"/>
        <v>0</v>
      </c>
      <c r="AC215" s="15" t="s">
        <v>51</v>
      </c>
      <c r="AD215" s="16" t="s">
        <v>56</v>
      </c>
      <c r="AE215" s="27" t="s">
        <v>57</v>
      </c>
      <c r="AF215" s="16" t="s">
        <v>74</v>
      </c>
      <c r="AG215" s="16"/>
      <c r="AH215" s="90" t="str">
        <f t="shared" si="60"/>
        <v/>
      </c>
      <c r="AI215" s="90" t="str">
        <f t="shared" si="60"/>
        <v/>
      </c>
      <c r="AJ215" s="90" t="str">
        <f t="shared" si="60"/>
        <v/>
      </c>
      <c r="AK215" s="90" t="str">
        <f t="shared" si="60"/>
        <v/>
      </c>
      <c r="AL215" s="90" t="str">
        <f t="shared" si="60"/>
        <v/>
      </c>
      <c r="AM215" s="90" t="str">
        <f t="shared" si="60"/>
        <v/>
      </c>
      <c r="AN215" s="90" t="str">
        <f t="shared" si="60"/>
        <v/>
      </c>
      <c r="AO215" s="90" t="str">
        <f t="shared" si="60"/>
        <v/>
      </c>
      <c r="AP215" s="90" t="str">
        <f t="shared" si="60"/>
        <v/>
      </c>
      <c r="AQ215" s="90" t="str">
        <f t="shared" si="60"/>
        <v/>
      </c>
      <c r="AR215" s="90" t="str">
        <f t="shared" si="60"/>
        <v/>
      </c>
      <c r="AS215" s="90" t="str">
        <f t="shared" si="60"/>
        <v/>
      </c>
      <c r="AT215" s="90" t="str">
        <f t="shared" si="60"/>
        <v/>
      </c>
      <c r="AU215" s="90" t="str">
        <f t="shared" si="60"/>
        <v/>
      </c>
      <c r="AV215" s="90" t="str">
        <f t="shared" si="60"/>
        <v/>
      </c>
      <c r="AW215" s="90" t="str">
        <f t="shared" si="58"/>
        <v/>
      </c>
      <c r="AX215" s="90" t="str">
        <f t="shared" si="58"/>
        <v/>
      </c>
      <c r="AY215" s="90" t="str">
        <f t="shared" si="58"/>
        <v/>
      </c>
      <c r="AZ215" s="90" t="str">
        <f t="shared" si="58"/>
        <v/>
      </c>
      <c r="BA215" s="90" t="str">
        <f t="shared" si="58"/>
        <v/>
      </c>
      <c r="BB215" s="90" t="str">
        <f t="shared" si="58"/>
        <v/>
      </c>
      <c r="BC215" s="90" t="str">
        <f t="shared" si="58"/>
        <v/>
      </c>
    </row>
    <row r="216" spans="1:55" x14ac:dyDescent="0.25">
      <c r="A216" s="30" t="s">
        <v>60</v>
      </c>
      <c r="B216" s="31" t="s">
        <v>13</v>
      </c>
      <c r="C216" s="32" t="s">
        <v>61</v>
      </c>
      <c r="D216" s="31" t="s">
        <v>75</v>
      </c>
      <c r="E216" s="31"/>
      <c r="F216" s="51">
        <f>F201*0.4</f>
        <v>49.5</v>
      </c>
      <c r="G216" s="73"/>
      <c r="H216" s="51">
        <f>H201</f>
        <v>500</v>
      </c>
      <c r="I216" s="51">
        <f>I201*0.7</f>
        <v>70.965517241379303</v>
      </c>
      <c r="J216" s="51">
        <f>J201*0.3</f>
        <v>12.6</v>
      </c>
      <c r="K216" s="51">
        <f>K201*0.8</f>
        <v>22.068965517241381</v>
      </c>
      <c r="L216" s="52">
        <v>0</v>
      </c>
      <c r="M216" s="73">
        <f>M201*0.1</f>
        <v>1.125</v>
      </c>
      <c r="N216" s="73">
        <v>0</v>
      </c>
      <c r="O216" s="73">
        <v>0</v>
      </c>
      <c r="P216" s="73">
        <v>0</v>
      </c>
      <c r="Q216" s="73"/>
      <c r="R216" s="73"/>
      <c r="S216" s="51"/>
      <c r="T216" s="51"/>
      <c r="U216" s="51"/>
      <c r="V216" s="51"/>
      <c r="W216" s="51">
        <f>W201</f>
        <v>2.0539906103286385</v>
      </c>
      <c r="X216" s="55">
        <f>X201*0.1</f>
        <v>1.1737089201877935</v>
      </c>
      <c r="Y216" s="59">
        <f t="shared" si="45"/>
        <v>655.13448275862072</v>
      </c>
      <c r="Z216" s="51">
        <f t="shared" si="46"/>
        <v>4.352699530516432</v>
      </c>
      <c r="AA216" s="51">
        <f t="shared" si="47"/>
        <v>659.48718228913719</v>
      </c>
      <c r="AC216" s="30" t="s">
        <v>60</v>
      </c>
      <c r="AD216" s="31" t="s">
        <v>13</v>
      </c>
      <c r="AE216" s="32" t="s">
        <v>61</v>
      </c>
      <c r="AF216" s="31" t="s">
        <v>75</v>
      </c>
      <c r="AG216" s="31"/>
      <c r="AH216" s="1">
        <f t="shared" si="60"/>
        <v>308.86644219977552</v>
      </c>
      <c r="AI216" s="1" t="str">
        <f t="shared" si="60"/>
        <v/>
      </c>
      <c r="AJ216" s="1">
        <f t="shared" si="60"/>
        <v>46.117647058823522</v>
      </c>
      <c r="AK216" s="1">
        <f t="shared" si="60"/>
        <v>170.58823529411762</v>
      </c>
      <c r="AL216" s="1">
        <f t="shared" si="60"/>
        <v>392.15686274509795</v>
      </c>
      <c r="AM216" s="1">
        <f t="shared" si="60"/>
        <v>170.58823529411765</v>
      </c>
      <c r="AN216" s="52" t="str">
        <f t="shared" si="60"/>
        <v/>
      </c>
      <c r="AO216" s="1">
        <f t="shared" si="60"/>
        <v>2222.2222222222222</v>
      </c>
      <c r="AP216" s="1" t="str">
        <f t="shared" si="60"/>
        <v/>
      </c>
      <c r="AQ216" s="1" t="str">
        <f t="shared" si="60"/>
        <v/>
      </c>
      <c r="AR216" s="1" t="str">
        <f t="shared" si="60"/>
        <v/>
      </c>
      <c r="AS216" s="1" t="str">
        <f t="shared" si="60"/>
        <v/>
      </c>
      <c r="AT216" s="1" t="str">
        <f t="shared" si="60"/>
        <v/>
      </c>
      <c r="AU216" s="1" t="str">
        <f t="shared" si="60"/>
        <v/>
      </c>
      <c r="AV216" s="1" t="str">
        <f t="shared" si="60"/>
        <v/>
      </c>
      <c r="AW216" s="1" t="str">
        <f t="shared" si="58"/>
        <v/>
      </c>
      <c r="AX216" s="1" t="str">
        <f t="shared" si="58"/>
        <v/>
      </c>
      <c r="AY216" s="1">
        <f t="shared" si="58"/>
        <v>2366.6666666666661</v>
      </c>
      <c r="AZ216" s="1">
        <f t="shared" si="58"/>
        <v>2366.6666666666665</v>
      </c>
      <c r="BA216" s="1">
        <f t="shared" si="58"/>
        <v>0</v>
      </c>
      <c r="BB216" s="1">
        <f t="shared" si="58"/>
        <v>0</v>
      </c>
      <c r="BC216" s="1">
        <f t="shared" si="58"/>
        <v>0</v>
      </c>
    </row>
    <row r="217" spans="1:55" x14ac:dyDescent="0.25">
      <c r="A217" s="30" t="s">
        <v>60</v>
      </c>
      <c r="B217" s="31" t="s">
        <v>13</v>
      </c>
      <c r="C217" s="32" t="s">
        <v>61</v>
      </c>
      <c r="D217" s="31" t="s">
        <v>76</v>
      </c>
      <c r="E217" s="31"/>
      <c r="F217" s="51">
        <f>F201*0.6</f>
        <v>74.25</v>
      </c>
      <c r="G217" s="51">
        <v>0</v>
      </c>
      <c r="H217" s="51">
        <v>0</v>
      </c>
      <c r="I217" s="51">
        <f>I201*0.25</f>
        <v>25.344827586206897</v>
      </c>
      <c r="J217" s="51">
        <f>J201*0.7</f>
        <v>29.4</v>
      </c>
      <c r="K217" s="51">
        <f>K201*0.05</f>
        <v>1.3793103448275863</v>
      </c>
      <c r="L217" s="52">
        <v>0</v>
      </c>
      <c r="M217" s="73">
        <f>M201*0.4</f>
        <v>4.5</v>
      </c>
      <c r="N217" s="73">
        <f>N201</f>
        <v>2.2000000000000002</v>
      </c>
      <c r="O217" s="73">
        <f>O201*0.3</f>
        <v>0.13500000000000001</v>
      </c>
      <c r="P217" s="73">
        <f>P201*0.28</f>
        <v>6.720000000000001E-2</v>
      </c>
      <c r="Q217" s="73"/>
      <c r="R217" s="73">
        <f>R201</f>
        <v>4.0241448692152924</v>
      </c>
      <c r="S217" s="51"/>
      <c r="T217" s="51"/>
      <c r="U217" s="51"/>
      <c r="V217" s="51"/>
      <c r="W217" s="51"/>
      <c r="X217" s="55">
        <f>X201*0.1</f>
        <v>1.1737089201877935</v>
      </c>
      <c r="Y217" s="59">
        <f t="shared" si="45"/>
        <v>130.37413793103448</v>
      </c>
      <c r="Z217" s="51">
        <f t="shared" si="46"/>
        <v>12.100053789403086</v>
      </c>
      <c r="AA217" s="51">
        <f t="shared" si="47"/>
        <v>142.47419172043757</v>
      </c>
      <c r="AC217" s="30" t="s">
        <v>60</v>
      </c>
      <c r="AD217" s="31" t="s">
        <v>13</v>
      </c>
      <c r="AE217" s="32" t="s">
        <v>61</v>
      </c>
      <c r="AF217" s="31" t="s">
        <v>76</v>
      </c>
      <c r="AG217" s="31"/>
      <c r="AH217" s="1">
        <f t="shared" si="60"/>
        <v>308.86644219977552</v>
      </c>
      <c r="AI217" s="1" t="str">
        <f t="shared" si="60"/>
        <v/>
      </c>
      <c r="AJ217" s="1" t="str">
        <f t="shared" si="60"/>
        <v/>
      </c>
      <c r="AK217" s="1">
        <f t="shared" si="60"/>
        <v>170.58823529411762</v>
      </c>
      <c r="AL217" s="1">
        <f t="shared" si="60"/>
        <v>392.15686274509795</v>
      </c>
      <c r="AM217" s="1">
        <f t="shared" si="60"/>
        <v>170.58823529411765</v>
      </c>
      <c r="AN217" s="52" t="str">
        <f t="shared" si="60"/>
        <v/>
      </c>
      <c r="AO217" s="1">
        <f t="shared" si="60"/>
        <v>2222.2222222222222</v>
      </c>
      <c r="AP217" s="1">
        <f t="shared" si="60"/>
        <v>6249.9999999999991</v>
      </c>
      <c r="AQ217" s="1">
        <f t="shared" si="60"/>
        <v>66666.666666666657</v>
      </c>
      <c r="AR217" s="1">
        <f t="shared" si="60"/>
        <v>462962.96296296292</v>
      </c>
      <c r="AS217" s="1" t="str">
        <f t="shared" si="60"/>
        <v/>
      </c>
      <c r="AT217" s="1">
        <f t="shared" si="60"/>
        <v>2366.6666666666665</v>
      </c>
      <c r="AU217" s="1" t="str">
        <f t="shared" si="60"/>
        <v/>
      </c>
      <c r="AV217" s="1" t="str">
        <f t="shared" si="60"/>
        <v/>
      </c>
      <c r="AW217" s="1" t="str">
        <f t="shared" si="58"/>
        <v/>
      </c>
      <c r="AX217" s="1" t="str">
        <f t="shared" si="58"/>
        <v/>
      </c>
      <c r="AY217" s="1" t="str">
        <f t="shared" si="58"/>
        <v/>
      </c>
      <c r="AZ217" s="1">
        <f t="shared" si="58"/>
        <v>2366.6666666666665</v>
      </c>
      <c r="BA217" s="1">
        <f t="shared" si="58"/>
        <v>0</v>
      </c>
      <c r="BB217" s="1">
        <f t="shared" si="58"/>
        <v>0</v>
      </c>
      <c r="BC217" s="1">
        <f t="shared" si="58"/>
        <v>0</v>
      </c>
    </row>
    <row r="218" spans="1:55" x14ac:dyDescent="0.25">
      <c r="A218" s="30" t="s">
        <v>60</v>
      </c>
      <c r="B218" s="31" t="s">
        <v>13</v>
      </c>
      <c r="C218" s="32" t="s">
        <v>61</v>
      </c>
      <c r="D218" s="31" t="s">
        <v>77</v>
      </c>
      <c r="E218" s="31"/>
      <c r="F218" s="51">
        <v>0</v>
      </c>
      <c r="G218" s="51">
        <v>0</v>
      </c>
      <c r="H218" s="51">
        <v>0</v>
      </c>
      <c r="I218" s="51">
        <v>0</v>
      </c>
      <c r="J218" s="51">
        <v>0</v>
      </c>
      <c r="K218" s="51">
        <f>K201*0.1</f>
        <v>2.7586206896551726</v>
      </c>
      <c r="L218" s="52">
        <v>0</v>
      </c>
      <c r="M218" s="73">
        <f>M201*0.5</f>
        <v>5.625</v>
      </c>
      <c r="N218" s="73">
        <v>0</v>
      </c>
      <c r="O218" s="73">
        <f>O201*0.7</f>
        <v>0.315</v>
      </c>
      <c r="P218" s="73">
        <f>P201*0.7</f>
        <v>0.16799999999999998</v>
      </c>
      <c r="Q218" s="73"/>
      <c r="R218" s="73"/>
      <c r="S218" s="51"/>
      <c r="T218" s="51">
        <f>T201</f>
        <v>2.464788732394366</v>
      </c>
      <c r="U218" s="51">
        <f>U201</f>
        <v>5.28169014084507</v>
      </c>
      <c r="V218" s="51"/>
      <c r="W218" s="51"/>
      <c r="X218" s="55">
        <f>X201*0.7</f>
        <v>8.215962441314554</v>
      </c>
      <c r="Y218" s="59">
        <f t="shared" si="45"/>
        <v>2.7586206896551726</v>
      </c>
      <c r="Z218" s="51">
        <f t="shared" si="46"/>
        <v>22.070441314553989</v>
      </c>
      <c r="AA218" s="51">
        <f t="shared" si="47"/>
        <v>24.829062004209163</v>
      </c>
      <c r="AC218" s="30" t="s">
        <v>60</v>
      </c>
      <c r="AD218" s="31" t="s">
        <v>13</v>
      </c>
      <c r="AE218" s="32" t="s">
        <v>61</v>
      </c>
      <c r="AF218" s="31" t="s">
        <v>77</v>
      </c>
      <c r="AG218" s="31"/>
      <c r="AH218" s="1" t="str">
        <f t="shared" ref="AH218:AV225" si="62">IF(F218&gt;0,F263/F218*1000,"")</f>
        <v/>
      </c>
      <c r="AI218" s="1" t="str">
        <f t="shared" si="62"/>
        <v/>
      </c>
      <c r="AJ218" s="1" t="str">
        <f t="shared" si="62"/>
        <v/>
      </c>
      <c r="AK218" s="1" t="str">
        <f t="shared" si="62"/>
        <v/>
      </c>
      <c r="AL218" s="1" t="str">
        <f t="shared" si="62"/>
        <v/>
      </c>
      <c r="AM218" s="1">
        <f t="shared" si="62"/>
        <v>170.58823529411765</v>
      </c>
      <c r="AN218" s="52" t="str">
        <f t="shared" si="62"/>
        <v/>
      </c>
      <c r="AO218" s="1">
        <f t="shared" si="62"/>
        <v>2222.2222222222222</v>
      </c>
      <c r="AP218" s="1" t="str">
        <f t="shared" si="62"/>
        <v/>
      </c>
      <c r="AQ218" s="1">
        <f t="shared" si="62"/>
        <v>66666.666666666672</v>
      </c>
      <c r="AR218" s="1">
        <f t="shared" si="62"/>
        <v>462962.96296296298</v>
      </c>
      <c r="AS218" s="1" t="str">
        <f t="shared" si="62"/>
        <v/>
      </c>
      <c r="AT218" s="1" t="str">
        <f t="shared" si="62"/>
        <v/>
      </c>
      <c r="AU218" s="1" t="str">
        <f t="shared" si="62"/>
        <v/>
      </c>
      <c r="AV218" s="1">
        <f t="shared" si="62"/>
        <v>2366.6666666666665</v>
      </c>
      <c r="AW218" s="1">
        <f t="shared" si="58"/>
        <v>2366.6666666666665</v>
      </c>
      <c r="AX218" s="1" t="str">
        <f t="shared" si="58"/>
        <v/>
      </c>
      <c r="AY218" s="1" t="str">
        <f t="shared" si="58"/>
        <v/>
      </c>
      <c r="AZ218" s="1">
        <f t="shared" si="58"/>
        <v>2366.6666666666661</v>
      </c>
      <c r="BA218" s="1">
        <f t="shared" si="58"/>
        <v>0</v>
      </c>
      <c r="BB218" s="1">
        <f t="shared" si="58"/>
        <v>0</v>
      </c>
      <c r="BC218" s="1">
        <f t="shared" si="58"/>
        <v>0</v>
      </c>
    </row>
    <row r="219" spans="1:55" x14ac:dyDescent="0.25">
      <c r="A219" s="30" t="s">
        <v>60</v>
      </c>
      <c r="B219" s="31" t="s">
        <v>13</v>
      </c>
      <c r="C219" s="32" t="s">
        <v>61</v>
      </c>
      <c r="D219" s="31" t="s">
        <v>78</v>
      </c>
      <c r="E219" s="31"/>
      <c r="F219" s="51">
        <v>0</v>
      </c>
      <c r="G219" s="51">
        <v>0</v>
      </c>
      <c r="H219" s="51">
        <v>0</v>
      </c>
      <c r="I219" s="51">
        <f>I201*0.05</f>
        <v>5.0689655172413799</v>
      </c>
      <c r="J219" s="51">
        <v>0</v>
      </c>
      <c r="K219" s="51">
        <f>K201*0.05</f>
        <v>1.3793103448275863</v>
      </c>
      <c r="L219" s="52">
        <v>0</v>
      </c>
      <c r="M219" s="73">
        <f>M201*0</f>
        <v>0</v>
      </c>
      <c r="N219" s="73">
        <v>0</v>
      </c>
      <c r="O219" s="73">
        <f>O201*0</f>
        <v>0</v>
      </c>
      <c r="P219" s="73">
        <f>(P201)*0.02</f>
        <v>4.7999999999999996E-3</v>
      </c>
      <c r="Q219" s="73">
        <f>Q201</f>
        <v>2.836879432624114</v>
      </c>
      <c r="R219" s="73"/>
      <c r="S219" s="51"/>
      <c r="T219" s="51"/>
      <c r="U219" s="51"/>
      <c r="V219" s="51"/>
      <c r="W219" s="51"/>
      <c r="X219" s="55">
        <f>X201*0.1</f>
        <v>1.1737089201877935</v>
      </c>
      <c r="Y219" s="59">
        <f t="shared" si="45"/>
        <v>6.4482758620689662</v>
      </c>
      <c r="Z219" s="51">
        <f t="shared" si="46"/>
        <v>4.0153883528119074</v>
      </c>
      <c r="AA219" s="51">
        <f t="shared" si="47"/>
        <v>10.463664214880874</v>
      </c>
      <c r="AC219" s="30" t="s">
        <v>60</v>
      </c>
      <c r="AD219" s="31" t="s">
        <v>13</v>
      </c>
      <c r="AE219" s="32" t="s">
        <v>61</v>
      </c>
      <c r="AF219" s="31" t="s">
        <v>78</v>
      </c>
      <c r="AG219" s="31"/>
      <c r="AH219" s="1" t="str">
        <f t="shared" si="62"/>
        <v/>
      </c>
      <c r="AI219" s="1" t="str">
        <f t="shared" si="62"/>
        <v/>
      </c>
      <c r="AJ219" s="1" t="str">
        <f t="shared" si="62"/>
        <v/>
      </c>
      <c r="AK219" s="1">
        <f t="shared" si="62"/>
        <v>170.58823529411762</v>
      </c>
      <c r="AL219" s="1" t="str">
        <f t="shared" si="62"/>
        <v/>
      </c>
      <c r="AM219" s="1">
        <f t="shared" si="62"/>
        <v>170.58823529411765</v>
      </c>
      <c r="AN219" s="52" t="str">
        <f t="shared" si="62"/>
        <v/>
      </c>
      <c r="AO219" s="1" t="str">
        <f t="shared" si="62"/>
        <v/>
      </c>
      <c r="AP219" s="1" t="str">
        <f t="shared" si="62"/>
        <v/>
      </c>
      <c r="AQ219" s="1" t="str">
        <f t="shared" si="62"/>
        <v/>
      </c>
      <c r="AR219" s="1">
        <f t="shared" si="62"/>
        <v>462962.96296296304</v>
      </c>
      <c r="AS219" s="1">
        <f t="shared" si="62"/>
        <v>5222.2222222222217</v>
      </c>
      <c r="AT219" s="1" t="str">
        <f t="shared" si="62"/>
        <v/>
      </c>
      <c r="AU219" s="1" t="str">
        <f t="shared" si="62"/>
        <v/>
      </c>
      <c r="AV219" s="1" t="str">
        <f t="shared" si="62"/>
        <v/>
      </c>
      <c r="AW219" s="1" t="str">
        <f t="shared" si="58"/>
        <v/>
      </c>
      <c r="AX219" s="1" t="str">
        <f t="shared" si="58"/>
        <v/>
      </c>
      <c r="AY219" s="1" t="str">
        <f t="shared" si="58"/>
        <v/>
      </c>
      <c r="AZ219" s="1">
        <f t="shared" si="58"/>
        <v>2366.6666666666665</v>
      </c>
      <c r="BA219" s="1">
        <f t="shared" si="58"/>
        <v>0</v>
      </c>
      <c r="BB219" s="1">
        <f t="shared" si="58"/>
        <v>0</v>
      </c>
      <c r="BC219" s="1">
        <f t="shared" si="58"/>
        <v>0</v>
      </c>
    </row>
    <row r="220" spans="1:55" ht="15.75" thickBot="1" x14ac:dyDescent="0.3">
      <c r="A220" s="33" t="s">
        <v>60</v>
      </c>
      <c r="B220" s="34" t="s">
        <v>13</v>
      </c>
      <c r="C220" s="35" t="s">
        <v>61</v>
      </c>
      <c r="D220" s="34" t="s">
        <v>79</v>
      </c>
      <c r="E220" s="31"/>
      <c r="F220" s="51">
        <v>0</v>
      </c>
      <c r="G220" s="51">
        <v>0</v>
      </c>
      <c r="H220" s="51">
        <v>0</v>
      </c>
      <c r="I220" s="51">
        <v>0</v>
      </c>
      <c r="J220" s="51">
        <v>0</v>
      </c>
      <c r="K220" s="51">
        <v>0</v>
      </c>
      <c r="L220" s="52">
        <v>0</v>
      </c>
      <c r="M220" s="51">
        <v>0</v>
      </c>
      <c r="N220" s="51">
        <v>0</v>
      </c>
      <c r="O220" s="51">
        <v>0</v>
      </c>
      <c r="P220" s="51">
        <v>0</v>
      </c>
      <c r="Q220" s="51">
        <v>0</v>
      </c>
      <c r="R220" s="51">
        <v>0</v>
      </c>
      <c r="S220" s="51">
        <v>0</v>
      </c>
      <c r="T220" s="51">
        <v>0</v>
      </c>
      <c r="U220" s="51">
        <v>0</v>
      </c>
      <c r="V220" s="51">
        <v>0</v>
      </c>
      <c r="W220" s="51">
        <v>0</v>
      </c>
      <c r="X220" s="55">
        <v>0</v>
      </c>
      <c r="Y220" s="59">
        <f t="shared" si="45"/>
        <v>0</v>
      </c>
      <c r="Z220" s="51">
        <f t="shared" si="46"/>
        <v>0</v>
      </c>
      <c r="AA220" s="51">
        <f t="shared" si="47"/>
        <v>0</v>
      </c>
      <c r="AC220" s="33" t="s">
        <v>60</v>
      </c>
      <c r="AD220" s="34" t="s">
        <v>13</v>
      </c>
      <c r="AE220" s="35" t="s">
        <v>61</v>
      </c>
      <c r="AF220" s="34" t="s">
        <v>79</v>
      </c>
      <c r="AG220" s="31"/>
      <c r="AH220" s="1" t="str">
        <f t="shared" si="62"/>
        <v/>
      </c>
      <c r="AI220" s="1" t="str">
        <f t="shared" si="62"/>
        <v/>
      </c>
      <c r="AJ220" s="1" t="str">
        <f t="shared" si="62"/>
        <v/>
      </c>
      <c r="AK220" s="1" t="str">
        <f t="shared" si="62"/>
        <v/>
      </c>
      <c r="AL220" s="1" t="str">
        <f t="shared" si="62"/>
        <v/>
      </c>
      <c r="AM220" s="1" t="str">
        <f t="shared" si="62"/>
        <v/>
      </c>
      <c r="AN220" s="52" t="str">
        <f t="shared" si="62"/>
        <v/>
      </c>
      <c r="AO220" s="1" t="str">
        <f t="shared" si="62"/>
        <v/>
      </c>
      <c r="AP220" s="1" t="str">
        <f t="shared" si="62"/>
        <v/>
      </c>
      <c r="AQ220" s="1" t="str">
        <f t="shared" si="62"/>
        <v/>
      </c>
      <c r="AR220" s="1" t="str">
        <f t="shared" si="62"/>
        <v/>
      </c>
      <c r="AS220" s="1" t="str">
        <f t="shared" si="62"/>
        <v/>
      </c>
      <c r="AT220" s="1" t="str">
        <f t="shared" si="62"/>
        <v/>
      </c>
      <c r="AU220" s="1" t="str">
        <f t="shared" si="62"/>
        <v/>
      </c>
      <c r="AV220" s="1" t="str">
        <f t="shared" si="62"/>
        <v/>
      </c>
      <c r="AW220" s="1" t="str">
        <f t="shared" si="58"/>
        <v/>
      </c>
      <c r="AX220" s="1" t="str">
        <f t="shared" si="58"/>
        <v/>
      </c>
      <c r="AY220" s="1" t="str">
        <f t="shared" si="58"/>
        <v/>
      </c>
      <c r="AZ220" s="1" t="str">
        <f t="shared" si="58"/>
        <v/>
      </c>
      <c r="BA220" s="1" t="str">
        <f t="shared" si="58"/>
        <v/>
      </c>
      <c r="BB220" s="1" t="str">
        <f t="shared" si="58"/>
        <v/>
      </c>
      <c r="BC220" s="1" t="str">
        <f t="shared" si="58"/>
        <v/>
      </c>
    </row>
    <row r="221" spans="1:55" x14ac:dyDescent="0.25">
      <c r="A221" s="30" t="s">
        <v>60</v>
      </c>
      <c r="B221" s="31" t="s">
        <v>13</v>
      </c>
      <c r="C221" s="32" t="s">
        <v>62</v>
      </c>
      <c r="D221" s="31" t="s">
        <v>75</v>
      </c>
      <c r="E221" s="31"/>
      <c r="F221" s="51"/>
      <c r="G221" s="73">
        <f>G202*0.5</f>
        <v>82.5</v>
      </c>
      <c r="H221" s="51">
        <f>H202*0.2</f>
        <v>260</v>
      </c>
      <c r="I221" s="51">
        <v>0</v>
      </c>
      <c r="J221" s="51">
        <v>0</v>
      </c>
      <c r="K221" s="51">
        <v>0</v>
      </c>
      <c r="L221" s="52">
        <v>0</v>
      </c>
      <c r="M221" s="51">
        <v>0</v>
      </c>
      <c r="N221" s="51">
        <v>0</v>
      </c>
      <c r="O221" s="51">
        <v>0</v>
      </c>
      <c r="P221" s="51">
        <v>0</v>
      </c>
      <c r="Q221" s="51">
        <v>0</v>
      </c>
      <c r="R221" s="51">
        <v>0</v>
      </c>
      <c r="S221" s="51">
        <v>0</v>
      </c>
      <c r="T221" s="51">
        <v>0</v>
      </c>
      <c r="U221" s="51">
        <v>0</v>
      </c>
      <c r="V221" s="51">
        <v>0</v>
      </c>
      <c r="W221" s="51">
        <v>0</v>
      </c>
      <c r="X221" s="55">
        <v>0</v>
      </c>
      <c r="Y221" s="59">
        <f t="shared" si="45"/>
        <v>342.5</v>
      </c>
      <c r="Z221" s="51">
        <f t="shared" si="46"/>
        <v>0</v>
      </c>
      <c r="AA221" s="51">
        <f t="shared" si="47"/>
        <v>342.5</v>
      </c>
      <c r="AC221" s="30" t="s">
        <v>60</v>
      </c>
      <c r="AD221" s="31" t="s">
        <v>13</v>
      </c>
      <c r="AE221" s="32" t="s">
        <v>62</v>
      </c>
      <c r="AF221" s="31" t="s">
        <v>75</v>
      </c>
      <c r="AG221" s="31"/>
      <c r="AH221" s="1" t="str">
        <f t="shared" si="62"/>
        <v/>
      </c>
      <c r="AI221" s="1">
        <f t="shared" si="62"/>
        <v>147.42014742014743</v>
      </c>
      <c r="AJ221" s="1">
        <f t="shared" si="62"/>
        <v>32</v>
      </c>
      <c r="AK221" s="1" t="str">
        <f t="shared" si="62"/>
        <v/>
      </c>
      <c r="AL221" s="1" t="str">
        <f t="shared" si="62"/>
        <v/>
      </c>
      <c r="AM221" s="1" t="str">
        <f t="shared" si="62"/>
        <v/>
      </c>
      <c r="AN221" s="52" t="str">
        <f t="shared" si="62"/>
        <v/>
      </c>
      <c r="AO221" s="1" t="str">
        <f t="shared" si="62"/>
        <v/>
      </c>
      <c r="AP221" s="1" t="str">
        <f t="shared" si="62"/>
        <v/>
      </c>
      <c r="AQ221" s="1" t="str">
        <f t="shared" si="62"/>
        <v/>
      </c>
      <c r="AR221" s="1" t="str">
        <f t="shared" si="62"/>
        <v/>
      </c>
      <c r="AS221" s="1" t="str">
        <f t="shared" si="62"/>
        <v/>
      </c>
      <c r="AT221" s="1" t="str">
        <f t="shared" si="62"/>
        <v/>
      </c>
      <c r="AU221" s="1" t="str">
        <f t="shared" si="62"/>
        <v/>
      </c>
      <c r="AV221" s="1" t="str">
        <f t="shared" si="62"/>
        <v/>
      </c>
      <c r="AW221" s="1" t="str">
        <f t="shared" si="58"/>
        <v/>
      </c>
      <c r="AX221" s="1" t="str">
        <f t="shared" si="58"/>
        <v/>
      </c>
      <c r="AY221" s="1" t="str">
        <f t="shared" si="58"/>
        <v/>
      </c>
      <c r="AZ221" s="1" t="str">
        <f t="shared" si="58"/>
        <v/>
      </c>
      <c r="BA221" s="1">
        <f t="shared" si="58"/>
        <v>0</v>
      </c>
      <c r="BB221" s="1" t="str">
        <f t="shared" si="58"/>
        <v/>
      </c>
      <c r="BC221" s="1">
        <f t="shared" si="58"/>
        <v>0</v>
      </c>
    </row>
    <row r="222" spans="1:55" x14ac:dyDescent="0.25">
      <c r="A222" s="30" t="s">
        <v>60</v>
      </c>
      <c r="B222" s="31" t="s">
        <v>13</v>
      </c>
      <c r="C222" s="32" t="s">
        <v>62</v>
      </c>
      <c r="D222" s="31" t="s">
        <v>76</v>
      </c>
      <c r="E222" s="31"/>
      <c r="F222" s="51">
        <f>F202</f>
        <v>41.25</v>
      </c>
      <c r="G222" s="51">
        <f>G202*0.5</f>
        <v>82.5</v>
      </c>
      <c r="H222" s="51">
        <f>H202*0.8</f>
        <v>1040</v>
      </c>
      <c r="I222" s="51">
        <v>0</v>
      </c>
      <c r="J222" s="51">
        <v>0</v>
      </c>
      <c r="K222" s="51">
        <v>0</v>
      </c>
      <c r="L222" s="52">
        <v>0</v>
      </c>
      <c r="M222" s="51">
        <v>0</v>
      </c>
      <c r="N222" s="51">
        <v>0</v>
      </c>
      <c r="O222" s="51">
        <v>0</v>
      </c>
      <c r="P222" s="51">
        <f>P202</f>
        <v>0.55999999999999994</v>
      </c>
      <c r="Q222" s="51">
        <v>0</v>
      </c>
      <c r="R222" s="51">
        <v>0</v>
      </c>
      <c r="S222" s="51">
        <v>0</v>
      </c>
      <c r="T222" s="51">
        <v>0</v>
      </c>
      <c r="U222" s="51">
        <v>0</v>
      </c>
      <c r="V222" s="51">
        <v>0</v>
      </c>
      <c r="W222" s="51">
        <v>0</v>
      </c>
      <c r="X222" s="55">
        <v>0</v>
      </c>
      <c r="Y222" s="59">
        <f t="shared" si="45"/>
        <v>1163.75</v>
      </c>
      <c r="Z222" s="51">
        <f t="shared" si="46"/>
        <v>0.55999999999999994</v>
      </c>
      <c r="AA222" s="51">
        <f t="shared" si="47"/>
        <v>1164.31</v>
      </c>
      <c r="AC222" s="30" t="s">
        <v>60</v>
      </c>
      <c r="AD222" s="31" t="s">
        <v>13</v>
      </c>
      <c r="AE222" s="32" t="s">
        <v>62</v>
      </c>
      <c r="AF222" s="31" t="s">
        <v>76</v>
      </c>
      <c r="AG222" s="31"/>
      <c r="AH222" s="1">
        <f t="shared" si="62"/>
        <v>225.38902538902536</v>
      </c>
      <c r="AI222" s="1">
        <f t="shared" si="62"/>
        <v>147.42014742014743</v>
      </c>
      <c r="AJ222" s="1">
        <f t="shared" si="62"/>
        <v>32</v>
      </c>
      <c r="AK222" s="1" t="str">
        <f t="shared" si="62"/>
        <v/>
      </c>
      <c r="AL222" s="1" t="str">
        <f t="shared" si="62"/>
        <v/>
      </c>
      <c r="AM222" s="1" t="str">
        <f t="shared" si="62"/>
        <v/>
      </c>
      <c r="AN222" s="52" t="str">
        <f t="shared" si="62"/>
        <v/>
      </c>
      <c r="AO222" s="1" t="str">
        <f t="shared" si="62"/>
        <v/>
      </c>
      <c r="AP222" s="1" t="str">
        <f t="shared" si="62"/>
        <v/>
      </c>
      <c r="AQ222" s="1" t="str">
        <f t="shared" si="62"/>
        <v/>
      </c>
      <c r="AR222" s="1">
        <f t="shared" si="62"/>
        <v>248015.87301587305</v>
      </c>
      <c r="AS222" s="1" t="str">
        <f t="shared" si="62"/>
        <v/>
      </c>
      <c r="AT222" s="1" t="str">
        <f t="shared" si="62"/>
        <v/>
      </c>
      <c r="AU222" s="1" t="str">
        <f t="shared" si="62"/>
        <v/>
      </c>
      <c r="AV222" s="1" t="str">
        <f t="shared" si="62"/>
        <v/>
      </c>
      <c r="AW222" s="1" t="str">
        <f t="shared" si="58"/>
        <v/>
      </c>
      <c r="AX222" s="1" t="str">
        <f t="shared" si="58"/>
        <v/>
      </c>
      <c r="AY222" s="1" t="str">
        <f t="shared" si="58"/>
        <v/>
      </c>
      <c r="AZ222" s="1" t="str">
        <f t="shared" si="58"/>
        <v/>
      </c>
      <c r="BA222" s="1">
        <f t="shared" si="58"/>
        <v>0</v>
      </c>
      <c r="BB222" s="1">
        <f t="shared" si="58"/>
        <v>0</v>
      </c>
      <c r="BC222" s="1">
        <f t="shared" si="58"/>
        <v>0</v>
      </c>
    </row>
    <row r="223" spans="1:55" x14ac:dyDescent="0.25">
      <c r="A223" s="30" t="s">
        <v>60</v>
      </c>
      <c r="B223" s="31" t="s">
        <v>13</v>
      </c>
      <c r="C223" s="32" t="s">
        <v>62</v>
      </c>
      <c r="D223" s="31" t="s">
        <v>77</v>
      </c>
      <c r="E223" s="31"/>
      <c r="F223" s="51">
        <v>0</v>
      </c>
      <c r="G223" s="51">
        <v>0</v>
      </c>
      <c r="H223" s="51">
        <v>0</v>
      </c>
      <c r="I223" s="51">
        <v>0</v>
      </c>
      <c r="J223" s="51">
        <v>0</v>
      </c>
      <c r="K223" s="51">
        <v>0</v>
      </c>
      <c r="L223" s="52">
        <v>0</v>
      </c>
      <c r="M223" s="51">
        <v>0</v>
      </c>
      <c r="N223" s="51">
        <v>0</v>
      </c>
      <c r="O223" s="51">
        <v>0</v>
      </c>
      <c r="P223" s="51">
        <v>0</v>
      </c>
      <c r="Q223" s="51">
        <v>0</v>
      </c>
      <c r="R223" s="51">
        <v>0</v>
      </c>
      <c r="S223" s="51">
        <v>0</v>
      </c>
      <c r="T223" s="51">
        <v>0</v>
      </c>
      <c r="U223" s="51">
        <v>0</v>
      </c>
      <c r="V223" s="51">
        <v>0</v>
      </c>
      <c r="W223" s="51">
        <v>0</v>
      </c>
      <c r="X223" s="55">
        <v>0</v>
      </c>
      <c r="Y223" s="59">
        <f t="shared" si="45"/>
        <v>0</v>
      </c>
      <c r="Z223" s="51">
        <f t="shared" si="46"/>
        <v>0</v>
      </c>
      <c r="AA223" s="51">
        <f t="shared" si="47"/>
        <v>0</v>
      </c>
      <c r="AC223" s="30" t="s">
        <v>60</v>
      </c>
      <c r="AD223" s="31" t="s">
        <v>13</v>
      </c>
      <c r="AE223" s="32" t="s">
        <v>62</v>
      </c>
      <c r="AF223" s="31" t="s">
        <v>77</v>
      </c>
      <c r="AG223" s="31"/>
      <c r="AH223" s="1" t="str">
        <f t="shared" si="62"/>
        <v/>
      </c>
      <c r="AI223" s="1" t="str">
        <f t="shared" si="62"/>
        <v/>
      </c>
      <c r="AJ223" s="1" t="str">
        <f t="shared" si="62"/>
        <v/>
      </c>
      <c r="AK223" s="1" t="str">
        <f t="shared" si="62"/>
        <v/>
      </c>
      <c r="AL223" s="1" t="str">
        <f t="shared" si="62"/>
        <v/>
      </c>
      <c r="AM223" s="1" t="str">
        <f t="shared" si="62"/>
        <v/>
      </c>
      <c r="AN223" s="52" t="str">
        <f t="shared" si="62"/>
        <v/>
      </c>
      <c r="AO223" s="1" t="str">
        <f t="shared" si="62"/>
        <v/>
      </c>
      <c r="AP223" s="1" t="str">
        <f t="shared" si="62"/>
        <v/>
      </c>
      <c r="AQ223" s="1" t="str">
        <f t="shared" si="62"/>
        <v/>
      </c>
      <c r="AR223" s="1" t="str">
        <f t="shared" si="62"/>
        <v/>
      </c>
      <c r="AS223" s="1" t="str">
        <f t="shared" si="62"/>
        <v/>
      </c>
      <c r="AT223" s="1" t="str">
        <f t="shared" si="62"/>
        <v/>
      </c>
      <c r="AU223" s="1" t="str">
        <f t="shared" si="62"/>
        <v/>
      </c>
      <c r="AV223" s="1" t="str">
        <f t="shared" si="62"/>
        <v/>
      </c>
      <c r="AW223" s="1" t="str">
        <f t="shared" si="58"/>
        <v/>
      </c>
      <c r="AX223" s="1" t="str">
        <f t="shared" si="58"/>
        <v/>
      </c>
      <c r="AY223" s="1" t="str">
        <f t="shared" si="58"/>
        <v/>
      </c>
      <c r="AZ223" s="1" t="str">
        <f t="shared" si="58"/>
        <v/>
      </c>
      <c r="BA223" s="1" t="str">
        <f t="shared" si="58"/>
        <v/>
      </c>
      <c r="BB223" s="1" t="str">
        <f t="shared" si="58"/>
        <v/>
      </c>
      <c r="BC223" s="1" t="str">
        <f t="shared" si="58"/>
        <v/>
      </c>
    </row>
    <row r="224" spans="1:55" x14ac:dyDescent="0.25">
      <c r="A224" s="30" t="s">
        <v>60</v>
      </c>
      <c r="B224" s="31" t="s">
        <v>13</v>
      </c>
      <c r="C224" s="32" t="s">
        <v>62</v>
      </c>
      <c r="D224" s="31" t="s">
        <v>78</v>
      </c>
      <c r="E224" s="31"/>
      <c r="F224" s="51">
        <v>0</v>
      </c>
      <c r="G224" s="51">
        <v>0</v>
      </c>
      <c r="H224" s="51">
        <v>0</v>
      </c>
      <c r="I224" s="51">
        <v>0</v>
      </c>
      <c r="J224" s="51">
        <v>0</v>
      </c>
      <c r="K224" s="51">
        <v>0</v>
      </c>
      <c r="L224" s="52">
        <v>0</v>
      </c>
      <c r="M224" s="51">
        <v>0</v>
      </c>
      <c r="N224" s="51">
        <v>0</v>
      </c>
      <c r="O224" s="51">
        <v>0</v>
      </c>
      <c r="P224" s="51">
        <v>0</v>
      </c>
      <c r="Q224" s="51">
        <v>0</v>
      </c>
      <c r="R224" s="51">
        <v>0</v>
      </c>
      <c r="S224" s="51">
        <v>0</v>
      </c>
      <c r="T224" s="51">
        <v>0</v>
      </c>
      <c r="U224" s="51">
        <v>0</v>
      </c>
      <c r="V224" s="51">
        <v>0</v>
      </c>
      <c r="W224" s="51">
        <v>0</v>
      </c>
      <c r="X224" s="55">
        <v>0</v>
      </c>
      <c r="Y224" s="59">
        <f t="shared" si="45"/>
        <v>0</v>
      </c>
      <c r="Z224" s="51">
        <f t="shared" si="46"/>
        <v>0</v>
      </c>
      <c r="AA224" s="51">
        <f t="shared" si="47"/>
        <v>0</v>
      </c>
      <c r="AC224" s="30" t="s">
        <v>60</v>
      </c>
      <c r="AD224" s="31" t="s">
        <v>13</v>
      </c>
      <c r="AE224" s="32" t="s">
        <v>62</v>
      </c>
      <c r="AF224" s="31" t="s">
        <v>78</v>
      </c>
      <c r="AG224" s="31"/>
      <c r="AH224" s="1" t="str">
        <f t="shared" si="62"/>
        <v/>
      </c>
      <c r="AI224" s="1" t="str">
        <f t="shared" si="62"/>
        <v/>
      </c>
      <c r="AJ224" s="1" t="str">
        <f t="shared" si="62"/>
        <v/>
      </c>
      <c r="AK224" s="1" t="str">
        <f t="shared" si="62"/>
        <v/>
      </c>
      <c r="AL224" s="1" t="str">
        <f t="shared" si="62"/>
        <v/>
      </c>
      <c r="AM224" s="1" t="str">
        <f t="shared" si="62"/>
        <v/>
      </c>
      <c r="AN224" s="52" t="str">
        <f t="shared" si="62"/>
        <v/>
      </c>
      <c r="AO224" s="1" t="str">
        <f t="shared" si="62"/>
        <v/>
      </c>
      <c r="AP224" s="1" t="str">
        <f t="shared" si="62"/>
        <v/>
      </c>
      <c r="AQ224" s="1" t="str">
        <f t="shared" si="62"/>
        <v/>
      </c>
      <c r="AR224" s="1" t="str">
        <f t="shared" si="62"/>
        <v/>
      </c>
      <c r="AS224" s="1" t="str">
        <f t="shared" si="62"/>
        <v/>
      </c>
      <c r="AT224" s="1" t="str">
        <f t="shared" si="62"/>
        <v/>
      </c>
      <c r="AU224" s="1" t="str">
        <f t="shared" si="62"/>
        <v/>
      </c>
      <c r="AV224" s="1" t="str">
        <f t="shared" si="62"/>
        <v/>
      </c>
      <c r="AW224" s="1" t="str">
        <f t="shared" si="58"/>
        <v/>
      </c>
      <c r="AX224" s="1" t="str">
        <f t="shared" si="58"/>
        <v/>
      </c>
      <c r="AY224" s="1" t="str">
        <f t="shared" si="58"/>
        <v/>
      </c>
      <c r="AZ224" s="1" t="str">
        <f t="shared" si="58"/>
        <v/>
      </c>
      <c r="BA224" s="1" t="str">
        <f t="shared" si="58"/>
        <v/>
      </c>
      <c r="BB224" s="1" t="str">
        <f t="shared" si="58"/>
        <v/>
      </c>
      <c r="BC224" s="1" t="str">
        <f t="shared" si="58"/>
        <v/>
      </c>
    </row>
    <row r="225" spans="1:55" ht="15.75" thickBot="1" x14ac:dyDescent="0.3">
      <c r="A225" s="33" t="s">
        <v>60</v>
      </c>
      <c r="B225" s="34" t="s">
        <v>13</v>
      </c>
      <c r="C225" s="32" t="s">
        <v>62</v>
      </c>
      <c r="D225" s="34" t="s">
        <v>79</v>
      </c>
      <c r="E225" s="31"/>
      <c r="F225" s="51">
        <v>0</v>
      </c>
      <c r="G225" s="51">
        <v>0</v>
      </c>
      <c r="H225" s="51">
        <v>0</v>
      </c>
      <c r="I225" s="51">
        <v>0</v>
      </c>
      <c r="J225" s="51">
        <v>0</v>
      </c>
      <c r="K225" s="51">
        <v>0</v>
      </c>
      <c r="L225" s="52">
        <v>0</v>
      </c>
      <c r="M225" s="51">
        <v>0</v>
      </c>
      <c r="N225" s="51">
        <v>0</v>
      </c>
      <c r="O225" s="51">
        <v>0</v>
      </c>
      <c r="P225" s="51">
        <v>0</v>
      </c>
      <c r="Q225" s="51">
        <v>0</v>
      </c>
      <c r="R225" s="51">
        <v>0</v>
      </c>
      <c r="S225" s="51">
        <v>0</v>
      </c>
      <c r="T225" s="51">
        <v>0</v>
      </c>
      <c r="U225" s="51">
        <v>0</v>
      </c>
      <c r="V225" s="51">
        <v>0</v>
      </c>
      <c r="W225" s="51">
        <v>0</v>
      </c>
      <c r="X225" s="55">
        <v>0</v>
      </c>
      <c r="Y225" s="59">
        <f t="shared" si="45"/>
        <v>0</v>
      </c>
      <c r="Z225" s="51">
        <f t="shared" si="46"/>
        <v>0</v>
      </c>
      <c r="AA225" s="51">
        <f t="shared" si="47"/>
        <v>0</v>
      </c>
      <c r="AC225" s="33" t="s">
        <v>60</v>
      </c>
      <c r="AD225" s="34" t="s">
        <v>13</v>
      </c>
      <c r="AE225" s="32" t="s">
        <v>62</v>
      </c>
      <c r="AF225" s="34" t="s">
        <v>79</v>
      </c>
      <c r="AG225" s="31"/>
      <c r="AH225" s="1" t="str">
        <f t="shared" si="62"/>
        <v/>
      </c>
      <c r="AI225" s="1" t="str">
        <f t="shared" si="62"/>
        <v/>
      </c>
      <c r="AJ225" s="1" t="str">
        <f t="shared" si="62"/>
        <v/>
      </c>
      <c r="AK225" s="1" t="str">
        <f t="shared" si="62"/>
        <v/>
      </c>
      <c r="AL225" s="1" t="str">
        <f t="shared" si="62"/>
        <v/>
      </c>
      <c r="AM225" s="1" t="str">
        <f t="shared" si="62"/>
        <v/>
      </c>
      <c r="AN225" s="52" t="str">
        <f t="shared" si="62"/>
        <v/>
      </c>
      <c r="AO225" s="1" t="str">
        <f t="shared" si="62"/>
        <v/>
      </c>
      <c r="AP225" s="1" t="str">
        <f t="shared" si="62"/>
        <v/>
      </c>
      <c r="AQ225" s="1" t="str">
        <f t="shared" si="62"/>
        <v/>
      </c>
      <c r="AR225" s="1" t="str">
        <f t="shared" si="62"/>
        <v/>
      </c>
      <c r="AS225" s="1" t="str">
        <f t="shared" si="62"/>
        <v/>
      </c>
      <c r="AT225" s="1" t="str">
        <f t="shared" si="62"/>
        <v/>
      </c>
      <c r="AU225" s="1" t="str">
        <f t="shared" si="62"/>
        <v/>
      </c>
      <c r="AV225" s="1" t="str">
        <f t="shared" si="62"/>
        <v/>
      </c>
      <c r="AW225" s="1" t="str">
        <f t="shared" si="58"/>
        <v/>
      </c>
      <c r="AX225" s="1" t="str">
        <f t="shared" si="58"/>
        <v/>
      </c>
      <c r="AY225" s="1" t="str">
        <f t="shared" si="58"/>
        <v/>
      </c>
      <c r="AZ225" s="1" t="str">
        <f t="shared" si="58"/>
        <v/>
      </c>
      <c r="BA225" s="1" t="str">
        <f t="shared" si="58"/>
        <v/>
      </c>
      <c r="BB225" s="1" t="str">
        <f t="shared" si="58"/>
        <v/>
      </c>
      <c r="BC225" s="1" t="str">
        <f t="shared" si="58"/>
        <v/>
      </c>
    </row>
    <row r="227" spans="1:55" x14ac:dyDescent="0.25">
      <c r="D227" s="41" t="s">
        <v>33</v>
      </c>
      <c r="E227" s="41"/>
      <c r="M227" s="24" t="s">
        <v>81</v>
      </c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</row>
    <row r="228" spans="1:55" x14ac:dyDescent="0.25">
      <c r="F228" s="23" t="s">
        <v>44</v>
      </c>
      <c r="G228" s="23"/>
      <c r="H228" s="23"/>
      <c r="I228" s="23"/>
      <c r="J228" s="23"/>
      <c r="K228" s="23"/>
      <c r="L228" s="7" t="s">
        <v>30</v>
      </c>
      <c r="M228" s="24" t="s">
        <v>46</v>
      </c>
      <c r="N228" s="24"/>
      <c r="O228" s="24"/>
      <c r="P228" s="24"/>
      <c r="Q228" s="24"/>
      <c r="R228" s="24" t="s">
        <v>47</v>
      </c>
      <c r="S228" s="24"/>
      <c r="T228" s="24"/>
      <c r="U228" s="24"/>
      <c r="V228" s="24"/>
      <c r="W228" s="24"/>
      <c r="X228" s="24"/>
      <c r="Y228" s="44" t="s">
        <v>85</v>
      </c>
      <c r="Z228" s="44" t="s">
        <v>48</v>
      </c>
      <c r="AA228" s="44" t="s">
        <v>3</v>
      </c>
    </row>
    <row r="229" spans="1:55" ht="63" x14ac:dyDescent="0.25">
      <c r="F229" s="38" t="s">
        <v>36</v>
      </c>
      <c r="G229" s="38" t="s">
        <v>37</v>
      </c>
      <c r="H229" s="38" t="s">
        <v>38</v>
      </c>
      <c r="I229" s="38" t="s">
        <v>80</v>
      </c>
      <c r="J229" s="38" t="s">
        <v>39</v>
      </c>
      <c r="K229" s="38" t="s">
        <v>45</v>
      </c>
      <c r="L229" s="39" t="s">
        <v>16</v>
      </c>
      <c r="M229" s="40" t="s">
        <v>34</v>
      </c>
      <c r="N229" s="40" t="s">
        <v>5</v>
      </c>
      <c r="O229" s="40" t="s">
        <v>7</v>
      </c>
      <c r="P229" s="40" t="s">
        <v>8</v>
      </c>
      <c r="Q229" s="40" t="s">
        <v>40</v>
      </c>
      <c r="R229" s="40" t="s">
        <v>41</v>
      </c>
      <c r="S229" s="40" t="s">
        <v>42</v>
      </c>
      <c r="T229" s="40" t="s">
        <v>31</v>
      </c>
      <c r="U229" s="40" t="s">
        <v>43</v>
      </c>
      <c r="V229" s="40" t="s">
        <v>82</v>
      </c>
      <c r="W229" s="40" t="s">
        <v>87</v>
      </c>
      <c r="X229" s="40" t="s">
        <v>83</v>
      </c>
      <c r="Y229" s="45" t="s">
        <v>3</v>
      </c>
      <c r="Z229" s="45" t="s">
        <v>86</v>
      </c>
      <c r="AA229" s="45" t="s">
        <v>3</v>
      </c>
    </row>
    <row r="230" spans="1:55" x14ac:dyDescent="0.25">
      <c r="A230" s="15" t="s">
        <v>51</v>
      </c>
      <c r="B230" s="2"/>
      <c r="C230" s="2"/>
      <c r="F230" s="1">
        <f t="shared" ref="F230:X230" si="63">F232+F233+F234</f>
        <v>0</v>
      </c>
      <c r="G230" s="1">
        <f t="shared" si="63"/>
        <v>0</v>
      </c>
      <c r="H230" s="1">
        <f t="shared" si="63"/>
        <v>0</v>
      </c>
      <c r="I230" s="1">
        <f t="shared" si="63"/>
        <v>0</v>
      </c>
      <c r="J230" s="1">
        <f t="shared" si="63"/>
        <v>0</v>
      </c>
      <c r="K230" s="1">
        <f t="shared" si="63"/>
        <v>0</v>
      </c>
      <c r="L230" s="52">
        <f t="shared" si="63"/>
        <v>0</v>
      </c>
      <c r="M230" s="1">
        <f t="shared" si="63"/>
        <v>0</v>
      </c>
      <c r="N230" s="1">
        <f t="shared" si="63"/>
        <v>0</v>
      </c>
      <c r="O230" s="1">
        <f t="shared" si="63"/>
        <v>0</v>
      </c>
      <c r="P230" s="1">
        <f t="shared" si="63"/>
        <v>0</v>
      </c>
      <c r="Q230" s="1">
        <f t="shared" si="63"/>
        <v>0</v>
      </c>
      <c r="R230" s="1">
        <f t="shared" si="63"/>
        <v>0</v>
      </c>
      <c r="S230" s="1">
        <f t="shared" si="63"/>
        <v>0</v>
      </c>
      <c r="T230" s="1">
        <f t="shared" si="63"/>
        <v>0</v>
      </c>
      <c r="U230" s="1">
        <f t="shared" si="63"/>
        <v>0</v>
      </c>
      <c r="V230" s="1">
        <f t="shared" si="63"/>
        <v>0</v>
      </c>
      <c r="W230" s="1">
        <f t="shared" si="63"/>
        <v>0</v>
      </c>
      <c r="X230" s="1">
        <f t="shared" si="63"/>
        <v>0</v>
      </c>
      <c r="Y230" s="58">
        <f t="shared" ref="Y230:Y238" si="64">SUM(F230:K230)</f>
        <v>0</v>
      </c>
      <c r="Z230" s="1">
        <f t="shared" ref="Z230:Z238" si="65">SUM(M230:X230)</f>
        <v>0</v>
      </c>
      <c r="AA230" s="1">
        <f t="shared" ref="AA230:AA238" si="66">L230+Y230+Z230</f>
        <v>0</v>
      </c>
    </row>
    <row r="231" spans="1:55" x14ac:dyDescent="0.25">
      <c r="A231" s="30" t="s">
        <v>60</v>
      </c>
      <c r="B231" s="2"/>
      <c r="C231" s="2"/>
      <c r="F231" s="1">
        <f>F235+F236+F237+F238</f>
        <v>47.51951951951952</v>
      </c>
      <c r="G231" s="1">
        <f t="shared" ref="G231:X231" si="67">G235+G236+G237+G238</f>
        <v>24.324324324324323</v>
      </c>
      <c r="H231" s="1">
        <f t="shared" si="67"/>
        <v>64.658823529411762</v>
      </c>
      <c r="I231" s="1">
        <f t="shared" si="67"/>
        <v>17.294117647058822</v>
      </c>
      <c r="J231" s="1">
        <f t="shared" si="67"/>
        <v>171.58885746606336</v>
      </c>
      <c r="K231" s="1">
        <f t="shared" si="67"/>
        <v>38.791596638655463</v>
      </c>
      <c r="L231" s="52">
        <f t="shared" si="67"/>
        <v>7500</v>
      </c>
      <c r="M231" s="1">
        <f t="shared" si="67"/>
        <v>431.25</v>
      </c>
      <c r="N231" s="1">
        <f t="shared" si="67"/>
        <v>32.21153846153846</v>
      </c>
      <c r="O231" s="1">
        <f t="shared" si="67"/>
        <v>30</v>
      </c>
      <c r="P231" s="1">
        <f t="shared" si="67"/>
        <v>250</v>
      </c>
      <c r="Q231" s="1">
        <f t="shared" si="67"/>
        <v>919.5767195767196</v>
      </c>
      <c r="R231" s="1">
        <f t="shared" si="67"/>
        <v>453.96825396825398</v>
      </c>
      <c r="S231" s="1">
        <f t="shared" si="67"/>
        <v>5.4444444444444446</v>
      </c>
      <c r="T231" s="1">
        <f t="shared" si="67"/>
        <v>413.29365079365084</v>
      </c>
      <c r="U231" s="1">
        <f t="shared" si="67"/>
        <v>142.37012987012986</v>
      </c>
      <c r="V231" s="1">
        <f t="shared" si="67"/>
        <v>121.54761904761905</v>
      </c>
      <c r="W231" s="1">
        <f t="shared" si="67"/>
        <v>207.24206349206352</v>
      </c>
      <c r="X231" s="54">
        <f t="shared" si="67"/>
        <v>256.1904761904762</v>
      </c>
      <c r="Y231" s="58">
        <f t="shared" si="64"/>
        <v>364.17723912503322</v>
      </c>
      <c r="Z231" s="1">
        <f t="shared" si="65"/>
        <v>3263.0948958448962</v>
      </c>
      <c r="AA231" s="1">
        <f t="shared" si="66"/>
        <v>11127.27213496993</v>
      </c>
    </row>
    <row r="232" spans="1:55" x14ac:dyDescent="0.25">
      <c r="A232" s="15" t="s">
        <v>51</v>
      </c>
      <c r="B232" s="16" t="s">
        <v>52</v>
      </c>
      <c r="C232" s="2"/>
      <c r="F232" s="1">
        <f>F239+F240+F241</f>
        <v>0</v>
      </c>
      <c r="G232" s="1">
        <f t="shared" ref="G232:X232" si="68">G239+G240+G241</f>
        <v>0</v>
      </c>
      <c r="H232" s="1">
        <f t="shared" si="68"/>
        <v>0</v>
      </c>
      <c r="I232" s="1">
        <f t="shared" si="68"/>
        <v>0</v>
      </c>
      <c r="J232" s="1">
        <f t="shared" si="68"/>
        <v>0</v>
      </c>
      <c r="K232" s="1">
        <f t="shared" si="68"/>
        <v>0</v>
      </c>
      <c r="L232" s="52">
        <f t="shared" si="68"/>
        <v>0</v>
      </c>
      <c r="M232" s="1">
        <f t="shared" si="68"/>
        <v>0</v>
      </c>
      <c r="N232" s="1">
        <f t="shared" si="68"/>
        <v>0</v>
      </c>
      <c r="O232" s="1">
        <f t="shared" si="68"/>
        <v>0</v>
      </c>
      <c r="P232" s="1">
        <f t="shared" si="68"/>
        <v>0</v>
      </c>
      <c r="Q232" s="1">
        <f t="shared" si="68"/>
        <v>0</v>
      </c>
      <c r="R232" s="1">
        <f t="shared" si="68"/>
        <v>0</v>
      </c>
      <c r="S232" s="1">
        <f t="shared" si="68"/>
        <v>0</v>
      </c>
      <c r="T232" s="1">
        <f t="shared" si="68"/>
        <v>0</v>
      </c>
      <c r="U232" s="1">
        <f t="shared" si="68"/>
        <v>0</v>
      </c>
      <c r="V232" s="1">
        <f t="shared" si="68"/>
        <v>0</v>
      </c>
      <c r="W232" s="1">
        <f t="shared" si="68"/>
        <v>0</v>
      </c>
      <c r="X232" s="54">
        <f t="shared" si="68"/>
        <v>0</v>
      </c>
      <c r="Y232" s="58">
        <f t="shared" si="64"/>
        <v>0</v>
      </c>
      <c r="Z232" s="1">
        <f t="shared" si="65"/>
        <v>0</v>
      </c>
      <c r="AA232" s="1">
        <f t="shared" si="66"/>
        <v>0</v>
      </c>
    </row>
    <row r="233" spans="1:55" x14ac:dyDescent="0.25">
      <c r="A233" s="15" t="s">
        <v>51</v>
      </c>
      <c r="B233" s="16" t="s">
        <v>56</v>
      </c>
      <c r="C233" s="2"/>
      <c r="F233" s="1">
        <f>F242+F243+F244</f>
        <v>0</v>
      </c>
      <c r="G233" s="1">
        <f t="shared" ref="G233:X233" si="69">G242+G243+G244</f>
        <v>0</v>
      </c>
      <c r="H233" s="1">
        <f t="shared" si="69"/>
        <v>0</v>
      </c>
      <c r="I233" s="1">
        <f t="shared" si="69"/>
        <v>0</v>
      </c>
      <c r="J233" s="1">
        <f t="shared" si="69"/>
        <v>0</v>
      </c>
      <c r="K233" s="1">
        <f t="shared" si="69"/>
        <v>0</v>
      </c>
      <c r="L233" s="52">
        <f t="shared" si="69"/>
        <v>0</v>
      </c>
      <c r="M233" s="1">
        <f t="shared" si="69"/>
        <v>0</v>
      </c>
      <c r="N233" s="1">
        <f t="shared" si="69"/>
        <v>0</v>
      </c>
      <c r="O233" s="1">
        <f t="shared" si="69"/>
        <v>0</v>
      </c>
      <c r="P233" s="1">
        <f t="shared" si="69"/>
        <v>0</v>
      </c>
      <c r="Q233" s="1">
        <f t="shared" si="69"/>
        <v>0</v>
      </c>
      <c r="R233" s="1">
        <f t="shared" si="69"/>
        <v>0</v>
      </c>
      <c r="S233" s="1">
        <f t="shared" si="69"/>
        <v>0</v>
      </c>
      <c r="T233" s="1">
        <f t="shared" si="69"/>
        <v>0</v>
      </c>
      <c r="U233" s="1">
        <f t="shared" si="69"/>
        <v>0</v>
      </c>
      <c r="V233" s="1">
        <f t="shared" si="69"/>
        <v>0</v>
      </c>
      <c r="W233" s="1">
        <f t="shared" si="69"/>
        <v>0</v>
      </c>
      <c r="X233" s="54">
        <f t="shared" si="69"/>
        <v>0</v>
      </c>
      <c r="Y233" s="58">
        <f t="shared" si="64"/>
        <v>0</v>
      </c>
      <c r="Z233" s="1">
        <f t="shared" si="65"/>
        <v>0</v>
      </c>
      <c r="AA233" s="1">
        <f t="shared" si="66"/>
        <v>0</v>
      </c>
    </row>
    <row r="234" spans="1:55" x14ac:dyDescent="0.25">
      <c r="A234" s="15" t="s">
        <v>51</v>
      </c>
      <c r="B234" s="16" t="s">
        <v>9</v>
      </c>
      <c r="C234" s="2"/>
      <c r="F234" s="1">
        <f>F245</f>
        <v>0</v>
      </c>
      <c r="G234" s="1">
        <f t="shared" ref="G234:X234" si="70">G245</f>
        <v>0</v>
      </c>
      <c r="H234" s="1">
        <f t="shared" si="70"/>
        <v>0</v>
      </c>
      <c r="I234" s="1">
        <f t="shared" si="70"/>
        <v>0</v>
      </c>
      <c r="J234" s="1">
        <f t="shared" si="70"/>
        <v>0</v>
      </c>
      <c r="K234" s="1">
        <f t="shared" si="70"/>
        <v>0</v>
      </c>
      <c r="L234" s="52">
        <f t="shared" si="70"/>
        <v>0</v>
      </c>
      <c r="M234" s="1">
        <f t="shared" si="70"/>
        <v>0</v>
      </c>
      <c r="N234" s="1">
        <f t="shared" si="70"/>
        <v>0</v>
      </c>
      <c r="O234" s="1">
        <f t="shared" si="70"/>
        <v>0</v>
      </c>
      <c r="P234" s="1">
        <f t="shared" si="70"/>
        <v>0</v>
      </c>
      <c r="Q234" s="1">
        <f t="shared" si="70"/>
        <v>0</v>
      </c>
      <c r="R234" s="1">
        <f t="shared" si="70"/>
        <v>0</v>
      </c>
      <c r="S234" s="1">
        <f t="shared" si="70"/>
        <v>0</v>
      </c>
      <c r="T234" s="1">
        <f t="shared" si="70"/>
        <v>0</v>
      </c>
      <c r="U234" s="1">
        <f t="shared" si="70"/>
        <v>0</v>
      </c>
      <c r="V234" s="1">
        <f t="shared" si="70"/>
        <v>0</v>
      </c>
      <c r="W234" s="1">
        <f t="shared" si="70"/>
        <v>0</v>
      </c>
      <c r="X234" s="54">
        <f t="shared" si="70"/>
        <v>0</v>
      </c>
      <c r="Y234" s="58">
        <f t="shared" si="64"/>
        <v>0</v>
      </c>
      <c r="Z234" s="1">
        <f t="shared" si="65"/>
        <v>0</v>
      </c>
      <c r="AA234" s="1">
        <f t="shared" si="66"/>
        <v>0</v>
      </c>
    </row>
    <row r="235" spans="1:55" x14ac:dyDescent="0.25">
      <c r="A235" s="30" t="s">
        <v>60</v>
      </c>
      <c r="B235" s="32" t="s">
        <v>13</v>
      </c>
      <c r="C235" s="2"/>
      <c r="F235" s="51">
        <f>F246+F247+F248</f>
        <v>47.51951951951952</v>
      </c>
      <c r="G235" s="51">
        <f t="shared" ref="G235:X235" si="71">G246+G247+G248</f>
        <v>24.324324324324323</v>
      </c>
      <c r="H235" s="51">
        <f t="shared" si="71"/>
        <v>64.658823529411762</v>
      </c>
      <c r="I235" s="51">
        <f t="shared" si="71"/>
        <v>17.294117647058822</v>
      </c>
      <c r="J235" s="51">
        <f t="shared" si="71"/>
        <v>16.470588235294116</v>
      </c>
      <c r="K235" s="51">
        <f t="shared" si="71"/>
        <v>4.7058823529411766</v>
      </c>
      <c r="L235" s="52">
        <f t="shared" si="71"/>
        <v>0</v>
      </c>
      <c r="M235" s="51">
        <f t="shared" si="71"/>
        <v>25</v>
      </c>
      <c r="N235" s="51">
        <f t="shared" si="71"/>
        <v>13.75</v>
      </c>
      <c r="O235" s="51">
        <f t="shared" si="71"/>
        <v>30</v>
      </c>
      <c r="P235" s="51">
        <f t="shared" si="71"/>
        <v>250</v>
      </c>
      <c r="Q235" s="51">
        <f t="shared" si="71"/>
        <v>14.814814814814817</v>
      </c>
      <c r="R235" s="51">
        <f t="shared" si="71"/>
        <v>9.5238095238095255</v>
      </c>
      <c r="S235" s="51">
        <f t="shared" si="71"/>
        <v>0</v>
      </c>
      <c r="T235" s="51">
        <f t="shared" si="71"/>
        <v>5.833333333333333</v>
      </c>
      <c r="U235" s="51">
        <f t="shared" si="71"/>
        <v>12.5</v>
      </c>
      <c r="V235" s="51">
        <f t="shared" si="71"/>
        <v>0.27777777777777779</v>
      </c>
      <c r="W235" s="51">
        <f t="shared" si="71"/>
        <v>4.8611111111111107</v>
      </c>
      <c r="X235" s="55">
        <f t="shared" si="71"/>
        <v>27.777777777777779</v>
      </c>
      <c r="Y235" s="59">
        <f t="shared" si="64"/>
        <v>174.97325560854972</v>
      </c>
      <c r="Z235" s="51">
        <f t="shared" si="65"/>
        <v>394.3386243386243</v>
      </c>
      <c r="AA235" s="51">
        <f t="shared" si="66"/>
        <v>569.31187994717402</v>
      </c>
    </row>
    <row r="236" spans="1:55" x14ac:dyDescent="0.25">
      <c r="A236" s="30" t="s">
        <v>60</v>
      </c>
      <c r="B236" s="31" t="s">
        <v>23</v>
      </c>
      <c r="C236" s="2"/>
      <c r="F236" s="51">
        <f>F249+F250+F251</f>
        <v>0</v>
      </c>
      <c r="G236" s="51">
        <f t="shared" ref="G236:X236" si="72">G249+G250+G251</f>
        <v>0</v>
      </c>
      <c r="H236" s="51">
        <f t="shared" si="72"/>
        <v>0</v>
      </c>
      <c r="I236" s="51">
        <f t="shared" si="72"/>
        <v>0</v>
      </c>
      <c r="J236" s="51">
        <f t="shared" si="72"/>
        <v>37.097435897435894</v>
      </c>
      <c r="K236" s="51">
        <f t="shared" si="72"/>
        <v>34.085714285714289</v>
      </c>
      <c r="L236" s="52">
        <f t="shared" si="72"/>
        <v>0</v>
      </c>
      <c r="M236" s="51">
        <f t="shared" si="72"/>
        <v>0</v>
      </c>
      <c r="N236" s="51">
        <f t="shared" si="72"/>
        <v>18.46153846153846</v>
      </c>
      <c r="O236" s="51">
        <f t="shared" si="72"/>
        <v>0</v>
      </c>
      <c r="P236" s="51">
        <f t="shared" si="72"/>
        <v>0</v>
      </c>
      <c r="Q236" s="51">
        <f t="shared" si="72"/>
        <v>0</v>
      </c>
      <c r="R236" s="51">
        <f t="shared" si="72"/>
        <v>0</v>
      </c>
      <c r="S236" s="51">
        <f t="shared" si="72"/>
        <v>5.4444444444444446</v>
      </c>
      <c r="T236" s="51">
        <f t="shared" si="72"/>
        <v>18.571428571428573</v>
      </c>
      <c r="U236" s="51">
        <f t="shared" si="72"/>
        <v>0</v>
      </c>
      <c r="V236" s="51">
        <f t="shared" si="72"/>
        <v>2.2222222222222223</v>
      </c>
      <c r="W236" s="51">
        <f t="shared" si="72"/>
        <v>0</v>
      </c>
      <c r="X236" s="55">
        <f t="shared" si="72"/>
        <v>2.2222222222222223</v>
      </c>
      <c r="Y236" s="59">
        <f t="shared" si="64"/>
        <v>71.18315018315019</v>
      </c>
      <c r="Z236" s="51">
        <f t="shared" si="65"/>
        <v>46.921855921855922</v>
      </c>
      <c r="AA236" s="51">
        <f t="shared" si="66"/>
        <v>118.10500610500611</v>
      </c>
    </row>
    <row r="237" spans="1:55" x14ac:dyDescent="0.25">
      <c r="A237" s="30" t="s">
        <v>60</v>
      </c>
      <c r="B237" s="31" t="s">
        <v>65</v>
      </c>
      <c r="C237" s="46"/>
      <c r="F237" s="51">
        <f>F252+F253+F254</f>
        <v>0</v>
      </c>
      <c r="G237" s="51">
        <f t="shared" ref="G237:X237" si="73">G252+G253+G254</f>
        <v>0</v>
      </c>
      <c r="H237" s="51">
        <f t="shared" si="73"/>
        <v>0</v>
      </c>
      <c r="I237" s="51">
        <f t="shared" si="73"/>
        <v>0</v>
      </c>
      <c r="J237" s="51">
        <f t="shared" si="73"/>
        <v>118.02083333333334</v>
      </c>
      <c r="K237" s="51">
        <f t="shared" si="73"/>
        <v>0</v>
      </c>
      <c r="L237" s="52">
        <f t="shared" si="73"/>
        <v>7500</v>
      </c>
      <c r="M237" s="51">
        <f t="shared" si="73"/>
        <v>406.25</v>
      </c>
      <c r="N237" s="51">
        <f t="shared" si="73"/>
        <v>0</v>
      </c>
      <c r="O237" s="51">
        <f t="shared" si="73"/>
        <v>0</v>
      </c>
      <c r="P237" s="51">
        <f t="shared" si="73"/>
        <v>0</v>
      </c>
      <c r="Q237" s="51">
        <f t="shared" si="73"/>
        <v>904.76190476190482</v>
      </c>
      <c r="R237" s="51">
        <f t="shared" si="73"/>
        <v>444.44444444444446</v>
      </c>
      <c r="S237" s="51">
        <f t="shared" si="73"/>
        <v>0</v>
      </c>
      <c r="T237" s="51">
        <f t="shared" si="73"/>
        <v>388.88888888888891</v>
      </c>
      <c r="U237" s="51">
        <f t="shared" si="73"/>
        <v>129.87012987012986</v>
      </c>
      <c r="V237" s="51">
        <f t="shared" si="73"/>
        <v>119.04761904761905</v>
      </c>
      <c r="W237" s="51">
        <f t="shared" si="73"/>
        <v>202.38095238095241</v>
      </c>
      <c r="X237" s="55">
        <f t="shared" si="73"/>
        <v>190.47619047619048</v>
      </c>
      <c r="Y237" s="59">
        <f t="shared" si="64"/>
        <v>118.02083333333334</v>
      </c>
      <c r="Z237" s="51">
        <f t="shared" si="65"/>
        <v>2786.1201298701303</v>
      </c>
      <c r="AA237" s="51">
        <f t="shared" si="66"/>
        <v>10404.140963203463</v>
      </c>
    </row>
    <row r="238" spans="1:55" ht="15.75" thickBot="1" x14ac:dyDescent="0.3">
      <c r="A238" s="48" t="s">
        <v>60</v>
      </c>
      <c r="B238" s="49" t="s">
        <v>9</v>
      </c>
      <c r="C238" s="50"/>
      <c r="D238" s="50"/>
      <c r="E238" s="50"/>
      <c r="F238" s="53">
        <f>F255</f>
        <v>0</v>
      </c>
      <c r="G238" s="53">
        <f t="shared" ref="G238:X238" si="74">G255</f>
        <v>0</v>
      </c>
      <c r="H238" s="53">
        <f t="shared" si="74"/>
        <v>0</v>
      </c>
      <c r="I238" s="53">
        <f t="shared" si="74"/>
        <v>0</v>
      </c>
      <c r="J238" s="53">
        <f t="shared" si="74"/>
        <v>0</v>
      </c>
      <c r="K238" s="53">
        <f t="shared" si="74"/>
        <v>0</v>
      </c>
      <c r="L238" s="62">
        <f t="shared" si="74"/>
        <v>0</v>
      </c>
      <c r="M238" s="53">
        <f t="shared" si="74"/>
        <v>0</v>
      </c>
      <c r="N238" s="53">
        <f t="shared" si="74"/>
        <v>0</v>
      </c>
      <c r="O238" s="53">
        <f t="shared" si="74"/>
        <v>0</v>
      </c>
      <c r="P238" s="53">
        <f t="shared" si="74"/>
        <v>0</v>
      </c>
      <c r="Q238" s="53">
        <f t="shared" si="74"/>
        <v>0</v>
      </c>
      <c r="R238" s="53">
        <f t="shared" si="74"/>
        <v>0</v>
      </c>
      <c r="S238" s="53">
        <f t="shared" si="74"/>
        <v>0</v>
      </c>
      <c r="T238" s="53">
        <f t="shared" si="74"/>
        <v>0</v>
      </c>
      <c r="U238" s="53">
        <f t="shared" si="74"/>
        <v>0</v>
      </c>
      <c r="V238" s="53">
        <f t="shared" si="74"/>
        <v>0</v>
      </c>
      <c r="W238" s="53">
        <f t="shared" si="74"/>
        <v>0</v>
      </c>
      <c r="X238" s="56">
        <f t="shared" si="74"/>
        <v>35.714285714285715</v>
      </c>
      <c r="Y238" s="60">
        <f t="shared" si="64"/>
        <v>0</v>
      </c>
      <c r="Z238" s="53">
        <f t="shared" si="65"/>
        <v>35.714285714285715</v>
      </c>
      <c r="AA238" s="53">
        <f t="shared" si="66"/>
        <v>35.714285714285715</v>
      </c>
    </row>
    <row r="239" spans="1:55" ht="15.75" thickTop="1" x14ac:dyDescent="0.25">
      <c r="A239" s="15" t="s">
        <v>51</v>
      </c>
      <c r="B239" s="16" t="s">
        <v>52</v>
      </c>
      <c r="C239" s="16" t="s">
        <v>53</v>
      </c>
      <c r="D239" s="2"/>
      <c r="E239" s="2"/>
      <c r="F239" s="47">
        <f t="shared" ref="F239:AA250" si="75">IF(F284&gt;0,F14/F284,0)</f>
        <v>0</v>
      </c>
      <c r="G239" s="47">
        <f t="shared" si="75"/>
        <v>0</v>
      </c>
      <c r="H239" s="47">
        <f t="shared" si="75"/>
        <v>0</v>
      </c>
      <c r="I239" s="47">
        <f t="shared" si="75"/>
        <v>0</v>
      </c>
      <c r="J239" s="47">
        <f t="shared" si="75"/>
        <v>0</v>
      </c>
      <c r="K239" s="47">
        <f t="shared" si="75"/>
        <v>0</v>
      </c>
      <c r="L239" s="63">
        <f t="shared" si="75"/>
        <v>0</v>
      </c>
      <c r="M239" s="47">
        <f t="shared" si="75"/>
        <v>0</v>
      </c>
      <c r="N239" s="47">
        <f t="shared" si="75"/>
        <v>0</v>
      </c>
      <c r="O239" s="47">
        <f t="shared" si="75"/>
        <v>0</v>
      </c>
      <c r="P239" s="47">
        <f t="shared" si="75"/>
        <v>0</v>
      </c>
      <c r="Q239" s="47">
        <f t="shared" si="75"/>
        <v>0</v>
      </c>
      <c r="R239" s="47">
        <f t="shared" si="75"/>
        <v>0</v>
      </c>
      <c r="S239" s="47">
        <f t="shared" si="75"/>
        <v>0</v>
      </c>
      <c r="T239" s="47">
        <f t="shared" si="75"/>
        <v>0</v>
      </c>
      <c r="U239" s="47">
        <f t="shared" si="75"/>
        <v>0</v>
      </c>
      <c r="V239" s="47">
        <f t="shared" si="75"/>
        <v>0</v>
      </c>
      <c r="W239" s="47">
        <f t="shared" si="75"/>
        <v>0</v>
      </c>
      <c r="X239" s="57">
        <f t="shared" si="75"/>
        <v>0</v>
      </c>
      <c r="Y239" s="61">
        <f t="shared" si="75"/>
        <v>0</v>
      </c>
      <c r="Z239" s="47">
        <f t="shared" si="75"/>
        <v>0</v>
      </c>
      <c r="AA239" s="47">
        <f t="shared" si="75"/>
        <v>0</v>
      </c>
    </row>
    <row r="240" spans="1:55" x14ac:dyDescent="0.25">
      <c r="A240" s="15" t="s">
        <v>51</v>
      </c>
      <c r="B240" s="16" t="s">
        <v>52</v>
      </c>
      <c r="C240" s="16" t="s">
        <v>54</v>
      </c>
      <c r="D240" s="2"/>
      <c r="E240" s="2"/>
      <c r="F240" s="1">
        <f t="shared" si="75"/>
        <v>0</v>
      </c>
      <c r="G240" s="1">
        <f t="shared" si="75"/>
        <v>0</v>
      </c>
      <c r="H240" s="1">
        <f t="shared" si="75"/>
        <v>0</v>
      </c>
      <c r="I240" s="1">
        <f t="shared" si="75"/>
        <v>0</v>
      </c>
      <c r="J240" s="1">
        <f t="shared" si="75"/>
        <v>0</v>
      </c>
      <c r="K240" s="1">
        <f t="shared" si="75"/>
        <v>0</v>
      </c>
      <c r="L240" s="52">
        <f t="shared" si="75"/>
        <v>0</v>
      </c>
      <c r="M240" s="1">
        <f t="shared" si="75"/>
        <v>0</v>
      </c>
      <c r="N240" s="1">
        <f t="shared" si="75"/>
        <v>0</v>
      </c>
      <c r="O240" s="1">
        <f t="shared" si="75"/>
        <v>0</v>
      </c>
      <c r="P240" s="1">
        <f t="shared" si="75"/>
        <v>0</v>
      </c>
      <c r="Q240" s="1">
        <f t="shared" si="75"/>
        <v>0</v>
      </c>
      <c r="R240" s="1">
        <f t="shared" si="75"/>
        <v>0</v>
      </c>
      <c r="S240" s="1">
        <f t="shared" si="75"/>
        <v>0</v>
      </c>
      <c r="T240" s="1">
        <f t="shared" si="75"/>
        <v>0</v>
      </c>
      <c r="U240" s="1">
        <f t="shared" si="75"/>
        <v>0</v>
      </c>
      <c r="V240" s="1">
        <f t="shared" si="75"/>
        <v>0</v>
      </c>
      <c r="W240" s="1">
        <f t="shared" si="75"/>
        <v>0</v>
      </c>
      <c r="X240" s="54">
        <f t="shared" si="75"/>
        <v>0</v>
      </c>
      <c r="Y240" s="58">
        <f t="shared" si="75"/>
        <v>0</v>
      </c>
      <c r="Z240" s="1">
        <f t="shared" si="75"/>
        <v>0</v>
      </c>
      <c r="AA240" s="1">
        <f t="shared" si="75"/>
        <v>0</v>
      </c>
    </row>
    <row r="241" spans="1:29" x14ac:dyDescent="0.25">
      <c r="A241" s="15" t="s">
        <v>51</v>
      </c>
      <c r="B241" s="16" t="s">
        <v>52</v>
      </c>
      <c r="C241" s="16" t="s">
        <v>55</v>
      </c>
      <c r="D241" s="2"/>
      <c r="E241" s="2"/>
      <c r="F241" s="1">
        <f t="shared" si="75"/>
        <v>0</v>
      </c>
      <c r="G241" s="1">
        <f t="shared" si="75"/>
        <v>0</v>
      </c>
      <c r="H241" s="1">
        <f t="shared" si="75"/>
        <v>0</v>
      </c>
      <c r="I241" s="1">
        <f t="shared" si="75"/>
        <v>0</v>
      </c>
      <c r="J241" s="1">
        <f t="shared" si="75"/>
        <v>0</v>
      </c>
      <c r="K241" s="1">
        <f t="shared" si="75"/>
        <v>0</v>
      </c>
      <c r="L241" s="52">
        <f t="shared" si="75"/>
        <v>0</v>
      </c>
      <c r="M241" s="1">
        <f t="shared" si="75"/>
        <v>0</v>
      </c>
      <c r="N241" s="1">
        <f t="shared" si="75"/>
        <v>0</v>
      </c>
      <c r="O241" s="1">
        <f t="shared" si="75"/>
        <v>0</v>
      </c>
      <c r="P241" s="1">
        <f t="shared" si="75"/>
        <v>0</v>
      </c>
      <c r="Q241" s="1">
        <f t="shared" si="75"/>
        <v>0</v>
      </c>
      <c r="R241" s="1">
        <f t="shared" si="75"/>
        <v>0</v>
      </c>
      <c r="S241" s="1">
        <f t="shared" si="75"/>
        <v>0</v>
      </c>
      <c r="T241" s="1">
        <f t="shared" si="75"/>
        <v>0</v>
      </c>
      <c r="U241" s="1">
        <f t="shared" si="75"/>
        <v>0</v>
      </c>
      <c r="V241" s="1">
        <f t="shared" si="75"/>
        <v>0</v>
      </c>
      <c r="W241" s="1">
        <f t="shared" si="75"/>
        <v>0</v>
      </c>
      <c r="X241" s="54">
        <f t="shared" si="75"/>
        <v>0</v>
      </c>
      <c r="Y241" s="58">
        <f t="shared" si="75"/>
        <v>0</v>
      </c>
      <c r="Z241" s="1">
        <f t="shared" si="75"/>
        <v>0</v>
      </c>
      <c r="AA241" s="1">
        <f t="shared" si="75"/>
        <v>0</v>
      </c>
    </row>
    <row r="242" spans="1:29" x14ac:dyDescent="0.25">
      <c r="A242" s="25" t="s">
        <v>51</v>
      </c>
      <c r="B242" s="26" t="s">
        <v>56</v>
      </c>
      <c r="C242" s="26" t="s">
        <v>57</v>
      </c>
      <c r="D242" s="2"/>
      <c r="E242" s="2"/>
      <c r="F242" s="1">
        <f t="shared" si="75"/>
        <v>0</v>
      </c>
      <c r="G242" s="1">
        <f t="shared" si="75"/>
        <v>0</v>
      </c>
      <c r="H242" s="1">
        <f t="shared" si="75"/>
        <v>0</v>
      </c>
      <c r="I242" s="1">
        <f t="shared" si="75"/>
        <v>0</v>
      </c>
      <c r="J242" s="1">
        <f t="shared" si="75"/>
        <v>0</v>
      </c>
      <c r="K242" s="1">
        <f t="shared" si="75"/>
        <v>0</v>
      </c>
      <c r="L242" s="52">
        <f t="shared" si="75"/>
        <v>0</v>
      </c>
      <c r="M242" s="1">
        <f t="shared" si="75"/>
        <v>0</v>
      </c>
      <c r="N242" s="1">
        <f t="shared" si="75"/>
        <v>0</v>
      </c>
      <c r="O242" s="1">
        <f t="shared" si="75"/>
        <v>0</v>
      </c>
      <c r="P242" s="1">
        <f t="shared" si="75"/>
        <v>0</v>
      </c>
      <c r="Q242" s="1">
        <f t="shared" si="75"/>
        <v>0</v>
      </c>
      <c r="R242" s="1">
        <f t="shared" si="75"/>
        <v>0</v>
      </c>
      <c r="S242" s="1">
        <f t="shared" si="75"/>
        <v>0</v>
      </c>
      <c r="T242" s="1">
        <f t="shared" si="75"/>
        <v>0</v>
      </c>
      <c r="U242" s="1">
        <f t="shared" si="75"/>
        <v>0</v>
      </c>
      <c r="V242" s="1">
        <f t="shared" si="75"/>
        <v>0</v>
      </c>
      <c r="W242" s="1">
        <f t="shared" si="75"/>
        <v>0</v>
      </c>
      <c r="X242" s="54">
        <f t="shared" si="75"/>
        <v>0</v>
      </c>
      <c r="Y242" s="58">
        <f t="shared" si="75"/>
        <v>0</v>
      </c>
      <c r="Z242" s="1">
        <f t="shared" si="75"/>
        <v>0</v>
      </c>
      <c r="AA242" s="1">
        <f t="shared" si="75"/>
        <v>0</v>
      </c>
    </row>
    <row r="243" spans="1:29" x14ac:dyDescent="0.25">
      <c r="A243" s="15" t="s">
        <v>51</v>
      </c>
      <c r="B243" s="16" t="s">
        <v>56</v>
      </c>
      <c r="C243" s="27" t="s">
        <v>58</v>
      </c>
      <c r="D243" s="2"/>
      <c r="E243" s="2"/>
      <c r="F243" s="1">
        <f t="shared" si="75"/>
        <v>0</v>
      </c>
      <c r="G243" s="1">
        <f t="shared" si="75"/>
        <v>0</v>
      </c>
      <c r="H243" s="1">
        <f t="shared" si="75"/>
        <v>0</v>
      </c>
      <c r="I243" s="1">
        <f t="shared" si="75"/>
        <v>0</v>
      </c>
      <c r="J243" s="1">
        <f t="shared" si="75"/>
        <v>0</v>
      </c>
      <c r="K243" s="1">
        <f t="shared" si="75"/>
        <v>0</v>
      </c>
      <c r="L243" s="52">
        <f t="shared" si="75"/>
        <v>0</v>
      </c>
      <c r="M243" s="1">
        <f t="shared" si="75"/>
        <v>0</v>
      </c>
      <c r="N243" s="1">
        <f t="shared" si="75"/>
        <v>0</v>
      </c>
      <c r="O243" s="1">
        <f t="shared" si="75"/>
        <v>0</v>
      </c>
      <c r="P243" s="1">
        <f t="shared" si="75"/>
        <v>0</v>
      </c>
      <c r="Q243" s="1">
        <f t="shared" si="75"/>
        <v>0</v>
      </c>
      <c r="R243" s="1">
        <f t="shared" si="75"/>
        <v>0</v>
      </c>
      <c r="S243" s="1">
        <f t="shared" si="75"/>
        <v>0</v>
      </c>
      <c r="T243" s="1">
        <f t="shared" si="75"/>
        <v>0</v>
      </c>
      <c r="U243" s="1">
        <f t="shared" si="75"/>
        <v>0</v>
      </c>
      <c r="V243" s="1">
        <f t="shared" si="75"/>
        <v>0</v>
      </c>
      <c r="W243" s="1">
        <f t="shared" si="75"/>
        <v>0</v>
      </c>
      <c r="X243" s="54">
        <f t="shared" si="75"/>
        <v>0</v>
      </c>
      <c r="Y243" s="58">
        <f t="shared" si="75"/>
        <v>0</v>
      </c>
      <c r="Z243" s="1">
        <f t="shared" si="75"/>
        <v>0</v>
      </c>
      <c r="AA243" s="1">
        <f t="shared" si="75"/>
        <v>0</v>
      </c>
    </row>
    <row r="244" spans="1:29" x14ac:dyDescent="0.25">
      <c r="A244" s="15" t="s">
        <v>51</v>
      </c>
      <c r="B244" s="16" t="s">
        <v>9</v>
      </c>
      <c r="C244" s="27" t="s">
        <v>59</v>
      </c>
      <c r="D244" s="2"/>
      <c r="E244" s="2"/>
      <c r="F244" s="1">
        <f t="shared" si="75"/>
        <v>0</v>
      </c>
      <c r="G244" s="1">
        <f t="shared" si="75"/>
        <v>0</v>
      </c>
      <c r="H244" s="1">
        <f t="shared" si="75"/>
        <v>0</v>
      </c>
      <c r="I244" s="1">
        <f t="shared" si="75"/>
        <v>0</v>
      </c>
      <c r="J244" s="1">
        <f t="shared" si="75"/>
        <v>0</v>
      </c>
      <c r="K244" s="1">
        <f t="shared" si="75"/>
        <v>0</v>
      </c>
      <c r="L244" s="52">
        <f t="shared" si="75"/>
        <v>0</v>
      </c>
      <c r="M244" s="1">
        <f t="shared" si="75"/>
        <v>0</v>
      </c>
      <c r="N244" s="1">
        <f t="shared" si="75"/>
        <v>0</v>
      </c>
      <c r="O244" s="1">
        <f t="shared" si="75"/>
        <v>0</v>
      </c>
      <c r="P244" s="1">
        <f t="shared" si="75"/>
        <v>0</v>
      </c>
      <c r="Q244" s="1">
        <f t="shared" si="75"/>
        <v>0</v>
      </c>
      <c r="R244" s="1">
        <f t="shared" si="75"/>
        <v>0</v>
      </c>
      <c r="S244" s="1">
        <f t="shared" si="75"/>
        <v>0</v>
      </c>
      <c r="T244" s="1">
        <f t="shared" si="75"/>
        <v>0</v>
      </c>
      <c r="U244" s="1">
        <f t="shared" si="75"/>
        <v>0</v>
      </c>
      <c r="V244" s="1">
        <f t="shared" si="75"/>
        <v>0</v>
      </c>
      <c r="W244" s="1">
        <f t="shared" si="75"/>
        <v>0</v>
      </c>
      <c r="X244" s="54">
        <f t="shared" si="75"/>
        <v>0</v>
      </c>
      <c r="Y244" s="58">
        <f t="shared" si="75"/>
        <v>0</v>
      </c>
      <c r="Z244" s="1">
        <f t="shared" si="75"/>
        <v>0</v>
      </c>
      <c r="AA244" s="1">
        <f t="shared" si="75"/>
        <v>0</v>
      </c>
    </row>
    <row r="245" spans="1:29" x14ac:dyDescent="0.25">
      <c r="A245" s="15" t="s">
        <v>51</v>
      </c>
      <c r="B245" s="16" t="s">
        <v>9</v>
      </c>
      <c r="C245" s="27" t="s">
        <v>9</v>
      </c>
      <c r="D245" s="2"/>
      <c r="E245" s="2"/>
      <c r="F245" s="1">
        <f t="shared" si="75"/>
        <v>0</v>
      </c>
      <c r="G245" s="1">
        <f t="shared" si="75"/>
        <v>0</v>
      </c>
      <c r="H245" s="1">
        <f t="shared" si="75"/>
        <v>0</v>
      </c>
      <c r="I245" s="1">
        <f t="shared" si="75"/>
        <v>0</v>
      </c>
      <c r="J245" s="1">
        <f t="shared" si="75"/>
        <v>0</v>
      </c>
      <c r="K245" s="1">
        <f t="shared" si="75"/>
        <v>0</v>
      </c>
      <c r="L245" s="52">
        <f t="shared" si="75"/>
        <v>0</v>
      </c>
      <c r="M245" s="1">
        <f t="shared" si="75"/>
        <v>0</v>
      </c>
      <c r="N245" s="1">
        <f t="shared" si="75"/>
        <v>0</v>
      </c>
      <c r="O245" s="1">
        <f t="shared" si="75"/>
        <v>0</v>
      </c>
      <c r="P245" s="1">
        <f t="shared" si="75"/>
        <v>0</v>
      </c>
      <c r="Q245" s="1">
        <f t="shared" si="75"/>
        <v>0</v>
      </c>
      <c r="R245" s="1">
        <f t="shared" si="75"/>
        <v>0</v>
      </c>
      <c r="S245" s="1">
        <f t="shared" si="75"/>
        <v>0</v>
      </c>
      <c r="T245" s="1">
        <f t="shared" si="75"/>
        <v>0</v>
      </c>
      <c r="U245" s="1">
        <f t="shared" si="75"/>
        <v>0</v>
      </c>
      <c r="V245" s="1">
        <f t="shared" si="75"/>
        <v>0</v>
      </c>
      <c r="W245" s="1">
        <f t="shared" si="75"/>
        <v>0</v>
      </c>
      <c r="X245" s="54">
        <f t="shared" si="75"/>
        <v>0</v>
      </c>
      <c r="Y245" s="58">
        <f t="shared" si="75"/>
        <v>0</v>
      </c>
      <c r="Z245" s="1">
        <f t="shared" si="75"/>
        <v>0</v>
      </c>
      <c r="AA245" s="1">
        <f t="shared" si="75"/>
        <v>0</v>
      </c>
    </row>
    <row r="246" spans="1:29" x14ac:dyDescent="0.25">
      <c r="A246" s="28" t="s">
        <v>60</v>
      </c>
      <c r="B246" s="29" t="s">
        <v>13</v>
      </c>
      <c r="C246" s="29" t="s">
        <v>61</v>
      </c>
      <c r="D246" s="2"/>
      <c r="E246" s="2"/>
      <c r="F246" s="86">
        <f t="shared" si="75"/>
        <v>38.222222222222221</v>
      </c>
      <c r="G246" s="86">
        <f t="shared" si="75"/>
        <v>0</v>
      </c>
      <c r="H246" s="86">
        <f t="shared" si="75"/>
        <v>23.058823529411761</v>
      </c>
      <c r="I246" s="86">
        <f t="shared" si="75"/>
        <v>17.294117647058822</v>
      </c>
      <c r="J246" s="86">
        <f t="shared" si="75"/>
        <v>16.470588235294116</v>
      </c>
      <c r="K246" s="51">
        <f t="shared" si="75"/>
        <v>4.7058823529411766</v>
      </c>
      <c r="L246" s="52">
        <f t="shared" si="75"/>
        <v>0</v>
      </c>
      <c r="M246" s="85">
        <f t="shared" si="75"/>
        <v>25</v>
      </c>
      <c r="N246" s="85">
        <f t="shared" si="75"/>
        <v>13.75</v>
      </c>
      <c r="O246" s="85">
        <f t="shared" si="75"/>
        <v>30</v>
      </c>
      <c r="P246" s="85">
        <f t="shared" si="75"/>
        <v>111.11111111111111</v>
      </c>
      <c r="Q246" s="85">
        <f t="shared" si="75"/>
        <v>14.814814814814817</v>
      </c>
      <c r="R246" s="85">
        <f t="shared" si="75"/>
        <v>9.5238095238095255</v>
      </c>
      <c r="S246" s="85">
        <f t="shared" si="75"/>
        <v>0</v>
      </c>
      <c r="T246" s="85">
        <f t="shared" si="75"/>
        <v>5.833333333333333</v>
      </c>
      <c r="U246" s="85">
        <f t="shared" si="75"/>
        <v>12.5</v>
      </c>
      <c r="V246" s="85">
        <f t="shared" si="75"/>
        <v>0.27777777777777779</v>
      </c>
      <c r="W246" s="85">
        <f t="shared" si="75"/>
        <v>4.8611111111111107</v>
      </c>
      <c r="X246" s="87">
        <f t="shared" si="75"/>
        <v>27.777777777777779</v>
      </c>
      <c r="Y246" s="59">
        <f t="shared" si="75"/>
        <v>0</v>
      </c>
      <c r="Z246" s="51">
        <f t="shared" si="75"/>
        <v>0</v>
      </c>
      <c r="AA246" s="51">
        <f t="shared" si="75"/>
        <v>0</v>
      </c>
    </row>
    <row r="247" spans="1:29" x14ac:dyDescent="0.25">
      <c r="A247" s="36" t="s">
        <v>60</v>
      </c>
      <c r="B247" s="37" t="s">
        <v>13</v>
      </c>
      <c r="C247" s="29" t="s">
        <v>62</v>
      </c>
      <c r="D247" s="2"/>
      <c r="E247" s="2"/>
      <c r="F247" s="86">
        <f t="shared" si="75"/>
        <v>9.2972972972972965</v>
      </c>
      <c r="G247" s="86">
        <f t="shared" si="75"/>
        <v>24.324324324324323</v>
      </c>
      <c r="H247" s="86">
        <f t="shared" si="75"/>
        <v>41.6</v>
      </c>
      <c r="I247" s="51">
        <f t="shared" si="75"/>
        <v>0</v>
      </c>
      <c r="J247" s="51">
        <f t="shared" si="75"/>
        <v>0</v>
      </c>
      <c r="K247" s="51">
        <f t="shared" si="75"/>
        <v>0</v>
      </c>
      <c r="L247" s="52">
        <f t="shared" si="75"/>
        <v>0</v>
      </c>
      <c r="M247" s="51">
        <f t="shared" si="75"/>
        <v>0</v>
      </c>
      <c r="N247" s="51">
        <f t="shared" si="75"/>
        <v>0</v>
      </c>
      <c r="O247" s="51">
        <f t="shared" si="75"/>
        <v>0</v>
      </c>
      <c r="P247" s="85">
        <f>IF(P292&gt;0,P22/P292,0)</f>
        <v>138.88888888888889</v>
      </c>
      <c r="Q247" s="51">
        <f t="shared" si="75"/>
        <v>0</v>
      </c>
      <c r="R247" s="51">
        <f t="shared" si="75"/>
        <v>0</v>
      </c>
      <c r="S247" s="51">
        <f t="shared" si="75"/>
        <v>0</v>
      </c>
      <c r="T247" s="51">
        <f t="shared" si="75"/>
        <v>0</v>
      </c>
      <c r="U247" s="51">
        <f t="shared" si="75"/>
        <v>0</v>
      </c>
      <c r="V247" s="51">
        <f t="shared" si="75"/>
        <v>0</v>
      </c>
      <c r="W247" s="51">
        <f t="shared" si="75"/>
        <v>0</v>
      </c>
      <c r="X247" s="55">
        <f t="shared" si="75"/>
        <v>0</v>
      </c>
      <c r="Y247" s="59">
        <f t="shared" si="75"/>
        <v>0</v>
      </c>
      <c r="Z247" s="51">
        <f t="shared" si="75"/>
        <v>0</v>
      </c>
      <c r="AA247" s="51">
        <f t="shared" si="75"/>
        <v>0</v>
      </c>
    </row>
    <row r="248" spans="1:29" x14ac:dyDescent="0.25">
      <c r="A248" s="30" t="s">
        <v>60</v>
      </c>
      <c r="B248" s="31" t="s">
        <v>13</v>
      </c>
      <c r="C248" s="32" t="s">
        <v>63</v>
      </c>
      <c r="D248" s="2"/>
      <c r="E248" s="2"/>
      <c r="F248" s="51">
        <f t="shared" si="75"/>
        <v>0</v>
      </c>
      <c r="G248" s="51">
        <f t="shared" si="75"/>
        <v>0</v>
      </c>
      <c r="H248" s="51">
        <f t="shared" si="75"/>
        <v>0</v>
      </c>
      <c r="I248" s="51">
        <f t="shared" si="75"/>
        <v>0</v>
      </c>
      <c r="J248" s="51">
        <f t="shared" si="75"/>
        <v>0</v>
      </c>
      <c r="K248" s="51">
        <f t="shared" si="75"/>
        <v>0</v>
      </c>
      <c r="L248" s="52">
        <f t="shared" si="75"/>
        <v>0</v>
      </c>
      <c r="M248" s="51">
        <f t="shared" si="75"/>
        <v>0</v>
      </c>
      <c r="N248" s="51">
        <f t="shared" si="75"/>
        <v>0</v>
      </c>
      <c r="O248" s="51">
        <f t="shared" si="75"/>
        <v>0</v>
      </c>
      <c r="P248" s="51">
        <f t="shared" si="75"/>
        <v>0</v>
      </c>
      <c r="Q248" s="51">
        <f t="shared" si="75"/>
        <v>0</v>
      </c>
      <c r="R248" s="51">
        <f t="shared" si="75"/>
        <v>0</v>
      </c>
      <c r="S248" s="51">
        <f t="shared" si="75"/>
        <v>0</v>
      </c>
      <c r="T248" s="51">
        <f t="shared" si="75"/>
        <v>0</v>
      </c>
      <c r="U248" s="51">
        <f t="shared" si="75"/>
        <v>0</v>
      </c>
      <c r="V248" s="51">
        <f t="shared" si="75"/>
        <v>0</v>
      </c>
      <c r="W248" s="51">
        <f t="shared" si="75"/>
        <v>0</v>
      </c>
      <c r="X248" s="55">
        <f t="shared" si="75"/>
        <v>0</v>
      </c>
      <c r="Y248" s="59">
        <f t="shared" si="75"/>
        <v>0</v>
      </c>
      <c r="Z248" s="51">
        <f t="shared" si="75"/>
        <v>0</v>
      </c>
      <c r="AA248" s="51">
        <f t="shared" si="75"/>
        <v>0</v>
      </c>
    </row>
    <row r="249" spans="1:29" x14ac:dyDescent="0.25">
      <c r="A249" s="30" t="s">
        <v>60</v>
      </c>
      <c r="B249" s="32" t="s">
        <v>23</v>
      </c>
      <c r="C249" s="31" t="s">
        <v>50</v>
      </c>
      <c r="D249" s="2"/>
      <c r="E249" s="2"/>
      <c r="F249" s="51">
        <f t="shared" si="75"/>
        <v>0</v>
      </c>
      <c r="G249" s="51">
        <f t="shared" si="75"/>
        <v>0</v>
      </c>
      <c r="H249" s="51">
        <f t="shared" si="75"/>
        <v>0</v>
      </c>
      <c r="I249" s="51">
        <f t="shared" si="75"/>
        <v>0</v>
      </c>
      <c r="J249" s="86">
        <f t="shared" si="75"/>
        <v>0.43076923076923079</v>
      </c>
      <c r="K249" s="51">
        <f t="shared" si="75"/>
        <v>24.285714285714285</v>
      </c>
      <c r="L249" s="52">
        <f t="shared" si="75"/>
        <v>0</v>
      </c>
      <c r="M249" s="51">
        <f t="shared" si="75"/>
        <v>0</v>
      </c>
      <c r="N249" s="86">
        <f t="shared" si="75"/>
        <v>18.46153846153846</v>
      </c>
      <c r="O249" s="51">
        <f t="shared" si="75"/>
        <v>0</v>
      </c>
      <c r="P249" s="51">
        <f t="shared" si="75"/>
        <v>0</v>
      </c>
      <c r="Q249" s="51">
        <f t="shared" si="75"/>
        <v>0</v>
      </c>
      <c r="R249" s="51">
        <f t="shared" si="75"/>
        <v>0</v>
      </c>
      <c r="S249" s="51">
        <f t="shared" si="75"/>
        <v>0</v>
      </c>
      <c r="T249" s="51">
        <f t="shared" si="75"/>
        <v>0</v>
      </c>
      <c r="U249" s="51">
        <f t="shared" si="75"/>
        <v>0</v>
      </c>
      <c r="V249" s="51">
        <f t="shared" si="75"/>
        <v>0</v>
      </c>
      <c r="W249" s="51">
        <f t="shared" si="75"/>
        <v>0</v>
      </c>
      <c r="X249" s="55">
        <f t="shared" si="75"/>
        <v>0</v>
      </c>
      <c r="Y249" s="59">
        <f t="shared" si="75"/>
        <v>0</v>
      </c>
      <c r="Z249" s="51">
        <f t="shared" si="75"/>
        <v>0</v>
      </c>
      <c r="AA249" s="51">
        <f t="shared" si="75"/>
        <v>0</v>
      </c>
    </row>
    <row r="250" spans="1:29" x14ac:dyDescent="0.25">
      <c r="A250" s="30" t="s">
        <v>60</v>
      </c>
      <c r="B250" s="32" t="s">
        <v>23</v>
      </c>
      <c r="C250" s="31" t="s">
        <v>49</v>
      </c>
      <c r="D250" s="2"/>
      <c r="E250" s="2"/>
      <c r="F250" s="51">
        <f t="shared" si="75"/>
        <v>0</v>
      </c>
      <c r="G250" s="51">
        <f t="shared" si="75"/>
        <v>0</v>
      </c>
      <c r="H250" s="51">
        <f t="shared" si="75"/>
        <v>0</v>
      </c>
      <c r="I250" s="51">
        <f t="shared" si="75"/>
        <v>0</v>
      </c>
      <c r="J250" s="86">
        <f t="shared" si="75"/>
        <v>36.666666666666664</v>
      </c>
      <c r="K250" s="51">
        <f t="shared" si="75"/>
        <v>9.8000000000000007</v>
      </c>
      <c r="L250" s="52">
        <f t="shared" si="75"/>
        <v>0</v>
      </c>
      <c r="M250" s="51">
        <f t="shared" si="75"/>
        <v>0</v>
      </c>
      <c r="N250" s="51">
        <f t="shared" si="75"/>
        <v>0</v>
      </c>
      <c r="O250" s="51">
        <f t="shared" si="75"/>
        <v>0</v>
      </c>
      <c r="P250" s="51">
        <f t="shared" si="75"/>
        <v>0</v>
      </c>
      <c r="Q250" s="51">
        <f t="shared" si="75"/>
        <v>0</v>
      </c>
      <c r="R250" s="51">
        <f t="shared" si="75"/>
        <v>0</v>
      </c>
      <c r="S250" s="51">
        <f t="shared" si="75"/>
        <v>5.4444444444444446</v>
      </c>
      <c r="T250" s="51">
        <f t="shared" ref="G250:AA265" si="76">IF(T295&gt;0,T25/T295,0)</f>
        <v>18.571428571428573</v>
      </c>
      <c r="U250" s="51">
        <f t="shared" si="76"/>
        <v>0</v>
      </c>
      <c r="V250" s="51">
        <f t="shared" si="76"/>
        <v>2.2222222222222223</v>
      </c>
      <c r="W250" s="51">
        <f t="shared" si="76"/>
        <v>0</v>
      </c>
      <c r="X250" s="95">
        <f t="shared" si="76"/>
        <v>2.2222222222222223</v>
      </c>
      <c r="Y250" s="59">
        <f t="shared" si="76"/>
        <v>0</v>
      </c>
      <c r="Z250" s="51">
        <f t="shared" si="76"/>
        <v>0</v>
      </c>
      <c r="AA250" s="51">
        <f t="shared" si="76"/>
        <v>0</v>
      </c>
      <c r="AC250" s="14">
        <f>28.5*0.26</f>
        <v>7.41</v>
      </c>
    </row>
    <row r="251" spans="1:29" x14ac:dyDescent="0.25">
      <c r="A251" s="30" t="s">
        <v>60</v>
      </c>
      <c r="B251" s="32" t="s">
        <v>23</v>
      </c>
      <c r="C251" s="31" t="s">
        <v>64</v>
      </c>
      <c r="D251" s="2"/>
      <c r="E251" s="2"/>
      <c r="F251" s="51">
        <f t="shared" ref="F251:F260" si="77">IF(F296&gt;0,F26/F296,0)</f>
        <v>0</v>
      </c>
      <c r="G251" s="51">
        <f t="shared" si="76"/>
        <v>0</v>
      </c>
      <c r="H251" s="51">
        <f t="shared" si="76"/>
        <v>0</v>
      </c>
      <c r="I251" s="51">
        <f t="shared" si="76"/>
        <v>0</v>
      </c>
      <c r="J251" s="86">
        <f t="shared" si="76"/>
        <v>0</v>
      </c>
      <c r="K251" s="51">
        <f t="shared" si="76"/>
        <v>0</v>
      </c>
      <c r="L251" s="52">
        <f t="shared" si="76"/>
        <v>0</v>
      </c>
      <c r="M251" s="51">
        <f t="shared" si="76"/>
        <v>0</v>
      </c>
      <c r="N251" s="51">
        <f t="shared" si="76"/>
        <v>0</v>
      </c>
      <c r="O251" s="51">
        <f t="shared" si="76"/>
        <v>0</v>
      </c>
      <c r="P251" s="51">
        <f t="shared" si="76"/>
        <v>0</v>
      </c>
      <c r="Q251" s="51">
        <f t="shared" si="76"/>
        <v>0</v>
      </c>
      <c r="R251" s="51">
        <f t="shared" si="76"/>
        <v>0</v>
      </c>
      <c r="S251" s="51">
        <f t="shared" si="76"/>
        <v>0</v>
      </c>
      <c r="T251" s="51">
        <f t="shared" si="76"/>
        <v>0</v>
      </c>
      <c r="U251" s="51">
        <f t="shared" si="76"/>
        <v>0</v>
      </c>
      <c r="V251" s="51">
        <f t="shared" si="76"/>
        <v>0</v>
      </c>
      <c r="W251" s="51">
        <f t="shared" si="76"/>
        <v>0</v>
      </c>
      <c r="X251" s="55">
        <f t="shared" si="76"/>
        <v>0</v>
      </c>
      <c r="Y251" s="59">
        <f t="shared" si="76"/>
        <v>0</v>
      </c>
      <c r="Z251" s="51">
        <f t="shared" si="76"/>
        <v>0</v>
      </c>
      <c r="AA251" s="51">
        <f t="shared" si="76"/>
        <v>0</v>
      </c>
    </row>
    <row r="252" spans="1:29" x14ac:dyDescent="0.25">
      <c r="A252" s="30" t="s">
        <v>60</v>
      </c>
      <c r="B252" s="32" t="s">
        <v>65</v>
      </c>
      <c r="C252" s="31" t="s">
        <v>66</v>
      </c>
      <c r="D252" s="2"/>
      <c r="E252" s="2"/>
      <c r="F252" s="51">
        <f t="shared" si="77"/>
        <v>0</v>
      </c>
      <c r="G252" s="51">
        <f t="shared" si="76"/>
        <v>0</v>
      </c>
      <c r="H252" s="51">
        <f t="shared" si="76"/>
        <v>0</v>
      </c>
      <c r="I252" s="51">
        <f t="shared" si="76"/>
        <v>0</v>
      </c>
      <c r="J252" s="86">
        <f t="shared" si="76"/>
        <v>118.02083333333334</v>
      </c>
      <c r="K252" s="51">
        <f t="shared" si="76"/>
        <v>0</v>
      </c>
      <c r="L252" s="52">
        <f t="shared" si="76"/>
        <v>0</v>
      </c>
      <c r="M252" s="73">
        <f t="shared" si="76"/>
        <v>406.25</v>
      </c>
      <c r="N252" s="51">
        <f t="shared" si="76"/>
        <v>0</v>
      </c>
      <c r="O252" s="51">
        <f t="shared" si="76"/>
        <v>0</v>
      </c>
      <c r="P252" s="51">
        <f t="shared" si="76"/>
        <v>0</v>
      </c>
      <c r="Q252" s="51">
        <f t="shared" si="76"/>
        <v>0</v>
      </c>
      <c r="R252" s="51">
        <f t="shared" si="76"/>
        <v>0</v>
      </c>
      <c r="S252" s="51">
        <f t="shared" si="76"/>
        <v>0</v>
      </c>
      <c r="T252" s="51">
        <f t="shared" si="76"/>
        <v>0</v>
      </c>
      <c r="U252" s="51">
        <f t="shared" si="76"/>
        <v>0</v>
      </c>
      <c r="V252" s="51">
        <f t="shared" si="76"/>
        <v>0</v>
      </c>
      <c r="W252" s="51">
        <f t="shared" si="76"/>
        <v>0</v>
      </c>
      <c r="X252" s="55">
        <f t="shared" si="76"/>
        <v>0</v>
      </c>
      <c r="Y252" s="59">
        <f t="shared" si="76"/>
        <v>0</v>
      </c>
      <c r="Z252" s="51">
        <f t="shared" si="76"/>
        <v>0</v>
      </c>
      <c r="AA252" s="51">
        <f t="shared" si="76"/>
        <v>0</v>
      </c>
    </row>
    <row r="253" spans="1:29" x14ac:dyDescent="0.25">
      <c r="A253" s="30" t="s">
        <v>60</v>
      </c>
      <c r="B253" s="32" t="s">
        <v>65</v>
      </c>
      <c r="C253" s="31" t="s">
        <v>67</v>
      </c>
      <c r="D253" s="2"/>
      <c r="E253" s="2"/>
      <c r="F253" s="51">
        <f t="shared" si="77"/>
        <v>0</v>
      </c>
      <c r="G253" s="51">
        <f t="shared" si="76"/>
        <v>0</v>
      </c>
      <c r="H253" s="51">
        <f t="shared" si="76"/>
        <v>0</v>
      </c>
      <c r="I253" s="51">
        <f t="shared" si="76"/>
        <v>0</v>
      </c>
      <c r="J253" s="51">
        <f t="shared" si="76"/>
        <v>0</v>
      </c>
      <c r="K253" s="51">
        <f t="shared" si="76"/>
        <v>0</v>
      </c>
      <c r="L253" s="52">
        <f t="shared" si="76"/>
        <v>0</v>
      </c>
      <c r="M253" s="51">
        <f t="shared" si="76"/>
        <v>0</v>
      </c>
      <c r="N253" s="51">
        <f t="shared" si="76"/>
        <v>0</v>
      </c>
      <c r="O253" s="51">
        <f t="shared" si="76"/>
        <v>0</v>
      </c>
      <c r="P253" s="51">
        <f t="shared" si="76"/>
        <v>0</v>
      </c>
      <c r="Q253" s="73">
        <f t="shared" si="76"/>
        <v>904.76190476190482</v>
      </c>
      <c r="R253" s="73">
        <f t="shared" si="76"/>
        <v>444.44444444444446</v>
      </c>
      <c r="S253" s="73">
        <f t="shared" si="76"/>
        <v>0</v>
      </c>
      <c r="T253" s="73">
        <f t="shared" si="76"/>
        <v>388.88888888888891</v>
      </c>
      <c r="U253" s="73">
        <f t="shared" si="76"/>
        <v>129.87012987012986</v>
      </c>
      <c r="V253" s="73">
        <f t="shared" si="76"/>
        <v>119.04761904761905</v>
      </c>
      <c r="W253" s="73">
        <f t="shared" si="76"/>
        <v>202.38095238095241</v>
      </c>
      <c r="X253" s="89">
        <f t="shared" si="76"/>
        <v>190.47619047619048</v>
      </c>
      <c r="Y253" s="59">
        <f t="shared" si="76"/>
        <v>0</v>
      </c>
      <c r="Z253" s="51">
        <f t="shared" si="76"/>
        <v>0</v>
      </c>
      <c r="AA253" s="51">
        <f t="shared" si="76"/>
        <v>0</v>
      </c>
    </row>
    <row r="254" spans="1:29" x14ac:dyDescent="0.25">
      <c r="A254" s="30" t="s">
        <v>60</v>
      </c>
      <c r="B254" s="32" t="s">
        <v>65</v>
      </c>
      <c r="C254" s="31" t="s">
        <v>68</v>
      </c>
      <c r="D254" s="2"/>
      <c r="E254" s="2"/>
      <c r="F254" s="51">
        <f t="shared" si="77"/>
        <v>0</v>
      </c>
      <c r="G254" s="51">
        <f t="shared" si="76"/>
        <v>0</v>
      </c>
      <c r="H254" s="51">
        <f t="shared" si="76"/>
        <v>0</v>
      </c>
      <c r="I254" s="51">
        <f t="shared" si="76"/>
        <v>0</v>
      </c>
      <c r="J254" s="51">
        <f t="shared" si="76"/>
        <v>0</v>
      </c>
      <c r="K254" s="51">
        <f t="shared" si="76"/>
        <v>0</v>
      </c>
      <c r="L254" s="88">
        <f t="shared" si="76"/>
        <v>7500</v>
      </c>
      <c r="M254" s="51">
        <f t="shared" si="76"/>
        <v>0</v>
      </c>
      <c r="N254" s="51">
        <f t="shared" si="76"/>
        <v>0</v>
      </c>
      <c r="O254" s="51">
        <f t="shared" si="76"/>
        <v>0</v>
      </c>
      <c r="P254" s="51">
        <f t="shared" si="76"/>
        <v>0</v>
      </c>
      <c r="Q254" s="51">
        <f t="shared" si="76"/>
        <v>0</v>
      </c>
      <c r="R254" s="51">
        <f t="shared" si="76"/>
        <v>0</v>
      </c>
      <c r="S254" s="51">
        <f t="shared" si="76"/>
        <v>0</v>
      </c>
      <c r="T254" s="51">
        <f t="shared" si="76"/>
        <v>0</v>
      </c>
      <c r="U254" s="51">
        <f t="shared" si="76"/>
        <v>0</v>
      </c>
      <c r="V254" s="51">
        <f t="shared" si="76"/>
        <v>0</v>
      </c>
      <c r="W254" s="51">
        <f t="shared" si="76"/>
        <v>0</v>
      </c>
      <c r="X254" s="55">
        <f t="shared" si="76"/>
        <v>0</v>
      </c>
      <c r="Y254" s="59">
        <f t="shared" si="76"/>
        <v>0</v>
      </c>
      <c r="Z254" s="51">
        <f t="shared" si="76"/>
        <v>0</v>
      </c>
      <c r="AA254" s="51">
        <f t="shared" si="76"/>
        <v>0</v>
      </c>
    </row>
    <row r="255" spans="1:29" x14ac:dyDescent="0.25">
      <c r="A255" s="30" t="s">
        <v>60</v>
      </c>
      <c r="B255" s="32" t="s">
        <v>9</v>
      </c>
      <c r="C255" s="31" t="s">
        <v>69</v>
      </c>
      <c r="D255" s="2"/>
      <c r="E255" s="2"/>
      <c r="F255" s="51">
        <f t="shared" si="77"/>
        <v>0</v>
      </c>
      <c r="G255" s="51">
        <f t="shared" si="76"/>
        <v>0</v>
      </c>
      <c r="H255" s="51">
        <f t="shared" si="76"/>
        <v>0</v>
      </c>
      <c r="I255" s="51">
        <f t="shared" si="76"/>
        <v>0</v>
      </c>
      <c r="J255" s="51">
        <f t="shared" si="76"/>
        <v>0</v>
      </c>
      <c r="K255" s="51">
        <f t="shared" si="76"/>
        <v>0</v>
      </c>
      <c r="L255" s="52">
        <f t="shared" si="76"/>
        <v>0</v>
      </c>
      <c r="M255" s="51">
        <f t="shared" si="76"/>
        <v>0</v>
      </c>
      <c r="N255" s="51">
        <f t="shared" si="76"/>
        <v>0</v>
      </c>
      <c r="O255" s="51">
        <f t="shared" si="76"/>
        <v>0</v>
      </c>
      <c r="P255" s="51">
        <f t="shared" si="76"/>
        <v>0</v>
      </c>
      <c r="Q255" s="51">
        <f t="shared" si="76"/>
        <v>0</v>
      </c>
      <c r="R255" s="51">
        <f t="shared" si="76"/>
        <v>0</v>
      </c>
      <c r="S255" s="51">
        <f t="shared" si="76"/>
        <v>0</v>
      </c>
      <c r="T255" s="51">
        <f t="shared" si="76"/>
        <v>0</v>
      </c>
      <c r="U255" s="51">
        <f t="shared" si="76"/>
        <v>0</v>
      </c>
      <c r="V255" s="51">
        <f t="shared" si="76"/>
        <v>0</v>
      </c>
      <c r="W255" s="51">
        <f t="shared" si="76"/>
        <v>0</v>
      </c>
      <c r="X255" s="89">
        <f t="shared" si="76"/>
        <v>35.714285714285715</v>
      </c>
      <c r="Y255" s="59">
        <f t="shared" si="76"/>
        <v>0</v>
      </c>
      <c r="Z255" s="51">
        <f t="shared" si="76"/>
        <v>0</v>
      </c>
      <c r="AA255" s="51">
        <f t="shared" si="76"/>
        <v>0</v>
      </c>
    </row>
    <row r="256" spans="1:29" x14ac:dyDescent="0.25">
      <c r="A256" s="15" t="s">
        <v>51</v>
      </c>
      <c r="B256" s="16" t="s">
        <v>56</v>
      </c>
      <c r="C256" s="27" t="s">
        <v>57</v>
      </c>
      <c r="D256" s="16" t="s">
        <v>70</v>
      </c>
      <c r="E256" s="16"/>
      <c r="F256" s="1">
        <f t="shared" si="77"/>
        <v>0</v>
      </c>
      <c r="G256" s="1">
        <f t="shared" si="76"/>
        <v>0</v>
      </c>
      <c r="H256" s="1">
        <f t="shared" si="76"/>
        <v>0</v>
      </c>
      <c r="I256" s="1">
        <f t="shared" si="76"/>
        <v>0</v>
      </c>
      <c r="J256" s="1">
        <f t="shared" si="76"/>
        <v>0</v>
      </c>
      <c r="K256" s="1">
        <f t="shared" si="76"/>
        <v>0</v>
      </c>
      <c r="L256" s="52">
        <f t="shared" si="76"/>
        <v>0</v>
      </c>
      <c r="M256" s="1">
        <f t="shared" si="76"/>
        <v>0</v>
      </c>
      <c r="N256" s="1">
        <f t="shared" si="76"/>
        <v>0</v>
      </c>
      <c r="O256" s="1">
        <f t="shared" si="76"/>
        <v>0</v>
      </c>
      <c r="P256" s="1">
        <f t="shared" si="76"/>
        <v>0</v>
      </c>
      <c r="Q256" s="1">
        <f t="shared" si="76"/>
        <v>0</v>
      </c>
      <c r="R256" s="1">
        <f t="shared" si="76"/>
        <v>0</v>
      </c>
      <c r="S256" s="1">
        <f t="shared" si="76"/>
        <v>0</v>
      </c>
      <c r="T256" s="1">
        <f t="shared" si="76"/>
        <v>0</v>
      </c>
      <c r="U256" s="1">
        <f t="shared" si="76"/>
        <v>0</v>
      </c>
      <c r="V256" s="1">
        <f t="shared" si="76"/>
        <v>0</v>
      </c>
      <c r="W256" s="1">
        <f t="shared" si="76"/>
        <v>0</v>
      </c>
      <c r="X256" s="54">
        <f t="shared" si="76"/>
        <v>0</v>
      </c>
      <c r="Y256" s="58">
        <f t="shared" si="76"/>
        <v>0</v>
      </c>
      <c r="Z256" s="1">
        <f t="shared" si="76"/>
        <v>0</v>
      </c>
      <c r="AA256" s="1">
        <f t="shared" si="76"/>
        <v>0</v>
      </c>
    </row>
    <row r="257" spans="1:27" x14ac:dyDescent="0.25">
      <c r="A257" s="15" t="s">
        <v>51</v>
      </c>
      <c r="B257" s="16" t="s">
        <v>56</v>
      </c>
      <c r="C257" s="27" t="s">
        <v>57</v>
      </c>
      <c r="D257" s="16" t="s">
        <v>71</v>
      </c>
      <c r="E257" s="16"/>
      <c r="F257" s="1">
        <f t="shared" si="77"/>
        <v>0</v>
      </c>
      <c r="G257" s="1">
        <f t="shared" si="76"/>
        <v>0</v>
      </c>
      <c r="H257" s="1">
        <f t="shared" si="76"/>
        <v>0</v>
      </c>
      <c r="I257" s="1">
        <f t="shared" si="76"/>
        <v>0</v>
      </c>
      <c r="J257" s="1">
        <f t="shared" si="76"/>
        <v>0</v>
      </c>
      <c r="K257" s="1">
        <f t="shared" si="76"/>
        <v>0</v>
      </c>
      <c r="L257" s="52">
        <f t="shared" si="76"/>
        <v>0</v>
      </c>
      <c r="M257" s="1">
        <f t="shared" si="76"/>
        <v>0</v>
      </c>
      <c r="N257" s="1">
        <f t="shared" si="76"/>
        <v>0</v>
      </c>
      <c r="O257" s="1">
        <f t="shared" si="76"/>
        <v>0</v>
      </c>
      <c r="P257" s="1">
        <f t="shared" si="76"/>
        <v>0</v>
      </c>
      <c r="Q257" s="1">
        <f t="shared" si="76"/>
        <v>0</v>
      </c>
      <c r="R257" s="1">
        <f t="shared" si="76"/>
        <v>0</v>
      </c>
      <c r="S257" s="1">
        <f t="shared" si="76"/>
        <v>0</v>
      </c>
      <c r="T257" s="1">
        <f t="shared" si="76"/>
        <v>0</v>
      </c>
      <c r="U257" s="1">
        <f t="shared" si="76"/>
        <v>0</v>
      </c>
      <c r="V257" s="1">
        <f t="shared" si="76"/>
        <v>0</v>
      </c>
      <c r="W257" s="1">
        <f t="shared" si="76"/>
        <v>0</v>
      </c>
      <c r="X257" s="54">
        <f t="shared" si="76"/>
        <v>0</v>
      </c>
      <c r="Y257" s="58">
        <f t="shared" si="76"/>
        <v>0</v>
      </c>
      <c r="Z257" s="1">
        <f t="shared" si="76"/>
        <v>0</v>
      </c>
      <c r="AA257" s="1">
        <f t="shared" si="76"/>
        <v>0</v>
      </c>
    </row>
    <row r="258" spans="1:27" x14ac:dyDescent="0.25">
      <c r="A258" s="15" t="s">
        <v>51</v>
      </c>
      <c r="B258" s="16" t="s">
        <v>56</v>
      </c>
      <c r="C258" s="27" t="s">
        <v>27</v>
      </c>
      <c r="D258" s="16" t="s">
        <v>72</v>
      </c>
      <c r="E258" s="16"/>
      <c r="F258" s="1">
        <f t="shared" si="77"/>
        <v>0</v>
      </c>
      <c r="G258" s="1">
        <f t="shared" si="76"/>
        <v>0</v>
      </c>
      <c r="H258" s="1">
        <f t="shared" si="76"/>
        <v>0</v>
      </c>
      <c r="I258" s="1">
        <f t="shared" si="76"/>
        <v>0</v>
      </c>
      <c r="J258" s="1">
        <f t="shared" si="76"/>
        <v>0</v>
      </c>
      <c r="K258" s="1">
        <f t="shared" si="76"/>
        <v>0</v>
      </c>
      <c r="L258" s="52">
        <f t="shared" si="76"/>
        <v>0</v>
      </c>
      <c r="M258" s="1">
        <f t="shared" si="76"/>
        <v>0</v>
      </c>
      <c r="N258" s="1">
        <f t="shared" si="76"/>
        <v>0</v>
      </c>
      <c r="O258" s="1">
        <f t="shared" si="76"/>
        <v>0</v>
      </c>
      <c r="P258" s="1">
        <f t="shared" si="76"/>
        <v>0</v>
      </c>
      <c r="Q258" s="1">
        <f t="shared" si="76"/>
        <v>0</v>
      </c>
      <c r="R258" s="1">
        <f t="shared" si="76"/>
        <v>0</v>
      </c>
      <c r="S258" s="1">
        <f t="shared" si="76"/>
        <v>0</v>
      </c>
      <c r="T258" s="1">
        <f t="shared" si="76"/>
        <v>0</v>
      </c>
      <c r="U258" s="1">
        <f t="shared" si="76"/>
        <v>0</v>
      </c>
      <c r="V258" s="1">
        <f t="shared" si="76"/>
        <v>0</v>
      </c>
      <c r="W258" s="1">
        <f t="shared" si="76"/>
        <v>0</v>
      </c>
      <c r="X258" s="54">
        <f t="shared" si="76"/>
        <v>0</v>
      </c>
      <c r="Y258" s="58">
        <f t="shared" si="76"/>
        <v>0</v>
      </c>
      <c r="Z258" s="1">
        <f t="shared" si="76"/>
        <v>0</v>
      </c>
      <c r="AA258" s="1">
        <f t="shared" si="76"/>
        <v>0</v>
      </c>
    </row>
    <row r="259" spans="1:27" x14ac:dyDescent="0.25">
      <c r="A259" s="15" t="s">
        <v>51</v>
      </c>
      <c r="B259" s="16" t="s">
        <v>56</v>
      </c>
      <c r="C259" s="27" t="s">
        <v>57</v>
      </c>
      <c r="D259" s="16" t="s">
        <v>73</v>
      </c>
      <c r="E259" s="16"/>
      <c r="F259" s="1">
        <f t="shared" si="77"/>
        <v>0</v>
      </c>
      <c r="G259" s="1">
        <f t="shared" si="76"/>
        <v>0</v>
      </c>
      <c r="H259" s="1">
        <f t="shared" si="76"/>
        <v>0</v>
      </c>
      <c r="I259" s="1">
        <f t="shared" si="76"/>
        <v>0</v>
      </c>
      <c r="J259" s="1">
        <f t="shared" si="76"/>
        <v>0</v>
      </c>
      <c r="K259" s="1">
        <f t="shared" si="76"/>
        <v>0</v>
      </c>
      <c r="L259" s="52">
        <f t="shared" si="76"/>
        <v>0</v>
      </c>
      <c r="M259" s="1">
        <f t="shared" si="76"/>
        <v>0</v>
      </c>
      <c r="N259" s="1">
        <f t="shared" si="76"/>
        <v>0</v>
      </c>
      <c r="O259" s="1">
        <f t="shared" si="76"/>
        <v>0</v>
      </c>
      <c r="P259" s="1">
        <f t="shared" si="76"/>
        <v>0</v>
      </c>
      <c r="Q259" s="1">
        <f t="shared" si="76"/>
        <v>0</v>
      </c>
      <c r="R259" s="1">
        <f t="shared" si="76"/>
        <v>0</v>
      </c>
      <c r="S259" s="1">
        <f t="shared" si="76"/>
        <v>0</v>
      </c>
      <c r="T259" s="1">
        <f t="shared" si="76"/>
        <v>0</v>
      </c>
      <c r="U259" s="1">
        <f t="shared" si="76"/>
        <v>0</v>
      </c>
      <c r="V259" s="1">
        <f t="shared" si="76"/>
        <v>0</v>
      </c>
      <c r="W259" s="1">
        <f t="shared" si="76"/>
        <v>0</v>
      </c>
      <c r="X259" s="54">
        <f t="shared" si="76"/>
        <v>0</v>
      </c>
      <c r="Y259" s="58">
        <f t="shared" si="76"/>
        <v>0</v>
      </c>
      <c r="Z259" s="1">
        <f t="shared" si="76"/>
        <v>0</v>
      </c>
      <c r="AA259" s="1">
        <f t="shared" si="76"/>
        <v>0</v>
      </c>
    </row>
    <row r="260" spans="1:27" x14ac:dyDescent="0.25">
      <c r="A260" s="15" t="s">
        <v>51</v>
      </c>
      <c r="B260" s="16" t="s">
        <v>56</v>
      </c>
      <c r="C260" s="27" t="s">
        <v>57</v>
      </c>
      <c r="D260" s="16" t="s">
        <v>74</v>
      </c>
      <c r="E260" s="16"/>
      <c r="F260" s="1">
        <f t="shared" si="77"/>
        <v>0</v>
      </c>
      <c r="G260" s="1">
        <f t="shared" si="76"/>
        <v>0</v>
      </c>
      <c r="H260" s="1">
        <f t="shared" si="76"/>
        <v>0</v>
      </c>
      <c r="I260" s="1">
        <f t="shared" si="76"/>
        <v>0</v>
      </c>
      <c r="J260" s="1">
        <f t="shared" si="76"/>
        <v>0</v>
      </c>
      <c r="K260" s="1">
        <f t="shared" si="76"/>
        <v>0</v>
      </c>
      <c r="L260" s="52">
        <f t="shared" si="76"/>
        <v>0</v>
      </c>
      <c r="M260" s="1">
        <f t="shared" si="76"/>
        <v>0</v>
      </c>
      <c r="N260" s="1">
        <f t="shared" si="76"/>
        <v>0</v>
      </c>
      <c r="O260" s="1">
        <f t="shared" si="76"/>
        <v>0</v>
      </c>
      <c r="P260" s="1">
        <f t="shared" si="76"/>
        <v>0</v>
      </c>
      <c r="Q260" s="1">
        <f t="shared" si="76"/>
        <v>0</v>
      </c>
      <c r="R260" s="1">
        <f t="shared" si="76"/>
        <v>0</v>
      </c>
      <c r="S260" s="1">
        <f t="shared" si="76"/>
        <v>0</v>
      </c>
      <c r="T260" s="1">
        <f t="shared" si="76"/>
        <v>0</v>
      </c>
      <c r="U260" s="1">
        <f t="shared" si="76"/>
        <v>0</v>
      </c>
      <c r="V260" s="1">
        <f t="shared" si="76"/>
        <v>0</v>
      </c>
      <c r="W260" s="1">
        <f t="shared" si="76"/>
        <v>0</v>
      </c>
      <c r="X260" s="54">
        <f t="shared" si="76"/>
        <v>0</v>
      </c>
      <c r="Y260" s="58">
        <f t="shared" si="76"/>
        <v>0</v>
      </c>
      <c r="Z260" s="1">
        <f t="shared" si="76"/>
        <v>0</v>
      </c>
      <c r="AA260" s="1">
        <f t="shared" si="76"/>
        <v>0</v>
      </c>
    </row>
    <row r="261" spans="1:27" x14ac:dyDescent="0.25">
      <c r="A261" s="30" t="s">
        <v>60</v>
      </c>
      <c r="B261" s="31" t="s">
        <v>13</v>
      </c>
      <c r="C261" s="32" t="s">
        <v>61</v>
      </c>
      <c r="D261" s="31" t="s">
        <v>75</v>
      </c>
      <c r="E261" s="31"/>
      <c r="F261" s="51">
        <f>F246*0.4</f>
        <v>15.28888888888889</v>
      </c>
      <c r="G261" s="73"/>
      <c r="H261" s="51">
        <f>H246</f>
        <v>23.058823529411761</v>
      </c>
      <c r="I261" s="51">
        <f>I246*0.7</f>
        <v>12.105882352941174</v>
      </c>
      <c r="J261" s="51">
        <f>J246*0.3</f>
        <v>4.9411764705882346</v>
      </c>
      <c r="K261" s="51">
        <f>K246*0.8</f>
        <v>3.7647058823529416</v>
      </c>
      <c r="L261" s="52">
        <v>0</v>
      </c>
      <c r="M261" s="73">
        <f>M246*0.1</f>
        <v>2.5</v>
      </c>
      <c r="N261" s="73">
        <v>0</v>
      </c>
      <c r="O261" s="73">
        <v>0</v>
      </c>
      <c r="P261" s="73">
        <v>0</v>
      </c>
      <c r="Q261" s="73"/>
      <c r="R261" s="73"/>
      <c r="S261" s="51"/>
      <c r="T261" s="51"/>
      <c r="U261" s="51"/>
      <c r="V261" s="51"/>
      <c r="W261" s="51">
        <f>W246</f>
        <v>4.8611111111111107</v>
      </c>
      <c r="X261" s="55">
        <f>X246*0.1</f>
        <v>2.7777777777777781</v>
      </c>
      <c r="Y261" s="59">
        <f t="shared" si="76"/>
        <v>0</v>
      </c>
      <c r="Z261" s="51">
        <f t="shared" si="76"/>
        <v>0</v>
      </c>
      <c r="AA261" s="51">
        <f t="shared" si="76"/>
        <v>0</v>
      </c>
    </row>
    <row r="262" spans="1:27" x14ac:dyDescent="0.25">
      <c r="A262" s="30" t="s">
        <v>60</v>
      </c>
      <c r="B262" s="31" t="s">
        <v>13</v>
      </c>
      <c r="C262" s="32" t="s">
        <v>61</v>
      </c>
      <c r="D262" s="31" t="s">
        <v>76</v>
      </c>
      <c r="E262" s="31"/>
      <c r="F262" s="51">
        <f>F246*0.6</f>
        <v>22.933333333333334</v>
      </c>
      <c r="G262" s="51">
        <v>0</v>
      </c>
      <c r="H262" s="51">
        <v>0</v>
      </c>
      <c r="I262" s="51">
        <f>I246*0.25</f>
        <v>4.3235294117647056</v>
      </c>
      <c r="J262" s="51">
        <f>J246*0.7</f>
        <v>11.52941176470588</v>
      </c>
      <c r="K262" s="51">
        <f>K246*0.05</f>
        <v>0.23529411764705885</v>
      </c>
      <c r="L262" s="52">
        <v>0</v>
      </c>
      <c r="M262" s="73">
        <f>M246*0.4</f>
        <v>10</v>
      </c>
      <c r="N262" s="73">
        <f>N246</f>
        <v>13.75</v>
      </c>
      <c r="O262" s="73">
        <f>O246*0.3</f>
        <v>9</v>
      </c>
      <c r="P262" s="73">
        <f>P246*0.28</f>
        <v>31.111111111111114</v>
      </c>
      <c r="Q262" s="73"/>
      <c r="R262" s="73">
        <f>R246</f>
        <v>9.5238095238095255</v>
      </c>
      <c r="S262" s="51"/>
      <c r="T262" s="51"/>
      <c r="U262" s="51"/>
      <c r="V262" s="51"/>
      <c r="W262" s="51"/>
      <c r="X262" s="55">
        <f>X246*0.1</f>
        <v>2.7777777777777781</v>
      </c>
      <c r="Y262" s="59">
        <f t="shared" si="76"/>
        <v>0</v>
      </c>
      <c r="Z262" s="51">
        <f t="shared" si="76"/>
        <v>0</v>
      </c>
      <c r="AA262" s="51">
        <f t="shared" si="76"/>
        <v>0</v>
      </c>
    </row>
    <row r="263" spans="1:27" x14ac:dyDescent="0.25">
      <c r="A263" s="30" t="s">
        <v>60</v>
      </c>
      <c r="B263" s="31" t="s">
        <v>13</v>
      </c>
      <c r="C263" s="32" t="s">
        <v>61</v>
      </c>
      <c r="D263" s="31" t="s">
        <v>77</v>
      </c>
      <c r="E263" s="31"/>
      <c r="F263" s="51">
        <v>0</v>
      </c>
      <c r="G263" s="51">
        <v>0</v>
      </c>
      <c r="H263" s="51">
        <v>0</v>
      </c>
      <c r="I263" s="51">
        <v>0</v>
      </c>
      <c r="J263" s="51">
        <v>0</v>
      </c>
      <c r="K263" s="51">
        <f>K246*0.1</f>
        <v>0.4705882352941177</v>
      </c>
      <c r="L263" s="52">
        <v>0</v>
      </c>
      <c r="M263" s="73">
        <f>M246*0.5</f>
        <v>12.5</v>
      </c>
      <c r="N263" s="73">
        <v>0</v>
      </c>
      <c r="O263" s="73">
        <f>O246*0.7</f>
        <v>21</v>
      </c>
      <c r="P263" s="73">
        <f>P246*0.7</f>
        <v>77.777777777777771</v>
      </c>
      <c r="Q263" s="73"/>
      <c r="R263" s="73"/>
      <c r="S263" s="51"/>
      <c r="T263" s="51">
        <f>T246</f>
        <v>5.833333333333333</v>
      </c>
      <c r="U263" s="51">
        <f>U246</f>
        <v>12.5</v>
      </c>
      <c r="V263" s="51"/>
      <c r="W263" s="51"/>
      <c r="X263" s="55">
        <f>X246*0.7</f>
        <v>19.444444444444443</v>
      </c>
      <c r="Y263" s="59">
        <f t="shared" si="76"/>
        <v>0</v>
      </c>
      <c r="Z263" s="51">
        <f t="shared" si="76"/>
        <v>0</v>
      </c>
      <c r="AA263" s="51">
        <f t="shared" si="76"/>
        <v>0</v>
      </c>
    </row>
    <row r="264" spans="1:27" x14ac:dyDescent="0.25">
      <c r="A264" s="30" t="s">
        <v>60</v>
      </c>
      <c r="B264" s="31" t="s">
        <v>13</v>
      </c>
      <c r="C264" s="32" t="s">
        <v>61</v>
      </c>
      <c r="D264" s="31" t="s">
        <v>78</v>
      </c>
      <c r="E264" s="31"/>
      <c r="F264" s="51">
        <v>0</v>
      </c>
      <c r="G264" s="51">
        <v>0</v>
      </c>
      <c r="H264" s="51">
        <v>0</v>
      </c>
      <c r="I264" s="51">
        <f>I246*0.05</f>
        <v>0.86470588235294121</v>
      </c>
      <c r="J264" s="51">
        <v>0</v>
      </c>
      <c r="K264" s="51">
        <f>K246*0.05</f>
        <v>0.23529411764705885</v>
      </c>
      <c r="L264" s="52">
        <v>0</v>
      </c>
      <c r="M264" s="73">
        <f>M246*0</f>
        <v>0</v>
      </c>
      <c r="N264" s="73">
        <v>0</v>
      </c>
      <c r="O264" s="73">
        <f>O246*0</f>
        <v>0</v>
      </c>
      <c r="P264" s="73">
        <f>(P246)*0.02</f>
        <v>2.2222222222222223</v>
      </c>
      <c r="Q264" s="73">
        <f>Q246</f>
        <v>14.814814814814817</v>
      </c>
      <c r="R264" s="73"/>
      <c r="S264" s="51"/>
      <c r="T264" s="51"/>
      <c r="U264" s="51"/>
      <c r="V264" s="51"/>
      <c r="W264" s="51"/>
      <c r="X264" s="55">
        <f>X246*0.1</f>
        <v>2.7777777777777781</v>
      </c>
      <c r="Y264" s="59">
        <f t="shared" si="76"/>
        <v>0</v>
      </c>
      <c r="Z264" s="51">
        <f t="shared" si="76"/>
        <v>0</v>
      </c>
      <c r="AA264" s="51">
        <f t="shared" si="76"/>
        <v>0</v>
      </c>
    </row>
    <row r="265" spans="1:27" ht="15.75" thickBot="1" x14ac:dyDescent="0.3">
      <c r="A265" s="33" t="s">
        <v>60</v>
      </c>
      <c r="B265" s="34" t="s">
        <v>13</v>
      </c>
      <c r="C265" s="35" t="s">
        <v>61</v>
      </c>
      <c r="D265" s="34" t="s">
        <v>79</v>
      </c>
      <c r="E265" s="31"/>
      <c r="F265" s="51">
        <v>0</v>
      </c>
      <c r="G265" s="51">
        <v>0</v>
      </c>
      <c r="H265" s="51">
        <v>0</v>
      </c>
      <c r="I265" s="51">
        <v>0</v>
      </c>
      <c r="J265" s="51">
        <v>0</v>
      </c>
      <c r="K265" s="51">
        <v>0</v>
      </c>
      <c r="L265" s="52">
        <v>0</v>
      </c>
      <c r="M265" s="51">
        <v>0</v>
      </c>
      <c r="N265" s="51">
        <v>0</v>
      </c>
      <c r="O265" s="51">
        <v>0</v>
      </c>
      <c r="P265" s="51">
        <v>0</v>
      </c>
      <c r="Q265" s="51">
        <v>0</v>
      </c>
      <c r="R265" s="51">
        <v>0</v>
      </c>
      <c r="S265" s="51">
        <v>0</v>
      </c>
      <c r="T265" s="51">
        <v>0</v>
      </c>
      <c r="U265" s="51">
        <v>0</v>
      </c>
      <c r="V265" s="51">
        <v>0</v>
      </c>
      <c r="W265" s="51">
        <v>0</v>
      </c>
      <c r="X265" s="55">
        <v>0</v>
      </c>
      <c r="Y265" s="59">
        <f t="shared" si="76"/>
        <v>0</v>
      </c>
      <c r="Z265" s="51">
        <f t="shared" si="76"/>
        <v>0</v>
      </c>
      <c r="AA265" s="51">
        <f t="shared" si="76"/>
        <v>0</v>
      </c>
    </row>
    <row r="266" spans="1:27" x14ac:dyDescent="0.25">
      <c r="A266" s="30" t="s">
        <v>60</v>
      </c>
      <c r="B266" s="31" t="s">
        <v>13</v>
      </c>
      <c r="C266" s="32" t="s">
        <v>62</v>
      </c>
      <c r="D266" s="31" t="s">
        <v>75</v>
      </c>
      <c r="E266" s="31"/>
      <c r="F266" s="51"/>
      <c r="G266" s="73">
        <f>G247*0.5</f>
        <v>12.162162162162161</v>
      </c>
      <c r="H266" s="51">
        <f>H247*0.2</f>
        <v>8.32</v>
      </c>
      <c r="I266" s="51">
        <v>0</v>
      </c>
      <c r="J266" s="51">
        <v>0</v>
      </c>
      <c r="K266" s="51">
        <v>0</v>
      </c>
      <c r="L266" s="52">
        <v>0</v>
      </c>
      <c r="M266" s="51">
        <v>0</v>
      </c>
      <c r="N266" s="51">
        <v>0</v>
      </c>
      <c r="O266" s="51">
        <v>0</v>
      </c>
      <c r="P266" s="51">
        <v>0</v>
      </c>
      <c r="Q266" s="51">
        <v>0</v>
      </c>
      <c r="R266" s="51">
        <v>0</v>
      </c>
      <c r="S266" s="51">
        <v>0</v>
      </c>
      <c r="T266" s="51">
        <v>0</v>
      </c>
      <c r="U266" s="51">
        <v>0</v>
      </c>
      <c r="V266" s="51">
        <v>0</v>
      </c>
      <c r="W266" s="51">
        <v>0</v>
      </c>
      <c r="X266" s="55">
        <v>0</v>
      </c>
      <c r="Y266" s="59">
        <f t="shared" ref="Y266:AA270" si="78">IF(Y311&gt;0,Y41/Y311,0)</f>
        <v>0</v>
      </c>
      <c r="Z266" s="51">
        <f t="shared" si="78"/>
        <v>0</v>
      </c>
      <c r="AA266" s="51">
        <f t="shared" si="78"/>
        <v>0</v>
      </c>
    </row>
    <row r="267" spans="1:27" x14ac:dyDescent="0.25">
      <c r="A267" s="30" t="s">
        <v>60</v>
      </c>
      <c r="B267" s="31" t="s">
        <v>13</v>
      </c>
      <c r="C267" s="32" t="s">
        <v>62</v>
      </c>
      <c r="D267" s="31" t="s">
        <v>76</v>
      </c>
      <c r="E267" s="31"/>
      <c r="F267" s="51">
        <f>F247</f>
        <v>9.2972972972972965</v>
      </c>
      <c r="G267" s="51">
        <f>G247*0.5</f>
        <v>12.162162162162161</v>
      </c>
      <c r="H267" s="51">
        <f>H247*0.8</f>
        <v>33.28</v>
      </c>
      <c r="I267" s="51">
        <v>0</v>
      </c>
      <c r="J267" s="51">
        <v>0</v>
      </c>
      <c r="K267" s="51">
        <v>0</v>
      </c>
      <c r="L267" s="52">
        <v>0</v>
      </c>
      <c r="M267" s="51">
        <v>0</v>
      </c>
      <c r="N267" s="51">
        <v>0</v>
      </c>
      <c r="O267" s="51">
        <v>0</v>
      </c>
      <c r="P267" s="51">
        <f>P247</f>
        <v>138.88888888888889</v>
      </c>
      <c r="Q267" s="51">
        <v>0</v>
      </c>
      <c r="R267" s="51">
        <v>0</v>
      </c>
      <c r="S267" s="51">
        <v>0</v>
      </c>
      <c r="T267" s="51">
        <v>0</v>
      </c>
      <c r="U267" s="51">
        <v>0</v>
      </c>
      <c r="V267" s="51">
        <v>0</v>
      </c>
      <c r="W267" s="51">
        <v>0</v>
      </c>
      <c r="X267" s="55">
        <v>0</v>
      </c>
      <c r="Y267" s="59">
        <f t="shared" si="78"/>
        <v>0</v>
      </c>
      <c r="Z267" s="51">
        <f t="shared" si="78"/>
        <v>0</v>
      </c>
      <c r="AA267" s="51">
        <f t="shared" si="78"/>
        <v>0</v>
      </c>
    </row>
    <row r="268" spans="1:27" x14ac:dyDescent="0.25">
      <c r="A268" s="30" t="s">
        <v>60</v>
      </c>
      <c r="B268" s="31" t="s">
        <v>13</v>
      </c>
      <c r="C268" s="32" t="s">
        <v>62</v>
      </c>
      <c r="D268" s="31" t="s">
        <v>77</v>
      </c>
      <c r="E268" s="31"/>
      <c r="F268" s="51">
        <v>0</v>
      </c>
      <c r="G268" s="51">
        <v>0</v>
      </c>
      <c r="H268" s="51">
        <v>0</v>
      </c>
      <c r="I268" s="51">
        <v>0</v>
      </c>
      <c r="J268" s="51">
        <v>0</v>
      </c>
      <c r="K268" s="51">
        <v>0</v>
      </c>
      <c r="L268" s="52">
        <v>0</v>
      </c>
      <c r="M268" s="51">
        <v>0</v>
      </c>
      <c r="N268" s="51">
        <v>0</v>
      </c>
      <c r="O268" s="51">
        <v>0</v>
      </c>
      <c r="P268" s="51">
        <v>0</v>
      </c>
      <c r="Q268" s="51">
        <v>0</v>
      </c>
      <c r="R268" s="51">
        <v>0</v>
      </c>
      <c r="S268" s="51">
        <v>0</v>
      </c>
      <c r="T268" s="51">
        <v>0</v>
      </c>
      <c r="U268" s="51">
        <v>0</v>
      </c>
      <c r="V268" s="51">
        <v>0</v>
      </c>
      <c r="W268" s="51">
        <v>0</v>
      </c>
      <c r="X268" s="55">
        <v>0</v>
      </c>
      <c r="Y268" s="59">
        <f t="shared" si="78"/>
        <v>0</v>
      </c>
      <c r="Z268" s="51">
        <f t="shared" si="78"/>
        <v>0</v>
      </c>
      <c r="AA268" s="51">
        <f t="shared" si="78"/>
        <v>0</v>
      </c>
    </row>
    <row r="269" spans="1:27" x14ac:dyDescent="0.25">
      <c r="A269" s="30" t="s">
        <v>60</v>
      </c>
      <c r="B269" s="31" t="s">
        <v>13</v>
      </c>
      <c r="C269" s="32" t="s">
        <v>62</v>
      </c>
      <c r="D269" s="31" t="s">
        <v>78</v>
      </c>
      <c r="E269" s="31"/>
      <c r="F269" s="51">
        <v>0</v>
      </c>
      <c r="G269" s="51">
        <v>0</v>
      </c>
      <c r="H269" s="51">
        <v>0</v>
      </c>
      <c r="I269" s="51">
        <v>0</v>
      </c>
      <c r="J269" s="51">
        <v>0</v>
      </c>
      <c r="K269" s="51">
        <v>0</v>
      </c>
      <c r="L269" s="52">
        <v>0</v>
      </c>
      <c r="M269" s="51">
        <v>0</v>
      </c>
      <c r="N269" s="51">
        <v>0</v>
      </c>
      <c r="O269" s="51">
        <v>0</v>
      </c>
      <c r="P269" s="51">
        <v>0</v>
      </c>
      <c r="Q269" s="51">
        <v>0</v>
      </c>
      <c r="R269" s="51">
        <v>0</v>
      </c>
      <c r="S269" s="51">
        <v>0</v>
      </c>
      <c r="T269" s="51">
        <v>0</v>
      </c>
      <c r="U269" s="51">
        <v>0</v>
      </c>
      <c r="V269" s="51">
        <v>0</v>
      </c>
      <c r="W269" s="51">
        <v>0</v>
      </c>
      <c r="X269" s="55">
        <v>0</v>
      </c>
      <c r="Y269" s="59">
        <f t="shared" si="78"/>
        <v>0</v>
      </c>
      <c r="Z269" s="51">
        <f t="shared" si="78"/>
        <v>0</v>
      </c>
      <c r="AA269" s="51">
        <f t="shared" si="78"/>
        <v>0</v>
      </c>
    </row>
    <row r="270" spans="1:27" ht="15.75" thickBot="1" x14ac:dyDescent="0.3">
      <c r="A270" s="33" t="s">
        <v>60</v>
      </c>
      <c r="B270" s="34" t="s">
        <v>13</v>
      </c>
      <c r="C270" s="32" t="s">
        <v>62</v>
      </c>
      <c r="D270" s="34" t="s">
        <v>79</v>
      </c>
      <c r="E270" s="31"/>
      <c r="F270" s="51">
        <v>0</v>
      </c>
      <c r="G270" s="51">
        <v>0</v>
      </c>
      <c r="H270" s="51">
        <v>0</v>
      </c>
      <c r="I270" s="51">
        <v>0</v>
      </c>
      <c r="J270" s="51">
        <v>0</v>
      </c>
      <c r="K270" s="51">
        <v>0</v>
      </c>
      <c r="L270" s="52">
        <v>0</v>
      </c>
      <c r="M270" s="51">
        <v>0</v>
      </c>
      <c r="N270" s="51">
        <v>0</v>
      </c>
      <c r="O270" s="51">
        <v>0</v>
      </c>
      <c r="P270" s="51">
        <v>0</v>
      </c>
      <c r="Q270" s="51">
        <v>0</v>
      </c>
      <c r="R270" s="51">
        <v>0</v>
      </c>
      <c r="S270" s="51">
        <v>0</v>
      </c>
      <c r="T270" s="51">
        <v>0</v>
      </c>
      <c r="U270" s="51">
        <v>0</v>
      </c>
      <c r="V270" s="51">
        <v>0</v>
      </c>
      <c r="W270" s="51">
        <v>0</v>
      </c>
      <c r="X270" s="55">
        <v>0</v>
      </c>
      <c r="Y270" s="59">
        <f t="shared" si="78"/>
        <v>0</v>
      </c>
      <c r="Z270" s="51">
        <f t="shared" si="78"/>
        <v>0</v>
      </c>
      <c r="AA270" s="51">
        <f t="shared" si="78"/>
        <v>0</v>
      </c>
    </row>
    <row r="272" spans="1:27" x14ac:dyDescent="0.25">
      <c r="D272" s="41" t="s">
        <v>84</v>
      </c>
      <c r="E272" s="41"/>
      <c r="M272" s="24" t="s">
        <v>81</v>
      </c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</row>
    <row r="273" spans="1:27" x14ac:dyDescent="0.25">
      <c r="F273" s="23" t="s">
        <v>44</v>
      </c>
      <c r="G273" s="23"/>
      <c r="H273" s="23"/>
      <c r="I273" s="23"/>
      <c r="J273" s="23"/>
      <c r="K273" s="23"/>
      <c r="L273" s="7" t="s">
        <v>30</v>
      </c>
      <c r="M273" s="24" t="s">
        <v>46</v>
      </c>
      <c r="N273" s="24"/>
      <c r="O273" s="24"/>
      <c r="P273" s="24"/>
      <c r="Q273" s="24"/>
      <c r="R273" s="24" t="s">
        <v>47</v>
      </c>
      <c r="S273" s="24"/>
      <c r="T273" s="24"/>
      <c r="U273" s="24"/>
      <c r="V273" s="24"/>
      <c r="W273" s="24"/>
      <c r="X273" s="24"/>
      <c r="Y273" s="44" t="s">
        <v>85</v>
      </c>
      <c r="Z273" s="44" t="s">
        <v>48</v>
      </c>
      <c r="AA273" s="44" t="s">
        <v>3</v>
      </c>
    </row>
    <row r="274" spans="1:27" ht="63" x14ac:dyDescent="0.25">
      <c r="F274" s="38" t="s">
        <v>36</v>
      </c>
      <c r="G274" s="38" t="s">
        <v>37</v>
      </c>
      <c r="H274" s="38" t="s">
        <v>38</v>
      </c>
      <c r="I274" s="38" t="s">
        <v>80</v>
      </c>
      <c r="J274" s="38" t="s">
        <v>39</v>
      </c>
      <c r="K274" s="38" t="s">
        <v>45</v>
      </c>
      <c r="L274" s="39" t="s">
        <v>16</v>
      </c>
      <c r="M274" s="40" t="s">
        <v>34</v>
      </c>
      <c r="N274" s="40" t="s">
        <v>5</v>
      </c>
      <c r="O274" s="40" t="s">
        <v>7</v>
      </c>
      <c r="P274" s="40" t="s">
        <v>8</v>
      </c>
      <c r="Q274" s="40" t="s">
        <v>40</v>
      </c>
      <c r="R274" s="40" t="s">
        <v>41</v>
      </c>
      <c r="S274" s="40" t="s">
        <v>42</v>
      </c>
      <c r="T274" s="40" t="s">
        <v>31</v>
      </c>
      <c r="U274" s="40" t="s">
        <v>43</v>
      </c>
      <c r="V274" s="40" t="s">
        <v>82</v>
      </c>
      <c r="W274" s="40" t="s">
        <v>87</v>
      </c>
      <c r="X274" s="40" t="s">
        <v>83</v>
      </c>
      <c r="Y274" s="45" t="s">
        <v>3</v>
      </c>
      <c r="Z274" s="45" t="s">
        <v>86</v>
      </c>
      <c r="AA274" s="45" t="s">
        <v>3</v>
      </c>
    </row>
    <row r="275" spans="1:27" x14ac:dyDescent="0.25">
      <c r="A275" s="15" t="s">
        <v>51</v>
      </c>
      <c r="B275" s="2"/>
      <c r="C275" s="2"/>
      <c r="F275" s="1"/>
      <c r="G275" s="1"/>
      <c r="H275" s="1"/>
      <c r="I275" s="1"/>
      <c r="J275" s="1"/>
      <c r="K275" s="1"/>
      <c r="L275" s="5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54"/>
      <c r="Y275" s="58"/>
      <c r="Z275" s="1"/>
      <c r="AA275" s="1"/>
    </row>
    <row r="276" spans="1:27" x14ac:dyDescent="0.25">
      <c r="A276" s="30" t="s">
        <v>60</v>
      </c>
      <c r="B276" s="2"/>
      <c r="C276" s="2"/>
      <c r="F276" s="1"/>
      <c r="G276" s="1"/>
      <c r="H276" s="1"/>
      <c r="I276" s="1"/>
      <c r="J276" s="1"/>
      <c r="K276" s="1"/>
      <c r="L276" s="5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54"/>
      <c r="Y276" s="58"/>
      <c r="Z276" s="1"/>
      <c r="AA276" s="1"/>
    </row>
    <row r="277" spans="1:27" x14ac:dyDescent="0.25">
      <c r="A277" s="15" t="s">
        <v>51</v>
      </c>
      <c r="B277" s="16" t="s">
        <v>52</v>
      </c>
      <c r="C277" s="2"/>
      <c r="F277" s="1"/>
      <c r="G277" s="1"/>
      <c r="H277" s="1"/>
      <c r="I277" s="1"/>
      <c r="J277" s="1"/>
      <c r="K277" s="1"/>
      <c r="L277" s="5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54"/>
      <c r="Y277" s="58"/>
      <c r="Z277" s="1"/>
      <c r="AA277" s="1"/>
    </row>
    <row r="278" spans="1:27" x14ac:dyDescent="0.25">
      <c r="A278" s="15" t="s">
        <v>51</v>
      </c>
      <c r="B278" s="16" t="s">
        <v>56</v>
      </c>
      <c r="C278" s="2"/>
      <c r="F278" s="1"/>
      <c r="G278" s="1"/>
      <c r="H278" s="1"/>
      <c r="I278" s="1"/>
      <c r="J278" s="1"/>
      <c r="K278" s="1"/>
      <c r="L278" s="5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54"/>
      <c r="Y278" s="58"/>
      <c r="Z278" s="1"/>
      <c r="AA278" s="1"/>
    </row>
    <row r="279" spans="1:27" x14ac:dyDescent="0.25">
      <c r="A279" s="15" t="s">
        <v>51</v>
      </c>
      <c r="B279" s="16" t="s">
        <v>9</v>
      </c>
      <c r="C279" s="2"/>
      <c r="F279" s="1"/>
      <c r="G279" s="1"/>
      <c r="H279" s="1"/>
      <c r="I279" s="1"/>
      <c r="J279" s="1"/>
      <c r="K279" s="1"/>
      <c r="L279" s="5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54"/>
      <c r="Y279" s="58"/>
      <c r="Z279" s="1"/>
      <c r="AA279" s="1"/>
    </row>
    <row r="280" spans="1:27" x14ac:dyDescent="0.25">
      <c r="A280" s="30" t="s">
        <v>60</v>
      </c>
      <c r="B280" s="32" t="s">
        <v>13</v>
      </c>
      <c r="C280" s="2"/>
      <c r="F280" s="51"/>
      <c r="G280" s="51"/>
      <c r="H280" s="51"/>
      <c r="I280" s="51"/>
      <c r="J280" s="51"/>
      <c r="K280" s="51"/>
      <c r="L280" s="52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5"/>
      <c r="Y280" s="59"/>
      <c r="Z280" s="51"/>
      <c r="AA280" s="51"/>
    </row>
    <row r="281" spans="1:27" x14ac:dyDescent="0.25">
      <c r="A281" s="30" t="s">
        <v>60</v>
      </c>
      <c r="B281" s="31" t="s">
        <v>23</v>
      </c>
      <c r="C281" s="2"/>
      <c r="F281" s="51"/>
      <c r="G281" s="51"/>
      <c r="H281" s="51"/>
      <c r="I281" s="51"/>
      <c r="J281" s="51"/>
      <c r="K281" s="51"/>
      <c r="L281" s="52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5"/>
      <c r="Y281" s="59"/>
      <c r="Z281" s="51"/>
      <c r="AA281" s="51"/>
    </row>
    <row r="282" spans="1:27" x14ac:dyDescent="0.25">
      <c r="A282" s="30" t="s">
        <v>60</v>
      </c>
      <c r="B282" s="31" t="s">
        <v>65</v>
      </c>
      <c r="C282" s="46"/>
      <c r="F282" s="51"/>
      <c r="G282" s="51"/>
      <c r="H282" s="51"/>
      <c r="I282" s="51"/>
      <c r="J282" s="51"/>
      <c r="K282" s="51"/>
      <c r="L282" s="52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5"/>
      <c r="Y282" s="59"/>
      <c r="Z282" s="51"/>
      <c r="AA282" s="51"/>
    </row>
    <row r="283" spans="1:27" ht="15.75" thickBot="1" x14ac:dyDescent="0.3">
      <c r="A283" s="48" t="s">
        <v>60</v>
      </c>
      <c r="B283" s="49" t="s">
        <v>9</v>
      </c>
      <c r="C283" s="50"/>
      <c r="D283" s="50"/>
      <c r="E283" s="50"/>
      <c r="F283" s="53"/>
      <c r="G283" s="53"/>
      <c r="H283" s="53"/>
      <c r="I283" s="53"/>
      <c r="J283" s="53"/>
      <c r="K283" s="53"/>
      <c r="L283" s="62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6"/>
      <c r="Y283" s="60"/>
      <c r="Z283" s="53"/>
      <c r="AA283" s="53"/>
    </row>
    <row r="284" spans="1:27" ht="15.75" thickTop="1" x14ac:dyDescent="0.25">
      <c r="A284" s="15" t="s">
        <v>51</v>
      </c>
      <c r="B284" s="16" t="s">
        <v>52</v>
      </c>
      <c r="C284" s="16" t="s">
        <v>53</v>
      </c>
      <c r="D284" s="2"/>
      <c r="E284" s="2"/>
      <c r="F284" s="47"/>
      <c r="G284" s="47"/>
      <c r="H284" s="47"/>
      <c r="I284" s="47"/>
      <c r="J284" s="47"/>
      <c r="K284" s="47"/>
      <c r="L284" s="6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57"/>
      <c r="Y284" s="61"/>
      <c r="Z284" s="47"/>
      <c r="AA284" s="47"/>
    </row>
    <row r="285" spans="1:27" x14ac:dyDescent="0.25">
      <c r="A285" s="15" t="s">
        <v>51</v>
      </c>
      <c r="B285" s="16" t="s">
        <v>52</v>
      </c>
      <c r="C285" s="16" t="s">
        <v>54</v>
      </c>
      <c r="D285" s="2"/>
      <c r="E285" s="2"/>
      <c r="F285" s="1"/>
      <c r="G285" s="1"/>
      <c r="H285" s="1"/>
      <c r="I285" s="1"/>
      <c r="J285" s="1"/>
      <c r="K285" s="1"/>
      <c r="L285" s="5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54"/>
      <c r="Y285" s="58"/>
      <c r="Z285" s="1"/>
      <c r="AA285" s="1"/>
    </row>
    <row r="286" spans="1:27" x14ac:dyDescent="0.25">
      <c r="A286" s="15" t="s">
        <v>51</v>
      </c>
      <c r="B286" s="16" t="s">
        <v>52</v>
      </c>
      <c r="C286" s="16" t="s">
        <v>55</v>
      </c>
      <c r="D286" s="2"/>
      <c r="E286" s="2"/>
      <c r="F286" s="1"/>
      <c r="G286" s="1"/>
      <c r="H286" s="1"/>
      <c r="I286" s="1"/>
      <c r="J286" s="1"/>
      <c r="K286" s="1"/>
      <c r="L286" s="5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54"/>
      <c r="Y286" s="58"/>
      <c r="Z286" s="1"/>
      <c r="AA286" s="1"/>
    </row>
    <row r="287" spans="1:27" x14ac:dyDescent="0.25">
      <c r="A287" s="25" t="s">
        <v>51</v>
      </c>
      <c r="B287" s="26" t="s">
        <v>56</v>
      </c>
      <c r="C287" s="26" t="s">
        <v>57</v>
      </c>
      <c r="D287" s="2"/>
      <c r="E287" s="2"/>
      <c r="F287" s="1"/>
      <c r="G287" s="1"/>
      <c r="H287" s="1"/>
      <c r="I287" s="1"/>
      <c r="J287" s="1"/>
      <c r="K287" s="1"/>
      <c r="L287" s="5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54"/>
      <c r="Y287" s="58"/>
      <c r="Z287" s="1"/>
      <c r="AA287" s="1"/>
    </row>
    <row r="288" spans="1:27" x14ac:dyDescent="0.25">
      <c r="A288" s="15" t="s">
        <v>51</v>
      </c>
      <c r="B288" s="16" t="s">
        <v>56</v>
      </c>
      <c r="C288" s="27" t="s">
        <v>58</v>
      </c>
      <c r="D288" s="2"/>
      <c r="E288" s="2"/>
      <c r="F288" s="1"/>
      <c r="G288" s="1"/>
      <c r="H288" s="1"/>
      <c r="I288" s="1"/>
      <c r="J288" s="1"/>
      <c r="K288" s="1"/>
      <c r="L288" s="5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54"/>
      <c r="Y288" s="58"/>
      <c r="Z288" s="1"/>
      <c r="AA288" s="1"/>
    </row>
    <row r="289" spans="1:31" x14ac:dyDescent="0.25">
      <c r="A289" s="15" t="s">
        <v>51</v>
      </c>
      <c r="B289" s="16" t="s">
        <v>9</v>
      </c>
      <c r="C289" s="27" t="s">
        <v>59</v>
      </c>
      <c r="D289" s="2"/>
      <c r="E289" s="2"/>
      <c r="F289" s="1"/>
      <c r="G289" s="1"/>
      <c r="H289" s="1"/>
      <c r="I289" s="1"/>
      <c r="J289" s="1"/>
      <c r="K289" s="1"/>
      <c r="L289" s="5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54"/>
      <c r="Y289" s="58"/>
      <c r="Z289" s="1"/>
      <c r="AA289" s="1"/>
    </row>
    <row r="290" spans="1:31" x14ac:dyDescent="0.25">
      <c r="A290" s="15" t="s">
        <v>51</v>
      </c>
      <c r="B290" s="16" t="s">
        <v>9</v>
      </c>
      <c r="C290" s="27" t="s">
        <v>9</v>
      </c>
      <c r="D290" s="2"/>
      <c r="E290" s="2"/>
      <c r="F290" s="1"/>
      <c r="G290" s="1"/>
      <c r="H290" s="1"/>
      <c r="I290" s="1"/>
      <c r="J290" s="1"/>
      <c r="K290" s="1"/>
      <c r="L290" s="5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54"/>
      <c r="Y290" s="58"/>
      <c r="Z290" s="1"/>
      <c r="AA290" s="1"/>
    </row>
    <row r="291" spans="1:31" x14ac:dyDescent="0.25">
      <c r="A291" s="28" t="s">
        <v>60</v>
      </c>
      <c r="B291" s="29" t="s">
        <v>13</v>
      </c>
      <c r="C291" s="29" t="s">
        <v>61</v>
      </c>
      <c r="D291" s="2"/>
      <c r="E291" s="2"/>
      <c r="F291" s="51">
        <v>180</v>
      </c>
      <c r="G291" s="51"/>
      <c r="H291" s="51">
        <v>170</v>
      </c>
      <c r="I291" s="51">
        <v>170</v>
      </c>
      <c r="J291" s="51">
        <v>170</v>
      </c>
      <c r="K291" s="51">
        <v>170</v>
      </c>
      <c r="L291" s="52"/>
      <c r="M291" s="51">
        <v>180</v>
      </c>
      <c r="N291" s="51">
        <v>160</v>
      </c>
      <c r="O291" s="51">
        <v>180</v>
      </c>
      <c r="P291" s="51">
        <v>180</v>
      </c>
      <c r="Q291" s="51">
        <v>180</v>
      </c>
      <c r="R291" s="51">
        <v>180</v>
      </c>
      <c r="S291" s="51"/>
      <c r="T291" s="51">
        <v>180</v>
      </c>
      <c r="U291" s="51">
        <v>180</v>
      </c>
      <c r="V291" s="51">
        <v>180</v>
      </c>
      <c r="W291" s="51">
        <v>180</v>
      </c>
      <c r="X291" s="55">
        <v>180</v>
      </c>
      <c r="Y291" s="59"/>
      <c r="Z291" s="51"/>
      <c r="AA291" s="51"/>
    </row>
    <row r="292" spans="1:31" x14ac:dyDescent="0.25">
      <c r="A292" s="36" t="s">
        <v>60</v>
      </c>
      <c r="B292" s="37" t="s">
        <v>13</v>
      </c>
      <c r="C292" s="29" t="s">
        <v>62</v>
      </c>
      <c r="D292" s="2"/>
      <c r="E292" s="2"/>
      <c r="F292" s="51">
        <v>185</v>
      </c>
      <c r="G292" s="51">
        <v>185</v>
      </c>
      <c r="H292" s="51">
        <v>175</v>
      </c>
      <c r="I292" s="51"/>
      <c r="J292" s="51"/>
      <c r="K292" s="51"/>
      <c r="L292" s="52"/>
      <c r="M292" s="51"/>
      <c r="N292" s="51"/>
      <c r="O292" s="51"/>
      <c r="P292" s="51">
        <v>180</v>
      </c>
      <c r="Q292" s="51"/>
      <c r="R292" s="51"/>
      <c r="S292" s="51"/>
      <c r="T292" s="51"/>
      <c r="U292" s="51"/>
      <c r="V292" s="51"/>
      <c r="W292" s="51"/>
      <c r="X292" s="55"/>
      <c r="Y292" s="59"/>
      <c r="Z292" s="51"/>
      <c r="AA292" s="51"/>
    </row>
    <row r="293" spans="1:31" x14ac:dyDescent="0.25">
      <c r="A293" s="30" t="s">
        <v>60</v>
      </c>
      <c r="B293" s="31" t="s">
        <v>13</v>
      </c>
      <c r="C293" s="32" t="s">
        <v>63</v>
      </c>
      <c r="D293" s="2"/>
      <c r="E293" s="2"/>
      <c r="F293" s="51"/>
      <c r="G293" s="51"/>
      <c r="H293" s="51"/>
      <c r="I293" s="51"/>
      <c r="J293" s="51"/>
      <c r="K293" s="51"/>
      <c r="L293" s="52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5"/>
      <c r="Y293" s="59"/>
      <c r="Z293" s="51"/>
      <c r="AA293" s="51"/>
    </row>
    <row r="294" spans="1:31" x14ac:dyDescent="0.25">
      <c r="A294" s="30" t="s">
        <v>60</v>
      </c>
      <c r="B294" s="32" t="s">
        <v>23</v>
      </c>
      <c r="C294" s="31" t="s">
        <v>50</v>
      </c>
      <c r="D294" s="2"/>
      <c r="E294" s="2"/>
      <c r="F294" s="51">
        <v>65</v>
      </c>
      <c r="G294" s="51"/>
      <c r="H294" s="51"/>
      <c r="I294" s="51"/>
      <c r="J294" s="51">
        <v>65</v>
      </c>
      <c r="K294" s="51">
        <v>70</v>
      </c>
      <c r="L294" s="52"/>
      <c r="M294" s="51">
        <v>65</v>
      </c>
      <c r="N294" s="51">
        <v>65</v>
      </c>
      <c r="O294" s="51"/>
      <c r="P294" s="51"/>
      <c r="Q294" s="51"/>
      <c r="R294" s="51"/>
      <c r="S294" s="51"/>
      <c r="T294" s="51"/>
      <c r="U294" s="51"/>
      <c r="V294" s="51"/>
      <c r="W294" s="51"/>
      <c r="X294" s="55"/>
      <c r="Y294" s="59"/>
      <c r="Z294" s="51"/>
      <c r="AA294" s="51"/>
      <c r="AB294" t="s">
        <v>13</v>
      </c>
      <c r="AC294" t="s">
        <v>111</v>
      </c>
      <c r="AD294" t="s">
        <v>106</v>
      </c>
    </row>
    <row r="295" spans="1:31" x14ac:dyDescent="0.25">
      <c r="A295" s="30" t="s">
        <v>60</v>
      </c>
      <c r="B295" s="32" t="s">
        <v>23</v>
      </c>
      <c r="C295" s="31" t="s">
        <v>49</v>
      </c>
      <c r="D295" s="2"/>
      <c r="E295" s="2"/>
      <c r="F295" s="51"/>
      <c r="G295" s="51"/>
      <c r="H295" s="51"/>
      <c r="I295" s="51"/>
      <c r="J295" s="51">
        <v>45</v>
      </c>
      <c r="K295" s="51">
        <v>45</v>
      </c>
      <c r="L295" s="52"/>
      <c r="M295" s="51"/>
      <c r="N295" s="51"/>
      <c r="O295" s="51"/>
      <c r="P295" s="51"/>
      <c r="Q295" s="51"/>
      <c r="R295" s="51"/>
      <c r="S295" s="51">
        <v>45</v>
      </c>
      <c r="T295" s="51">
        <v>35</v>
      </c>
      <c r="U295" s="51"/>
      <c r="V295" s="51">
        <v>45</v>
      </c>
      <c r="W295" s="51"/>
      <c r="X295" s="55">
        <v>45</v>
      </c>
      <c r="Y295" s="59"/>
      <c r="Z295" s="51"/>
      <c r="AA295" s="51"/>
      <c r="AB295">
        <v>2.9</v>
      </c>
      <c r="AC295">
        <v>3.2</v>
      </c>
      <c r="AD295">
        <v>1.8</v>
      </c>
      <c r="AE295" t="s">
        <v>107</v>
      </c>
    </row>
    <row r="296" spans="1:31" x14ac:dyDescent="0.25">
      <c r="A296" s="30" t="s">
        <v>60</v>
      </c>
      <c r="B296" s="32" t="s">
        <v>23</v>
      </c>
      <c r="C296" s="31" t="s">
        <v>64</v>
      </c>
      <c r="D296" s="2"/>
      <c r="E296" s="2"/>
      <c r="F296" s="51"/>
      <c r="G296" s="51"/>
      <c r="H296" s="51"/>
      <c r="I296" s="51"/>
      <c r="J296" s="51"/>
      <c r="K296" s="51"/>
      <c r="L296" s="52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5"/>
      <c r="Y296" s="59"/>
      <c r="Z296" s="51"/>
      <c r="AA296" s="51"/>
      <c r="AB296">
        <v>3.6</v>
      </c>
      <c r="AC296">
        <v>1.2</v>
      </c>
      <c r="AD296">
        <v>1.2</v>
      </c>
      <c r="AE296" t="s">
        <v>108</v>
      </c>
    </row>
    <row r="297" spans="1:31" x14ac:dyDescent="0.25">
      <c r="A297" s="30" t="s">
        <v>60</v>
      </c>
      <c r="B297" s="32" t="s">
        <v>65</v>
      </c>
      <c r="C297" s="31" t="s">
        <v>66</v>
      </c>
      <c r="D297" s="2"/>
      <c r="E297" s="2"/>
      <c r="F297" s="51"/>
      <c r="G297" s="51"/>
      <c r="H297" s="51"/>
      <c r="I297" s="51"/>
      <c r="J297" s="51">
        <v>40</v>
      </c>
      <c r="K297" s="51"/>
      <c r="L297" s="52"/>
      <c r="M297" s="51">
        <v>40</v>
      </c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5"/>
      <c r="Y297" s="59"/>
      <c r="Z297" s="51"/>
      <c r="AA297" s="51"/>
      <c r="AB297">
        <v>65.099999999999994</v>
      </c>
      <c r="AC297">
        <v>42.7</v>
      </c>
      <c r="AD297">
        <v>42.2</v>
      </c>
      <c r="AE297" t="s">
        <v>109</v>
      </c>
    </row>
    <row r="298" spans="1:31" x14ac:dyDescent="0.25">
      <c r="A298" s="30" t="s">
        <v>60</v>
      </c>
      <c r="B298" s="32" t="s">
        <v>65</v>
      </c>
      <c r="C298" s="31" t="s">
        <v>67</v>
      </c>
      <c r="D298" s="2"/>
      <c r="E298" s="2"/>
      <c r="F298" s="51"/>
      <c r="G298" s="51"/>
      <c r="H298" s="51"/>
      <c r="I298" s="51"/>
      <c r="J298" s="51"/>
      <c r="K298" s="51"/>
      <c r="L298" s="52"/>
      <c r="M298" s="51"/>
      <c r="N298" s="51"/>
      <c r="O298" s="51"/>
      <c r="P298" s="51"/>
      <c r="Q298" s="51">
        <v>35</v>
      </c>
      <c r="R298" s="51">
        <v>35</v>
      </c>
      <c r="S298" s="51"/>
      <c r="T298" s="51">
        <v>35</v>
      </c>
      <c r="U298" s="51">
        <v>35</v>
      </c>
      <c r="V298" s="51">
        <v>35</v>
      </c>
      <c r="W298" s="51">
        <v>35</v>
      </c>
      <c r="X298" s="55">
        <v>35</v>
      </c>
      <c r="Y298" s="59"/>
      <c r="Z298" s="51"/>
      <c r="AA298" s="51"/>
      <c r="AB298">
        <v>18.2</v>
      </c>
      <c r="AC298">
        <v>22</v>
      </c>
      <c r="AD298">
        <v>22.2</v>
      </c>
      <c r="AE298" t="s">
        <v>110</v>
      </c>
    </row>
    <row r="299" spans="1:31" x14ac:dyDescent="0.25">
      <c r="A299" s="30" t="s">
        <v>60</v>
      </c>
      <c r="B299" s="32" t="s">
        <v>65</v>
      </c>
      <c r="C299" s="31" t="s">
        <v>68</v>
      </c>
      <c r="D299" s="2"/>
      <c r="E299" s="2"/>
      <c r="F299" s="51"/>
      <c r="G299" s="51"/>
      <c r="H299" s="51"/>
      <c r="I299" s="51"/>
      <c r="J299" s="51"/>
      <c r="K299" s="51"/>
      <c r="L299" s="52">
        <v>40</v>
      </c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5"/>
      <c r="Y299" s="59"/>
      <c r="Z299" s="51"/>
      <c r="AA299" s="51"/>
      <c r="AB299">
        <v>47</v>
      </c>
      <c r="AC299">
        <v>58</v>
      </c>
      <c r="AD299">
        <v>49</v>
      </c>
      <c r="AE299" t="s">
        <v>102</v>
      </c>
    </row>
    <row r="300" spans="1:31" x14ac:dyDescent="0.25">
      <c r="A300" s="30" t="s">
        <v>60</v>
      </c>
      <c r="B300" s="32" t="s">
        <v>9</v>
      </c>
      <c r="C300" s="31" t="s">
        <v>69</v>
      </c>
      <c r="D300" s="2"/>
      <c r="E300" s="2"/>
      <c r="F300" s="51"/>
      <c r="G300" s="51"/>
      <c r="H300" s="51"/>
      <c r="I300" s="51"/>
      <c r="J300" s="51"/>
      <c r="K300" s="51"/>
      <c r="L300" s="52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5">
        <v>60</v>
      </c>
      <c r="Y300" s="59"/>
      <c r="Z300" s="51"/>
      <c r="AA300" s="51"/>
      <c r="AB300">
        <f>AB295*AB296</f>
        <v>10.44</v>
      </c>
      <c r="AC300">
        <f>AC295*AC296</f>
        <v>3.84</v>
      </c>
      <c r="AD300">
        <f>AD295*AD296</f>
        <v>2.16</v>
      </c>
      <c r="AE300" t="s">
        <v>91</v>
      </c>
    </row>
    <row r="301" spans="1:31" x14ac:dyDescent="0.25">
      <c r="A301" s="15" t="s">
        <v>51</v>
      </c>
      <c r="B301" s="16" t="s">
        <v>56</v>
      </c>
      <c r="C301" s="27" t="s">
        <v>57</v>
      </c>
      <c r="D301" s="16" t="s">
        <v>70</v>
      </c>
      <c r="E301" s="16"/>
      <c r="F301" s="1"/>
      <c r="G301" s="1"/>
      <c r="H301" s="1"/>
      <c r="I301" s="1"/>
      <c r="J301" s="1"/>
      <c r="K301" s="1"/>
      <c r="L301" s="5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54"/>
      <c r="Y301" s="58"/>
      <c r="Z301" s="1"/>
      <c r="AA301" s="1"/>
      <c r="AB301">
        <f>(AB298/100)^2*AB297/100</f>
        <v>2.1563723999999999E-2</v>
      </c>
      <c r="AC301">
        <f>(AC298/100)^2*AC297/100</f>
        <v>2.0666800000000003E-2</v>
      </c>
      <c r="AD301">
        <f>(AD298/100)^2*AD297/100</f>
        <v>2.0797848000000001E-2</v>
      </c>
      <c r="AE301" t="s">
        <v>112</v>
      </c>
    </row>
    <row r="302" spans="1:31" x14ac:dyDescent="0.25">
      <c r="A302" s="15" t="s">
        <v>51</v>
      </c>
      <c r="B302" s="16" t="s">
        <v>56</v>
      </c>
      <c r="C302" s="27" t="s">
        <v>57</v>
      </c>
      <c r="D302" s="16" t="s">
        <v>71</v>
      </c>
      <c r="E302" s="16"/>
      <c r="F302" s="1"/>
      <c r="G302" s="1"/>
      <c r="H302" s="1"/>
      <c r="I302" s="1"/>
      <c r="J302" s="1"/>
      <c r="K302" s="1"/>
      <c r="L302" s="5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54"/>
      <c r="Y302" s="58"/>
      <c r="Z302" s="1"/>
      <c r="AA302" s="1"/>
      <c r="AB302">
        <f>AB300/AB299</f>
        <v>0.22212765957446806</v>
      </c>
      <c r="AC302">
        <f>AC300/AC299</f>
        <v>6.620689655172414E-2</v>
      </c>
      <c r="AD302">
        <f>AD300/AD299</f>
        <v>4.4081632653061226E-2</v>
      </c>
      <c r="AE302" t="s">
        <v>104</v>
      </c>
    </row>
    <row r="303" spans="1:31" x14ac:dyDescent="0.25">
      <c r="A303" s="15" t="s">
        <v>51</v>
      </c>
      <c r="B303" s="16" t="s">
        <v>56</v>
      </c>
      <c r="C303" s="27" t="s">
        <v>27</v>
      </c>
      <c r="D303" s="16" t="s">
        <v>72</v>
      </c>
      <c r="E303" s="16"/>
      <c r="F303" s="1"/>
      <c r="G303" s="1"/>
      <c r="H303" s="1"/>
      <c r="I303" s="1"/>
      <c r="J303" s="1"/>
      <c r="K303" s="1"/>
      <c r="L303" s="5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54"/>
      <c r="Y303" s="58"/>
      <c r="Z303" s="1"/>
      <c r="AA303" s="1"/>
      <c r="AB303">
        <f>AB300/AB301</f>
        <v>484.14643036610931</v>
      </c>
      <c r="AC303">
        <f>AC300/AC301</f>
        <v>185.8052528693363</v>
      </c>
      <c r="AD303">
        <f>AD300/AD301</f>
        <v>103.85689904070844</v>
      </c>
      <c r="AE303" t="s">
        <v>113</v>
      </c>
    </row>
    <row r="304" spans="1:31" x14ac:dyDescent="0.25">
      <c r="A304" s="15" t="s">
        <v>51</v>
      </c>
      <c r="B304" s="16" t="s">
        <v>56</v>
      </c>
      <c r="C304" s="27" t="s">
        <v>57</v>
      </c>
      <c r="D304" s="16" t="s">
        <v>73</v>
      </c>
      <c r="E304" s="16"/>
      <c r="F304" s="1"/>
      <c r="G304" s="1"/>
      <c r="H304" s="1"/>
      <c r="I304" s="1"/>
      <c r="J304" s="1"/>
      <c r="K304" s="1"/>
      <c r="L304" s="5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54"/>
      <c r="Y304" s="58"/>
      <c r="Z304" s="1"/>
      <c r="AA304" s="1"/>
    </row>
    <row r="305" spans="1:27" x14ac:dyDescent="0.25">
      <c r="A305" s="15" t="s">
        <v>51</v>
      </c>
      <c r="B305" s="16" t="s">
        <v>56</v>
      </c>
      <c r="C305" s="27" t="s">
        <v>57</v>
      </c>
      <c r="D305" s="16" t="s">
        <v>74</v>
      </c>
      <c r="E305" s="16"/>
      <c r="F305" s="1"/>
      <c r="G305" s="1"/>
      <c r="H305" s="1"/>
      <c r="I305" s="1"/>
      <c r="J305" s="1"/>
      <c r="K305" s="1"/>
      <c r="L305" s="5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54"/>
      <c r="Y305" s="58"/>
      <c r="Z305" s="1"/>
      <c r="AA305" s="1"/>
    </row>
    <row r="306" spans="1:27" x14ac:dyDescent="0.25">
      <c r="A306" s="30" t="s">
        <v>60</v>
      </c>
      <c r="B306" s="31" t="s">
        <v>13</v>
      </c>
      <c r="C306" s="32" t="s">
        <v>61</v>
      </c>
      <c r="D306" s="31" t="s">
        <v>75</v>
      </c>
      <c r="E306" s="31"/>
      <c r="F306" s="51"/>
      <c r="G306" s="51"/>
      <c r="H306" s="51"/>
      <c r="I306" s="51"/>
      <c r="J306" s="51"/>
      <c r="K306" s="51"/>
      <c r="L306" s="52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5"/>
      <c r="Y306" s="59"/>
      <c r="Z306" s="51"/>
      <c r="AA306" s="51"/>
    </row>
    <row r="307" spans="1:27" x14ac:dyDescent="0.25">
      <c r="A307" s="30" t="s">
        <v>60</v>
      </c>
      <c r="B307" s="31" t="s">
        <v>13</v>
      </c>
      <c r="C307" s="32" t="s">
        <v>61</v>
      </c>
      <c r="D307" s="31" t="s">
        <v>76</v>
      </c>
      <c r="E307" s="31"/>
      <c r="F307" s="51"/>
      <c r="G307" s="51"/>
      <c r="H307" s="51"/>
      <c r="I307" s="51"/>
      <c r="J307" s="51"/>
      <c r="K307" s="51"/>
      <c r="L307" s="52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5"/>
      <c r="Y307" s="59"/>
      <c r="Z307" s="51"/>
      <c r="AA307" s="51"/>
    </row>
    <row r="308" spans="1:27" x14ac:dyDescent="0.25">
      <c r="A308" s="30" t="s">
        <v>60</v>
      </c>
      <c r="B308" s="31" t="s">
        <v>13</v>
      </c>
      <c r="C308" s="32" t="s">
        <v>61</v>
      </c>
      <c r="D308" s="31" t="s">
        <v>77</v>
      </c>
      <c r="E308" s="31"/>
      <c r="F308" s="51"/>
      <c r="G308" s="51"/>
      <c r="H308" s="51"/>
      <c r="I308" s="51"/>
      <c r="J308" s="51"/>
      <c r="K308" s="51"/>
      <c r="L308" s="52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5"/>
      <c r="Y308" s="59"/>
      <c r="Z308" s="51"/>
      <c r="AA308" s="51"/>
    </row>
    <row r="309" spans="1:27" x14ac:dyDescent="0.25">
      <c r="A309" s="30" t="s">
        <v>60</v>
      </c>
      <c r="B309" s="31" t="s">
        <v>13</v>
      </c>
      <c r="C309" s="32" t="s">
        <v>61</v>
      </c>
      <c r="D309" s="31" t="s">
        <v>78</v>
      </c>
      <c r="E309" s="31"/>
      <c r="F309" s="51"/>
      <c r="G309" s="51"/>
      <c r="H309" s="51"/>
      <c r="I309" s="51"/>
      <c r="J309" s="51"/>
      <c r="K309" s="51"/>
      <c r="L309" s="52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5"/>
      <c r="Y309" s="59"/>
      <c r="Z309" s="51"/>
      <c r="AA309" s="51"/>
    </row>
    <row r="310" spans="1:27" ht="15.75" thickBot="1" x14ac:dyDescent="0.3">
      <c r="A310" s="33" t="s">
        <v>60</v>
      </c>
      <c r="B310" s="34" t="s">
        <v>13</v>
      </c>
      <c r="C310" s="35" t="s">
        <v>61</v>
      </c>
      <c r="D310" s="34" t="s">
        <v>79</v>
      </c>
      <c r="E310" s="31"/>
      <c r="F310" s="51"/>
      <c r="G310" s="51"/>
      <c r="H310" s="51"/>
      <c r="I310" s="51"/>
      <c r="J310" s="51"/>
      <c r="K310" s="51"/>
      <c r="L310" s="52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5"/>
      <c r="Y310" s="59"/>
      <c r="Z310" s="51"/>
      <c r="AA310" s="51"/>
    </row>
    <row r="311" spans="1:27" x14ac:dyDescent="0.25">
      <c r="A311" s="30" t="s">
        <v>60</v>
      </c>
      <c r="B311" s="31" t="s">
        <v>13</v>
      </c>
      <c r="C311" s="32" t="s">
        <v>62</v>
      </c>
      <c r="D311" s="31" t="s">
        <v>75</v>
      </c>
      <c r="E311" s="31"/>
      <c r="F311" s="51"/>
      <c r="G311" s="51"/>
      <c r="H311" s="51"/>
      <c r="I311" s="51"/>
      <c r="J311" s="51"/>
      <c r="K311" s="51"/>
      <c r="L311" s="52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5"/>
      <c r="Y311" s="59"/>
      <c r="Z311" s="51"/>
      <c r="AA311" s="51"/>
    </row>
    <row r="312" spans="1:27" x14ac:dyDescent="0.25">
      <c r="A312" s="30" t="s">
        <v>60</v>
      </c>
      <c r="B312" s="31" t="s">
        <v>13</v>
      </c>
      <c r="C312" s="32" t="s">
        <v>62</v>
      </c>
      <c r="D312" s="31" t="s">
        <v>76</v>
      </c>
      <c r="E312" s="31"/>
      <c r="F312" s="51"/>
      <c r="G312" s="51"/>
      <c r="H312" s="51"/>
      <c r="I312" s="51"/>
      <c r="J312" s="51"/>
      <c r="K312" s="51"/>
      <c r="L312" s="52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5"/>
      <c r="Y312" s="59"/>
      <c r="Z312" s="51"/>
      <c r="AA312" s="51"/>
    </row>
    <row r="313" spans="1:27" x14ac:dyDescent="0.25">
      <c r="A313" s="30" t="s">
        <v>60</v>
      </c>
      <c r="B313" s="31" t="s">
        <v>13</v>
      </c>
      <c r="C313" s="32" t="s">
        <v>62</v>
      </c>
      <c r="D313" s="31" t="s">
        <v>77</v>
      </c>
      <c r="E313" s="31"/>
      <c r="F313" s="51"/>
      <c r="G313" s="51"/>
      <c r="H313" s="51"/>
      <c r="I313" s="51"/>
      <c r="J313" s="51"/>
      <c r="K313" s="51"/>
      <c r="L313" s="52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5"/>
      <c r="Y313" s="59"/>
      <c r="Z313" s="51"/>
      <c r="AA313" s="51"/>
    </row>
    <row r="314" spans="1:27" x14ac:dyDescent="0.25">
      <c r="A314" s="30" t="s">
        <v>60</v>
      </c>
      <c r="B314" s="31" t="s">
        <v>13</v>
      </c>
      <c r="C314" s="32" t="s">
        <v>62</v>
      </c>
      <c r="D314" s="31" t="s">
        <v>78</v>
      </c>
      <c r="E314" s="31"/>
      <c r="F314" s="51"/>
      <c r="G314" s="51"/>
      <c r="H314" s="51"/>
      <c r="I314" s="51"/>
      <c r="J314" s="51"/>
      <c r="K314" s="51"/>
      <c r="L314" s="52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5"/>
      <c r="Y314" s="59"/>
      <c r="Z314" s="51"/>
      <c r="AA314" s="51"/>
    </row>
    <row r="315" spans="1:27" ht="15.75" thickBot="1" x14ac:dyDescent="0.3">
      <c r="A315" s="33" t="s">
        <v>60</v>
      </c>
      <c r="B315" s="34" t="s">
        <v>13</v>
      </c>
      <c r="C315" s="32" t="s">
        <v>62</v>
      </c>
      <c r="D315" s="34" t="s">
        <v>79</v>
      </c>
      <c r="E315" s="31"/>
      <c r="F315" s="51"/>
      <c r="G315" s="51"/>
      <c r="H315" s="51"/>
      <c r="I315" s="51"/>
      <c r="J315" s="51"/>
      <c r="K315" s="51"/>
      <c r="L315" s="52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5"/>
      <c r="Y315" s="59"/>
      <c r="Z315" s="51"/>
      <c r="AA315" s="5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15"/>
  <sheetViews>
    <sheetView workbookViewId="0"/>
  </sheetViews>
  <sheetFormatPr baseColWidth="10" defaultColWidth="8.85546875" defaultRowHeight="15" x14ac:dyDescent="0.25"/>
  <cols>
    <col min="5" max="5" width="9.140625" customWidth="1"/>
    <col min="25" max="25" width="9.140625" bestFit="1" customWidth="1"/>
    <col min="26" max="26" width="8.85546875" bestFit="1" customWidth="1"/>
    <col min="27" max="27" width="9.42578125" customWidth="1"/>
  </cols>
  <sheetData>
    <row r="1" spans="1:33" ht="18.75" x14ac:dyDescent="0.3">
      <c r="A1" s="42" t="s">
        <v>14</v>
      </c>
      <c r="B1" s="42"/>
      <c r="C1" s="112">
        <v>2018</v>
      </c>
      <c r="F1" t="s">
        <v>441</v>
      </c>
    </row>
    <row r="2" spans="1:33" x14ac:dyDescent="0.25">
      <c r="D2" s="41" t="s">
        <v>1</v>
      </c>
      <c r="E2" s="41"/>
      <c r="M2" s="24" t="s">
        <v>81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33" x14ac:dyDescent="0.25">
      <c r="F3" s="23" t="s">
        <v>44</v>
      </c>
      <c r="G3" s="23"/>
      <c r="H3" s="23"/>
      <c r="I3" s="23"/>
      <c r="J3" s="23"/>
      <c r="K3" s="23"/>
      <c r="L3" s="7" t="s">
        <v>30</v>
      </c>
      <c r="M3" s="24" t="s">
        <v>46</v>
      </c>
      <c r="N3" s="24"/>
      <c r="O3" s="24"/>
      <c r="P3" s="24"/>
      <c r="Q3" s="24"/>
      <c r="R3" s="24" t="s">
        <v>47</v>
      </c>
      <c r="S3" s="24"/>
      <c r="T3" s="24"/>
      <c r="U3" s="24"/>
      <c r="V3" s="24"/>
      <c r="W3" s="24"/>
      <c r="X3" s="24"/>
      <c r="Y3" s="44" t="s">
        <v>85</v>
      </c>
      <c r="Z3" s="44" t="s">
        <v>48</v>
      </c>
      <c r="AA3" s="44" t="s">
        <v>3</v>
      </c>
    </row>
    <row r="4" spans="1:33" ht="63" x14ac:dyDescent="0.25">
      <c r="F4" s="38" t="s">
        <v>36</v>
      </c>
      <c r="G4" s="38" t="s">
        <v>37</v>
      </c>
      <c r="H4" s="38" t="s">
        <v>38</v>
      </c>
      <c r="I4" s="38" t="s">
        <v>80</v>
      </c>
      <c r="J4" s="38" t="s">
        <v>39</v>
      </c>
      <c r="K4" s="38" t="s">
        <v>45</v>
      </c>
      <c r="L4" s="39" t="s">
        <v>16</v>
      </c>
      <c r="M4" s="40" t="s">
        <v>34</v>
      </c>
      <c r="N4" s="40" t="s">
        <v>5</v>
      </c>
      <c r="O4" s="40" t="s">
        <v>7</v>
      </c>
      <c r="P4" s="40" t="s">
        <v>8</v>
      </c>
      <c r="Q4" s="40" t="s">
        <v>40</v>
      </c>
      <c r="R4" s="40" t="s">
        <v>41</v>
      </c>
      <c r="S4" s="40" t="s">
        <v>42</v>
      </c>
      <c r="T4" s="40" t="s">
        <v>31</v>
      </c>
      <c r="U4" s="40" t="s">
        <v>43</v>
      </c>
      <c r="V4" s="40" t="s">
        <v>82</v>
      </c>
      <c r="W4" s="40" t="s">
        <v>87</v>
      </c>
      <c r="X4" s="40" t="s">
        <v>83</v>
      </c>
      <c r="Y4" s="45" t="s">
        <v>3</v>
      </c>
      <c r="Z4" s="45" t="s">
        <v>3</v>
      </c>
      <c r="AA4" s="45" t="s">
        <v>3</v>
      </c>
    </row>
    <row r="5" spans="1:33" x14ac:dyDescent="0.25">
      <c r="A5" s="15" t="s">
        <v>51</v>
      </c>
      <c r="B5" s="2"/>
      <c r="C5" s="2"/>
      <c r="D5">
        <f>6000*0.045</f>
        <v>270</v>
      </c>
      <c r="F5" s="1">
        <f t="shared" ref="F5:X5" si="0">F7+F8+F9</f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52">
        <f t="shared" si="0"/>
        <v>0</v>
      </c>
      <c r="M5" s="1">
        <f t="shared" si="0"/>
        <v>0</v>
      </c>
      <c r="N5" s="1">
        <f t="shared" si="0"/>
        <v>0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1">
        <f t="shared" si="0"/>
        <v>0</v>
      </c>
      <c r="V5" s="1">
        <f t="shared" si="0"/>
        <v>0</v>
      </c>
      <c r="W5" s="1">
        <f t="shared" si="0"/>
        <v>0</v>
      </c>
      <c r="X5" s="1">
        <f t="shared" si="0"/>
        <v>0</v>
      </c>
      <c r="Y5" s="58">
        <f t="shared" ref="Y5:Y45" si="1">SUM(F5:K5)</f>
        <v>0</v>
      </c>
      <c r="Z5" s="1">
        <f t="shared" ref="Z5:Z45" si="2">SUM(M5:X5)</f>
        <v>0</v>
      </c>
      <c r="AA5" s="1">
        <f t="shared" ref="AA5:AA12" si="3">L5+Y5+Z5</f>
        <v>0</v>
      </c>
    </row>
    <row r="6" spans="1:33" x14ac:dyDescent="0.25">
      <c r="A6" s="30" t="s">
        <v>60</v>
      </c>
      <c r="B6" s="2"/>
      <c r="C6" s="2"/>
      <c r="F6" s="1">
        <f>F10+F11+F12+F13</f>
        <v>8000</v>
      </c>
      <c r="G6" s="1">
        <f t="shared" ref="G6:X6" si="4">G10+G11+G12+G13</f>
        <v>3480</v>
      </c>
      <c r="H6" s="1">
        <f t="shared" si="4"/>
        <v>10976</v>
      </c>
      <c r="I6" s="1">
        <f t="shared" si="4"/>
        <v>3528</v>
      </c>
      <c r="J6" s="1">
        <f t="shared" si="4"/>
        <v>8660.633333333335</v>
      </c>
      <c r="K6" s="1">
        <f t="shared" si="4"/>
        <v>3345</v>
      </c>
      <c r="L6" s="52">
        <f t="shared" si="4"/>
        <v>272222.22222222225</v>
      </c>
      <c r="M6" s="1">
        <f t="shared" si="4"/>
        <v>16250</v>
      </c>
      <c r="N6" s="1">
        <f t="shared" si="4"/>
        <v>3600</v>
      </c>
      <c r="O6" s="1">
        <f t="shared" si="4"/>
        <v>6480</v>
      </c>
      <c r="P6" s="1">
        <f t="shared" si="4"/>
        <v>90000</v>
      </c>
      <c r="Q6" s="1">
        <f t="shared" si="4"/>
        <v>31333.333333333332</v>
      </c>
      <c r="R6" s="1">
        <f t="shared" si="4"/>
        <v>19238.09523809524</v>
      </c>
      <c r="S6" s="1">
        <f t="shared" si="4"/>
        <v>245</v>
      </c>
      <c r="T6" s="1">
        <f t="shared" si="4"/>
        <v>18433.333333333336</v>
      </c>
      <c r="U6" s="1">
        <f t="shared" si="4"/>
        <v>22708.333333333336</v>
      </c>
      <c r="V6" s="1">
        <f t="shared" si="4"/>
        <v>5076.666666666667</v>
      </c>
      <c r="W6" s="1">
        <f t="shared" si="4"/>
        <v>7220.8333333333339</v>
      </c>
      <c r="X6" s="54">
        <f t="shared" si="4"/>
        <v>15397.619047619048</v>
      </c>
      <c r="Y6" s="58">
        <f t="shared" si="1"/>
        <v>37989.633333333331</v>
      </c>
      <c r="Z6" s="1">
        <f t="shared" si="2"/>
        <v>235983.21428571432</v>
      </c>
      <c r="AA6" s="1">
        <f t="shared" si="3"/>
        <v>546195.06984126987</v>
      </c>
    </row>
    <row r="7" spans="1:33" x14ac:dyDescent="0.25">
      <c r="A7" s="15" t="s">
        <v>51</v>
      </c>
      <c r="B7" s="16" t="s">
        <v>52</v>
      </c>
      <c r="C7" s="2"/>
      <c r="F7" s="1">
        <f>F14+F15+F16</f>
        <v>0</v>
      </c>
      <c r="G7" s="1">
        <f t="shared" ref="G7:X7" si="5">G14+G15+G16</f>
        <v>0</v>
      </c>
      <c r="H7" s="1">
        <f t="shared" si="5"/>
        <v>0</v>
      </c>
      <c r="I7" s="1">
        <f t="shared" si="5"/>
        <v>0</v>
      </c>
      <c r="J7" s="1">
        <f t="shared" si="5"/>
        <v>0</v>
      </c>
      <c r="K7" s="1">
        <f t="shared" si="5"/>
        <v>0</v>
      </c>
      <c r="L7" s="52">
        <f t="shared" si="5"/>
        <v>0</v>
      </c>
      <c r="M7" s="1">
        <f t="shared" si="5"/>
        <v>0</v>
      </c>
      <c r="N7" s="1">
        <f t="shared" si="5"/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  <c r="R7" s="1">
        <f t="shared" si="5"/>
        <v>0</v>
      </c>
      <c r="S7" s="1">
        <f t="shared" si="5"/>
        <v>0</v>
      </c>
      <c r="T7" s="1">
        <f t="shared" si="5"/>
        <v>0</v>
      </c>
      <c r="U7" s="1">
        <f t="shared" si="5"/>
        <v>0</v>
      </c>
      <c r="V7" s="1">
        <f t="shared" si="5"/>
        <v>0</v>
      </c>
      <c r="W7" s="1">
        <f t="shared" si="5"/>
        <v>0</v>
      </c>
      <c r="X7" s="54">
        <f t="shared" si="5"/>
        <v>0</v>
      </c>
      <c r="Y7" s="58">
        <f t="shared" si="1"/>
        <v>0</v>
      </c>
      <c r="Z7" s="1">
        <f t="shared" si="2"/>
        <v>0</v>
      </c>
      <c r="AA7" s="1">
        <f t="shared" si="3"/>
        <v>0</v>
      </c>
    </row>
    <row r="8" spans="1:33" x14ac:dyDescent="0.25">
      <c r="A8" s="15" t="s">
        <v>51</v>
      </c>
      <c r="B8" s="16" t="s">
        <v>56</v>
      </c>
      <c r="C8" s="2"/>
      <c r="F8" s="1">
        <f>F17+F18+F19</f>
        <v>0</v>
      </c>
      <c r="G8" s="1">
        <f t="shared" ref="G8:X8" si="6">G17+G18+G19</f>
        <v>0</v>
      </c>
      <c r="H8" s="1">
        <f t="shared" si="6"/>
        <v>0</v>
      </c>
      <c r="I8" s="1">
        <f t="shared" si="6"/>
        <v>0</v>
      </c>
      <c r="J8" s="1">
        <f t="shared" si="6"/>
        <v>0</v>
      </c>
      <c r="K8" s="1">
        <f t="shared" si="6"/>
        <v>0</v>
      </c>
      <c r="L8" s="52">
        <f t="shared" si="6"/>
        <v>0</v>
      </c>
      <c r="M8" s="1">
        <f t="shared" si="6"/>
        <v>0</v>
      </c>
      <c r="N8" s="1">
        <f t="shared" si="6"/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  <c r="R8" s="1">
        <f t="shared" si="6"/>
        <v>0</v>
      </c>
      <c r="S8" s="1">
        <f t="shared" si="6"/>
        <v>0</v>
      </c>
      <c r="T8" s="1">
        <f t="shared" si="6"/>
        <v>0</v>
      </c>
      <c r="U8" s="1">
        <f t="shared" si="6"/>
        <v>0</v>
      </c>
      <c r="V8" s="1">
        <f t="shared" si="6"/>
        <v>0</v>
      </c>
      <c r="W8" s="1">
        <f t="shared" si="6"/>
        <v>0</v>
      </c>
      <c r="X8" s="54">
        <f t="shared" si="6"/>
        <v>0</v>
      </c>
      <c r="Y8" s="58">
        <f t="shared" si="1"/>
        <v>0</v>
      </c>
      <c r="Z8" s="1">
        <f t="shared" si="2"/>
        <v>0</v>
      </c>
      <c r="AA8" s="1">
        <f t="shared" si="3"/>
        <v>0</v>
      </c>
      <c r="AE8" s="98" t="s">
        <v>168</v>
      </c>
      <c r="AF8" s="98"/>
      <c r="AG8" s="98"/>
    </row>
    <row r="9" spans="1:33" x14ac:dyDescent="0.25">
      <c r="A9" s="15" t="s">
        <v>51</v>
      </c>
      <c r="B9" s="16" t="s">
        <v>9</v>
      </c>
      <c r="C9" s="2"/>
      <c r="F9" s="1">
        <f>F20</f>
        <v>0</v>
      </c>
      <c r="G9" s="1">
        <f t="shared" ref="G9:X9" si="7">G20</f>
        <v>0</v>
      </c>
      <c r="H9" s="1">
        <f t="shared" si="7"/>
        <v>0</v>
      </c>
      <c r="I9" s="1">
        <f t="shared" si="7"/>
        <v>0</v>
      </c>
      <c r="J9" s="1">
        <f t="shared" si="7"/>
        <v>0</v>
      </c>
      <c r="K9" s="1">
        <f t="shared" si="7"/>
        <v>0</v>
      </c>
      <c r="L9" s="52">
        <f t="shared" si="7"/>
        <v>0</v>
      </c>
      <c r="M9" s="1">
        <f t="shared" si="7"/>
        <v>0</v>
      </c>
      <c r="N9" s="1">
        <f t="shared" si="7"/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  <c r="R9" s="1">
        <f t="shared" si="7"/>
        <v>0</v>
      </c>
      <c r="S9" s="1">
        <f t="shared" si="7"/>
        <v>0</v>
      </c>
      <c r="T9" s="1">
        <f t="shared" si="7"/>
        <v>0</v>
      </c>
      <c r="U9" s="1">
        <f t="shared" si="7"/>
        <v>0</v>
      </c>
      <c r="V9" s="1">
        <f t="shared" si="7"/>
        <v>0</v>
      </c>
      <c r="W9" s="1">
        <f t="shared" si="7"/>
        <v>0</v>
      </c>
      <c r="X9" s="54">
        <f t="shared" si="7"/>
        <v>0</v>
      </c>
      <c r="Y9" s="58">
        <f t="shared" si="1"/>
        <v>0</v>
      </c>
      <c r="Z9" s="1">
        <f t="shared" si="2"/>
        <v>0</v>
      </c>
      <c r="AA9" s="1">
        <f t="shared" si="3"/>
        <v>0</v>
      </c>
      <c r="AE9" s="98">
        <f>52+38+32+29+14+13+9+7+25+20</f>
        <v>239</v>
      </c>
      <c r="AF9" s="98" t="s">
        <v>98</v>
      </c>
      <c r="AG9" s="98"/>
    </row>
    <row r="10" spans="1:33" x14ac:dyDescent="0.25">
      <c r="A10" s="30" t="s">
        <v>60</v>
      </c>
      <c r="B10" s="32" t="s">
        <v>13</v>
      </c>
      <c r="C10" s="2"/>
      <c r="F10" s="51">
        <f>F21+F22+F23</f>
        <v>8000</v>
      </c>
      <c r="G10" s="51">
        <f t="shared" ref="G10:X10" si="8">G21+G22+G23</f>
        <v>3480</v>
      </c>
      <c r="H10" s="91">
        <f>11200*0.98</f>
        <v>10976</v>
      </c>
      <c r="I10" s="51">
        <f t="shared" si="8"/>
        <v>3528</v>
      </c>
      <c r="J10" s="51">
        <f t="shared" si="8"/>
        <v>2730</v>
      </c>
      <c r="K10" s="51">
        <f t="shared" si="8"/>
        <v>1600</v>
      </c>
      <c r="L10" s="52">
        <f t="shared" si="8"/>
        <v>0</v>
      </c>
      <c r="M10" s="51">
        <f t="shared" si="8"/>
        <v>5000</v>
      </c>
      <c r="N10" s="51">
        <f t="shared" si="8"/>
        <v>2200</v>
      </c>
      <c r="O10" s="51">
        <f t="shared" si="8"/>
        <v>6480</v>
      </c>
      <c r="P10" s="51">
        <f t="shared" si="8"/>
        <v>90000</v>
      </c>
      <c r="Q10" s="51">
        <f t="shared" si="8"/>
        <v>3333.3333333333335</v>
      </c>
      <c r="R10" s="51">
        <f t="shared" si="8"/>
        <v>2571.4285714285716</v>
      </c>
      <c r="S10" s="51">
        <f t="shared" si="8"/>
        <v>0</v>
      </c>
      <c r="T10" s="51">
        <f t="shared" si="8"/>
        <v>450</v>
      </c>
      <c r="U10" s="51">
        <f t="shared" si="8"/>
        <v>1875</v>
      </c>
      <c r="V10" s="51">
        <f t="shared" si="8"/>
        <v>50</v>
      </c>
      <c r="W10" s="51">
        <f t="shared" si="8"/>
        <v>137.5</v>
      </c>
      <c r="X10" s="55">
        <f t="shared" si="8"/>
        <v>7142.8571428571431</v>
      </c>
      <c r="Y10" s="59">
        <f t="shared" si="1"/>
        <v>30314</v>
      </c>
      <c r="Z10" s="73">
        <f t="shared" si="2"/>
        <v>119240.11904761904</v>
      </c>
      <c r="AA10" s="73">
        <f t="shared" si="3"/>
        <v>149554.11904761905</v>
      </c>
      <c r="AB10" s="103">
        <v>160000</v>
      </c>
      <c r="AE10" s="98">
        <f>453</f>
        <v>453</v>
      </c>
      <c r="AF10" s="98" t="s">
        <v>169</v>
      </c>
      <c r="AG10" s="98"/>
    </row>
    <row r="11" spans="1:33" x14ac:dyDescent="0.25">
      <c r="A11" s="30" t="s">
        <v>60</v>
      </c>
      <c r="B11" s="31" t="s">
        <v>23</v>
      </c>
      <c r="C11" s="2"/>
      <c r="F11" s="51">
        <f>F24+F25+F26</f>
        <v>0</v>
      </c>
      <c r="G11" s="51">
        <f t="shared" ref="G11:X11" si="9">G24+G25+G26</f>
        <v>0</v>
      </c>
      <c r="H11" s="51">
        <f t="shared" si="9"/>
        <v>0</v>
      </c>
      <c r="I11" s="51">
        <f t="shared" si="9"/>
        <v>0</v>
      </c>
      <c r="J11" s="51">
        <f t="shared" si="9"/>
        <v>1347.3</v>
      </c>
      <c r="K11" s="51">
        <f t="shared" si="9"/>
        <v>1745</v>
      </c>
      <c r="L11" s="52">
        <f t="shared" si="9"/>
        <v>0</v>
      </c>
      <c r="M11" s="51">
        <f t="shared" si="9"/>
        <v>0</v>
      </c>
      <c r="N11" s="51">
        <f t="shared" si="9"/>
        <v>1400</v>
      </c>
      <c r="O11" s="51">
        <f t="shared" si="9"/>
        <v>0</v>
      </c>
      <c r="P11" s="51">
        <f t="shared" si="9"/>
        <v>0</v>
      </c>
      <c r="Q11" s="51">
        <f t="shared" si="9"/>
        <v>0</v>
      </c>
      <c r="R11" s="51">
        <f t="shared" si="9"/>
        <v>0</v>
      </c>
      <c r="S11" s="51">
        <f t="shared" si="9"/>
        <v>245</v>
      </c>
      <c r="T11" s="51">
        <f t="shared" si="9"/>
        <v>650</v>
      </c>
      <c r="U11" s="51">
        <f t="shared" si="9"/>
        <v>0</v>
      </c>
      <c r="V11" s="51">
        <f t="shared" si="9"/>
        <v>100</v>
      </c>
      <c r="W11" s="51">
        <f t="shared" si="9"/>
        <v>0</v>
      </c>
      <c r="X11" s="55">
        <f t="shared" si="9"/>
        <v>100</v>
      </c>
      <c r="Y11" s="59">
        <f t="shared" si="1"/>
        <v>3092.3</v>
      </c>
      <c r="Z11" s="73">
        <f t="shared" si="2"/>
        <v>2495</v>
      </c>
      <c r="AA11" s="73">
        <f t="shared" si="3"/>
        <v>5587.3</v>
      </c>
      <c r="AC11" t="s">
        <v>14</v>
      </c>
      <c r="AE11">
        <f>AE9/AE10*1000</f>
        <v>527.59381898454751</v>
      </c>
      <c r="AF11" t="s">
        <v>170</v>
      </c>
    </row>
    <row r="12" spans="1:33" x14ac:dyDescent="0.25">
      <c r="A12" s="30" t="s">
        <v>60</v>
      </c>
      <c r="B12" s="31" t="s">
        <v>65</v>
      </c>
      <c r="C12" s="46"/>
      <c r="F12" s="51">
        <f>F27+F28+F29</f>
        <v>0</v>
      </c>
      <c r="G12" s="51">
        <f t="shared" ref="G12:X12" si="10">G27+G28+G29</f>
        <v>0</v>
      </c>
      <c r="H12" s="51">
        <f t="shared" si="10"/>
        <v>0</v>
      </c>
      <c r="I12" s="51">
        <f t="shared" si="10"/>
        <v>0</v>
      </c>
      <c r="J12" s="51">
        <f t="shared" si="10"/>
        <v>4583.3333333333339</v>
      </c>
      <c r="K12" s="51">
        <f t="shared" si="10"/>
        <v>0</v>
      </c>
      <c r="L12" s="52">
        <f t="shared" si="10"/>
        <v>272222.22222222225</v>
      </c>
      <c r="M12" s="51">
        <f t="shared" si="10"/>
        <v>11250</v>
      </c>
      <c r="N12" s="51">
        <f t="shared" si="10"/>
        <v>0</v>
      </c>
      <c r="O12" s="51">
        <f t="shared" si="10"/>
        <v>0</v>
      </c>
      <c r="P12" s="51">
        <f t="shared" si="10"/>
        <v>0</v>
      </c>
      <c r="Q12" s="51">
        <f t="shared" si="10"/>
        <v>28000</v>
      </c>
      <c r="R12" s="51">
        <f t="shared" si="10"/>
        <v>16666.666666666668</v>
      </c>
      <c r="S12" s="51">
        <f t="shared" si="10"/>
        <v>0</v>
      </c>
      <c r="T12" s="51">
        <f t="shared" si="10"/>
        <v>17333.333333333336</v>
      </c>
      <c r="U12" s="51">
        <f t="shared" si="10"/>
        <v>20833.333333333336</v>
      </c>
      <c r="V12" s="51">
        <f t="shared" si="10"/>
        <v>4166.666666666667</v>
      </c>
      <c r="W12" s="51">
        <f t="shared" si="10"/>
        <v>7083.3333333333339</v>
      </c>
      <c r="X12" s="55">
        <f t="shared" si="10"/>
        <v>6666.666666666667</v>
      </c>
      <c r="Y12" s="59">
        <f t="shared" si="1"/>
        <v>4583.3333333333339</v>
      </c>
      <c r="Z12" s="73">
        <f t="shared" si="2"/>
        <v>112000.00000000001</v>
      </c>
      <c r="AA12" s="81">
        <f t="shared" si="3"/>
        <v>388805.55555555556</v>
      </c>
      <c r="AB12" s="91">
        <v>405000</v>
      </c>
      <c r="AC12">
        <f>32/330</f>
        <v>9.696969696969697E-2</v>
      </c>
      <c r="AD12" t="s">
        <v>100</v>
      </c>
    </row>
    <row r="13" spans="1:33" ht="15.75" thickBot="1" x14ac:dyDescent="0.3">
      <c r="A13" s="48" t="s">
        <v>60</v>
      </c>
      <c r="B13" s="49" t="s">
        <v>9</v>
      </c>
      <c r="C13" s="50"/>
      <c r="D13" s="50"/>
      <c r="E13" s="50"/>
      <c r="F13" s="53">
        <f>F30</f>
        <v>0</v>
      </c>
      <c r="G13" s="53">
        <f t="shared" ref="G13:X13" si="11">G30</f>
        <v>0</v>
      </c>
      <c r="H13" s="53">
        <f t="shared" si="11"/>
        <v>0</v>
      </c>
      <c r="I13" s="53">
        <f t="shared" si="11"/>
        <v>0</v>
      </c>
      <c r="J13" s="53">
        <f t="shared" si="11"/>
        <v>0</v>
      </c>
      <c r="K13" s="53">
        <f t="shared" si="11"/>
        <v>0</v>
      </c>
      <c r="L13" s="62">
        <f t="shared" si="11"/>
        <v>0</v>
      </c>
      <c r="M13" s="53">
        <f t="shared" si="11"/>
        <v>0</v>
      </c>
      <c r="N13" s="53">
        <f t="shared" si="11"/>
        <v>0</v>
      </c>
      <c r="O13" s="53">
        <f t="shared" si="11"/>
        <v>0</v>
      </c>
      <c r="P13" s="53">
        <f t="shared" si="11"/>
        <v>0</v>
      </c>
      <c r="Q13" s="53">
        <f t="shared" si="11"/>
        <v>0</v>
      </c>
      <c r="R13" s="53">
        <f t="shared" si="11"/>
        <v>0</v>
      </c>
      <c r="S13" s="53">
        <f t="shared" si="11"/>
        <v>0</v>
      </c>
      <c r="T13" s="53">
        <f t="shared" si="11"/>
        <v>0</v>
      </c>
      <c r="U13" s="53">
        <f t="shared" si="11"/>
        <v>0</v>
      </c>
      <c r="V13" s="53">
        <f t="shared" si="11"/>
        <v>760</v>
      </c>
      <c r="W13" s="53">
        <f t="shared" si="11"/>
        <v>0</v>
      </c>
      <c r="X13" s="75">
        <f t="shared" si="11"/>
        <v>1488.0952380952381</v>
      </c>
      <c r="Y13" s="60">
        <f t="shared" si="1"/>
        <v>0</v>
      </c>
      <c r="Z13" s="74">
        <f t="shared" si="2"/>
        <v>2248.0952380952381</v>
      </c>
      <c r="AA13" s="104">
        <v>2200</v>
      </c>
    </row>
    <row r="14" spans="1:33" ht="15.75" thickTop="1" x14ac:dyDescent="0.25">
      <c r="A14" s="15" t="s">
        <v>51</v>
      </c>
      <c r="B14" s="16" t="s">
        <v>52</v>
      </c>
      <c r="C14" s="16" t="s">
        <v>53</v>
      </c>
      <c r="D14" s="2"/>
      <c r="E14" s="2"/>
      <c r="F14" s="47">
        <v>0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63">
        <v>0</v>
      </c>
      <c r="M14" s="47">
        <v>0</v>
      </c>
      <c r="N14" s="47">
        <v>0</v>
      </c>
      <c r="O14" s="47">
        <v>0</v>
      </c>
      <c r="P14" s="47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57">
        <v>0</v>
      </c>
      <c r="Y14" s="61">
        <f t="shared" si="1"/>
        <v>0</v>
      </c>
      <c r="Z14" s="47">
        <f t="shared" si="2"/>
        <v>0</v>
      </c>
      <c r="AA14" s="47">
        <f t="shared" ref="AA14:AA45" si="12">L14+Y14+Z14</f>
        <v>0</v>
      </c>
    </row>
    <row r="15" spans="1:33" x14ac:dyDescent="0.25">
      <c r="A15" s="15" t="s">
        <v>51</v>
      </c>
      <c r="B15" s="16" t="s">
        <v>52</v>
      </c>
      <c r="C15" s="16" t="s">
        <v>54</v>
      </c>
      <c r="D15" s="2"/>
      <c r="E15" s="2"/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52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54">
        <v>0</v>
      </c>
      <c r="Y15" s="58">
        <f t="shared" si="1"/>
        <v>0</v>
      </c>
      <c r="Z15" s="1">
        <f t="shared" si="2"/>
        <v>0</v>
      </c>
      <c r="AA15" s="1">
        <f t="shared" si="12"/>
        <v>0</v>
      </c>
    </row>
    <row r="16" spans="1:33" x14ac:dyDescent="0.25">
      <c r="A16" s="15" t="s">
        <v>51</v>
      </c>
      <c r="B16" s="16" t="s">
        <v>52</v>
      </c>
      <c r="C16" s="16" t="s">
        <v>55</v>
      </c>
      <c r="D16" s="2"/>
      <c r="E16" s="2"/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52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54">
        <v>0</v>
      </c>
      <c r="Y16" s="58">
        <f t="shared" si="1"/>
        <v>0</v>
      </c>
      <c r="Z16" s="1">
        <f t="shared" si="2"/>
        <v>0</v>
      </c>
      <c r="AA16" s="1">
        <f t="shared" si="12"/>
        <v>0</v>
      </c>
    </row>
    <row r="17" spans="1:34" x14ac:dyDescent="0.25">
      <c r="A17" s="25" t="s">
        <v>51</v>
      </c>
      <c r="B17" s="26" t="s">
        <v>56</v>
      </c>
      <c r="C17" s="26" t="s">
        <v>57</v>
      </c>
      <c r="D17" s="2"/>
      <c r="E17" s="2"/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52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54">
        <v>0</v>
      </c>
      <c r="Y17" s="58">
        <f t="shared" si="1"/>
        <v>0</v>
      </c>
      <c r="Z17" s="1">
        <f t="shared" si="2"/>
        <v>0</v>
      </c>
      <c r="AA17" s="1">
        <f t="shared" si="12"/>
        <v>0</v>
      </c>
    </row>
    <row r="18" spans="1:34" x14ac:dyDescent="0.25">
      <c r="A18" s="15" t="s">
        <v>51</v>
      </c>
      <c r="B18" s="16" t="s">
        <v>56</v>
      </c>
      <c r="C18" s="27" t="s">
        <v>58</v>
      </c>
      <c r="D18" s="2"/>
      <c r="E18" s="2"/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52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54">
        <v>0</v>
      </c>
      <c r="Y18" s="58">
        <f t="shared" si="1"/>
        <v>0</v>
      </c>
      <c r="Z18" s="1">
        <f t="shared" si="2"/>
        <v>0</v>
      </c>
      <c r="AA18" s="1">
        <f t="shared" si="12"/>
        <v>0</v>
      </c>
    </row>
    <row r="19" spans="1:34" x14ac:dyDescent="0.25">
      <c r="A19" s="15" t="s">
        <v>51</v>
      </c>
      <c r="B19" s="16" t="s">
        <v>9</v>
      </c>
      <c r="C19" s="27" t="s">
        <v>59</v>
      </c>
      <c r="D19" s="2"/>
      <c r="E19" s="2"/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52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54">
        <v>0</v>
      </c>
      <c r="Y19" s="58">
        <f t="shared" si="1"/>
        <v>0</v>
      </c>
      <c r="Z19" s="1">
        <f t="shared" si="2"/>
        <v>0</v>
      </c>
      <c r="AA19" s="1">
        <f t="shared" si="12"/>
        <v>0</v>
      </c>
    </row>
    <row r="20" spans="1:34" x14ac:dyDescent="0.25">
      <c r="A20" s="15" t="s">
        <v>51</v>
      </c>
      <c r="B20" s="16" t="s">
        <v>9</v>
      </c>
      <c r="C20" s="27" t="s">
        <v>9</v>
      </c>
      <c r="D20" s="2"/>
      <c r="E20" s="2"/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52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54">
        <v>0</v>
      </c>
      <c r="Y20" s="58">
        <f t="shared" si="1"/>
        <v>0</v>
      </c>
      <c r="Z20" s="1">
        <f t="shared" si="2"/>
        <v>0</v>
      </c>
      <c r="AA20" s="1">
        <f t="shared" si="12"/>
        <v>0</v>
      </c>
    </row>
    <row r="21" spans="1:34" x14ac:dyDescent="0.25">
      <c r="A21" s="28" t="s">
        <v>60</v>
      </c>
      <c r="B21" s="29" t="s">
        <v>13</v>
      </c>
      <c r="C21" s="29" t="s">
        <v>61</v>
      </c>
      <c r="D21" s="2"/>
      <c r="E21" s="2"/>
      <c r="F21" s="91">
        <f>8000*0.7</f>
        <v>5600</v>
      </c>
      <c r="G21" s="51">
        <v>0</v>
      </c>
      <c r="H21" s="91">
        <f>H10*0.25</f>
        <v>2744</v>
      </c>
      <c r="I21" s="91">
        <f>2940*1.2</f>
        <v>3528</v>
      </c>
      <c r="J21" s="91">
        <f>1950*1.4</f>
        <v>2730</v>
      </c>
      <c r="K21" s="91">
        <f>800*2</f>
        <v>1600</v>
      </c>
      <c r="L21" s="52">
        <v>0</v>
      </c>
      <c r="M21" s="103">
        <v>5000</v>
      </c>
      <c r="N21" s="91">
        <v>2200</v>
      </c>
      <c r="O21" s="91">
        <f>5400*1.2</f>
        <v>6480</v>
      </c>
      <c r="P21" s="91">
        <v>40000</v>
      </c>
      <c r="Q21" s="69">
        <f>Q66/Q111</f>
        <v>3333.3333333333335</v>
      </c>
      <c r="R21" s="69">
        <f>R66/R111</f>
        <v>2571.4285714285716</v>
      </c>
      <c r="S21" s="51">
        <v>0</v>
      </c>
      <c r="T21" s="69">
        <f>T66/T111</f>
        <v>450</v>
      </c>
      <c r="U21" s="69">
        <f>U66/U111</f>
        <v>1875</v>
      </c>
      <c r="V21" s="77">
        <v>50</v>
      </c>
      <c r="W21" s="69">
        <f>W66/W111</f>
        <v>137.5</v>
      </c>
      <c r="X21" s="69">
        <f>X66/X111</f>
        <v>7142.8571428571431</v>
      </c>
      <c r="Y21" s="59">
        <f t="shared" si="1"/>
        <v>16202</v>
      </c>
      <c r="Z21" s="51">
        <f t="shared" si="2"/>
        <v>69240.119047619053</v>
      </c>
      <c r="AA21" s="51">
        <f t="shared" si="12"/>
        <v>85442.119047619053</v>
      </c>
      <c r="AD21" s="99" t="s">
        <v>135</v>
      </c>
      <c r="AE21" s="99" t="s">
        <v>136</v>
      </c>
      <c r="AF21" s="99" t="s">
        <v>137</v>
      </c>
    </row>
    <row r="22" spans="1:34" x14ac:dyDescent="0.25">
      <c r="A22" s="36" t="s">
        <v>60</v>
      </c>
      <c r="B22" s="37" t="s">
        <v>13</v>
      </c>
      <c r="C22" s="29" t="s">
        <v>62</v>
      </c>
      <c r="D22" s="2"/>
      <c r="E22" s="2"/>
      <c r="F22" s="91">
        <f>8000*0.3</f>
        <v>2400</v>
      </c>
      <c r="G22" s="103">
        <f>0.58*10000*0.6</f>
        <v>3480</v>
      </c>
      <c r="H22" s="91">
        <f>H10*0.75</f>
        <v>8232</v>
      </c>
      <c r="I22" s="51">
        <v>0</v>
      </c>
      <c r="J22" s="51">
        <v>0</v>
      </c>
      <c r="K22" s="51">
        <v>0</v>
      </c>
      <c r="L22" s="52">
        <v>0</v>
      </c>
      <c r="M22" s="51">
        <v>0</v>
      </c>
      <c r="N22" s="51">
        <v>0</v>
      </c>
      <c r="O22" s="91">
        <v>0</v>
      </c>
      <c r="P22" s="91">
        <v>50000</v>
      </c>
      <c r="Q22" s="51">
        <v>0</v>
      </c>
      <c r="R22" s="51">
        <v>0</v>
      </c>
      <c r="S22" s="51">
        <v>0</v>
      </c>
      <c r="T22" s="51">
        <v>0</v>
      </c>
      <c r="U22" s="51">
        <v>0</v>
      </c>
      <c r="V22" s="51">
        <v>0</v>
      </c>
      <c r="W22" s="51">
        <v>0</v>
      </c>
      <c r="X22" s="55">
        <v>0</v>
      </c>
      <c r="Y22" s="59">
        <f t="shared" si="1"/>
        <v>14112</v>
      </c>
      <c r="Z22" s="51">
        <f t="shared" si="2"/>
        <v>50000</v>
      </c>
      <c r="AA22" s="51">
        <f t="shared" si="12"/>
        <v>64112</v>
      </c>
      <c r="AB22">
        <v>14000</v>
      </c>
      <c r="AD22" s="99" t="s">
        <v>1</v>
      </c>
      <c r="AE22" s="99">
        <v>4000</v>
      </c>
      <c r="AF22" s="99">
        <v>3000</v>
      </c>
      <c r="AG22" s="99">
        <f>SUM(AE22:AF22)</f>
        <v>7000</v>
      </c>
    </row>
    <row r="23" spans="1:34" x14ac:dyDescent="0.25">
      <c r="A23" s="30" t="s">
        <v>60</v>
      </c>
      <c r="B23" s="31" t="s">
        <v>13</v>
      </c>
      <c r="C23" s="32" t="s">
        <v>63</v>
      </c>
      <c r="D23" s="2"/>
      <c r="E23" s="2"/>
      <c r="F23" s="51">
        <v>0</v>
      </c>
      <c r="G23" s="51">
        <v>0</v>
      </c>
      <c r="H23" s="51"/>
      <c r="I23" s="51">
        <v>0</v>
      </c>
      <c r="J23" s="51">
        <v>0</v>
      </c>
      <c r="K23" s="51">
        <v>0</v>
      </c>
      <c r="L23" s="52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55">
        <v>0</v>
      </c>
      <c r="Y23" s="59">
        <f t="shared" si="1"/>
        <v>0</v>
      </c>
      <c r="Z23" s="51">
        <f t="shared" si="2"/>
        <v>0</v>
      </c>
      <c r="AA23" s="51">
        <f t="shared" si="12"/>
        <v>0</v>
      </c>
      <c r="AD23" s="99" t="s">
        <v>18</v>
      </c>
      <c r="AE23" s="99"/>
      <c r="AF23" s="99"/>
      <c r="AG23" s="99">
        <v>2300</v>
      </c>
    </row>
    <row r="24" spans="1:34" x14ac:dyDescent="0.25">
      <c r="A24" s="30" t="s">
        <v>60</v>
      </c>
      <c r="B24" s="32" t="s">
        <v>23</v>
      </c>
      <c r="C24" s="31" t="s">
        <v>50</v>
      </c>
      <c r="D24" s="2"/>
      <c r="E24" s="2"/>
      <c r="F24" s="77">
        <f>F204*F159</f>
        <v>0</v>
      </c>
      <c r="G24" s="51">
        <v>0</v>
      </c>
      <c r="H24" s="51">
        <v>0</v>
      </c>
      <c r="I24" s="51">
        <v>0</v>
      </c>
      <c r="J24" s="77">
        <f>J21*0.01</f>
        <v>27.3</v>
      </c>
      <c r="K24" s="64">
        <v>1500</v>
      </c>
      <c r="L24" s="52">
        <v>0</v>
      </c>
      <c r="M24" s="51">
        <v>0</v>
      </c>
      <c r="N24" s="91">
        <v>1400</v>
      </c>
      <c r="O24" s="51">
        <v>0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51">
        <v>0</v>
      </c>
      <c r="X24" s="55">
        <v>0</v>
      </c>
      <c r="Y24" s="59">
        <f t="shared" si="1"/>
        <v>1527.3</v>
      </c>
      <c r="Z24" s="51">
        <f t="shared" si="2"/>
        <v>1400</v>
      </c>
      <c r="AA24" s="103">
        <v>3700</v>
      </c>
      <c r="AD24" s="99" t="s">
        <v>35</v>
      </c>
      <c r="AF24" s="99">
        <v>0.04</v>
      </c>
      <c r="AG24" s="99">
        <v>0.15</v>
      </c>
    </row>
    <row r="25" spans="1:34" x14ac:dyDescent="0.25">
      <c r="A25" s="30" t="s">
        <v>60</v>
      </c>
      <c r="B25" s="32" t="s">
        <v>23</v>
      </c>
      <c r="C25" s="31" t="s">
        <v>49</v>
      </c>
      <c r="D25" s="2"/>
      <c r="E25" s="2"/>
      <c r="F25" s="51">
        <v>0</v>
      </c>
      <c r="G25" s="51">
        <v>0</v>
      </c>
      <c r="H25" s="51">
        <v>0</v>
      </c>
      <c r="I25" s="51">
        <v>0</v>
      </c>
      <c r="J25" s="83">
        <f>1650*0.8</f>
        <v>1320</v>
      </c>
      <c r="K25" s="64">
        <f>2450*0.1</f>
        <v>245</v>
      </c>
      <c r="L25" s="52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51">
        <v>0</v>
      </c>
      <c r="S25" s="64">
        <v>245</v>
      </c>
      <c r="T25" s="77">
        <v>650</v>
      </c>
      <c r="U25" s="51">
        <v>0</v>
      </c>
      <c r="V25" s="77">
        <v>100</v>
      </c>
      <c r="W25" s="51">
        <v>0</v>
      </c>
      <c r="X25" s="77">
        <v>100</v>
      </c>
      <c r="Y25" s="59">
        <f t="shared" si="1"/>
        <v>1565</v>
      </c>
      <c r="Z25" s="51">
        <f t="shared" si="2"/>
        <v>1095</v>
      </c>
      <c r="AA25" s="51">
        <f t="shared" si="12"/>
        <v>2660</v>
      </c>
      <c r="AB25" s="103">
        <v>2450</v>
      </c>
      <c r="AC25" t="s">
        <v>129</v>
      </c>
      <c r="AE25" s="99" t="s">
        <v>17</v>
      </c>
      <c r="AF25" s="99">
        <f>AF22/AF24</f>
        <v>75000</v>
      </c>
      <c r="AG25" s="99">
        <f>AG22/AG24</f>
        <v>46666.666666666672</v>
      </c>
    </row>
    <row r="26" spans="1:34" x14ac:dyDescent="0.25">
      <c r="A26" s="30" t="s">
        <v>60</v>
      </c>
      <c r="B26" s="32" t="s">
        <v>23</v>
      </c>
      <c r="C26" s="31" t="s">
        <v>64</v>
      </c>
      <c r="D26" s="2"/>
      <c r="E26" s="2"/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2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  <c r="V26" s="51">
        <v>0</v>
      </c>
      <c r="W26" s="51">
        <v>0</v>
      </c>
      <c r="X26" s="55">
        <v>0</v>
      </c>
      <c r="Y26" s="59">
        <f t="shared" si="1"/>
        <v>0</v>
      </c>
      <c r="Z26" s="51">
        <f t="shared" si="2"/>
        <v>0</v>
      </c>
      <c r="AA26" s="51">
        <f t="shared" si="12"/>
        <v>0</v>
      </c>
    </row>
    <row r="27" spans="1:34" x14ac:dyDescent="0.25">
      <c r="A27" s="30" t="s">
        <v>60</v>
      </c>
      <c r="B27" s="32" t="s">
        <v>65</v>
      </c>
      <c r="C27" s="31" t="s">
        <v>66</v>
      </c>
      <c r="D27" s="2"/>
      <c r="E27" s="2">
        <f>4/18</f>
        <v>0.22222222222222221</v>
      </c>
      <c r="F27" s="51">
        <v>0</v>
      </c>
      <c r="G27" s="51">
        <v>0</v>
      </c>
      <c r="H27" s="51">
        <v>0</v>
      </c>
      <c r="I27" s="51">
        <v>0</v>
      </c>
      <c r="J27" s="81">
        <f>J72/J117</f>
        <v>4583.3333333333339</v>
      </c>
      <c r="K27" s="51">
        <v>0</v>
      </c>
      <c r="L27" s="52">
        <v>0</v>
      </c>
      <c r="M27" s="81">
        <f>M72/M117</f>
        <v>11250</v>
      </c>
      <c r="N27" s="51">
        <v>0</v>
      </c>
      <c r="O27" s="51">
        <v>0</v>
      </c>
      <c r="P27" s="51">
        <v>0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51">
        <v>0</v>
      </c>
      <c r="X27" s="55">
        <v>0</v>
      </c>
      <c r="Y27" s="59">
        <f t="shared" si="1"/>
        <v>4583.3333333333339</v>
      </c>
      <c r="Z27" s="51">
        <f t="shared" si="2"/>
        <v>11250</v>
      </c>
      <c r="AA27" s="51">
        <f t="shared" si="12"/>
        <v>15833.333333333334</v>
      </c>
    </row>
    <row r="28" spans="1:34" x14ac:dyDescent="0.25">
      <c r="A28" s="30" t="s">
        <v>60</v>
      </c>
      <c r="B28" s="32" t="s">
        <v>65</v>
      </c>
      <c r="C28" s="31" t="s">
        <v>67</v>
      </c>
      <c r="D28" s="2"/>
      <c r="E28" s="2"/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2">
        <v>0</v>
      </c>
      <c r="M28" s="51">
        <v>0</v>
      </c>
      <c r="N28" s="51">
        <v>0</v>
      </c>
      <c r="O28" s="51">
        <v>0</v>
      </c>
      <c r="P28" s="51">
        <v>0</v>
      </c>
      <c r="Q28" s="81">
        <f>Q73/Q118</f>
        <v>28000</v>
      </c>
      <c r="R28" s="81">
        <f>R73/R118</f>
        <v>16666.666666666668</v>
      </c>
      <c r="S28" s="51">
        <v>0</v>
      </c>
      <c r="T28" s="81">
        <f>T73/T118</f>
        <v>17333.333333333336</v>
      </c>
      <c r="U28" s="81">
        <f>U73/U118</f>
        <v>20833.333333333336</v>
      </c>
      <c r="V28" s="81">
        <f>V73/V118</f>
        <v>4166.666666666667</v>
      </c>
      <c r="W28" s="81">
        <f>W73/W118</f>
        <v>7083.3333333333339</v>
      </c>
      <c r="X28" s="81">
        <f>X73/X118</f>
        <v>6666.666666666667</v>
      </c>
      <c r="Y28" s="59">
        <f t="shared" si="1"/>
        <v>0</v>
      </c>
      <c r="Z28" s="51">
        <f t="shared" si="2"/>
        <v>100750.00000000001</v>
      </c>
      <c r="AA28" s="51">
        <f t="shared" si="12"/>
        <v>100750.00000000001</v>
      </c>
    </row>
    <row r="29" spans="1:34" x14ac:dyDescent="0.25">
      <c r="A29" s="30" t="s">
        <v>60</v>
      </c>
      <c r="B29" s="32" t="s">
        <v>65</v>
      </c>
      <c r="C29" s="31" t="s">
        <v>68</v>
      </c>
      <c r="D29" s="2"/>
      <c r="E29" s="2"/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81">
        <f>L74/L119</f>
        <v>272222.22222222225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  <c r="R29" s="51">
        <v>0</v>
      </c>
      <c r="S29" s="51">
        <v>0</v>
      </c>
      <c r="T29" s="51">
        <v>0</v>
      </c>
      <c r="U29" s="51">
        <v>0</v>
      </c>
      <c r="V29" s="51">
        <v>0</v>
      </c>
      <c r="W29" s="51">
        <v>0</v>
      </c>
      <c r="X29" s="55">
        <v>0</v>
      </c>
      <c r="Y29" s="59">
        <f t="shared" si="1"/>
        <v>0</v>
      </c>
      <c r="Z29" s="51">
        <f t="shared" si="2"/>
        <v>0</v>
      </c>
      <c r="AA29" s="51">
        <f t="shared" si="12"/>
        <v>272222.22222222225</v>
      </c>
    </row>
    <row r="30" spans="1:34" x14ac:dyDescent="0.25">
      <c r="A30" s="30" t="s">
        <v>60</v>
      </c>
      <c r="B30" s="32" t="s">
        <v>9</v>
      </c>
      <c r="C30" s="31" t="s">
        <v>69</v>
      </c>
      <c r="D30" s="2"/>
      <c r="E30" s="2"/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2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  <c r="R30" s="51">
        <v>0</v>
      </c>
      <c r="S30" s="51">
        <v>0</v>
      </c>
      <c r="T30" s="51">
        <v>0</v>
      </c>
      <c r="U30" s="51">
        <v>0</v>
      </c>
      <c r="V30" s="96">
        <v>760</v>
      </c>
      <c r="W30" s="51">
        <v>0</v>
      </c>
      <c r="X30" s="81">
        <f>X75/X120</f>
        <v>1488.0952380952381</v>
      </c>
      <c r="Y30" s="59">
        <f t="shared" si="1"/>
        <v>0</v>
      </c>
      <c r="Z30" s="51">
        <f t="shared" si="2"/>
        <v>2248.0952380952381</v>
      </c>
      <c r="AA30" s="51">
        <f t="shared" si="12"/>
        <v>2248.0952380952381</v>
      </c>
    </row>
    <row r="31" spans="1:34" x14ac:dyDescent="0.25">
      <c r="A31" s="15" t="s">
        <v>51</v>
      </c>
      <c r="B31" s="16" t="s">
        <v>56</v>
      </c>
      <c r="C31" s="27" t="s">
        <v>57</v>
      </c>
      <c r="D31" s="16" t="s">
        <v>70</v>
      </c>
      <c r="E31" s="43"/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52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54">
        <v>0</v>
      </c>
      <c r="Y31" s="58">
        <f t="shared" si="1"/>
        <v>0</v>
      </c>
      <c r="Z31" s="1">
        <f t="shared" si="2"/>
        <v>0</v>
      </c>
      <c r="AA31" s="1">
        <f t="shared" si="12"/>
        <v>0</v>
      </c>
      <c r="AH31">
        <f>52/128*2000</f>
        <v>812.5</v>
      </c>
    </row>
    <row r="32" spans="1:34" x14ac:dyDescent="0.25">
      <c r="A32" s="15" t="s">
        <v>51</v>
      </c>
      <c r="B32" s="16" t="s">
        <v>56</v>
      </c>
      <c r="C32" s="27" t="s">
        <v>57</v>
      </c>
      <c r="D32" s="16" t="s">
        <v>71</v>
      </c>
      <c r="E32" s="43"/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52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54">
        <v>0</v>
      </c>
      <c r="Y32" s="58">
        <f t="shared" si="1"/>
        <v>0</v>
      </c>
      <c r="Z32" s="1">
        <f t="shared" si="2"/>
        <v>0</v>
      </c>
      <c r="AA32" s="1">
        <f t="shared" si="12"/>
        <v>0</v>
      </c>
    </row>
    <row r="33" spans="1:35" x14ac:dyDescent="0.25">
      <c r="A33" s="15" t="s">
        <v>51</v>
      </c>
      <c r="B33" s="16" t="s">
        <v>56</v>
      </c>
      <c r="C33" s="27" t="s">
        <v>27</v>
      </c>
      <c r="D33" s="16" t="s">
        <v>72</v>
      </c>
      <c r="E33" s="43"/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52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54">
        <v>0</v>
      </c>
      <c r="Y33" s="58">
        <f t="shared" si="1"/>
        <v>0</v>
      </c>
      <c r="Z33" s="1">
        <f t="shared" si="2"/>
        <v>0</v>
      </c>
      <c r="AA33" s="1">
        <f t="shared" si="12"/>
        <v>0</v>
      </c>
    </row>
    <row r="34" spans="1:35" x14ac:dyDescent="0.25">
      <c r="A34" s="15" t="s">
        <v>51</v>
      </c>
      <c r="B34" s="16" t="s">
        <v>56</v>
      </c>
      <c r="C34" s="27" t="s">
        <v>57</v>
      </c>
      <c r="D34" s="16" t="s">
        <v>73</v>
      </c>
      <c r="E34" s="43"/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52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54">
        <v>0</v>
      </c>
      <c r="Y34" s="58">
        <f t="shared" si="1"/>
        <v>0</v>
      </c>
      <c r="Z34" s="1">
        <f t="shared" si="2"/>
        <v>0</v>
      </c>
      <c r="AA34" s="1">
        <f t="shared" si="12"/>
        <v>0</v>
      </c>
    </row>
    <row r="35" spans="1:35" x14ac:dyDescent="0.25">
      <c r="A35" s="15" t="s">
        <v>51</v>
      </c>
      <c r="B35" s="16" t="s">
        <v>56</v>
      </c>
      <c r="C35" s="27" t="s">
        <v>57</v>
      </c>
      <c r="D35" s="16" t="s">
        <v>74</v>
      </c>
      <c r="E35" s="43"/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52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54">
        <v>0</v>
      </c>
      <c r="Y35" s="58">
        <f t="shared" si="1"/>
        <v>0</v>
      </c>
      <c r="Z35" s="1">
        <f t="shared" si="2"/>
        <v>0</v>
      </c>
      <c r="AA35" s="1">
        <f t="shared" si="12"/>
        <v>0</v>
      </c>
    </row>
    <row r="36" spans="1:35" x14ac:dyDescent="0.25">
      <c r="A36" s="30" t="s">
        <v>60</v>
      </c>
      <c r="B36" s="31" t="s">
        <v>13</v>
      </c>
      <c r="C36" s="32" t="s">
        <v>61</v>
      </c>
      <c r="D36" s="31" t="s">
        <v>75</v>
      </c>
      <c r="E36" s="72">
        <v>0.12</v>
      </c>
      <c r="F36" s="51">
        <f>F21*0.9</f>
        <v>5040</v>
      </c>
      <c r="G36" s="73"/>
      <c r="H36" s="51">
        <f>H21</f>
        <v>2744</v>
      </c>
      <c r="I36" s="51">
        <f>I21*0.9</f>
        <v>3175.2000000000003</v>
      </c>
      <c r="J36" s="51">
        <f>J21*0.3</f>
        <v>819</v>
      </c>
      <c r="K36" s="51">
        <f>K21*0.8</f>
        <v>1280</v>
      </c>
      <c r="L36" s="52">
        <v>0</v>
      </c>
      <c r="M36" s="73">
        <f>M21*0.1</f>
        <v>500</v>
      </c>
      <c r="N36" s="73">
        <v>0</v>
      </c>
      <c r="O36" s="73">
        <v>0</v>
      </c>
      <c r="P36" s="73">
        <v>0</v>
      </c>
      <c r="Q36" s="73"/>
      <c r="R36" s="73"/>
      <c r="S36" s="51"/>
      <c r="T36" s="51"/>
      <c r="U36" s="51"/>
      <c r="V36" s="51"/>
      <c r="W36" s="51">
        <f>W21</f>
        <v>137.5</v>
      </c>
      <c r="X36" s="55">
        <f>X21*0.1</f>
        <v>714.28571428571433</v>
      </c>
      <c r="Y36" s="108">
        <f t="shared" si="1"/>
        <v>13058.2</v>
      </c>
      <c r="Z36" s="73">
        <f t="shared" si="2"/>
        <v>1351.7857142857142</v>
      </c>
      <c r="AA36" s="73">
        <f t="shared" si="12"/>
        <v>14409.985714285714</v>
      </c>
      <c r="AB36">
        <f>AA36/AA$10</f>
        <v>9.6352984498524419E-2</v>
      </c>
      <c r="AC36" s="71"/>
      <c r="AF36" s="70"/>
      <c r="AG36" s="70"/>
      <c r="AH36" s="70"/>
      <c r="AI36" s="70"/>
    </row>
    <row r="37" spans="1:35" x14ac:dyDescent="0.25">
      <c r="A37" s="30" t="s">
        <v>60</v>
      </c>
      <c r="B37" s="31" t="s">
        <v>13</v>
      </c>
      <c r="C37" s="32" t="s">
        <v>61</v>
      </c>
      <c r="D37" s="31" t="s">
        <v>76</v>
      </c>
      <c r="E37" s="72">
        <v>0.6</v>
      </c>
      <c r="F37" s="51">
        <f>F21*0.1</f>
        <v>560</v>
      </c>
      <c r="G37" s="51">
        <v>0</v>
      </c>
      <c r="H37" s="51">
        <v>0</v>
      </c>
      <c r="I37" s="51">
        <f>I21*0.05</f>
        <v>176.4</v>
      </c>
      <c r="J37" s="51">
        <f>J21*0.7</f>
        <v>1910.9999999999998</v>
      </c>
      <c r="K37" s="51">
        <f>K21*0.05</f>
        <v>80</v>
      </c>
      <c r="L37" s="52">
        <v>0</v>
      </c>
      <c r="M37" s="73">
        <f>M21*0.5</f>
        <v>2500</v>
      </c>
      <c r="N37" s="73">
        <f>N21</f>
        <v>2200</v>
      </c>
      <c r="O37" s="73">
        <f>O21*0.5</f>
        <v>3240</v>
      </c>
      <c r="P37" s="73">
        <f>P21*0.44</f>
        <v>17600</v>
      </c>
      <c r="Q37" s="73"/>
      <c r="R37" s="73">
        <f>R21</f>
        <v>2571.4285714285716</v>
      </c>
      <c r="S37" s="51"/>
      <c r="T37" s="51"/>
      <c r="U37" s="51"/>
      <c r="V37" s="51"/>
      <c r="W37" s="51"/>
      <c r="X37" s="55">
        <f>X21*0.1</f>
        <v>714.28571428571433</v>
      </c>
      <c r="Y37" s="108">
        <f t="shared" si="1"/>
        <v>2727.3999999999996</v>
      </c>
      <c r="Z37" s="73">
        <f t="shared" si="2"/>
        <v>28825.714285714286</v>
      </c>
      <c r="AA37" s="73">
        <f t="shared" si="12"/>
        <v>31553.114285714284</v>
      </c>
      <c r="AB37">
        <f t="shared" ref="AB37:AB44" si="13">AA37/AA$10</f>
        <v>0.21098124536220603</v>
      </c>
      <c r="AC37" s="71"/>
      <c r="AF37" s="70"/>
      <c r="AG37" s="70"/>
      <c r="AH37" s="70"/>
      <c r="AI37" s="70"/>
    </row>
    <row r="38" spans="1:35" x14ac:dyDescent="0.25">
      <c r="A38" s="30" t="s">
        <v>60</v>
      </c>
      <c r="B38" s="31" t="s">
        <v>13</v>
      </c>
      <c r="C38" s="32" t="s">
        <v>61</v>
      </c>
      <c r="D38" s="31" t="s">
        <v>77</v>
      </c>
      <c r="E38" s="72">
        <v>0.24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f>K21*0.1</f>
        <v>160</v>
      </c>
      <c r="L38" s="52">
        <v>0</v>
      </c>
      <c r="M38" s="73">
        <f>M21*0.4</f>
        <v>2000</v>
      </c>
      <c r="N38" s="73">
        <v>0</v>
      </c>
      <c r="O38" s="73">
        <f>O21*0.5</f>
        <v>3240</v>
      </c>
      <c r="P38" s="73">
        <f>P21*0.55</f>
        <v>22000</v>
      </c>
      <c r="Q38" s="73"/>
      <c r="R38" s="73"/>
      <c r="S38" s="51"/>
      <c r="T38" s="51">
        <f>T21</f>
        <v>450</v>
      </c>
      <c r="U38" s="51">
        <f>U21</f>
        <v>1875</v>
      </c>
      <c r="V38" s="51"/>
      <c r="W38" s="51"/>
      <c r="X38" s="55">
        <f>X21*0.7</f>
        <v>5000</v>
      </c>
      <c r="Y38" s="108">
        <f t="shared" si="1"/>
        <v>160</v>
      </c>
      <c r="Z38" s="73">
        <f t="shared" si="2"/>
        <v>34565</v>
      </c>
      <c r="AA38" s="73">
        <f t="shared" si="12"/>
        <v>34725</v>
      </c>
      <c r="AB38">
        <f t="shared" si="13"/>
        <v>0.23219019456724774</v>
      </c>
      <c r="AC38" s="71"/>
      <c r="AF38" s="70"/>
      <c r="AG38" s="70"/>
      <c r="AH38" s="70"/>
      <c r="AI38" s="70"/>
    </row>
    <row r="39" spans="1:35" x14ac:dyDescent="0.25">
      <c r="A39" s="30" t="s">
        <v>60</v>
      </c>
      <c r="B39" s="31" t="s">
        <v>13</v>
      </c>
      <c r="C39" s="32" t="s">
        <v>61</v>
      </c>
      <c r="D39" s="31" t="s">
        <v>78</v>
      </c>
      <c r="E39" s="72">
        <v>0.04</v>
      </c>
      <c r="F39" s="51">
        <v>0</v>
      </c>
      <c r="G39" s="51">
        <v>0</v>
      </c>
      <c r="H39" s="51">
        <v>0</v>
      </c>
      <c r="I39" s="51">
        <f>I21*0.05</f>
        <v>176.4</v>
      </c>
      <c r="J39" s="51">
        <v>0</v>
      </c>
      <c r="K39" s="51">
        <f>K21*0.05</f>
        <v>80</v>
      </c>
      <c r="L39" s="52">
        <v>0</v>
      </c>
      <c r="M39" s="73">
        <f>M21*0</f>
        <v>0</v>
      </c>
      <c r="N39" s="73">
        <v>0</v>
      </c>
      <c r="O39" s="73">
        <f>O21*0</f>
        <v>0</v>
      </c>
      <c r="P39" s="73">
        <f>(P21)*0.01</f>
        <v>400</v>
      </c>
      <c r="Q39" s="73">
        <f>Q21</f>
        <v>3333.3333333333335</v>
      </c>
      <c r="R39" s="73"/>
      <c r="S39" s="51"/>
      <c r="T39" s="51"/>
      <c r="U39" s="51"/>
      <c r="V39" s="51"/>
      <c r="W39" s="51"/>
      <c r="X39" s="55">
        <f>X21*0.1</f>
        <v>714.28571428571433</v>
      </c>
      <c r="Y39" s="108">
        <f t="shared" si="1"/>
        <v>256.39999999999998</v>
      </c>
      <c r="Z39" s="73">
        <f t="shared" si="2"/>
        <v>4447.6190476190477</v>
      </c>
      <c r="AA39" s="73">
        <f t="shared" si="12"/>
        <v>4704.0190476190473</v>
      </c>
      <c r="AB39">
        <f t="shared" si="13"/>
        <v>3.1453624130013132E-2</v>
      </c>
      <c r="AC39" s="71"/>
      <c r="AF39" s="70"/>
      <c r="AG39" s="70"/>
      <c r="AH39" s="70"/>
      <c r="AI39" s="70"/>
    </row>
    <row r="40" spans="1:35" ht="15.75" thickBot="1" x14ac:dyDescent="0.3">
      <c r="A40" s="33" t="s">
        <v>60</v>
      </c>
      <c r="B40" s="34" t="s">
        <v>13</v>
      </c>
      <c r="C40" s="35" t="s">
        <v>61</v>
      </c>
      <c r="D40" s="34" t="s">
        <v>79</v>
      </c>
      <c r="E40" s="43"/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2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  <c r="V40" s="51">
        <v>0</v>
      </c>
      <c r="W40" s="51">
        <v>0</v>
      </c>
      <c r="X40" s="55">
        <v>0</v>
      </c>
      <c r="Y40" s="108">
        <f t="shared" si="1"/>
        <v>0</v>
      </c>
      <c r="Z40" s="73">
        <f t="shared" si="2"/>
        <v>0</v>
      </c>
      <c r="AA40" s="73">
        <f t="shared" si="12"/>
        <v>0</v>
      </c>
      <c r="AB40">
        <f t="shared" si="13"/>
        <v>0</v>
      </c>
      <c r="AF40" s="70"/>
      <c r="AG40" s="70"/>
      <c r="AH40" s="70"/>
      <c r="AI40" s="70"/>
    </row>
    <row r="41" spans="1:35" x14ac:dyDescent="0.25">
      <c r="A41" s="30" t="s">
        <v>60</v>
      </c>
      <c r="B41" s="31" t="s">
        <v>13</v>
      </c>
      <c r="C41" s="32" t="s">
        <v>62</v>
      </c>
      <c r="D41" s="31" t="s">
        <v>75</v>
      </c>
      <c r="E41" s="43"/>
      <c r="F41" s="51"/>
      <c r="G41" s="73">
        <f>G22</f>
        <v>3480</v>
      </c>
      <c r="H41" s="51">
        <f>H22*0.2</f>
        <v>1646.4</v>
      </c>
      <c r="I41" s="51">
        <v>0</v>
      </c>
      <c r="J41" s="51">
        <v>0</v>
      </c>
      <c r="K41" s="51">
        <v>0</v>
      </c>
      <c r="L41" s="52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  <c r="R41" s="51">
        <v>0</v>
      </c>
      <c r="S41" s="51">
        <v>0</v>
      </c>
      <c r="T41" s="51">
        <v>0</v>
      </c>
      <c r="U41" s="51">
        <v>0</v>
      </c>
      <c r="V41" s="51">
        <v>0</v>
      </c>
      <c r="W41" s="51">
        <v>0</v>
      </c>
      <c r="X41" s="55">
        <v>0</v>
      </c>
      <c r="Y41" s="108">
        <f t="shared" si="1"/>
        <v>5126.3999999999996</v>
      </c>
      <c r="Z41" s="73">
        <f t="shared" si="2"/>
        <v>0</v>
      </c>
      <c r="AA41" s="73">
        <f t="shared" si="12"/>
        <v>5126.3999999999996</v>
      </c>
      <c r="AB41">
        <f t="shared" si="13"/>
        <v>3.4277892395379088E-2</v>
      </c>
      <c r="AF41" s="70"/>
      <c r="AG41" s="70"/>
      <c r="AH41" s="70"/>
      <c r="AI41" s="70"/>
    </row>
    <row r="42" spans="1:35" x14ac:dyDescent="0.25">
      <c r="A42" s="30" t="s">
        <v>60</v>
      </c>
      <c r="B42" s="31" t="s">
        <v>13</v>
      </c>
      <c r="C42" s="32" t="s">
        <v>62</v>
      </c>
      <c r="D42" s="31" t="s">
        <v>76</v>
      </c>
      <c r="E42" s="43"/>
      <c r="F42" s="51">
        <f>F22</f>
        <v>2400</v>
      </c>
      <c r="G42" s="51">
        <f>G22*0</f>
        <v>0</v>
      </c>
      <c r="H42" s="51">
        <f>H22*0.8</f>
        <v>6585.6</v>
      </c>
      <c r="I42" s="51">
        <v>0</v>
      </c>
      <c r="J42" s="51">
        <v>0</v>
      </c>
      <c r="K42" s="51">
        <v>0</v>
      </c>
      <c r="L42" s="52">
        <v>0</v>
      </c>
      <c r="M42" s="51">
        <v>0</v>
      </c>
      <c r="N42" s="51">
        <v>0</v>
      </c>
      <c r="O42" s="51">
        <v>0</v>
      </c>
      <c r="P42" s="51">
        <f>P22</f>
        <v>50000</v>
      </c>
      <c r="Q42" s="51">
        <v>0</v>
      </c>
      <c r="R42" s="51">
        <v>0</v>
      </c>
      <c r="S42" s="51">
        <v>0</v>
      </c>
      <c r="T42" s="51">
        <v>0</v>
      </c>
      <c r="U42" s="51">
        <v>0</v>
      </c>
      <c r="V42" s="51">
        <v>0</v>
      </c>
      <c r="W42" s="51">
        <v>0</v>
      </c>
      <c r="X42" s="55">
        <v>0</v>
      </c>
      <c r="Y42" s="108">
        <f t="shared" si="1"/>
        <v>8985.6</v>
      </c>
      <c r="Z42" s="73">
        <f t="shared" si="2"/>
        <v>50000</v>
      </c>
      <c r="AA42" s="73">
        <f t="shared" si="12"/>
        <v>58985.599999999999</v>
      </c>
      <c r="AB42">
        <f t="shared" si="13"/>
        <v>0.39440973191262341</v>
      </c>
    </row>
    <row r="43" spans="1:35" x14ac:dyDescent="0.25">
      <c r="A43" s="30" t="s">
        <v>60</v>
      </c>
      <c r="B43" s="31" t="s">
        <v>13</v>
      </c>
      <c r="C43" s="32" t="s">
        <v>62</v>
      </c>
      <c r="D43" s="31" t="s">
        <v>77</v>
      </c>
      <c r="E43" s="43"/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2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  <c r="R43" s="51">
        <v>0</v>
      </c>
      <c r="S43" s="51">
        <v>0</v>
      </c>
      <c r="T43" s="51">
        <v>0</v>
      </c>
      <c r="U43" s="51">
        <v>0</v>
      </c>
      <c r="V43" s="51">
        <v>0</v>
      </c>
      <c r="W43" s="51">
        <v>0</v>
      </c>
      <c r="X43" s="55">
        <v>0</v>
      </c>
      <c r="Y43" s="59">
        <f t="shared" si="1"/>
        <v>0</v>
      </c>
      <c r="Z43" s="51">
        <f t="shared" si="2"/>
        <v>0</v>
      </c>
      <c r="AA43" s="51">
        <f t="shared" si="12"/>
        <v>0</v>
      </c>
      <c r="AB43">
        <f t="shared" si="13"/>
        <v>0</v>
      </c>
    </row>
    <row r="44" spans="1:35" x14ac:dyDescent="0.25">
      <c r="A44" s="30" t="s">
        <v>60</v>
      </c>
      <c r="B44" s="31" t="s">
        <v>13</v>
      </c>
      <c r="C44" s="32" t="s">
        <v>62</v>
      </c>
      <c r="D44" s="31" t="s">
        <v>78</v>
      </c>
      <c r="E44" s="43"/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2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  <c r="R44" s="51">
        <v>0</v>
      </c>
      <c r="S44" s="51">
        <v>0</v>
      </c>
      <c r="T44" s="51">
        <v>0</v>
      </c>
      <c r="U44" s="51">
        <v>0</v>
      </c>
      <c r="V44" s="51">
        <v>0</v>
      </c>
      <c r="W44" s="51">
        <v>0</v>
      </c>
      <c r="X44" s="55">
        <v>0</v>
      </c>
      <c r="Y44" s="59">
        <f t="shared" si="1"/>
        <v>0</v>
      </c>
      <c r="Z44" s="51">
        <f t="shared" si="2"/>
        <v>0</v>
      </c>
      <c r="AA44" s="51">
        <f t="shared" si="12"/>
        <v>0</v>
      </c>
      <c r="AB44">
        <f t="shared" si="13"/>
        <v>0</v>
      </c>
    </row>
    <row r="45" spans="1:35" ht="15.75" thickBot="1" x14ac:dyDescent="0.3">
      <c r="A45" s="33" t="s">
        <v>60</v>
      </c>
      <c r="B45" s="34" t="s">
        <v>13</v>
      </c>
      <c r="C45" s="32" t="s">
        <v>62</v>
      </c>
      <c r="D45" s="34" t="s">
        <v>79</v>
      </c>
      <c r="E45" s="43"/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2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  <c r="R45" s="51">
        <v>0</v>
      </c>
      <c r="S45" s="51">
        <v>0</v>
      </c>
      <c r="T45" s="51">
        <v>0</v>
      </c>
      <c r="U45" s="51">
        <v>0</v>
      </c>
      <c r="V45" s="51">
        <v>0</v>
      </c>
      <c r="W45" s="51">
        <v>0</v>
      </c>
      <c r="X45" s="55">
        <v>0</v>
      </c>
      <c r="Y45" s="59">
        <f t="shared" si="1"/>
        <v>0</v>
      </c>
      <c r="Z45" s="51">
        <f t="shared" si="2"/>
        <v>0</v>
      </c>
      <c r="AA45" s="51">
        <f t="shared" si="12"/>
        <v>0</v>
      </c>
      <c r="AC45">
        <f>0.8/2.5*2</f>
        <v>0.64</v>
      </c>
    </row>
    <row r="47" spans="1:35" x14ac:dyDescent="0.25">
      <c r="D47" s="41" t="s">
        <v>18</v>
      </c>
      <c r="E47" s="41"/>
      <c r="K47">
        <f>1900/27000</f>
        <v>7.0370370370370375E-2</v>
      </c>
      <c r="M47" s="24" t="s">
        <v>81</v>
      </c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  <row r="48" spans="1:35" x14ac:dyDescent="0.25">
      <c r="F48" s="23" t="s">
        <v>44</v>
      </c>
      <c r="G48" s="23"/>
      <c r="H48" s="23"/>
      <c r="I48" s="23"/>
      <c r="J48" s="23"/>
      <c r="K48" s="23"/>
      <c r="L48" s="7" t="s">
        <v>30</v>
      </c>
      <c r="M48" s="24" t="s">
        <v>46</v>
      </c>
      <c r="N48" s="24"/>
      <c r="O48" s="24"/>
      <c r="P48" s="24"/>
      <c r="Q48" s="24"/>
      <c r="R48" s="24" t="s">
        <v>47</v>
      </c>
      <c r="S48" s="24"/>
      <c r="T48" s="24"/>
      <c r="U48" s="24"/>
      <c r="V48" s="24"/>
      <c r="W48" s="24"/>
      <c r="X48" s="24"/>
      <c r="Y48" s="44" t="s">
        <v>85</v>
      </c>
      <c r="Z48" s="44" t="s">
        <v>48</v>
      </c>
      <c r="AA48" s="44" t="s">
        <v>3</v>
      </c>
    </row>
    <row r="49" spans="1:34" ht="63" x14ac:dyDescent="0.25">
      <c r="F49" s="38" t="s">
        <v>36</v>
      </c>
      <c r="G49" s="38" t="s">
        <v>37</v>
      </c>
      <c r="H49" s="38" t="s">
        <v>38</v>
      </c>
      <c r="I49" s="38" t="s">
        <v>80</v>
      </c>
      <c r="J49" s="38" t="s">
        <v>39</v>
      </c>
      <c r="K49" s="38" t="s">
        <v>45</v>
      </c>
      <c r="L49" s="39" t="s">
        <v>16</v>
      </c>
      <c r="M49" s="40" t="s">
        <v>34</v>
      </c>
      <c r="N49" s="40" t="s">
        <v>5</v>
      </c>
      <c r="O49" s="40" t="s">
        <v>7</v>
      </c>
      <c r="P49" s="40" t="s">
        <v>8</v>
      </c>
      <c r="Q49" s="40" t="s">
        <v>40</v>
      </c>
      <c r="R49" s="40" t="s">
        <v>41</v>
      </c>
      <c r="S49" s="40" t="s">
        <v>42</v>
      </c>
      <c r="T49" s="40" t="s">
        <v>31</v>
      </c>
      <c r="U49" s="40" t="s">
        <v>125</v>
      </c>
      <c r="V49" s="40" t="s">
        <v>82</v>
      </c>
      <c r="W49" s="40" t="s">
        <v>87</v>
      </c>
      <c r="X49" s="40" t="s">
        <v>83</v>
      </c>
      <c r="Y49" s="45" t="s">
        <v>3</v>
      </c>
      <c r="Z49" s="45" t="s">
        <v>3</v>
      </c>
      <c r="AA49" s="45" t="s">
        <v>3</v>
      </c>
    </row>
    <row r="50" spans="1:34" x14ac:dyDescent="0.25">
      <c r="A50" s="15" t="s">
        <v>51</v>
      </c>
      <c r="B50" s="2"/>
      <c r="C50" s="2"/>
      <c r="F50" s="1">
        <f t="shared" ref="F50:X50" si="14">F52+F53+F54</f>
        <v>0</v>
      </c>
      <c r="G50" s="1">
        <f t="shared" si="14"/>
        <v>0</v>
      </c>
      <c r="H50" s="1">
        <f t="shared" si="14"/>
        <v>0</v>
      </c>
      <c r="I50" s="1">
        <f t="shared" si="14"/>
        <v>0</v>
      </c>
      <c r="J50" s="1">
        <f t="shared" si="14"/>
        <v>0</v>
      </c>
      <c r="K50" s="1">
        <f t="shared" si="14"/>
        <v>14000</v>
      </c>
      <c r="L50" s="52">
        <f t="shared" si="14"/>
        <v>0</v>
      </c>
      <c r="M50" s="1">
        <f t="shared" si="14"/>
        <v>0</v>
      </c>
      <c r="N50" s="1">
        <f t="shared" si="14"/>
        <v>0</v>
      </c>
      <c r="O50" s="1">
        <f t="shared" si="14"/>
        <v>0</v>
      </c>
      <c r="P50" s="1">
        <f t="shared" si="14"/>
        <v>0</v>
      </c>
      <c r="Q50" s="1">
        <f t="shared" si="14"/>
        <v>0</v>
      </c>
      <c r="R50" s="1">
        <f t="shared" si="14"/>
        <v>0</v>
      </c>
      <c r="S50" s="1">
        <f t="shared" si="14"/>
        <v>0</v>
      </c>
      <c r="T50" s="1">
        <f t="shared" si="14"/>
        <v>0</v>
      </c>
      <c r="U50" s="1">
        <f t="shared" si="14"/>
        <v>0</v>
      </c>
      <c r="V50" s="1">
        <f t="shared" si="14"/>
        <v>0</v>
      </c>
      <c r="W50" s="1">
        <f t="shared" si="14"/>
        <v>0</v>
      </c>
      <c r="X50" s="1">
        <f t="shared" si="14"/>
        <v>0</v>
      </c>
      <c r="Y50" s="58">
        <f t="shared" ref="Y50:Y90" si="15">SUM(F50:K50)</f>
        <v>14000</v>
      </c>
      <c r="Z50" s="1">
        <f t="shared" ref="Z50:Z90" si="16">SUM(M50:X50)</f>
        <v>0</v>
      </c>
      <c r="AA50" s="1">
        <f t="shared" ref="AA50:AA56" si="17">L50+Y50+Z50</f>
        <v>14000</v>
      </c>
      <c r="AB50" s="44" t="s">
        <v>85</v>
      </c>
      <c r="AC50" s="44" t="s">
        <v>48</v>
      </c>
      <c r="AD50" t="s">
        <v>30</v>
      </c>
    </row>
    <row r="51" spans="1:34" x14ac:dyDescent="0.25">
      <c r="A51" s="30" t="s">
        <v>60</v>
      </c>
      <c r="B51" s="2"/>
      <c r="C51" s="2"/>
      <c r="F51" s="1">
        <f>F55+F56+F57+F58</f>
        <v>1505.7328400000001</v>
      </c>
      <c r="G51" s="1">
        <f t="shared" ref="G51:X51" si="18">G55+G56+G57+G58</f>
        <v>837.59633363886337</v>
      </c>
      <c r="H51" s="1">
        <f t="shared" si="18"/>
        <v>3011.25</v>
      </c>
      <c r="I51" s="1">
        <f t="shared" si="18"/>
        <v>776</v>
      </c>
      <c r="J51" s="1">
        <f t="shared" si="18"/>
        <v>1811.71</v>
      </c>
      <c r="K51" s="1">
        <f t="shared" si="18"/>
        <v>2138.81</v>
      </c>
      <c r="L51" s="52">
        <f t="shared" si="18"/>
        <v>24500</v>
      </c>
      <c r="M51" s="91">
        <v>2650</v>
      </c>
      <c r="N51" s="1">
        <f t="shared" si="18"/>
        <v>1080</v>
      </c>
      <c r="O51" s="1">
        <f t="shared" si="18"/>
        <v>1800</v>
      </c>
      <c r="P51" s="1">
        <f t="shared" si="18"/>
        <v>15000</v>
      </c>
      <c r="Q51" s="1">
        <f>Q55+Q56+Q57+Q58</f>
        <v>5200</v>
      </c>
      <c r="R51" s="1">
        <f t="shared" si="18"/>
        <v>3900</v>
      </c>
      <c r="S51" s="1">
        <f t="shared" si="18"/>
        <v>60</v>
      </c>
      <c r="T51" s="1">
        <f t="shared" si="18"/>
        <v>3040</v>
      </c>
      <c r="U51" s="1">
        <f t="shared" si="18"/>
        <v>3400</v>
      </c>
      <c r="V51" s="1">
        <f t="shared" si="18"/>
        <v>1410</v>
      </c>
      <c r="W51" s="1">
        <f t="shared" si="18"/>
        <v>960</v>
      </c>
      <c r="X51" s="54">
        <f t="shared" si="18"/>
        <v>4015</v>
      </c>
      <c r="Y51" s="58">
        <f t="shared" si="15"/>
        <v>10081.099173638864</v>
      </c>
      <c r="Z51" s="1">
        <f t="shared" si="16"/>
        <v>42515</v>
      </c>
      <c r="AA51" s="1">
        <f t="shared" si="17"/>
        <v>77096.099173638868</v>
      </c>
      <c r="AB51" s="105">
        <f>11250+M50</f>
        <v>11250</v>
      </c>
      <c r="AC51" s="91">
        <v>1600</v>
      </c>
      <c r="AD51" s="99">
        <v>18000</v>
      </c>
      <c r="AG51">
        <f>5000/225</f>
        <v>22.222222222222221</v>
      </c>
      <c r="AH51">
        <f>0.6/1.8</f>
        <v>0.33333333333333331</v>
      </c>
    </row>
    <row r="52" spans="1:34" x14ac:dyDescent="0.25">
      <c r="A52" s="15" t="s">
        <v>51</v>
      </c>
      <c r="B52" s="16" t="s">
        <v>52</v>
      </c>
      <c r="C52" s="2"/>
      <c r="F52" s="1">
        <f>F59+F60+F61</f>
        <v>0</v>
      </c>
      <c r="G52" s="1">
        <f t="shared" ref="G52:X52" si="19">G59+G60+G61</f>
        <v>0</v>
      </c>
      <c r="H52" s="1">
        <f t="shared" si="19"/>
        <v>0</v>
      </c>
      <c r="I52" s="1">
        <f t="shared" si="19"/>
        <v>0</v>
      </c>
      <c r="J52" s="1">
        <f t="shared" si="19"/>
        <v>0</v>
      </c>
      <c r="K52" s="1">
        <f t="shared" si="19"/>
        <v>14000</v>
      </c>
      <c r="L52" s="52">
        <f t="shared" si="19"/>
        <v>0</v>
      </c>
      <c r="M52" s="1">
        <f t="shared" si="19"/>
        <v>0</v>
      </c>
      <c r="N52" s="1">
        <f t="shared" si="19"/>
        <v>0</v>
      </c>
      <c r="O52" s="1">
        <f t="shared" si="19"/>
        <v>0</v>
      </c>
      <c r="P52" s="1">
        <f t="shared" si="19"/>
        <v>0</v>
      </c>
      <c r="Q52" s="1">
        <f t="shared" si="19"/>
        <v>0</v>
      </c>
      <c r="R52" s="1">
        <f t="shared" si="19"/>
        <v>0</v>
      </c>
      <c r="S52" s="1">
        <f t="shared" si="19"/>
        <v>0</v>
      </c>
      <c r="T52" s="1">
        <f t="shared" si="19"/>
        <v>0</v>
      </c>
      <c r="U52" s="1">
        <f t="shared" si="19"/>
        <v>0</v>
      </c>
      <c r="V52" s="1">
        <f t="shared" si="19"/>
        <v>0</v>
      </c>
      <c r="W52" s="1">
        <f t="shared" si="19"/>
        <v>0</v>
      </c>
      <c r="X52" s="54">
        <f t="shared" si="19"/>
        <v>0</v>
      </c>
      <c r="Y52" s="58">
        <f t="shared" si="15"/>
        <v>14000</v>
      </c>
      <c r="Z52" s="1">
        <f t="shared" si="16"/>
        <v>0</v>
      </c>
      <c r="AA52" s="1">
        <f t="shared" si="17"/>
        <v>14000</v>
      </c>
      <c r="AB52" s="10" t="s">
        <v>88</v>
      </c>
    </row>
    <row r="53" spans="1:34" x14ac:dyDescent="0.25">
      <c r="A53" s="15" t="s">
        <v>51</v>
      </c>
      <c r="B53" s="16" t="s">
        <v>56</v>
      </c>
      <c r="C53" s="2"/>
      <c r="F53" s="1">
        <f>F62+F63+F64</f>
        <v>0</v>
      </c>
      <c r="G53" s="1">
        <f t="shared" ref="G53:X53" si="20">G62+G63+G64</f>
        <v>0</v>
      </c>
      <c r="H53" s="1">
        <f t="shared" si="20"/>
        <v>0</v>
      </c>
      <c r="I53" s="1">
        <f t="shared" si="20"/>
        <v>0</v>
      </c>
      <c r="J53" s="1">
        <f t="shared" si="20"/>
        <v>0</v>
      </c>
      <c r="K53" s="1">
        <f t="shared" si="20"/>
        <v>0</v>
      </c>
      <c r="L53" s="52">
        <f t="shared" si="20"/>
        <v>0</v>
      </c>
      <c r="M53" s="1">
        <f t="shared" si="20"/>
        <v>0</v>
      </c>
      <c r="N53" s="1">
        <f t="shared" si="20"/>
        <v>0</v>
      </c>
      <c r="O53" s="1">
        <f t="shared" si="20"/>
        <v>0</v>
      </c>
      <c r="P53" s="1">
        <f t="shared" si="20"/>
        <v>0</v>
      </c>
      <c r="Q53" s="1">
        <f t="shared" si="20"/>
        <v>0</v>
      </c>
      <c r="R53" s="1">
        <f t="shared" si="20"/>
        <v>0</v>
      </c>
      <c r="S53" s="1">
        <f t="shared" si="20"/>
        <v>0</v>
      </c>
      <c r="T53" s="1">
        <f t="shared" si="20"/>
        <v>0</v>
      </c>
      <c r="U53" s="1">
        <f t="shared" si="20"/>
        <v>0</v>
      </c>
      <c r="V53" s="1">
        <f t="shared" si="20"/>
        <v>0</v>
      </c>
      <c r="W53" s="1">
        <f t="shared" si="20"/>
        <v>0</v>
      </c>
      <c r="X53" s="54">
        <f t="shared" si="20"/>
        <v>0</v>
      </c>
      <c r="Y53" s="58">
        <f t="shared" si="15"/>
        <v>0</v>
      </c>
      <c r="Z53" s="1">
        <f t="shared" si="16"/>
        <v>0</v>
      </c>
      <c r="AA53" s="1">
        <f t="shared" si="17"/>
        <v>0</v>
      </c>
      <c r="AB53" t="s">
        <v>97</v>
      </c>
      <c r="AG53">
        <f>105*AG51</f>
        <v>2333.333333333333</v>
      </c>
    </row>
    <row r="54" spans="1:34" x14ac:dyDescent="0.25">
      <c r="A54" s="15" t="s">
        <v>51</v>
      </c>
      <c r="B54" s="16" t="s">
        <v>9</v>
      </c>
      <c r="C54" s="2"/>
      <c r="F54" s="1">
        <f>F65</f>
        <v>0</v>
      </c>
      <c r="G54" s="1">
        <f t="shared" ref="G54:X54" si="21">G65</f>
        <v>0</v>
      </c>
      <c r="H54" s="1">
        <f t="shared" si="21"/>
        <v>0</v>
      </c>
      <c r="I54" s="1">
        <f t="shared" si="21"/>
        <v>0</v>
      </c>
      <c r="J54" s="1">
        <f t="shared" si="21"/>
        <v>0</v>
      </c>
      <c r="K54" s="1">
        <f t="shared" si="21"/>
        <v>0</v>
      </c>
      <c r="L54" s="52">
        <f t="shared" si="21"/>
        <v>0</v>
      </c>
      <c r="M54" s="1">
        <f t="shared" si="21"/>
        <v>0</v>
      </c>
      <c r="N54" s="1">
        <f t="shared" si="21"/>
        <v>0</v>
      </c>
      <c r="O54" s="1">
        <f t="shared" si="21"/>
        <v>0</v>
      </c>
      <c r="P54" s="1">
        <f t="shared" si="21"/>
        <v>0</v>
      </c>
      <c r="Q54" s="1">
        <f t="shared" si="21"/>
        <v>0</v>
      </c>
      <c r="R54" s="1">
        <f t="shared" si="21"/>
        <v>0</v>
      </c>
      <c r="S54" s="1">
        <f t="shared" si="21"/>
        <v>0</v>
      </c>
      <c r="T54" s="1">
        <f t="shared" si="21"/>
        <v>0</v>
      </c>
      <c r="U54" s="1">
        <f t="shared" si="21"/>
        <v>0</v>
      </c>
      <c r="V54" s="1">
        <f t="shared" si="21"/>
        <v>0</v>
      </c>
      <c r="W54" s="1">
        <f t="shared" si="21"/>
        <v>0</v>
      </c>
      <c r="X54" s="54">
        <f t="shared" si="21"/>
        <v>0</v>
      </c>
      <c r="Y54" s="58">
        <f t="shared" si="15"/>
        <v>0</v>
      </c>
      <c r="Z54" s="1">
        <f t="shared" si="16"/>
        <v>0</v>
      </c>
      <c r="AA54" s="1">
        <f t="shared" si="17"/>
        <v>0</v>
      </c>
    </row>
    <row r="55" spans="1:34" x14ac:dyDescent="0.25">
      <c r="A55" s="30" t="s">
        <v>60</v>
      </c>
      <c r="B55" s="32" t="s">
        <v>13</v>
      </c>
      <c r="C55" s="2"/>
      <c r="F55" s="51">
        <f>F66+F67+F68</f>
        <v>1505.7328400000001</v>
      </c>
      <c r="G55" s="51">
        <f t="shared" ref="G55:X55" si="22">G66+G67+G68</f>
        <v>837.59633363886337</v>
      </c>
      <c r="H55" s="51">
        <f t="shared" si="22"/>
        <v>3011.25</v>
      </c>
      <c r="I55" s="51">
        <f t="shared" si="22"/>
        <v>776</v>
      </c>
      <c r="J55" s="51">
        <f t="shared" si="22"/>
        <v>907.92</v>
      </c>
      <c r="K55" s="51">
        <f t="shared" si="22"/>
        <v>437</v>
      </c>
      <c r="L55" s="52">
        <f t="shared" si="22"/>
        <v>0</v>
      </c>
      <c r="M55" s="51">
        <f t="shared" si="22"/>
        <v>1300</v>
      </c>
      <c r="N55" s="51">
        <f t="shared" si="22"/>
        <v>630</v>
      </c>
      <c r="O55" s="51">
        <f t="shared" si="22"/>
        <v>1800</v>
      </c>
      <c r="P55" s="51">
        <f t="shared" si="22"/>
        <v>15000</v>
      </c>
      <c r="Q55" s="51">
        <f t="shared" si="22"/>
        <v>1000</v>
      </c>
      <c r="R55" s="51">
        <f t="shared" si="22"/>
        <v>900</v>
      </c>
      <c r="S55" s="51">
        <f t="shared" si="22"/>
        <v>0</v>
      </c>
      <c r="T55" s="51">
        <f t="shared" si="22"/>
        <v>180</v>
      </c>
      <c r="U55" s="51">
        <f t="shared" si="22"/>
        <v>900</v>
      </c>
      <c r="V55" s="51">
        <f t="shared" si="22"/>
        <v>60</v>
      </c>
      <c r="W55" s="51">
        <f t="shared" si="22"/>
        <v>110</v>
      </c>
      <c r="X55" s="55">
        <f t="shared" si="22"/>
        <v>2500</v>
      </c>
      <c r="Y55" s="59">
        <f t="shared" si="15"/>
        <v>7475.4991736388638</v>
      </c>
      <c r="Z55" s="51">
        <f t="shared" si="16"/>
        <v>24380</v>
      </c>
      <c r="AA55" s="1">
        <f t="shared" si="17"/>
        <v>31855.499173638862</v>
      </c>
      <c r="AB55" s="91">
        <v>31000</v>
      </c>
      <c r="AC55" t="s">
        <v>127</v>
      </c>
      <c r="AD55" t="s">
        <v>128</v>
      </c>
    </row>
    <row r="56" spans="1:34" x14ac:dyDescent="0.25">
      <c r="A56" s="30" t="s">
        <v>60</v>
      </c>
      <c r="B56" s="31" t="s">
        <v>23</v>
      </c>
      <c r="C56" s="2"/>
      <c r="F56" s="51">
        <f>F69+F70+F71</f>
        <v>0</v>
      </c>
      <c r="G56" s="51">
        <f t="shared" ref="G56:X56" si="23">G69+G70+G71</f>
        <v>0</v>
      </c>
      <c r="H56" s="51">
        <f t="shared" si="23"/>
        <v>0</v>
      </c>
      <c r="I56" s="51">
        <f t="shared" si="23"/>
        <v>0</v>
      </c>
      <c r="J56" s="51">
        <f t="shared" si="23"/>
        <v>353.79</v>
      </c>
      <c r="K56" s="51">
        <f t="shared" si="23"/>
        <v>1701.81</v>
      </c>
      <c r="L56" s="52">
        <f t="shared" si="23"/>
        <v>0</v>
      </c>
      <c r="M56" s="51">
        <f t="shared" si="23"/>
        <v>0</v>
      </c>
      <c r="N56" s="51">
        <f t="shared" si="23"/>
        <v>450</v>
      </c>
      <c r="O56" s="51">
        <f t="shared" si="23"/>
        <v>0</v>
      </c>
      <c r="P56" s="51">
        <f t="shared" si="23"/>
        <v>0</v>
      </c>
      <c r="Q56" s="51">
        <f t="shared" si="23"/>
        <v>0</v>
      </c>
      <c r="R56" s="51">
        <f t="shared" si="23"/>
        <v>0</v>
      </c>
      <c r="S56" s="51">
        <f t="shared" si="23"/>
        <v>60</v>
      </c>
      <c r="T56" s="51">
        <f t="shared" si="23"/>
        <v>260</v>
      </c>
      <c r="U56" s="51">
        <f t="shared" si="23"/>
        <v>0</v>
      </c>
      <c r="V56" s="51">
        <f t="shared" si="23"/>
        <v>90</v>
      </c>
      <c r="W56" s="51">
        <f t="shared" si="23"/>
        <v>0</v>
      </c>
      <c r="X56" s="55">
        <f t="shared" si="23"/>
        <v>90</v>
      </c>
      <c r="Y56" s="59">
        <f t="shared" si="15"/>
        <v>2055.6</v>
      </c>
      <c r="Z56" s="51">
        <f t="shared" si="16"/>
        <v>950</v>
      </c>
      <c r="AA56" s="51">
        <f t="shared" si="17"/>
        <v>3005.6</v>
      </c>
      <c r="AB56">
        <f>897*3</f>
        <v>2691</v>
      </c>
    </row>
    <row r="57" spans="1:34" x14ac:dyDescent="0.25">
      <c r="A57" s="30" t="s">
        <v>60</v>
      </c>
      <c r="B57" s="31" t="s">
        <v>65</v>
      </c>
      <c r="C57" s="46"/>
      <c r="F57" s="51">
        <f>F72+F73+F74</f>
        <v>0</v>
      </c>
      <c r="G57" s="51">
        <f t="shared" ref="G57:X57" si="24">G72+G73+G74</f>
        <v>0</v>
      </c>
      <c r="H57" s="51">
        <f t="shared" si="24"/>
        <v>0</v>
      </c>
      <c r="I57" s="51">
        <f t="shared" si="24"/>
        <v>0</v>
      </c>
      <c r="J57" s="51">
        <f t="shared" si="24"/>
        <v>550</v>
      </c>
      <c r="K57" s="51">
        <f t="shared" si="24"/>
        <v>0</v>
      </c>
      <c r="L57" s="52">
        <f t="shared" si="24"/>
        <v>24500</v>
      </c>
      <c r="M57" s="51">
        <f t="shared" si="24"/>
        <v>1350</v>
      </c>
      <c r="N57" s="51">
        <f t="shared" si="24"/>
        <v>0</v>
      </c>
      <c r="O57" s="51">
        <f t="shared" si="24"/>
        <v>0</v>
      </c>
      <c r="P57" s="51">
        <f t="shared" si="24"/>
        <v>0</v>
      </c>
      <c r="Q57" s="51">
        <f t="shared" si="24"/>
        <v>4200</v>
      </c>
      <c r="R57" s="51">
        <f t="shared" si="24"/>
        <v>3000</v>
      </c>
      <c r="S57" s="51">
        <f t="shared" si="24"/>
        <v>0</v>
      </c>
      <c r="T57" s="51">
        <f t="shared" si="24"/>
        <v>2600</v>
      </c>
      <c r="U57" s="51">
        <f t="shared" si="24"/>
        <v>2500</v>
      </c>
      <c r="V57" s="51">
        <f t="shared" si="24"/>
        <v>500</v>
      </c>
      <c r="W57" s="51">
        <f t="shared" si="24"/>
        <v>850</v>
      </c>
      <c r="X57" s="55">
        <f t="shared" si="24"/>
        <v>800</v>
      </c>
      <c r="Y57" s="59">
        <f t="shared" si="15"/>
        <v>550</v>
      </c>
      <c r="Z57" s="51">
        <f t="shared" si="16"/>
        <v>15800</v>
      </c>
      <c r="AA57" s="103">
        <f>245/270*40000</f>
        <v>36296.296296296299</v>
      </c>
    </row>
    <row r="58" spans="1:34" ht="15.75" thickBot="1" x14ac:dyDescent="0.3">
      <c r="A58" s="48" t="s">
        <v>60</v>
      </c>
      <c r="B58" s="49" t="s">
        <v>9</v>
      </c>
      <c r="C58" s="50"/>
      <c r="D58" s="50"/>
      <c r="E58" s="50"/>
      <c r="F58" s="53">
        <f>F75</f>
        <v>0</v>
      </c>
      <c r="G58" s="53">
        <f t="shared" ref="G58:X58" si="25">G75</f>
        <v>0</v>
      </c>
      <c r="H58" s="53">
        <f t="shared" si="25"/>
        <v>0</v>
      </c>
      <c r="I58" s="53">
        <f t="shared" si="25"/>
        <v>0</v>
      </c>
      <c r="J58" s="53">
        <f t="shared" si="25"/>
        <v>0</v>
      </c>
      <c r="K58" s="53">
        <f t="shared" si="25"/>
        <v>0</v>
      </c>
      <c r="L58" s="62">
        <f t="shared" si="25"/>
        <v>0</v>
      </c>
      <c r="M58" s="53">
        <f t="shared" si="25"/>
        <v>0</v>
      </c>
      <c r="N58" s="53">
        <f t="shared" si="25"/>
        <v>0</v>
      </c>
      <c r="O58" s="53">
        <f t="shared" si="25"/>
        <v>0</v>
      </c>
      <c r="P58" s="53">
        <f t="shared" si="25"/>
        <v>0</v>
      </c>
      <c r="Q58" s="53">
        <f t="shared" si="25"/>
        <v>0</v>
      </c>
      <c r="R58" s="53">
        <f t="shared" si="25"/>
        <v>0</v>
      </c>
      <c r="S58" s="53">
        <f t="shared" si="25"/>
        <v>0</v>
      </c>
      <c r="T58" s="53">
        <f t="shared" si="25"/>
        <v>0</v>
      </c>
      <c r="U58" s="53">
        <f t="shared" si="25"/>
        <v>0</v>
      </c>
      <c r="V58" s="53">
        <f t="shared" si="25"/>
        <v>760</v>
      </c>
      <c r="W58" s="53">
        <f t="shared" si="25"/>
        <v>0</v>
      </c>
      <c r="X58" s="53">
        <f t="shared" si="25"/>
        <v>625</v>
      </c>
      <c r="Y58" s="60">
        <f t="shared" si="15"/>
        <v>0</v>
      </c>
      <c r="Z58" s="53">
        <f t="shared" si="16"/>
        <v>1385</v>
      </c>
      <c r="AA58" s="104">
        <v>1100</v>
      </c>
    </row>
    <row r="59" spans="1:34" ht="15.75" thickTop="1" x14ac:dyDescent="0.25">
      <c r="A59" s="15" t="s">
        <v>51</v>
      </c>
      <c r="B59" s="16" t="s">
        <v>52</v>
      </c>
      <c r="C59" s="16" t="s">
        <v>53</v>
      </c>
      <c r="D59" s="2"/>
      <c r="E59" s="2"/>
      <c r="F59" s="47"/>
      <c r="G59" s="47"/>
      <c r="H59" s="47"/>
      <c r="I59" s="47"/>
      <c r="J59" s="47"/>
      <c r="K59" s="47">
        <v>4000</v>
      </c>
      <c r="L59" s="6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57"/>
      <c r="Y59" s="61">
        <f t="shared" si="15"/>
        <v>4000</v>
      </c>
      <c r="Z59" s="47">
        <f t="shared" si="16"/>
        <v>0</v>
      </c>
      <c r="AA59" s="47">
        <f t="shared" ref="AA59:AA68" si="26">L59+Y59+Z59</f>
        <v>4000</v>
      </c>
    </row>
    <row r="60" spans="1:34" x14ac:dyDescent="0.25">
      <c r="A60" s="15" t="s">
        <v>51</v>
      </c>
      <c r="B60" s="16" t="s">
        <v>52</v>
      </c>
      <c r="C60" s="16" t="s">
        <v>54</v>
      </c>
      <c r="D60" s="2"/>
      <c r="E60" s="2"/>
      <c r="F60" s="1"/>
      <c r="G60" s="1"/>
      <c r="H60" s="1"/>
      <c r="I60" s="1"/>
      <c r="J60" s="1"/>
      <c r="K60" s="1">
        <v>10000</v>
      </c>
      <c r="L60" s="5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54"/>
      <c r="Y60" s="58">
        <f t="shared" si="15"/>
        <v>10000</v>
      </c>
      <c r="Z60" s="1">
        <f t="shared" si="16"/>
        <v>0</v>
      </c>
      <c r="AA60" s="1">
        <f t="shared" si="26"/>
        <v>10000</v>
      </c>
    </row>
    <row r="61" spans="1:34" x14ac:dyDescent="0.25">
      <c r="A61" s="15" t="s">
        <v>51</v>
      </c>
      <c r="B61" s="16" t="s">
        <v>52</v>
      </c>
      <c r="C61" s="16" t="s">
        <v>55</v>
      </c>
      <c r="D61" s="2"/>
      <c r="E61" s="2"/>
      <c r="F61" s="1"/>
      <c r="G61" s="1"/>
      <c r="H61" s="1"/>
      <c r="I61" s="1"/>
      <c r="J61" s="1"/>
      <c r="K61" s="1"/>
      <c r="L61" s="5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54"/>
      <c r="Y61" s="58">
        <f t="shared" si="15"/>
        <v>0</v>
      </c>
      <c r="Z61" s="1">
        <f t="shared" si="16"/>
        <v>0</v>
      </c>
      <c r="AA61" s="1">
        <f t="shared" si="26"/>
        <v>0</v>
      </c>
    </row>
    <row r="62" spans="1:34" x14ac:dyDescent="0.25">
      <c r="A62" s="25" t="s">
        <v>51</v>
      </c>
      <c r="B62" s="26" t="s">
        <v>56</v>
      </c>
      <c r="C62" s="26" t="s">
        <v>57</v>
      </c>
      <c r="D62" s="2"/>
      <c r="E62" s="2"/>
      <c r="F62" s="1"/>
      <c r="G62" s="1"/>
      <c r="H62" s="1"/>
      <c r="I62" s="1"/>
      <c r="J62" s="1"/>
      <c r="K62" s="1"/>
      <c r="L62" s="5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54"/>
      <c r="Y62" s="58">
        <f t="shared" si="15"/>
        <v>0</v>
      </c>
      <c r="Z62" s="1">
        <f t="shared" si="16"/>
        <v>0</v>
      </c>
      <c r="AA62" s="1">
        <f t="shared" si="26"/>
        <v>0</v>
      </c>
    </row>
    <row r="63" spans="1:34" x14ac:dyDescent="0.25">
      <c r="A63" s="15" t="s">
        <v>51</v>
      </c>
      <c r="B63" s="16" t="s">
        <v>56</v>
      </c>
      <c r="C63" s="27" t="s">
        <v>58</v>
      </c>
      <c r="D63" s="2"/>
      <c r="E63" s="2"/>
      <c r="F63" s="1"/>
      <c r="G63" s="1"/>
      <c r="H63" s="1"/>
      <c r="I63" s="1"/>
      <c r="J63" s="1"/>
      <c r="K63" s="1"/>
      <c r="L63" s="5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54"/>
      <c r="Y63" s="58">
        <f t="shared" si="15"/>
        <v>0</v>
      </c>
      <c r="Z63" s="1">
        <f t="shared" si="16"/>
        <v>0</v>
      </c>
      <c r="AA63" s="1">
        <f t="shared" si="26"/>
        <v>0</v>
      </c>
      <c r="AC63">
        <f>16/103*5000</f>
        <v>776.69902912621353</v>
      </c>
    </row>
    <row r="64" spans="1:34" x14ac:dyDescent="0.25">
      <c r="A64" s="15" t="s">
        <v>51</v>
      </c>
      <c r="B64" s="16" t="s">
        <v>9</v>
      </c>
      <c r="C64" s="27" t="s">
        <v>59</v>
      </c>
      <c r="D64" s="2"/>
      <c r="E64" s="2"/>
      <c r="F64" s="1"/>
      <c r="G64" s="1"/>
      <c r="H64" s="1"/>
      <c r="I64" s="1"/>
      <c r="J64" s="1"/>
      <c r="K64" s="1"/>
      <c r="L64" s="5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54"/>
      <c r="Y64" s="58">
        <f t="shared" si="15"/>
        <v>0</v>
      </c>
      <c r="Z64" s="1">
        <f t="shared" si="16"/>
        <v>0</v>
      </c>
      <c r="AA64" s="1">
        <f t="shared" si="26"/>
        <v>0</v>
      </c>
      <c r="AC64">
        <f>80/190*2000</f>
        <v>842.10526315789468</v>
      </c>
      <c r="AE64" s="98"/>
    </row>
    <row r="65" spans="1:35" x14ac:dyDescent="0.25">
      <c r="A65" s="15" t="s">
        <v>51</v>
      </c>
      <c r="B65" s="16" t="s">
        <v>9</v>
      </c>
      <c r="C65" s="27" t="s">
        <v>9</v>
      </c>
      <c r="D65" s="2"/>
      <c r="E65" s="2"/>
      <c r="F65" s="1"/>
      <c r="G65" s="1"/>
      <c r="H65" s="1"/>
      <c r="I65" s="1"/>
      <c r="J65" s="1"/>
      <c r="K65" s="1"/>
      <c r="L65" s="5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54"/>
      <c r="Y65" s="58">
        <f t="shared" si="15"/>
        <v>0</v>
      </c>
      <c r="Z65" s="1">
        <f t="shared" si="16"/>
        <v>0</v>
      </c>
      <c r="AA65" s="1">
        <f t="shared" si="26"/>
        <v>0</v>
      </c>
      <c r="AE65" s="98"/>
      <c r="AF65" s="98"/>
    </row>
    <row r="66" spans="1:35" x14ac:dyDescent="0.25">
      <c r="A66" s="28" t="s">
        <v>60</v>
      </c>
      <c r="B66" s="29" t="s">
        <v>13</v>
      </c>
      <c r="C66" s="29" t="s">
        <v>61</v>
      </c>
      <c r="D66" s="2"/>
      <c r="E66" s="2"/>
      <c r="F66" s="103">
        <f>2164*0.65/200*170*0.82</f>
        <v>980.40020000000004</v>
      </c>
      <c r="G66" s="73"/>
      <c r="H66" s="103">
        <f>3300*0.25*0.8</f>
        <v>660</v>
      </c>
      <c r="I66" s="91">
        <f>800*0.97</f>
        <v>776</v>
      </c>
      <c r="J66" s="91">
        <f>800*0.97*1.17</f>
        <v>907.92</v>
      </c>
      <c r="K66" s="91">
        <f>230*2*0.95</f>
        <v>437</v>
      </c>
      <c r="L66" s="52"/>
      <c r="M66" s="91">
        <v>1300</v>
      </c>
      <c r="N66" s="91">
        <v>630</v>
      </c>
      <c r="O66" s="91">
        <f>1500*1.2</f>
        <v>1800</v>
      </c>
      <c r="P66" s="91">
        <v>6500</v>
      </c>
      <c r="Q66" s="91">
        <v>1000</v>
      </c>
      <c r="R66" s="91">
        <v>900</v>
      </c>
      <c r="S66" s="51"/>
      <c r="T66" s="91">
        <v>180</v>
      </c>
      <c r="U66" s="91">
        <f>900</f>
        <v>900</v>
      </c>
      <c r="V66" s="77">
        <f>V21*V111</f>
        <v>60</v>
      </c>
      <c r="W66" s="91">
        <v>110</v>
      </c>
      <c r="X66" s="106">
        <v>2500</v>
      </c>
      <c r="Y66" s="59">
        <f t="shared" si="15"/>
        <v>3761.3202000000001</v>
      </c>
      <c r="Z66" s="51">
        <f t="shared" si="16"/>
        <v>15880</v>
      </c>
      <c r="AA66" s="51">
        <f t="shared" si="26"/>
        <v>19641.320200000002</v>
      </c>
      <c r="AC66">
        <f>28/104*2000</f>
        <v>538.46153846153845</v>
      </c>
      <c r="AE66" s="98"/>
      <c r="AF66" s="98"/>
    </row>
    <row r="67" spans="1:35" x14ac:dyDescent="0.25">
      <c r="A67" s="36" t="s">
        <v>60</v>
      </c>
      <c r="B67" s="37" t="s">
        <v>13</v>
      </c>
      <c r="C67" s="29" t="s">
        <v>62</v>
      </c>
      <c r="D67" s="2"/>
      <c r="E67" s="2"/>
      <c r="F67" s="103">
        <f>2164*0.35/200*170*0.8*1.02</f>
        <v>525.33264000000008</v>
      </c>
      <c r="G67" s="103">
        <f>1280*230/210*5600/5455*0.97*0.6</f>
        <v>837.59633363886337</v>
      </c>
      <c r="H67" s="103">
        <f>3300*0.75*0.95</f>
        <v>2351.25</v>
      </c>
      <c r="I67" s="51"/>
      <c r="J67" s="51"/>
      <c r="K67" s="51"/>
      <c r="L67" s="52"/>
      <c r="M67" s="51"/>
      <c r="N67" s="51"/>
      <c r="O67" s="91"/>
      <c r="P67" s="91">
        <v>8500</v>
      </c>
      <c r="Q67" s="51"/>
      <c r="R67" s="51"/>
      <c r="S67" s="51"/>
      <c r="T67" s="51"/>
      <c r="U67" s="51"/>
      <c r="V67" s="51"/>
      <c r="W67" s="51"/>
      <c r="X67" s="55"/>
      <c r="Y67" s="59">
        <f t="shared" si="15"/>
        <v>3714.1789736388637</v>
      </c>
      <c r="Z67" s="51">
        <f t="shared" si="16"/>
        <v>8500</v>
      </c>
      <c r="AA67" s="51">
        <f t="shared" si="26"/>
        <v>12214.178973638864</v>
      </c>
      <c r="AC67">
        <f>40/56</f>
        <v>0.7142857142857143</v>
      </c>
      <c r="AE67" s="98"/>
      <c r="AF67" s="98"/>
    </row>
    <row r="68" spans="1:35" x14ac:dyDescent="0.25">
      <c r="A68" s="30" t="s">
        <v>60</v>
      </c>
      <c r="B68" s="31" t="s">
        <v>13</v>
      </c>
      <c r="C68" s="32" t="s">
        <v>63</v>
      </c>
      <c r="D68" s="2"/>
      <c r="E68" s="2"/>
      <c r="F68" s="51"/>
      <c r="G68" s="51"/>
      <c r="H68" s="51"/>
      <c r="I68" s="51"/>
      <c r="J68" s="51"/>
      <c r="K68" s="51"/>
      <c r="L68" s="52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5"/>
      <c r="Y68" s="59">
        <f t="shared" si="15"/>
        <v>0</v>
      </c>
      <c r="Z68" s="51">
        <f t="shared" si="16"/>
        <v>0</v>
      </c>
      <c r="AA68" s="51">
        <f t="shared" si="26"/>
        <v>0</v>
      </c>
      <c r="AE68" s="98"/>
      <c r="AF68" s="98"/>
    </row>
    <row r="69" spans="1:35" x14ac:dyDescent="0.25">
      <c r="A69" s="30" t="s">
        <v>60</v>
      </c>
      <c r="B69" s="32" t="s">
        <v>23</v>
      </c>
      <c r="C69" s="31" t="s">
        <v>50</v>
      </c>
      <c r="D69" s="2"/>
      <c r="E69" s="2"/>
      <c r="F69" s="77">
        <f>F24*F114</f>
        <v>0</v>
      </c>
      <c r="G69" s="51"/>
      <c r="H69" s="51"/>
      <c r="I69" s="51"/>
      <c r="J69" s="77">
        <f>J24*J114</f>
        <v>8.19</v>
      </c>
      <c r="K69" s="64">
        <f>AA69-N69-J69</f>
        <v>1641.81</v>
      </c>
      <c r="L69" s="52"/>
      <c r="M69" s="51"/>
      <c r="N69" s="91">
        <v>450</v>
      </c>
      <c r="O69" s="51"/>
      <c r="P69" s="51"/>
      <c r="Q69" s="51"/>
      <c r="R69" s="51"/>
      <c r="S69" s="51"/>
      <c r="T69" s="51"/>
      <c r="U69" s="51"/>
      <c r="V69" s="51"/>
      <c r="W69" s="51"/>
      <c r="X69" s="55"/>
      <c r="Y69" s="59">
        <f t="shared" si="15"/>
        <v>1650</v>
      </c>
      <c r="Z69" s="51">
        <f t="shared" si="16"/>
        <v>450</v>
      </c>
      <c r="AA69" s="91">
        <v>2100</v>
      </c>
      <c r="AE69" s="98"/>
      <c r="AF69" s="98"/>
    </row>
    <row r="70" spans="1:35" x14ac:dyDescent="0.25">
      <c r="A70" s="30" t="s">
        <v>60</v>
      </c>
      <c r="B70" s="32" t="s">
        <v>23</v>
      </c>
      <c r="C70" s="31" t="s">
        <v>49</v>
      </c>
      <c r="D70" s="2"/>
      <c r="E70" s="2"/>
      <c r="F70" s="51"/>
      <c r="G70" s="51"/>
      <c r="H70" s="51"/>
      <c r="I70" s="51"/>
      <c r="J70" s="64">
        <f>600*0.72*0.8</f>
        <v>345.6</v>
      </c>
      <c r="K70" s="64">
        <f>600*0.1</f>
        <v>60</v>
      </c>
      <c r="L70" s="52"/>
      <c r="M70" s="51"/>
      <c r="N70" s="51"/>
      <c r="O70" s="51"/>
      <c r="P70" s="51"/>
      <c r="Q70" s="51"/>
      <c r="R70" s="51"/>
      <c r="S70" s="64">
        <v>60</v>
      </c>
      <c r="T70" s="77">
        <f>T25*T115</f>
        <v>260</v>
      </c>
      <c r="U70" s="51"/>
      <c r="V70" s="77">
        <f>V25*V115</f>
        <v>90</v>
      </c>
      <c r="W70" s="51"/>
      <c r="X70" s="77">
        <f>X25*X115</f>
        <v>90</v>
      </c>
      <c r="Y70" s="59">
        <f t="shared" si="15"/>
        <v>405.6</v>
      </c>
      <c r="Z70" s="51">
        <f t="shared" si="16"/>
        <v>500</v>
      </c>
      <c r="AA70" s="91">
        <f>1250</f>
        <v>1250</v>
      </c>
      <c r="AB70" s="9"/>
      <c r="AE70" s="98"/>
      <c r="AF70" s="98"/>
    </row>
    <row r="71" spans="1:35" x14ac:dyDescent="0.25">
      <c r="A71" s="30" t="s">
        <v>60</v>
      </c>
      <c r="B71" s="32" t="s">
        <v>23</v>
      </c>
      <c r="C71" s="31" t="s">
        <v>64</v>
      </c>
      <c r="D71" s="2"/>
      <c r="E71" s="2"/>
      <c r="F71" s="51"/>
      <c r="G71" s="51"/>
      <c r="H71" s="51"/>
      <c r="I71" s="51"/>
      <c r="J71" s="51"/>
      <c r="K71" s="51"/>
      <c r="L71" s="52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5"/>
      <c r="Y71" s="59">
        <f t="shared" si="15"/>
        <v>0</v>
      </c>
      <c r="Z71" s="51">
        <f t="shared" si="16"/>
        <v>0</v>
      </c>
      <c r="AA71" s="51">
        <f t="shared" ref="AA71:AA90" si="27">L71+Y71+Z71</f>
        <v>0</v>
      </c>
    </row>
    <row r="72" spans="1:35" x14ac:dyDescent="0.25">
      <c r="A72" s="30" t="s">
        <v>60</v>
      </c>
      <c r="B72" s="32" t="s">
        <v>65</v>
      </c>
      <c r="C72" s="31" t="s">
        <v>66</v>
      </c>
      <c r="D72" s="2"/>
      <c r="E72" s="2"/>
      <c r="F72" s="51"/>
      <c r="G72" s="51"/>
      <c r="H72" s="51"/>
      <c r="I72" s="51"/>
      <c r="J72" s="91">
        <v>550</v>
      </c>
      <c r="K72" s="51"/>
      <c r="L72" s="52"/>
      <c r="M72" s="91">
        <v>1350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5"/>
      <c r="Y72" s="59">
        <f t="shared" si="15"/>
        <v>550</v>
      </c>
      <c r="Z72" s="51">
        <f t="shared" si="16"/>
        <v>1350</v>
      </c>
      <c r="AA72" s="51">
        <f t="shared" si="27"/>
        <v>1900</v>
      </c>
    </row>
    <row r="73" spans="1:35" x14ac:dyDescent="0.25">
      <c r="A73" s="30" t="s">
        <v>60</v>
      </c>
      <c r="B73" s="32" t="s">
        <v>65</v>
      </c>
      <c r="C73" s="31" t="s">
        <v>67</v>
      </c>
      <c r="D73" s="2"/>
      <c r="E73" s="2"/>
      <c r="F73" s="51"/>
      <c r="G73" s="51"/>
      <c r="H73" s="51"/>
      <c r="I73" s="51"/>
      <c r="J73" s="51"/>
      <c r="K73" s="51"/>
      <c r="L73" s="52"/>
      <c r="M73" s="51"/>
      <c r="N73" s="51"/>
      <c r="O73" s="51"/>
      <c r="P73" s="51"/>
      <c r="Q73" s="91">
        <v>4200</v>
      </c>
      <c r="R73" s="91">
        <v>3000</v>
      </c>
      <c r="S73" s="51"/>
      <c r="T73" s="91">
        <v>2600</v>
      </c>
      <c r="U73" s="91">
        <v>2500</v>
      </c>
      <c r="V73" s="64">
        <f>500</f>
        <v>500</v>
      </c>
      <c r="W73" s="91">
        <v>850</v>
      </c>
      <c r="X73" s="106">
        <v>800</v>
      </c>
      <c r="Y73" s="59">
        <f t="shared" si="15"/>
        <v>0</v>
      </c>
      <c r="Z73" s="51">
        <f t="shared" si="16"/>
        <v>14450</v>
      </c>
      <c r="AA73" s="51">
        <f t="shared" si="27"/>
        <v>14450</v>
      </c>
    </row>
    <row r="74" spans="1:35" x14ac:dyDescent="0.25">
      <c r="A74" s="30" t="s">
        <v>60</v>
      </c>
      <c r="B74" s="32" t="s">
        <v>65</v>
      </c>
      <c r="C74" s="31" t="s">
        <v>68</v>
      </c>
      <c r="D74" s="2"/>
      <c r="E74" s="2"/>
      <c r="F74" s="51"/>
      <c r="G74" s="51"/>
      <c r="H74" s="51"/>
      <c r="I74" s="51"/>
      <c r="J74" s="51"/>
      <c r="K74" s="51"/>
      <c r="L74" s="91">
        <v>24500</v>
      </c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5"/>
      <c r="Y74" s="59">
        <f t="shared" si="15"/>
        <v>0</v>
      </c>
      <c r="Z74" s="51">
        <f t="shared" si="16"/>
        <v>0</v>
      </c>
      <c r="AA74" s="51">
        <f t="shared" si="27"/>
        <v>24500</v>
      </c>
    </row>
    <row r="75" spans="1:35" x14ac:dyDescent="0.25">
      <c r="A75" s="30" t="s">
        <v>60</v>
      </c>
      <c r="B75" s="32" t="s">
        <v>9</v>
      </c>
      <c r="C75" s="31" t="s">
        <v>69</v>
      </c>
      <c r="D75" s="2"/>
      <c r="E75" s="2"/>
      <c r="F75" s="51"/>
      <c r="G75" s="51"/>
      <c r="H75" s="51"/>
      <c r="I75" s="51"/>
      <c r="J75" s="51"/>
      <c r="K75" s="51"/>
      <c r="L75" s="52"/>
      <c r="M75" s="51"/>
      <c r="N75" s="51"/>
      <c r="O75" s="51"/>
      <c r="P75" s="51"/>
      <c r="Q75" s="51"/>
      <c r="R75" s="51"/>
      <c r="S75" s="51"/>
      <c r="T75" s="51"/>
      <c r="U75" s="51"/>
      <c r="V75" s="96">
        <v>760</v>
      </c>
      <c r="W75" s="51"/>
      <c r="X75" s="55">
        <v>625</v>
      </c>
      <c r="Y75" s="59">
        <f t="shared" si="15"/>
        <v>0</v>
      </c>
      <c r="Z75" s="51">
        <f t="shared" si="16"/>
        <v>1385</v>
      </c>
      <c r="AA75" s="51">
        <f t="shared" si="27"/>
        <v>1385</v>
      </c>
    </row>
    <row r="76" spans="1:35" x14ac:dyDescent="0.25">
      <c r="A76" s="15" t="s">
        <v>51</v>
      </c>
      <c r="B76" s="16" t="s">
        <v>56</v>
      </c>
      <c r="C76" s="27" t="s">
        <v>57</v>
      </c>
      <c r="D76" s="16" t="s">
        <v>70</v>
      </c>
      <c r="E76" s="16"/>
      <c r="F76" s="1"/>
      <c r="G76" s="1"/>
      <c r="H76" s="1"/>
      <c r="I76" s="1"/>
      <c r="J76" s="1"/>
      <c r="K76" s="1"/>
      <c r="L76" s="5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54"/>
      <c r="Y76" s="58">
        <f t="shared" si="15"/>
        <v>0</v>
      </c>
      <c r="Z76" s="1">
        <f t="shared" si="16"/>
        <v>0</v>
      </c>
      <c r="AA76" s="1">
        <f t="shared" si="27"/>
        <v>0</v>
      </c>
      <c r="AC76">
        <f>8/28*2</f>
        <v>0.5714285714285714</v>
      </c>
    </row>
    <row r="77" spans="1:35" x14ac:dyDescent="0.25">
      <c r="A77" s="15" t="s">
        <v>51</v>
      </c>
      <c r="B77" s="16" t="s">
        <v>56</v>
      </c>
      <c r="C77" s="27" t="s">
        <v>57</v>
      </c>
      <c r="D77" s="16" t="s">
        <v>71</v>
      </c>
      <c r="E77" s="16"/>
      <c r="F77" s="1"/>
      <c r="G77" s="1"/>
      <c r="H77" s="1"/>
      <c r="I77" s="1"/>
      <c r="J77" s="1"/>
      <c r="K77" s="1"/>
      <c r="L77" s="5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54"/>
      <c r="Y77" s="58">
        <f t="shared" si="15"/>
        <v>0</v>
      </c>
      <c r="Z77" s="1">
        <f t="shared" si="16"/>
        <v>0</v>
      </c>
      <c r="AA77" s="1">
        <f t="shared" si="27"/>
        <v>0</v>
      </c>
    </row>
    <row r="78" spans="1:35" x14ac:dyDescent="0.25">
      <c r="A78" s="15" t="s">
        <v>51</v>
      </c>
      <c r="B78" s="16" t="s">
        <v>56</v>
      </c>
      <c r="C78" s="27" t="s">
        <v>27</v>
      </c>
      <c r="D78" s="16" t="s">
        <v>72</v>
      </c>
      <c r="E78" s="16"/>
      <c r="F78" s="1"/>
      <c r="G78" s="1"/>
      <c r="H78" s="1"/>
      <c r="I78" s="1"/>
      <c r="J78" s="1"/>
      <c r="K78" s="1"/>
      <c r="L78" s="5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54"/>
      <c r="Y78" s="58">
        <f t="shared" si="15"/>
        <v>0</v>
      </c>
      <c r="Z78" s="1">
        <f t="shared" si="16"/>
        <v>0</v>
      </c>
      <c r="AA78" s="1">
        <f t="shared" si="27"/>
        <v>0</v>
      </c>
      <c r="AH78" t="s">
        <v>1</v>
      </c>
      <c r="AI78" t="s">
        <v>6</v>
      </c>
    </row>
    <row r="79" spans="1:35" x14ac:dyDescent="0.25">
      <c r="A79" s="15" t="s">
        <v>51</v>
      </c>
      <c r="B79" s="16" t="s">
        <v>56</v>
      </c>
      <c r="C79" s="27" t="s">
        <v>57</v>
      </c>
      <c r="D79" s="16" t="s">
        <v>73</v>
      </c>
      <c r="E79" s="16"/>
      <c r="F79" s="1"/>
      <c r="G79" s="1"/>
      <c r="H79" s="1"/>
      <c r="I79" s="1"/>
      <c r="J79" s="1"/>
      <c r="K79" s="1"/>
      <c r="L79" s="5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54"/>
      <c r="Y79" s="58">
        <f t="shared" si="15"/>
        <v>0</v>
      </c>
      <c r="Z79" s="1">
        <f t="shared" si="16"/>
        <v>0</v>
      </c>
      <c r="AA79" s="1">
        <f t="shared" si="27"/>
        <v>0</v>
      </c>
      <c r="AF79" t="s">
        <v>11</v>
      </c>
      <c r="AG79">
        <f>14/180</f>
        <v>7.7777777777777779E-2</v>
      </c>
      <c r="AH79">
        <f>AG79*20000</f>
        <v>1555.5555555555557</v>
      </c>
    </row>
    <row r="80" spans="1:35" x14ac:dyDescent="0.25">
      <c r="A80" s="15" t="s">
        <v>51</v>
      </c>
      <c r="B80" s="16" t="s">
        <v>56</v>
      </c>
      <c r="C80" s="27" t="s">
        <v>57</v>
      </c>
      <c r="D80" s="16" t="s">
        <v>74</v>
      </c>
      <c r="E80" s="16"/>
      <c r="F80" s="1"/>
      <c r="G80" s="1"/>
      <c r="H80" s="1"/>
      <c r="I80" s="1"/>
      <c r="J80" s="1"/>
      <c r="K80" s="1"/>
      <c r="L80" s="5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54"/>
      <c r="Y80" s="58">
        <f t="shared" si="15"/>
        <v>0</v>
      </c>
      <c r="Z80" s="1">
        <f t="shared" si="16"/>
        <v>0</v>
      </c>
      <c r="AA80" s="1">
        <f t="shared" si="27"/>
        <v>0</v>
      </c>
      <c r="AF80" t="s">
        <v>5</v>
      </c>
      <c r="AG80">
        <f>2/180</f>
        <v>1.1111111111111112E-2</v>
      </c>
      <c r="AH80">
        <f>AG80*20000</f>
        <v>222.22222222222223</v>
      </c>
      <c r="AI80">
        <f>AH80/5000</f>
        <v>4.4444444444444446E-2</v>
      </c>
    </row>
    <row r="81" spans="1:36" x14ac:dyDescent="0.25">
      <c r="A81" s="30" t="s">
        <v>60</v>
      </c>
      <c r="B81" s="31" t="s">
        <v>13</v>
      </c>
      <c r="C81" s="32" t="s">
        <v>61</v>
      </c>
      <c r="D81" s="31" t="s">
        <v>75</v>
      </c>
      <c r="E81" s="31"/>
      <c r="F81" s="51">
        <f>F66*0.9</f>
        <v>882.36018000000001</v>
      </c>
      <c r="G81" s="73"/>
      <c r="H81" s="51">
        <f>H66</f>
        <v>660</v>
      </c>
      <c r="I81" s="51">
        <f>I66*0.9</f>
        <v>698.4</v>
      </c>
      <c r="J81" s="51">
        <f>J66*0.3</f>
        <v>272.37599999999998</v>
      </c>
      <c r="K81" s="51">
        <f>K66*0.8</f>
        <v>349.6</v>
      </c>
      <c r="L81" s="52">
        <v>0</v>
      </c>
      <c r="M81" s="73">
        <f>M66*0.1</f>
        <v>130</v>
      </c>
      <c r="N81" s="73">
        <v>0</v>
      </c>
      <c r="O81" s="73">
        <v>0</v>
      </c>
      <c r="P81" s="73">
        <v>0</v>
      </c>
      <c r="Q81" s="73"/>
      <c r="R81" s="73"/>
      <c r="S81" s="51"/>
      <c r="T81" s="51"/>
      <c r="U81" s="51"/>
      <c r="V81" s="51"/>
      <c r="W81" s="51">
        <f>W66</f>
        <v>110</v>
      </c>
      <c r="X81" s="55">
        <f>X66*0.1</f>
        <v>250</v>
      </c>
      <c r="Y81" s="59">
        <f t="shared" si="15"/>
        <v>2862.7361800000003</v>
      </c>
      <c r="Z81" s="51">
        <f t="shared" si="16"/>
        <v>490</v>
      </c>
      <c r="AA81" s="51">
        <f t="shared" si="27"/>
        <v>3352.7361800000003</v>
      </c>
      <c r="AF81" t="s">
        <v>7</v>
      </c>
      <c r="AG81">
        <f>7/180</f>
        <v>3.888888888888889E-2</v>
      </c>
      <c r="AH81">
        <f>AG81*20000</f>
        <v>777.77777777777783</v>
      </c>
      <c r="AI81">
        <f>AH81/5000</f>
        <v>0.15555555555555556</v>
      </c>
      <c r="AJ81">
        <f>AH81/4777</f>
        <v>0.16281720280045589</v>
      </c>
    </row>
    <row r="82" spans="1:36" x14ac:dyDescent="0.25">
      <c r="A82" s="30" t="s">
        <v>60</v>
      </c>
      <c r="B82" s="31" t="s">
        <v>13</v>
      </c>
      <c r="C82" s="32" t="s">
        <v>61</v>
      </c>
      <c r="D82" s="31" t="s">
        <v>76</v>
      </c>
      <c r="E82" s="31"/>
      <c r="F82" s="51">
        <f>F66*0.1</f>
        <v>98.040020000000013</v>
      </c>
      <c r="G82" s="51">
        <v>0</v>
      </c>
      <c r="H82" s="51">
        <v>0</v>
      </c>
      <c r="I82" s="51">
        <f>I66*0.05</f>
        <v>38.800000000000004</v>
      </c>
      <c r="J82" s="51">
        <f>J66*0.7</f>
        <v>635.54399999999998</v>
      </c>
      <c r="K82" s="51">
        <f>K66*0.05</f>
        <v>21.85</v>
      </c>
      <c r="L82" s="52">
        <v>0</v>
      </c>
      <c r="M82" s="73">
        <f>M66*0.5</f>
        <v>650</v>
      </c>
      <c r="N82" s="73">
        <f>N66</f>
        <v>630</v>
      </c>
      <c r="O82" s="73">
        <f>O66*0.5</f>
        <v>900</v>
      </c>
      <c r="P82" s="73">
        <f>P66*0.44</f>
        <v>2860</v>
      </c>
      <c r="Q82" s="73"/>
      <c r="R82" s="73">
        <f>R66</f>
        <v>900</v>
      </c>
      <c r="S82" s="51"/>
      <c r="T82" s="51"/>
      <c r="U82" s="51"/>
      <c r="V82" s="51"/>
      <c r="W82" s="51"/>
      <c r="X82" s="55">
        <f>X66*0.1</f>
        <v>250</v>
      </c>
      <c r="Y82" s="59">
        <f t="shared" si="15"/>
        <v>794.23401999999999</v>
      </c>
      <c r="Z82" s="51">
        <f t="shared" si="16"/>
        <v>6190</v>
      </c>
      <c r="AA82" s="51">
        <f t="shared" si="27"/>
        <v>6984.2340199999999</v>
      </c>
      <c r="AF82" t="s">
        <v>8</v>
      </c>
      <c r="AG82">
        <f>36/180</f>
        <v>0.2</v>
      </c>
      <c r="AH82">
        <f>AG82*20000</f>
        <v>4000</v>
      </c>
      <c r="AI82">
        <f>AH82/5000</f>
        <v>0.8</v>
      </c>
      <c r="AJ82">
        <f>AH82/4777</f>
        <v>0.83734561440234456</v>
      </c>
    </row>
    <row r="83" spans="1:36" x14ac:dyDescent="0.25">
      <c r="A83" s="30" t="s">
        <v>60</v>
      </c>
      <c r="B83" s="31" t="s">
        <v>13</v>
      </c>
      <c r="C83" s="32" t="s">
        <v>61</v>
      </c>
      <c r="D83" s="31" t="s">
        <v>77</v>
      </c>
      <c r="E83" s="31"/>
      <c r="F83" s="51">
        <v>0</v>
      </c>
      <c r="G83" s="51">
        <v>0</v>
      </c>
      <c r="H83" s="51">
        <v>0</v>
      </c>
      <c r="I83" s="51">
        <v>0</v>
      </c>
      <c r="J83" s="51">
        <v>0</v>
      </c>
      <c r="K83" s="51">
        <f>K66*0.1</f>
        <v>43.7</v>
      </c>
      <c r="L83" s="52">
        <v>0</v>
      </c>
      <c r="M83" s="73">
        <f>M66*0.4</f>
        <v>520</v>
      </c>
      <c r="N83" s="73">
        <v>0</v>
      </c>
      <c r="O83" s="73">
        <f>O66*0.5</f>
        <v>900</v>
      </c>
      <c r="P83" s="73">
        <f>P66*0.55</f>
        <v>3575.0000000000005</v>
      </c>
      <c r="Q83" s="73"/>
      <c r="R83" s="73"/>
      <c r="S83" s="51"/>
      <c r="T83" s="51">
        <f>T66</f>
        <v>180</v>
      </c>
      <c r="U83" s="51">
        <f>U66</f>
        <v>900</v>
      </c>
      <c r="V83" s="51"/>
      <c r="W83" s="51"/>
      <c r="X83" s="55">
        <f>X66*0.7</f>
        <v>1750</v>
      </c>
      <c r="Y83" s="59">
        <f t="shared" si="15"/>
        <v>43.7</v>
      </c>
      <c r="Z83" s="51">
        <f t="shared" si="16"/>
        <v>7825</v>
      </c>
      <c r="AA83" s="51">
        <f t="shared" si="27"/>
        <v>7868.7</v>
      </c>
    </row>
    <row r="84" spans="1:36" x14ac:dyDescent="0.25">
      <c r="A84" s="30" t="s">
        <v>60</v>
      </c>
      <c r="B84" s="31" t="s">
        <v>13</v>
      </c>
      <c r="C84" s="32" t="s">
        <v>61</v>
      </c>
      <c r="D84" s="31" t="s">
        <v>78</v>
      </c>
      <c r="E84" s="31"/>
      <c r="F84" s="51">
        <v>0</v>
      </c>
      <c r="G84" s="51">
        <v>0</v>
      </c>
      <c r="H84" s="51">
        <v>0</v>
      </c>
      <c r="I84" s="51">
        <f>I66*0.05</f>
        <v>38.800000000000004</v>
      </c>
      <c r="J84" s="51">
        <v>0</v>
      </c>
      <c r="K84" s="51">
        <f>K66*0.05</f>
        <v>21.85</v>
      </c>
      <c r="L84" s="52">
        <v>0</v>
      </c>
      <c r="M84" s="73">
        <f>M66*0</f>
        <v>0</v>
      </c>
      <c r="N84" s="73">
        <v>0</v>
      </c>
      <c r="O84" s="73">
        <f>O66*0</f>
        <v>0</v>
      </c>
      <c r="P84" s="73">
        <f>(P66)*0.01</f>
        <v>65</v>
      </c>
      <c r="Q84" s="73">
        <f>Q66</f>
        <v>1000</v>
      </c>
      <c r="R84" s="73"/>
      <c r="S84" s="51"/>
      <c r="T84" s="51"/>
      <c r="U84" s="51"/>
      <c r="V84" s="51"/>
      <c r="W84" s="51"/>
      <c r="X84" s="55">
        <f>X66*0.1</f>
        <v>250</v>
      </c>
      <c r="Y84" s="59">
        <f t="shared" si="15"/>
        <v>60.650000000000006</v>
      </c>
      <c r="Z84" s="51">
        <f t="shared" si="16"/>
        <v>1315</v>
      </c>
      <c r="AA84" s="51">
        <f t="shared" si="27"/>
        <v>1375.65</v>
      </c>
    </row>
    <row r="85" spans="1:36" ht="15.75" thickBot="1" x14ac:dyDescent="0.3">
      <c r="A85" s="33" t="s">
        <v>60</v>
      </c>
      <c r="B85" s="34" t="s">
        <v>13</v>
      </c>
      <c r="C85" s="35" t="s">
        <v>61</v>
      </c>
      <c r="D85" s="34" t="s">
        <v>79</v>
      </c>
      <c r="E85" s="31"/>
      <c r="F85" s="51">
        <v>0</v>
      </c>
      <c r="G85" s="51">
        <v>0</v>
      </c>
      <c r="H85" s="51">
        <v>0</v>
      </c>
      <c r="I85" s="51">
        <v>0</v>
      </c>
      <c r="J85" s="51">
        <v>0</v>
      </c>
      <c r="K85" s="51">
        <v>0</v>
      </c>
      <c r="L85" s="52">
        <v>0</v>
      </c>
      <c r="M85" s="51">
        <v>0</v>
      </c>
      <c r="N85" s="51">
        <v>0</v>
      </c>
      <c r="O85" s="51">
        <v>0</v>
      </c>
      <c r="P85" s="51">
        <v>0</v>
      </c>
      <c r="Q85" s="51">
        <v>0</v>
      </c>
      <c r="R85" s="51">
        <v>0</v>
      </c>
      <c r="S85" s="51">
        <v>0</v>
      </c>
      <c r="T85" s="51">
        <v>0</v>
      </c>
      <c r="U85" s="51">
        <v>0</v>
      </c>
      <c r="V85" s="51">
        <v>0</v>
      </c>
      <c r="W85" s="51">
        <v>0</v>
      </c>
      <c r="X85" s="55">
        <v>0</v>
      </c>
      <c r="Y85" s="59">
        <f t="shared" si="15"/>
        <v>0</v>
      </c>
      <c r="Z85" s="51">
        <f t="shared" si="16"/>
        <v>0</v>
      </c>
      <c r="AA85" s="51">
        <f t="shared" si="27"/>
        <v>0</v>
      </c>
    </row>
    <row r="86" spans="1:36" x14ac:dyDescent="0.25">
      <c r="A86" s="30" t="s">
        <v>60</v>
      </c>
      <c r="B86" s="31" t="s">
        <v>13</v>
      </c>
      <c r="C86" s="32" t="s">
        <v>62</v>
      </c>
      <c r="D86" s="31" t="s">
        <v>75</v>
      </c>
      <c r="E86" s="31"/>
      <c r="F86" s="51"/>
      <c r="G86" s="73">
        <f>G67</f>
        <v>837.59633363886337</v>
      </c>
      <c r="H86" s="51">
        <f>H67*0.2</f>
        <v>470.25</v>
      </c>
      <c r="I86" s="51">
        <v>0</v>
      </c>
      <c r="J86" s="51">
        <v>0</v>
      </c>
      <c r="K86" s="51">
        <v>0</v>
      </c>
      <c r="L86" s="52">
        <v>0</v>
      </c>
      <c r="M86" s="51">
        <v>0</v>
      </c>
      <c r="N86" s="51">
        <v>0</v>
      </c>
      <c r="O86" s="51">
        <v>0</v>
      </c>
      <c r="P86" s="51">
        <v>0</v>
      </c>
      <c r="Q86" s="51">
        <v>0</v>
      </c>
      <c r="R86" s="51">
        <v>0</v>
      </c>
      <c r="S86" s="51">
        <v>0</v>
      </c>
      <c r="T86" s="51">
        <v>0</v>
      </c>
      <c r="U86" s="51">
        <v>0</v>
      </c>
      <c r="V86" s="51">
        <v>0</v>
      </c>
      <c r="W86" s="51">
        <v>0</v>
      </c>
      <c r="X86" s="55">
        <v>0</v>
      </c>
      <c r="Y86" s="59">
        <f t="shared" si="15"/>
        <v>1307.8463336388634</v>
      </c>
      <c r="Z86" s="51">
        <f t="shared" si="16"/>
        <v>0</v>
      </c>
      <c r="AA86" s="51">
        <f t="shared" si="27"/>
        <v>1307.8463336388634</v>
      </c>
    </row>
    <row r="87" spans="1:36" x14ac:dyDescent="0.25">
      <c r="A87" s="30" t="s">
        <v>60</v>
      </c>
      <c r="B87" s="31" t="s">
        <v>13</v>
      </c>
      <c r="C87" s="32" t="s">
        <v>62</v>
      </c>
      <c r="D87" s="31" t="s">
        <v>76</v>
      </c>
      <c r="E87" s="31"/>
      <c r="F87" s="51">
        <f>F67</f>
        <v>525.33264000000008</v>
      </c>
      <c r="G87" s="51">
        <f>G67*0</f>
        <v>0</v>
      </c>
      <c r="H87" s="51">
        <f>H67*0.8</f>
        <v>1881</v>
      </c>
      <c r="I87" s="51">
        <v>0</v>
      </c>
      <c r="J87" s="51">
        <v>0</v>
      </c>
      <c r="K87" s="51">
        <v>0</v>
      </c>
      <c r="L87" s="52">
        <v>0</v>
      </c>
      <c r="M87" s="51">
        <v>0</v>
      </c>
      <c r="N87" s="51">
        <v>0</v>
      </c>
      <c r="O87" s="51">
        <v>0</v>
      </c>
      <c r="P87" s="51">
        <f>P67</f>
        <v>8500</v>
      </c>
      <c r="Q87" s="51">
        <v>0</v>
      </c>
      <c r="R87" s="51">
        <v>0</v>
      </c>
      <c r="S87" s="51">
        <v>0</v>
      </c>
      <c r="T87" s="51">
        <v>0</v>
      </c>
      <c r="U87" s="51">
        <v>0</v>
      </c>
      <c r="V87" s="51">
        <v>0</v>
      </c>
      <c r="W87" s="51">
        <v>0</v>
      </c>
      <c r="X87" s="55">
        <v>0</v>
      </c>
      <c r="Y87" s="59">
        <f t="shared" si="15"/>
        <v>2406.3326400000001</v>
      </c>
      <c r="Z87" s="51">
        <f t="shared" si="16"/>
        <v>8500</v>
      </c>
      <c r="AA87" s="51">
        <f t="shared" si="27"/>
        <v>10906.332640000001</v>
      </c>
    </row>
    <row r="88" spans="1:36" x14ac:dyDescent="0.25">
      <c r="A88" s="30" t="s">
        <v>60</v>
      </c>
      <c r="B88" s="31" t="s">
        <v>13</v>
      </c>
      <c r="C88" s="32" t="s">
        <v>62</v>
      </c>
      <c r="D88" s="31" t="s">
        <v>77</v>
      </c>
      <c r="E88" s="31"/>
      <c r="F88" s="51">
        <v>0</v>
      </c>
      <c r="G88" s="51">
        <v>0</v>
      </c>
      <c r="H88" s="51">
        <v>0</v>
      </c>
      <c r="I88" s="51">
        <v>0</v>
      </c>
      <c r="J88" s="51">
        <v>0</v>
      </c>
      <c r="K88" s="51">
        <v>0</v>
      </c>
      <c r="L88" s="52">
        <v>0</v>
      </c>
      <c r="M88" s="51">
        <v>0</v>
      </c>
      <c r="N88" s="51">
        <v>0</v>
      </c>
      <c r="O88" s="51">
        <v>0</v>
      </c>
      <c r="P88" s="51">
        <v>0</v>
      </c>
      <c r="Q88" s="51">
        <v>0</v>
      </c>
      <c r="R88" s="51">
        <v>0</v>
      </c>
      <c r="S88" s="51">
        <v>0</v>
      </c>
      <c r="T88" s="51">
        <v>0</v>
      </c>
      <c r="U88" s="51">
        <v>0</v>
      </c>
      <c r="V88" s="51">
        <v>0</v>
      </c>
      <c r="W88" s="51">
        <v>0</v>
      </c>
      <c r="X88" s="55">
        <v>0</v>
      </c>
      <c r="Y88" s="59">
        <f t="shared" si="15"/>
        <v>0</v>
      </c>
      <c r="Z88" s="51">
        <f t="shared" si="16"/>
        <v>0</v>
      </c>
      <c r="AA88" s="51">
        <f t="shared" si="27"/>
        <v>0</v>
      </c>
    </row>
    <row r="89" spans="1:36" x14ac:dyDescent="0.25">
      <c r="A89" s="30" t="s">
        <v>60</v>
      </c>
      <c r="B89" s="31" t="s">
        <v>13</v>
      </c>
      <c r="C89" s="32" t="s">
        <v>62</v>
      </c>
      <c r="D89" s="31" t="s">
        <v>78</v>
      </c>
      <c r="E89" s="31"/>
      <c r="F89" s="51">
        <v>0</v>
      </c>
      <c r="G89" s="51">
        <v>0</v>
      </c>
      <c r="H89" s="51">
        <v>0</v>
      </c>
      <c r="I89" s="51">
        <v>0</v>
      </c>
      <c r="J89" s="51">
        <v>0</v>
      </c>
      <c r="K89" s="51">
        <v>0</v>
      </c>
      <c r="L89" s="52">
        <v>0</v>
      </c>
      <c r="M89" s="51">
        <v>0</v>
      </c>
      <c r="N89" s="51">
        <v>0</v>
      </c>
      <c r="O89" s="51">
        <v>0</v>
      </c>
      <c r="P89" s="51">
        <v>0</v>
      </c>
      <c r="Q89" s="51">
        <v>0</v>
      </c>
      <c r="R89" s="51">
        <v>0</v>
      </c>
      <c r="S89" s="51">
        <v>0</v>
      </c>
      <c r="T89" s="51">
        <v>0</v>
      </c>
      <c r="U89" s="51">
        <v>0</v>
      </c>
      <c r="V89" s="51">
        <v>0</v>
      </c>
      <c r="W89" s="51">
        <v>0</v>
      </c>
      <c r="X89" s="55">
        <v>0</v>
      </c>
      <c r="Y89" s="59">
        <f t="shared" si="15"/>
        <v>0</v>
      </c>
      <c r="Z89" s="51">
        <f t="shared" si="16"/>
        <v>0</v>
      </c>
      <c r="AA89" s="51">
        <f t="shared" si="27"/>
        <v>0</v>
      </c>
    </row>
    <row r="90" spans="1:36" ht="15.75" thickBot="1" x14ac:dyDescent="0.3">
      <c r="A90" s="33" t="s">
        <v>60</v>
      </c>
      <c r="B90" s="34" t="s">
        <v>13</v>
      </c>
      <c r="C90" s="32" t="s">
        <v>62</v>
      </c>
      <c r="D90" s="34" t="s">
        <v>79</v>
      </c>
      <c r="E90" s="31"/>
      <c r="F90" s="51">
        <v>0</v>
      </c>
      <c r="G90" s="51">
        <v>0</v>
      </c>
      <c r="H90" s="51">
        <v>0</v>
      </c>
      <c r="I90" s="51">
        <v>0</v>
      </c>
      <c r="J90" s="51">
        <v>0</v>
      </c>
      <c r="K90" s="51">
        <v>0</v>
      </c>
      <c r="L90" s="52">
        <v>0</v>
      </c>
      <c r="M90" s="51">
        <v>0</v>
      </c>
      <c r="N90" s="51">
        <v>0</v>
      </c>
      <c r="O90" s="51">
        <v>0</v>
      </c>
      <c r="P90" s="51">
        <v>0</v>
      </c>
      <c r="Q90" s="51">
        <v>0</v>
      </c>
      <c r="R90" s="51">
        <v>0</v>
      </c>
      <c r="S90" s="51">
        <v>0</v>
      </c>
      <c r="T90" s="51">
        <v>0</v>
      </c>
      <c r="U90" s="51">
        <v>0</v>
      </c>
      <c r="V90" s="51">
        <v>0</v>
      </c>
      <c r="W90" s="51">
        <v>0</v>
      </c>
      <c r="X90" s="55">
        <v>0</v>
      </c>
      <c r="Y90" s="59">
        <f t="shared" si="15"/>
        <v>0</v>
      </c>
      <c r="Z90" s="51">
        <f t="shared" si="16"/>
        <v>0</v>
      </c>
      <c r="AA90" s="51">
        <f t="shared" si="27"/>
        <v>0</v>
      </c>
    </row>
    <row r="92" spans="1:36" x14ac:dyDescent="0.25">
      <c r="D92" s="41" t="s">
        <v>19</v>
      </c>
      <c r="E92" s="41"/>
      <c r="M92" s="24" t="s">
        <v>81</v>
      </c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</row>
    <row r="93" spans="1:36" x14ac:dyDescent="0.25">
      <c r="F93" s="23" t="s">
        <v>44</v>
      </c>
      <c r="G93" s="23"/>
      <c r="H93" s="23"/>
      <c r="I93" s="23"/>
      <c r="J93" s="23"/>
      <c r="K93" s="23"/>
      <c r="L93" s="7" t="s">
        <v>30</v>
      </c>
      <c r="M93" s="24" t="s">
        <v>46</v>
      </c>
      <c r="N93" s="24"/>
      <c r="O93" s="24"/>
      <c r="P93" s="24"/>
      <c r="Q93" s="24"/>
      <c r="R93" s="24" t="s">
        <v>47</v>
      </c>
      <c r="S93" s="24"/>
      <c r="T93" s="24"/>
      <c r="U93" s="24"/>
      <c r="V93" s="24"/>
      <c r="W93" s="24"/>
      <c r="X93" s="24"/>
      <c r="Y93" s="44" t="s">
        <v>85</v>
      </c>
      <c r="Z93" s="44" t="s">
        <v>48</v>
      </c>
      <c r="AA93" s="44" t="s">
        <v>3</v>
      </c>
    </row>
    <row r="94" spans="1:36" ht="63" x14ac:dyDescent="0.25">
      <c r="F94" s="38" t="s">
        <v>36</v>
      </c>
      <c r="G94" s="38" t="s">
        <v>37</v>
      </c>
      <c r="H94" s="38" t="s">
        <v>38</v>
      </c>
      <c r="I94" s="38" t="s">
        <v>80</v>
      </c>
      <c r="J94" s="38" t="s">
        <v>39</v>
      </c>
      <c r="K94" s="38" t="s">
        <v>45</v>
      </c>
      <c r="L94" s="39" t="s">
        <v>16</v>
      </c>
      <c r="M94" s="40" t="s">
        <v>34</v>
      </c>
      <c r="N94" s="40" t="s">
        <v>5</v>
      </c>
      <c r="O94" s="40" t="s">
        <v>7</v>
      </c>
      <c r="P94" s="40" t="s">
        <v>8</v>
      </c>
      <c r="Q94" s="40" t="s">
        <v>40</v>
      </c>
      <c r="R94" s="40" t="s">
        <v>41</v>
      </c>
      <c r="S94" s="40" t="s">
        <v>42</v>
      </c>
      <c r="T94" s="40" t="s">
        <v>31</v>
      </c>
      <c r="U94" s="40" t="s">
        <v>43</v>
      </c>
      <c r="V94" s="40" t="s">
        <v>82</v>
      </c>
      <c r="W94" s="40" t="s">
        <v>87</v>
      </c>
      <c r="X94" s="40" t="s">
        <v>83</v>
      </c>
      <c r="Y94" s="45" t="s">
        <v>3</v>
      </c>
      <c r="Z94" s="45" t="s">
        <v>3</v>
      </c>
      <c r="AA94" s="45" t="s">
        <v>3</v>
      </c>
    </row>
    <row r="95" spans="1:36" x14ac:dyDescent="0.25">
      <c r="A95" s="15" t="s">
        <v>51</v>
      </c>
      <c r="B95" s="2"/>
      <c r="C95" s="2"/>
      <c r="F95" s="1">
        <f t="shared" ref="F95:AA106" si="28">IF(F5&gt;0,F50/F5,0)</f>
        <v>0</v>
      </c>
      <c r="G95" s="1">
        <f t="shared" si="28"/>
        <v>0</v>
      </c>
      <c r="H95" s="1">
        <f t="shared" si="28"/>
        <v>0</v>
      </c>
      <c r="I95" s="1">
        <f t="shared" si="28"/>
        <v>0</v>
      </c>
      <c r="J95" s="1">
        <f t="shared" si="28"/>
        <v>0</v>
      </c>
      <c r="K95" s="1">
        <f t="shared" si="28"/>
        <v>0</v>
      </c>
      <c r="L95" s="52">
        <f t="shared" si="28"/>
        <v>0</v>
      </c>
      <c r="M95" s="1">
        <f t="shared" si="28"/>
        <v>0</v>
      </c>
      <c r="N95" s="1">
        <f t="shared" si="28"/>
        <v>0</v>
      </c>
      <c r="O95" s="1">
        <f t="shared" si="28"/>
        <v>0</v>
      </c>
      <c r="P95" s="1">
        <f t="shared" si="28"/>
        <v>0</v>
      </c>
      <c r="Q95" s="1">
        <f t="shared" si="28"/>
        <v>0</v>
      </c>
      <c r="R95" s="1">
        <f t="shared" si="28"/>
        <v>0</v>
      </c>
      <c r="S95" s="1">
        <f t="shared" si="28"/>
        <v>0</v>
      </c>
      <c r="T95" s="1">
        <f t="shared" si="28"/>
        <v>0</v>
      </c>
      <c r="U95" s="1">
        <f t="shared" si="28"/>
        <v>0</v>
      </c>
      <c r="V95" s="1">
        <f t="shared" si="28"/>
        <v>0</v>
      </c>
      <c r="W95" s="1">
        <f t="shared" si="28"/>
        <v>0</v>
      </c>
      <c r="X95" s="54">
        <f t="shared" si="28"/>
        <v>0</v>
      </c>
      <c r="Y95" s="58">
        <f t="shared" si="28"/>
        <v>0</v>
      </c>
      <c r="Z95" s="1">
        <f t="shared" si="28"/>
        <v>0</v>
      </c>
      <c r="AA95" s="1">
        <f t="shared" si="28"/>
        <v>0</v>
      </c>
    </row>
    <row r="96" spans="1:36" x14ac:dyDescent="0.25">
      <c r="A96" s="30" t="s">
        <v>60</v>
      </c>
      <c r="B96" s="2"/>
      <c r="C96" s="2"/>
      <c r="F96" s="1">
        <f t="shared" si="28"/>
        <v>0.18821660500000001</v>
      </c>
      <c r="G96" s="1">
        <f t="shared" si="28"/>
        <v>0.24068860162036304</v>
      </c>
      <c r="H96" s="1">
        <f t="shared" si="28"/>
        <v>0.27434857871720114</v>
      </c>
      <c r="I96" s="1">
        <f t="shared" si="28"/>
        <v>0.2199546485260771</v>
      </c>
      <c r="J96" s="1">
        <f t="shared" si="28"/>
        <v>0.2091890893275703</v>
      </c>
      <c r="K96" s="1">
        <f t="shared" si="28"/>
        <v>0.63940508221225711</v>
      </c>
      <c r="L96" s="52">
        <f t="shared" si="28"/>
        <v>0.09</v>
      </c>
      <c r="M96" s="1">
        <f t="shared" si="28"/>
        <v>0.16307692307692306</v>
      </c>
      <c r="N96" s="1">
        <f t="shared" si="28"/>
        <v>0.3</v>
      </c>
      <c r="O96" s="1">
        <f t="shared" si="28"/>
        <v>0.27777777777777779</v>
      </c>
      <c r="P96" s="1">
        <f t="shared" si="28"/>
        <v>0.16666666666666666</v>
      </c>
      <c r="Q96" s="1">
        <f t="shared" si="28"/>
        <v>0.16595744680851066</v>
      </c>
      <c r="R96" s="1">
        <f t="shared" si="28"/>
        <v>0.20272277227722771</v>
      </c>
      <c r="S96" s="1">
        <f t="shared" si="28"/>
        <v>0.24489795918367346</v>
      </c>
      <c r="T96" s="1">
        <f t="shared" si="28"/>
        <v>0.16491862567811932</v>
      </c>
      <c r="U96" s="1">
        <f t="shared" si="28"/>
        <v>0.14972477064220183</v>
      </c>
      <c r="V96" s="1">
        <f t="shared" si="28"/>
        <v>0.27774130006565989</v>
      </c>
      <c r="W96" s="1">
        <f t="shared" si="28"/>
        <v>0.13294864396999423</v>
      </c>
      <c r="X96" s="54">
        <f t="shared" si="28"/>
        <v>0.26075460027833619</v>
      </c>
      <c r="Y96" s="58">
        <f t="shared" si="28"/>
        <v>0.26536447680829239</v>
      </c>
      <c r="Z96" s="1">
        <f t="shared" si="28"/>
        <v>0.18016111920793396</v>
      </c>
      <c r="AA96" s="1">
        <f t="shared" si="28"/>
        <v>0.14115121763373628</v>
      </c>
    </row>
    <row r="97" spans="1:28" x14ac:dyDescent="0.25">
      <c r="A97" s="15" t="s">
        <v>51</v>
      </c>
      <c r="B97" s="16" t="s">
        <v>52</v>
      </c>
      <c r="C97" s="2"/>
      <c r="F97" s="1">
        <f t="shared" si="28"/>
        <v>0</v>
      </c>
      <c r="G97" s="1">
        <f t="shared" si="28"/>
        <v>0</v>
      </c>
      <c r="H97" s="1">
        <f t="shared" si="28"/>
        <v>0</v>
      </c>
      <c r="I97" s="1">
        <f t="shared" si="28"/>
        <v>0</v>
      </c>
      <c r="J97" s="1">
        <f t="shared" si="28"/>
        <v>0</v>
      </c>
      <c r="K97" s="1">
        <f t="shared" si="28"/>
        <v>0</v>
      </c>
      <c r="L97" s="52">
        <f t="shared" si="28"/>
        <v>0</v>
      </c>
      <c r="M97" s="1">
        <f t="shared" si="28"/>
        <v>0</v>
      </c>
      <c r="N97" s="1">
        <f t="shared" si="28"/>
        <v>0</v>
      </c>
      <c r="O97" s="1">
        <f t="shared" si="28"/>
        <v>0</v>
      </c>
      <c r="P97" s="1">
        <f t="shared" si="28"/>
        <v>0</v>
      </c>
      <c r="Q97" s="1">
        <f t="shared" si="28"/>
        <v>0</v>
      </c>
      <c r="R97" s="1">
        <f t="shared" si="28"/>
        <v>0</v>
      </c>
      <c r="S97" s="1">
        <f t="shared" si="28"/>
        <v>0</v>
      </c>
      <c r="T97" s="1">
        <f t="shared" si="28"/>
        <v>0</v>
      </c>
      <c r="U97" s="1">
        <f t="shared" si="28"/>
        <v>0</v>
      </c>
      <c r="V97" s="1">
        <f t="shared" si="28"/>
        <v>0</v>
      </c>
      <c r="W97" s="1">
        <f t="shared" si="28"/>
        <v>0</v>
      </c>
      <c r="X97" s="54">
        <f t="shared" si="28"/>
        <v>0</v>
      </c>
      <c r="Y97" s="58">
        <f t="shared" si="28"/>
        <v>0</v>
      </c>
      <c r="Z97" s="1">
        <f t="shared" si="28"/>
        <v>0</v>
      </c>
      <c r="AA97" s="1">
        <f t="shared" si="28"/>
        <v>0</v>
      </c>
    </row>
    <row r="98" spans="1:28" x14ac:dyDescent="0.25">
      <c r="A98" s="15" t="s">
        <v>51</v>
      </c>
      <c r="B98" s="16" t="s">
        <v>56</v>
      </c>
      <c r="C98" s="2"/>
      <c r="F98" s="1">
        <f t="shared" si="28"/>
        <v>0</v>
      </c>
      <c r="G98" s="1">
        <f t="shared" si="28"/>
        <v>0</v>
      </c>
      <c r="H98" s="1">
        <f t="shared" si="28"/>
        <v>0</v>
      </c>
      <c r="I98" s="1">
        <f t="shared" si="28"/>
        <v>0</v>
      </c>
      <c r="J98" s="1">
        <f t="shared" si="28"/>
        <v>0</v>
      </c>
      <c r="K98" s="1">
        <f t="shared" si="28"/>
        <v>0</v>
      </c>
      <c r="L98" s="52">
        <f t="shared" si="28"/>
        <v>0</v>
      </c>
      <c r="M98" s="1">
        <f t="shared" si="28"/>
        <v>0</v>
      </c>
      <c r="N98" s="1">
        <f t="shared" si="28"/>
        <v>0</v>
      </c>
      <c r="O98" s="1">
        <f t="shared" si="28"/>
        <v>0</v>
      </c>
      <c r="P98" s="1">
        <f t="shared" si="28"/>
        <v>0</v>
      </c>
      <c r="Q98" s="1">
        <f t="shared" si="28"/>
        <v>0</v>
      </c>
      <c r="R98" s="1">
        <f t="shared" si="28"/>
        <v>0</v>
      </c>
      <c r="S98" s="1">
        <f t="shared" si="28"/>
        <v>0</v>
      </c>
      <c r="T98" s="1">
        <f t="shared" si="28"/>
        <v>0</v>
      </c>
      <c r="U98" s="1">
        <f t="shared" si="28"/>
        <v>0</v>
      </c>
      <c r="V98" s="1">
        <f t="shared" si="28"/>
        <v>0</v>
      </c>
      <c r="W98" s="1">
        <f t="shared" si="28"/>
        <v>0</v>
      </c>
      <c r="X98" s="54">
        <f t="shared" si="28"/>
        <v>0</v>
      </c>
      <c r="Y98" s="58">
        <f t="shared" si="28"/>
        <v>0</v>
      </c>
      <c r="Z98" s="1">
        <f t="shared" si="28"/>
        <v>0</v>
      </c>
      <c r="AA98" s="1">
        <f t="shared" si="28"/>
        <v>0</v>
      </c>
    </row>
    <row r="99" spans="1:28" x14ac:dyDescent="0.25">
      <c r="A99" s="15" t="s">
        <v>51</v>
      </c>
      <c r="B99" s="16" t="s">
        <v>9</v>
      </c>
      <c r="C99" s="2"/>
      <c r="F99" s="1">
        <f t="shared" si="28"/>
        <v>0</v>
      </c>
      <c r="G99" s="1">
        <f t="shared" si="28"/>
        <v>0</v>
      </c>
      <c r="H99" s="1">
        <f t="shared" si="28"/>
        <v>0</v>
      </c>
      <c r="I99" s="1">
        <f t="shared" si="28"/>
        <v>0</v>
      </c>
      <c r="J99" s="1">
        <f t="shared" si="28"/>
        <v>0</v>
      </c>
      <c r="K99" s="1">
        <f t="shared" si="28"/>
        <v>0</v>
      </c>
      <c r="L99" s="52">
        <f t="shared" si="28"/>
        <v>0</v>
      </c>
      <c r="M99" s="1">
        <f t="shared" si="28"/>
        <v>0</v>
      </c>
      <c r="N99" s="1">
        <f t="shared" si="28"/>
        <v>0</v>
      </c>
      <c r="O99" s="1">
        <f t="shared" si="28"/>
        <v>0</v>
      </c>
      <c r="P99" s="1">
        <f t="shared" si="28"/>
        <v>0</v>
      </c>
      <c r="Q99" s="1">
        <f t="shared" si="28"/>
        <v>0</v>
      </c>
      <c r="R99" s="1">
        <f t="shared" si="28"/>
        <v>0</v>
      </c>
      <c r="S99" s="1">
        <f t="shared" si="28"/>
        <v>0</v>
      </c>
      <c r="T99" s="1">
        <f t="shared" si="28"/>
        <v>0</v>
      </c>
      <c r="U99" s="1">
        <f t="shared" si="28"/>
        <v>0</v>
      </c>
      <c r="V99" s="1">
        <f t="shared" si="28"/>
        <v>0</v>
      </c>
      <c r="W99" s="1">
        <f t="shared" si="28"/>
        <v>0</v>
      </c>
      <c r="X99" s="54">
        <f t="shared" si="28"/>
        <v>0</v>
      </c>
      <c r="Y99" s="58">
        <f t="shared" si="28"/>
        <v>0</v>
      </c>
      <c r="Z99" s="1">
        <f t="shared" si="28"/>
        <v>0</v>
      </c>
      <c r="AA99" s="1">
        <f t="shared" si="28"/>
        <v>0</v>
      </c>
    </row>
    <row r="100" spans="1:28" x14ac:dyDescent="0.25">
      <c r="A100" s="30" t="s">
        <v>60</v>
      </c>
      <c r="B100" s="32" t="s">
        <v>13</v>
      </c>
      <c r="C100" s="2"/>
      <c r="F100" s="51">
        <f t="shared" si="28"/>
        <v>0.18821660500000001</v>
      </c>
      <c r="G100" s="51">
        <f t="shared" si="28"/>
        <v>0.24068860162036304</v>
      </c>
      <c r="H100" s="51">
        <f t="shared" si="28"/>
        <v>0.27434857871720114</v>
      </c>
      <c r="I100" s="51">
        <f t="shared" si="28"/>
        <v>0.2199546485260771</v>
      </c>
      <c r="J100" s="51">
        <f t="shared" si="28"/>
        <v>0.33257142857142857</v>
      </c>
      <c r="K100" s="51">
        <f t="shared" si="28"/>
        <v>0.27312500000000001</v>
      </c>
      <c r="L100" s="52">
        <f t="shared" si="28"/>
        <v>0</v>
      </c>
      <c r="M100" s="51">
        <f t="shared" si="28"/>
        <v>0.26</v>
      </c>
      <c r="N100" s="51">
        <f t="shared" si="28"/>
        <v>0.28636363636363638</v>
      </c>
      <c r="O100" s="51">
        <f t="shared" si="28"/>
        <v>0.27777777777777779</v>
      </c>
      <c r="P100" s="51">
        <f t="shared" si="28"/>
        <v>0.16666666666666666</v>
      </c>
      <c r="Q100" s="51">
        <f t="shared" si="28"/>
        <v>0.3</v>
      </c>
      <c r="R100" s="51">
        <f t="shared" si="28"/>
        <v>0.35</v>
      </c>
      <c r="S100" s="51">
        <f t="shared" si="28"/>
        <v>0</v>
      </c>
      <c r="T100" s="51">
        <f t="shared" si="28"/>
        <v>0.4</v>
      </c>
      <c r="U100" s="51">
        <f t="shared" si="28"/>
        <v>0.48</v>
      </c>
      <c r="V100" s="51">
        <f t="shared" si="28"/>
        <v>1.2</v>
      </c>
      <c r="W100" s="51">
        <f t="shared" si="28"/>
        <v>0.8</v>
      </c>
      <c r="X100" s="55">
        <f t="shared" si="28"/>
        <v>0.35</v>
      </c>
      <c r="Y100" s="59">
        <f t="shared" si="28"/>
        <v>0.24660220273269326</v>
      </c>
      <c r="Z100" s="51">
        <f t="shared" si="28"/>
        <v>0.20446138593893676</v>
      </c>
      <c r="AA100" s="51">
        <f>IF(AA10&gt;0,AB55/AA10,0)</f>
        <v>0.20728282308379209</v>
      </c>
    </row>
    <row r="101" spans="1:28" x14ac:dyDescent="0.25">
      <c r="A101" s="30" t="s">
        <v>60</v>
      </c>
      <c r="B101" s="31" t="s">
        <v>23</v>
      </c>
      <c r="C101" s="2"/>
      <c r="F101" s="51">
        <f t="shared" si="28"/>
        <v>0</v>
      </c>
      <c r="G101" s="51">
        <f t="shared" si="28"/>
        <v>0</v>
      </c>
      <c r="H101" s="51">
        <f t="shared" si="28"/>
        <v>0</v>
      </c>
      <c r="I101" s="51">
        <f t="shared" si="28"/>
        <v>0</v>
      </c>
      <c r="J101" s="51">
        <f t="shared" si="28"/>
        <v>0.26259185036740151</v>
      </c>
      <c r="K101" s="51">
        <f t="shared" si="28"/>
        <v>0.97524928366762176</v>
      </c>
      <c r="L101" s="52">
        <f t="shared" si="28"/>
        <v>0</v>
      </c>
      <c r="M101" s="51">
        <f t="shared" si="28"/>
        <v>0</v>
      </c>
      <c r="N101" s="51">
        <f t="shared" si="28"/>
        <v>0.32142857142857145</v>
      </c>
      <c r="O101" s="51">
        <f t="shared" si="28"/>
        <v>0</v>
      </c>
      <c r="P101" s="51">
        <f t="shared" si="28"/>
        <v>0</v>
      </c>
      <c r="Q101" s="51">
        <f t="shared" si="28"/>
        <v>0</v>
      </c>
      <c r="R101" s="51">
        <f t="shared" si="28"/>
        <v>0</v>
      </c>
      <c r="S101" s="51">
        <f t="shared" si="28"/>
        <v>0.24489795918367346</v>
      </c>
      <c r="T101" s="51">
        <f t="shared" si="28"/>
        <v>0.4</v>
      </c>
      <c r="U101" s="51">
        <f t="shared" si="28"/>
        <v>0</v>
      </c>
      <c r="V101" s="51">
        <f t="shared" si="28"/>
        <v>0.9</v>
      </c>
      <c r="W101" s="51">
        <f t="shared" si="28"/>
        <v>0</v>
      </c>
      <c r="X101" s="55">
        <f t="shared" si="28"/>
        <v>0.9</v>
      </c>
      <c r="Y101" s="59">
        <f t="shared" si="28"/>
        <v>0.66474792225851298</v>
      </c>
      <c r="Z101" s="51">
        <f t="shared" si="28"/>
        <v>0.38076152304609218</v>
      </c>
      <c r="AA101" s="51">
        <f t="shared" si="28"/>
        <v>0.53793424373131926</v>
      </c>
    </row>
    <row r="102" spans="1:28" x14ac:dyDescent="0.25">
      <c r="A102" s="30" t="s">
        <v>60</v>
      </c>
      <c r="B102" s="31" t="s">
        <v>65</v>
      </c>
      <c r="C102" s="46"/>
      <c r="F102" s="51">
        <f t="shared" si="28"/>
        <v>0</v>
      </c>
      <c r="G102" s="51">
        <f t="shared" si="28"/>
        <v>0</v>
      </c>
      <c r="H102" s="51">
        <f t="shared" si="28"/>
        <v>0</v>
      </c>
      <c r="I102" s="51">
        <f t="shared" si="28"/>
        <v>0</v>
      </c>
      <c r="J102" s="51">
        <f t="shared" si="28"/>
        <v>0.11999999999999998</v>
      </c>
      <c r="K102" s="51">
        <f t="shared" si="28"/>
        <v>0</v>
      </c>
      <c r="L102" s="52">
        <f t="shared" si="28"/>
        <v>0.09</v>
      </c>
      <c r="M102" s="51">
        <f t="shared" si="28"/>
        <v>0.12</v>
      </c>
      <c r="N102" s="51">
        <f t="shared" si="28"/>
        <v>0</v>
      </c>
      <c r="O102" s="51">
        <f t="shared" si="28"/>
        <v>0</v>
      </c>
      <c r="P102" s="51">
        <f t="shared" si="28"/>
        <v>0</v>
      </c>
      <c r="Q102" s="51">
        <f t="shared" si="28"/>
        <v>0.15</v>
      </c>
      <c r="R102" s="51">
        <f t="shared" si="28"/>
        <v>0.18</v>
      </c>
      <c r="S102" s="51">
        <f t="shared" si="28"/>
        <v>0</v>
      </c>
      <c r="T102" s="51">
        <f t="shared" si="28"/>
        <v>0.14999999999999997</v>
      </c>
      <c r="U102" s="51">
        <f t="shared" si="28"/>
        <v>0.11999999999999998</v>
      </c>
      <c r="V102" s="51">
        <f t="shared" si="28"/>
        <v>0.12</v>
      </c>
      <c r="W102" s="51">
        <f t="shared" si="28"/>
        <v>0.12</v>
      </c>
      <c r="X102" s="55">
        <f t="shared" si="28"/>
        <v>0.12</v>
      </c>
      <c r="Y102" s="59">
        <f t="shared" si="28"/>
        <v>0.11999999999999998</v>
      </c>
      <c r="Z102" s="51">
        <f t="shared" si="28"/>
        <v>0.14107142857142854</v>
      </c>
      <c r="AA102" s="51">
        <f>IF(AB12&gt;0,AA57/AB12,0)</f>
        <v>8.9620484682213078E-2</v>
      </c>
    </row>
    <row r="103" spans="1:28" ht="15.75" thickBot="1" x14ac:dyDescent="0.3">
      <c r="A103" s="48" t="s">
        <v>60</v>
      </c>
      <c r="B103" s="49" t="s">
        <v>9</v>
      </c>
      <c r="C103" s="50"/>
      <c r="D103" s="50"/>
      <c r="E103" s="50"/>
      <c r="F103" s="53">
        <f t="shared" si="28"/>
        <v>0</v>
      </c>
      <c r="G103" s="53">
        <f t="shared" si="28"/>
        <v>0</v>
      </c>
      <c r="H103" s="53">
        <f t="shared" si="28"/>
        <v>0</v>
      </c>
      <c r="I103" s="53">
        <f t="shared" si="28"/>
        <v>0</v>
      </c>
      <c r="J103" s="53">
        <f t="shared" si="28"/>
        <v>0</v>
      </c>
      <c r="K103" s="53">
        <f t="shared" si="28"/>
        <v>0</v>
      </c>
      <c r="L103" s="62">
        <f t="shared" si="28"/>
        <v>0</v>
      </c>
      <c r="M103" s="53">
        <f t="shared" si="28"/>
        <v>0</v>
      </c>
      <c r="N103" s="53">
        <f t="shared" si="28"/>
        <v>0</v>
      </c>
      <c r="O103" s="53">
        <f t="shared" si="28"/>
        <v>0</v>
      </c>
      <c r="P103" s="53">
        <f t="shared" si="28"/>
        <v>0</v>
      </c>
      <c r="Q103" s="53">
        <f t="shared" si="28"/>
        <v>0</v>
      </c>
      <c r="R103" s="53">
        <f t="shared" si="28"/>
        <v>0</v>
      </c>
      <c r="S103" s="53">
        <f t="shared" si="28"/>
        <v>0</v>
      </c>
      <c r="T103" s="53">
        <f t="shared" si="28"/>
        <v>0</v>
      </c>
      <c r="U103" s="53">
        <f t="shared" si="28"/>
        <v>0</v>
      </c>
      <c r="V103" s="53">
        <f t="shared" si="28"/>
        <v>1</v>
      </c>
      <c r="W103" s="53">
        <f t="shared" si="28"/>
        <v>0</v>
      </c>
      <c r="X103" s="56">
        <f t="shared" si="28"/>
        <v>0.42</v>
      </c>
      <c r="Y103" s="60">
        <f t="shared" si="28"/>
        <v>0</v>
      </c>
      <c r="Z103" s="53">
        <f t="shared" si="28"/>
        <v>0.61607710230883284</v>
      </c>
      <c r="AA103" s="53">
        <f t="shared" si="28"/>
        <v>0.5</v>
      </c>
    </row>
    <row r="104" spans="1:28" ht="15.75" thickTop="1" x14ac:dyDescent="0.25">
      <c r="A104" s="15" t="s">
        <v>51</v>
      </c>
      <c r="B104" s="16" t="s">
        <v>52</v>
      </c>
      <c r="C104" s="16" t="s">
        <v>53</v>
      </c>
      <c r="D104" s="2"/>
      <c r="E104" s="2"/>
      <c r="F104" s="47">
        <f t="shared" si="28"/>
        <v>0</v>
      </c>
      <c r="G104" s="47">
        <f t="shared" si="28"/>
        <v>0</v>
      </c>
      <c r="H104" s="47">
        <f t="shared" si="28"/>
        <v>0</v>
      </c>
      <c r="I104" s="47">
        <f t="shared" si="28"/>
        <v>0</v>
      </c>
      <c r="J104" s="47">
        <f t="shared" si="28"/>
        <v>0</v>
      </c>
      <c r="K104" s="47">
        <f t="shared" si="28"/>
        <v>0</v>
      </c>
      <c r="L104" s="63">
        <f t="shared" si="28"/>
        <v>0</v>
      </c>
      <c r="M104" s="47">
        <f t="shared" si="28"/>
        <v>0</v>
      </c>
      <c r="N104" s="47">
        <f t="shared" si="28"/>
        <v>0</v>
      </c>
      <c r="O104" s="47">
        <f t="shared" si="28"/>
        <v>0</v>
      </c>
      <c r="P104" s="47">
        <f t="shared" si="28"/>
        <v>0</v>
      </c>
      <c r="Q104" s="47">
        <f t="shared" si="28"/>
        <v>0</v>
      </c>
      <c r="R104" s="47">
        <f t="shared" si="28"/>
        <v>0</v>
      </c>
      <c r="S104" s="47">
        <f t="shared" si="28"/>
        <v>0</v>
      </c>
      <c r="T104" s="47">
        <f t="shared" si="28"/>
        <v>0</v>
      </c>
      <c r="U104" s="47">
        <f t="shared" si="28"/>
        <v>0</v>
      </c>
      <c r="V104" s="47">
        <f t="shared" si="28"/>
        <v>0</v>
      </c>
      <c r="W104" s="47">
        <f t="shared" si="28"/>
        <v>0</v>
      </c>
      <c r="X104" s="57">
        <f t="shared" si="28"/>
        <v>0</v>
      </c>
      <c r="Y104" s="61">
        <f t="shared" si="28"/>
        <v>0</v>
      </c>
      <c r="Z104" s="47">
        <f t="shared" si="28"/>
        <v>0</v>
      </c>
      <c r="AA104" s="47">
        <f t="shared" si="28"/>
        <v>0</v>
      </c>
    </row>
    <row r="105" spans="1:28" x14ac:dyDescent="0.25">
      <c r="A105" s="15" t="s">
        <v>51</v>
      </c>
      <c r="B105" s="16" t="s">
        <v>52</v>
      </c>
      <c r="C105" s="16" t="s">
        <v>54</v>
      </c>
      <c r="D105" s="2"/>
      <c r="E105" s="2"/>
      <c r="F105" s="1">
        <f t="shared" si="28"/>
        <v>0</v>
      </c>
      <c r="G105" s="1">
        <f t="shared" si="28"/>
        <v>0</v>
      </c>
      <c r="H105" s="1">
        <f t="shared" si="28"/>
        <v>0</v>
      </c>
      <c r="I105" s="1">
        <f t="shared" si="28"/>
        <v>0</v>
      </c>
      <c r="J105" s="1">
        <f t="shared" si="28"/>
        <v>0</v>
      </c>
      <c r="K105" s="1">
        <f t="shared" si="28"/>
        <v>0</v>
      </c>
      <c r="L105" s="52">
        <f t="shared" si="28"/>
        <v>0</v>
      </c>
      <c r="M105" s="1">
        <f t="shared" si="28"/>
        <v>0</v>
      </c>
      <c r="N105" s="1">
        <f t="shared" si="28"/>
        <v>0</v>
      </c>
      <c r="O105" s="1">
        <f t="shared" si="28"/>
        <v>0</v>
      </c>
      <c r="P105" s="1">
        <f t="shared" si="28"/>
        <v>0</v>
      </c>
      <c r="Q105" s="1">
        <f t="shared" si="28"/>
        <v>0</v>
      </c>
      <c r="R105" s="1">
        <f t="shared" si="28"/>
        <v>0</v>
      </c>
      <c r="S105" s="1">
        <f t="shared" si="28"/>
        <v>0</v>
      </c>
      <c r="T105" s="1">
        <f t="shared" si="28"/>
        <v>0</v>
      </c>
      <c r="U105" s="1">
        <f t="shared" si="28"/>
        <v>0</v>
      </c>
      <c r="V105" s="1">
        <f t="shared" si="28"/>
        <v>0</v>
      </c>
      <c r="W105" s="1">
        <f t="shared" si="28"/>
        <v>0</v>
      </c>
      <c r="X105" s="54">
        <f t="shared" si="28"/>
        <v>0</v>
      </c>
      <c r="Y105" s="58">
        <f t="shared" si="28"/>
        <v>0</v>
      </c>
      <c r="Z105" s="1">
        <f t="shared" si="28"/>
        <v>0</v>
      </c>
      <c r="AA105" s="1">
        <f t="shared" si="28"/>
        <v>0</v>
      </c>
    </row>
    <row r="106" spans="1:28" x14ac:dyDescent="0.25">
      <c r="A106" s="15" t="s">
        <v>51</v>
      </c>
      <c r="B106" s="16" t="s">
        <v>52</v>
      </c>
      <c r="C106" s="16" t="s">
        <v>55</v>
      </c>
      <c r="D106" s="2"/>
      <c r="E106" s="2"/>
      <c r="F106" s="1">
        <f t="shared" si="28"/>
        <v>0</v>
      </c>
      <c r="G106" s="1">
        <f t="shared" si="28"/>
        <v>0</v>
      </c>
      <c r="H106" s="1">
        <f t="shared" si="28"/>
        <v>0</v>
      </c>
      <c r="I106" s="1">
        <f t="shared" si="28"/>
        <v>0</v>
      </c>
      <c r="J106" s="1">
        <f t="shared" si="28"/>
        <v>0</v>
      </c>
      <c r="K106" s="1">
        <f t="shared" si="28"/>
        <v>0</v>
      </c>
      <c r="L106" s="52">
        <f t="shared" si="28"/>
        <v>0</v>
      </c>
      <c r="M106" s="1">
        <f t="shared" si="28"/>
        <v>0</v>
      </c>
      <c r="N106" s="1">
        <f t="shared" si="28"/>
        <v>0</v>
      </c>
      <c r="O106" s="1">
        <f t="shared" si="28"/>
        <v>0</v>
      </c>
      <c r="P106" s="1">
        <f t="shared" si="28"/>
        <v>0</v>
      </c>
      <c r="Q106" s="1">
        <f t="shared" si="28"/>
        <v>0</v>
      </c>
      <c r="R106" s="1">
        <f t="shared" si="28"/>
        <v>0</v>
      </c>
      <c r="S106" s="1">
        <f t="shared" si="28"/>
        <v>0</v>
      </c>
      <c r="T106" s="1">
        <f t="shared" si="28"/>
        <v>0</v>
      </c>
      <c r="U106" s="1">
        <f t="shared" ref="F106:AA117" si="29">IF(U16&gt;0,U61/U16,0)</f>
        <v>0</v>
      </c>
      <c r="V106" s="1">
        <f t="shared" si="29"/>
        <v>0</v>
      </c>
      <c r="W106" s="1">
        <f t="shared" si="29"/>
        <v>0</v>
      </c>
      <c r="X106" s="54">
        <f t="shared" si="29"/>
        <v>0</v>
      </c>
      <c r="Y106" s="58">
        <f t="shared" si="29"/>
        <v>0</v>
      </c>
      <c r="Z106" s="1">
        <f t="shared" si="29"/>
        <v>0</v>
      </c>
      <c r="AA106" s="1">
        <f t="shared" si="29"/>
        <v>0</v>
      </c>
    </row>
    <row r="107" spans="1:28" x14ac:dyDescent="0.25">
      <c r="A107" s="25" t="s">
        <v>51</v>
      </c>
      <c r="B107" s="26" t="s">
        <v>56</v>
      </c>
      <c r="C107" s="26" t="s">
        <v>57</v>
      </c>
      <c r="D107" s="2"/>
      <c r="E107" s="2"/>
      <c r="F107" s="1">
        <f t="shared" si="29"/>
        <v>0</v>
      </c>
      <c r="G107" s="1">
        <f t="shared" si="29"/>
        <v>0</v>
      </c>
      <c r="H107" s="1">
        <f t="shared" si="29"/>
        <v>0</v>
      </c>
      <c r="I107" s="1">
        <f t="shared" si="29"/>
        <v>0</v>
      </c>
      <c r="J107" s="1">
        <f t="shared" si="29"/>
        <v>0</v>
      </c>
      <c r="K107" s="1">
        <f t="shared" si="29"/>
        <v>0</v>
      </c>
      <c r="L107" s="52">
        <f t="shared" si="29"/>
        <v>0</v>
      </c>
      <c r="M107" s="1">
        <f t="shared" si="29"/>
        <v>0</v>
      </c>
      <c r="N107" s="1">
        <f t="shared" si="29"/>
        <v>0</v>
      </c>
      <c r="O107" s="1">
        <f t="shared" si="29"/>
        <v>0</v>
      </c>
      <c r="P107" s="1">
        <f t="shared" si="29"/>
        <v>0</v>
      </c>
      <c r="Q107" s="1">
        <f t="shared" si="29"/>
        <v>0</v>
      </c>
      <c r="R107" s="1">
        <f t="shared" si="29"/>
        <v>0</v>
      </c>
      <c r="S107" s="1">
        <f t="shared" si="29"/>
        <v>0</v>
      </c>
      <c r="T107" s="1">
        <f t="shared" si="29"/>
        <v>0</v>
      </c>
      <c r="U107" s="1">
        <f t="shared" si="29"/>
        <v>0</v>
      </c>
      <c r="V107" s="1">
        <f t="shared" si="29"/>
        <v>0</v>
      </c>
      <c r="W107" s="1">
        <f t="shared" si="29"/>
        <v>0</v>
      </c>
      <c r="X107" s="54">
        <f t="shared" si="29"/>
        <v>0</v>
      </c>
      <c r="Y107" s="58">
        <f t="shared" si="29"/>
        <v>0</v>
      </c>
      <c r="Z107" s="1">
        <f t="shared" si="29"/>
        <v>0</v>
      </c>
      <c r="AA107" s="1">
        <f t="shared" si="29"/>
        <v>0</v>
      </c>
    </row>
    <row r="108" spans="1:28" x14ac:dyDescent="0.25">
      <c r="A108" s="15" t="s">
        <v>51</v>
      </c>
      <c r="B108" s="16" t="s">
        <v>56</v>
      </c>
      <c r="C108" s="27" t="s">
        <v>58</v>
      </c>
      <c r="D108" s="2"/>
      <c r="E108" s="2"/>
      <c r="F108" s="1">
        <f t="shared" si="29"/>
        <v>0</v>
      </c>
      <c r="G108" s="1">
        <f t="shared" si="29"/>
        <v>0</v>
      </c>
      <c r="H108" s="1">
        <f t="shared" si="29"/>
        <v>0</v>
      </c>
      <c r="I108" s="1">
        <f t="shared" si="29"/>
        <v>0</v>
      </c>
      <c r="J108" s="1">
        <f t="shared" si="29"/>
        <v>0</v>
      </c>
      <c r="K108" s="1">
        <f t="shared" si="29"/>
        <v>0</v>
      </c>
      <c r="L108" s="52">
        <f t="shared" si="29"/>
        <v>0</v>
      </c>
      <c r="M108" s="1">
        <f t="shared" si="29"/>
        <v>0</v>
      </c>
      <c r="N108" s="1">
        <f t="shared" si="29"/>
        <v>0</v>
      </c>
      <c r="O108" s="1">
        <f t="shared" si="29"/>
        <v>0</v>
      </c>
      <c r="P108" s="1">
        <f t="shared" si="29"/>
        <v>0</v>
      </c>
      <c r="Q108" s="1">
        <f t="shared" si="29"/>
        <v>0</v>
      </c>
      <c r="R108" s="1">
        <f t="shared" si="29"/>
        <v>0</v>
      </c>
      <c r="S108" s="1">
        <f t="shared" si="29"/>
        <v>0</v>
      </c>
      <c r="T108" s="1">
        <f t="shared" si="29"/>
        <v>0</v>
      </c>
      <c r="U108" s="1">
        <f t="shared" si="29"/>
        <v>0</v>
      </c>
      <c r="V108" s="1">
        <f t="shared" si="29"/>
        <v>0</v>
      </c>
      <c r="W108" s="1">
        <f t="shared" si="29"/>
        <v>0</v>
      </c>
      <c r="X108" s="54">
        <f t="shared" si="29"/>
        <v>0</v>
      </c>
      <c r="Y108" s="58">
        <f t="shared" si="29"/>
        <v>0</v>
      </c>
      <c r="Z108" s="1">
        <f t="shared" si="29"/>
        <v>0</v>
      </c>
      <c r="AA108" s="1">
        <f t="shared" si="29"/>
        <v>0</v>
      </c>
    </row>
    <row r="109" spans="1:28" x14ac:dyDescent="0.25">
      <c r="A109" s="15" t="s">
        <v>51</v>
      </c>
      <c r="B109" s="16" t="s">
        <v>9</v>
      </c>
      <c r="C109" s="27" t="s">
        <v>59</v>
      </c>
      <c r="D109" s="2"/>
      <c r="E109" s="2"/>
      <c r="F109" s="1">
        <f t="shared" si="29"/>
        <v>0</v>
      </c>
      <c r="G109" s="1">
        <f t="shared" si="29"/>
        <v>0</v>
      </c>
      <c r="H109" s="1">
        <f t="shared" si="29"/>
        <v>0</v>
      </c>
      <c r="I109" s="1">
        <f t="shared" si="29"/>
        <v>0</v>
      </c>
      <c r="J109" s="1">
        <f t="shared" si="29"/>
        <v>0</v>
      </c>
      <c r="K109" s="1">
        <f t="shared" si="29"/>
        <v>0</v>
      </c>
      <c r="L109" s="52">
        <f t="shared" si="29"/>
        <v>0</v>
      </c>
      <c r="M109" s="1">
        <f t="shared" si="29"/>
        <v>0</v>
      </c>
      <c r="N109" s="1">
        <f t="shared" si="29"/>
        <v>0</v>
      </c>
      <c r="O109" s="1">
        <f t="shared" si="29"/>
        <v>0</v>
      </c>
      <c r="P109" s="1">
        <f t="shared" si="29"/>
        <v>0</v>
      </c>
      <c r="Q109" s="1">
        <f t="shared" si="29"/>
        <v>0</v>
      </c>
      <c r="R109" s="1">
        <f t="shared" si="29"/>
        <v>0</v>
      </c>
      <c r="S109" s="1">
        <f t="shared" si="29"/>
        <v>0</v>
      </c>
      <c r="T109" s="1">
        <f t="shared" si="29"/>
        <v>0</v>
      </c>
      <c r="U109" s="1">
        <f t="shared" si="29"/>
        <v>0</v>
      </c>
      <c r="V109" s="1">
        <f t="shared" si="29"/>
        <v>0</v>
      </c>
      <c r="W109" s="1">
        <f t="shared" si="29"/>
        <v>0</v>
      </c>
      <c r="X109" s="54">
        <f t="shared" si="29"/>
        <v>0</v>
      </c>
      <c r="Y109" s="58">
        <f t="shared" si="29"/>
        <v>0</v>
      </c>
      <c r="Z109" s="1">
        <f t="shared" si="29"/>
        <v>0</v>
      </c>
      <c r="AA109" s="1">
        <f t="shared" si="29"/>
        <v>0</v>
      </c>
    </row>
    <row r="110" spans="1:28" x14ac:dyDescent="0.25">
      <c r="A110" s="15" t="s">
        <v>51</v>
      </c>
      <c r="B110" s="16" t="s">
        <v>9</v>
      </c>
      <c r="C110" s="27" t="s">
        <v>9</v>
      </c>
      <c r="D110" s="2"/>
      <c r="E110" s="2"/>
      <c r="F110" s="1">
        <f t="shared" si="29"/>
        <v>0</v>
      </c>
      <c r="G110" s="1">
        <f t="shared" si="29"/>
        <v>0</v>
      </c>
      <c r="H110" s="1">
        <f t="shared" si="29"/>
        <v>0</v>
      </c>
      <c r="I110" s="1">
        <f t="shared" si="29"/>
        <v>0</v>
      </c>
      <c r="J110" s="1">
        <f t="shared" si="29"/>
        <v>0</v>
      </c>
      <c r="K110" s="1">
        <f t="shared" si="29"/>
        <v>0</v>
      </c>
      <c r="L110" s="52">
        <f t="shared" si="29"/>
        <v>0</v>
      </c>
      <c r="M110" s="1">
        <f t="shared" si="29"/>
        <v>0</v>
      </c>
      <c r="N110" s="1">
        <f t="shared" si="29"/>
        <v>0</v>
      </c>
      <c r="O110" s="1">
        <f t="shared" si="29"/>
        <v>0</v>
      </c>
      <c r="P110" s="1">
        <f t="shared" si="29"/>
        <v>0</v>
      </c>
      <c r="Q110" s="1">
        <f t="shared" si="29"/>
        <v>0</v>
      </c>
      <c r="R110" s="1">
        <f t="shared" si="29"/>
        <v>0</v>
      </c>
      <c r="S110" s="1">
        <f t="shared" si="29"/>
        <v>0</v>
      </c>
      <c r="T110" s="1">
        <f t="shared" si="29"/>
        <v>0</v>
      </c>
      <c r="U110" s="1">
        <f t="shared" si="29"/>
        <v>0</v>
      </c>
      <c r="V110" s="1">
        <f t="shared" si="29"/>
        <v>0</v>
      </c>
      <c r="W110" s="1">
        <f t="shared" si="29"/>
        <v>0</v>
      </c>
      <c r="X110" s="54">
        <f t="shared" si="29"/>
        <v>0</v>
      </c>
      <c r="Y110" s="58">
        <f t="shared" si="29"/>
        <v>0</v>
      </c>
      <c r="Z110" s="1">
        <f t="shared" si="29"/>
        <v>0</v>
      </c>
      <c r="AA110" s="1">
        <f t="shared" si="29"/>
        <v>0</v>
      </c>
    </row>
    <row r="111" spans="1:28" x14ac:dyDescent="0.25">
      <c r="A111" s="28" t="s">
        <v>60</v>
      </c>
      <c r="B111" s="29" t="s">
        <v>13</v>
      </c>
      <c r="C111" s="29" t="s">
        <v>61</v>
      </c>
      <c r="D111" s="2"/>
      <c r="F111" s="51">
        <f t="shared" si="29"/>
        <v>0.1750714642857143</v>
      </c>
      <c r="G111" s="51">
        <f t="shared" si="29"/>
        <v>0</v>
      </c>
      <c r="H111" s="51">
        <f t="shared" si="29"/>
        <v>0.24052478134110788</v>
      </c>
      <c r="I111" s="51">
        <f t="shared" si="29"/>
        <v>0.2199546485260771</v>
      </c>
      <c r="J111" s="51">
        <f t="shared" si="29"/>
        <v>0.33257142857142857</v>
      </c>
      <c r="K111" s="51">
        <f t="shared" si="29"/>
        <v>0.27312500000000001</v>
      </c>
      <c r="L111" s="52">
        <f t="shared" si="29"/>
        <v>0</v>
      </c>
      <c r="M111" s="51">
        <f t="shared" si="29"/>
        <v>0.26</v>
      </c>
      <c r="N111" s="51">
        <f t="shared" si="29"/>
        <v>0.28636363636363638</v>
      </c>
      <c r="O111" s="51">
        <f t="shared" si="29"/>
        <v>0.27777777777777779</v>
      </c>
      <c r="P111" s="118">
        <f t="shared" si="29"/>
        <v>0.16250000000000001</v>
      </c>
      <c r="Q111" s="69">
        <v>0.3</v>
      </c>
      <c r="R111" s="69">
        <v>0.35</v>
      </c>
      <c r="S111" s="51">
        <f t="shared" si="29"/>
        <v>0</v>
      </c>
      <c r="T111" s="69">
        <v>0.4</v>
      </c>
      <c r="U111" s="69">
        <v>0.48</v>
      </c>
      <c r="V111" s="77">
        <v>1.2</v>
      </c>
      <c r="W111" s="69">
        <v>0.8</v>
      </c>
      <c r="X111" s="76">
        <v>0.35</v>
      </c>
      <c r="Y111" s="59">
        <f t="shared" si="29"/>
        <v>0.23215159856807802</v>
      </c>
      <c r="Z111" s="51">
        <f>IF(Z21&gt;0,Z66/Z21,0)</f>
        <v>0.22934680382450992</v>
      </c>
      <c r="AA111" s="51">
        <f t="shared" si="29"/>
        <v>0.2298786642809432</v>
      </c>
      <c r="AB111" s="5" t="s">
        <v>133</v>
      </c>
    </row>
    <row r="112" spans="1:28" x14ac:dyDescent="0.25">
      <c r="A112" s="36" t="s">
        <v>60</v>
      </c>
      <c r="B112" s="37" t="s">
        <v>13</v>
      </c>
      <c r="C112" s="29" t="s">
        <v>62</v>
      </c>
      <c r="D112" s="2"/>
      <c r="E112" s="2"/>
      <c r="F112" s="51">
        <f t="shared" si="29"/>
        <v>0.21888860000000004</v>
      </c>
      <c r="G112" s="51">
        <f t="shared" si="29"/>
        <v>0.24068860162036304</v>
      </c>
      <c r="H112" s="51">
        <f t="shared" si="29"/>
        <v>0.28562317784256558</v>
      </c>
      <c r="I112" s="51">
        <f t="shared" si="29"/>
        <v>0</v>
      </c>
      <c r="J112" s="51">
        <f t="shared" si="29"/>
        <v>0</v>
      </c>
      <c r="K112" s="51">
        <f t="shared" si="29"/>
        <v>0</v>
      </c>
      <c r="L112" s="52">
        <f t="shared" si="29"/>
        <v>0</v>
      </c>
      <c r="M112" s="51">
        <f t="shared" si="29"/>
        <v>0</v>
      </c>
      <c r="N112" s="51">
        <f t="shared" si="29"/>
        <v>0</v>
      </c>
      <c r="O112" s="51">
        <f t="shared" si="29"/>
        <v>0</v>
      </c>
      <c r="P112" s="51">
        <f t="shared" si="29"/>
        <v>0.17</v>
      </c>
      <c r="Q112" s="51">
        <f t="shared" si="29"/>
        <v>0</v>
      </c>
      <c r="R112" s="51">
        <f t="shared" si="29"/>
        <v>0</v>
      </c>
      <c r="S112" s="51">
        <f t="shared" si="29"/>
        <v>0</v>
      </c>
      <c r="T112" s="51">
        <f t="shared" si="29"/>
        <v>0</v>
      </c>
      <c r="U112" s="51">
        <f t="shared" si="29"/>
        <v>0</v>
      </c>
      <c r="V112" s="51">
        <f t="shared" si="29"/>
        <v>0</v>
      </c>
      <c r="W112" s="51">
        <f t="shared" si="29"/>
        <v>0</v>
      </c>
      <c r="X112" s="55">
        <f t="shared" si="29"/>
        <v>0</v>
      </c>
      <c r="Y112" s="59">
        <f t="shared" si="29"/>
        <v>0.26319295448121199</v>
      </c>
      <c r="Z112" s="51">
        <f t="shared" si="29"/>
        <v>0.17</v>
      </c>
      <c r="AA112" s="51">
        <f t="shared" si="29"/>
        <v>0.19051314845331394</v>
      </c>
      <c r="AB112" s="5" t="s">
        <v>134</v>
      </c>
    </row>
    <row r="113" spans="1:27" x14ac:dyDescent="0.25">
      <c r="A113" s="30" t="s">
        <v>60</v>
      </c>
      <c r="B113" s="31" t="s">
        <v>13</v>
      </c>
      <c r="C113" s="32" t="s">
        <v>63</v>
      </c>
      <c r="D113" s="2"/>
      <c r="E113" s="2"/>
      <c r="F113" s="51">
        <f t="shared" si="29"/>
        <v>0</v>
      </c>
      <c r="G113" s="51">
        <f t="shared" si="29"/>
        <v>0</v>
      </c>
      <c r="H113" s="51">
        <f t="shared" si="29"/>
        <v>0</v>
      </c>
      <c r="I113" s="51">
        <f t="shared" si="29"/>
        <v>0</v>
      </c>
      <c r="J113" s="51">
        <f t="shared" si="29"/>
        <v>0</v>
      </c>
      <c r="K113" s="51">
        <f t="shared" si="29"/>
        <v>0</v>
      </c>
      <c r="L113" s="52">
        <f t="shared" si="29"/>
        <v>0</v>
      </c>
      <c r="M113" s="51">
        <f t="shared" si="29"/>
        <v>0</v>
      </c>
      <c r="N113" s="51">
        <f t="shared" si="29"/>
        <v>0</v>
      </c>
      <c r="O113" s="51">
        <f t="shared" si="29"/>
        <v>0</v>
      </c>
      <c r="P113" s="51">
        <f t="shared" si="29"/>
        <v>0</v>
      </c>
      <c r="Q113" s="51">
        <f t="shared" si="29"/>
        <v>0</v>
      </c>
      <c r="R113" s="51">
        <f t="shared" si="29"/>
        <v>0</v>
      </c>
      <c r="S113" s="51">
        <f t="shared" si="29"/>
        <v>0</v>
      </c>
      <c r="T113" s="51">
        <f t="shared" si="29"/>
        <v>0</v>
      </c>
      <c r="U113" s="51">
        <f t="shared" si="29"/>
        <v>0</v>
      </c>
      <c r="V113" s="51">
        <f t="shared" si="29"/>
        <v>0</v>
      </c>
      <c r="W113" s="51">
        <f t="shared" si="29"/>
        <v>0</v>
      </c>
      <c r="X113" s="55">
        <f t="shared" si="29"/>
        <v>0</v>
      </c>
      <c r="Y113" s="59">
        <f t="shared" si="29"/>
        <v>0</v>
      </c>
      <c r="Z113" s="51">
        <f t="shared" si="29"/>
        <v>0</v>
      </c>
      <c r="AA113" s="51">
        <f t="shared" si="29"/>
        <v>0</v>
      </c>
    </row>
    <row r="114" spans="1:27" x14ac:dyDescent="0.25">
      <c r="A114" s="30" t="s">
        <v>60</v>
      </c>
      <c r="B114" s="32" t="s">
        <v>23</v>
      </c>
      <c r="C114" s="31" t="s">
        <v>50</v>
      </c>
      <c r="D114" s="2"/>
      <c r="E114" s="2"/>
      <c r="F114" s="77">
        <v>0.32</v>
      </c>
      <c r="G114" s="51">
        <f t="shared" si="29"/>
        <v>0</v>
      </c>
      <c r="H114" s="51">
        <f t="shared" si="29"/>
        <v>0</v>
      </c>
      <c r="I114" s="51">
        <f t="shared" si="29"/>
        <v>0</v>
      </c>
      <c r="J114" s="77">
        <v>0.3</v>
      </c>
      <c r="K114" s="51">
        <f t="shared" si="29"/>
        <v>1.0945400000000001</v>
      </c>
      <c r="L114" s="52">
        <f t="shared" si="29"/>
        <v>0</v>
      </c>
      <c r="M114" s="51">
        <f t="shared" si="29"/>
        <v>0</v>
      </c>
      <c r="N114" s="51">
        <f t="shared" si="29"/>
        <v>0.32142857142857145</v>
      </c>
      <c r="O114" s="51">
        <f t="shared" si="29"/>
        <v>0</v>
      </c>
      <c r="P114" s="51">
        <f t="shared" si="29"/>
        <v>0</v>
      </c>
      <c r="Q114" s="51">
        <f t="shared" si="29"/>
        <v>0</v>
      </c>
      <c r="R114" s="51">
        <f t="shared" si="29"/>
        <v>0</v>
      </c>
      <c r="S114" s="51">
        <f t="shared" si="29"/>
        <v>0</v>
      </c>
      <c r="T114" s="51">
        <f t="shared" si="29"/>
        <v>0</v>
      </c>
      <c r="U114" s="51">
        <f t="shared" si="29"/>
        <v>0</v>
      </c>
      <c r="V114" s="51">
        <f t="shared" si="29"/>
        <v>0</v>
      </c>
      <c r="W114" s="51">
        <f t="shared" si="29"/>
        <v>0</v>
      </c>
      <c r="X114" s="55">
        <f t="shared" si="29"/>
        <v>0</v>
      </c>
      <c r="Y114" s="59">
        <f t="shared" si="29"/>
        <v>1.0803378511098016</v>
      </c>
      <c r="Z114" s="51">
        <f t="shared" si="29"/>
        <v>0.32142857142857145</v>
      </c>
      <c r="AA114" s="51">
        <f t="shared" si="29"/>
        <v>0.56756756756756754</v>
      </c>
    </row>
    <row r="115" spans="1:27" x14ac:dyDescent="0.25">
      <c r="A115" s="30" t="s">
        <v>60</v>
      </c>
      <c r="B115" s="32" t="s">
        <v>23</v>
      </c>
      <c r="C115" s="31" t="s">
        <v>49</v>
      </c>
      <c r="D115" s="2"/>
      <c r="E115" s="2"/>
      <c r="F115" s="51">
        <f t="shared" ref="F115:AA127" si="30">IF(F25&gt;0,F70/F25,0)</f>
        <v>0</v>
      </c>
      <c r="G115" s="51">
        <f t="shared" si="30"/>
        <v>0</v>
      </c>
      <c r="H115" s="51">
        <f t="shared" si="30"/>
        <v>0</v>
      </c>
      <c r="I115" s="51">
        <f t="shared" si="30"/>
        <v>0</v>
      </c>
      <c r="J115" s="51">
        <f>IF(J25&gt;0,J70/J25,0)</f>
        <v>0.26181818181818184</v>
      </c>
      <c r="K115" s="51">
        <f t="shared" si="30"/>
        <v>0.24489795918367346</v>
      </c>
      <c r="L115" s="52">
        <f t="shared" si="30"/>
        <v>0</v>
      </c>
      <c r="M115" s="51">
        <f t="shared" si="30"/>
        <v>0</v>
      </c>
      <c r="N115" s="51">
        <f t="shared" si="30"/>
        <v>0</v>
      </c>
      <c r="O115" s="51">
        <f t="shared" si="30"/>
        <v>0</v>
      </c>
      <c r="P115" s="51">
        <f t="shared" si="30"/>
        <v>0</v>
      </c>
      <c r="Q115" s="51">
        <f t="shared" si="30"/>
        <v>0</v>
      </c>
      <c r="R115" s="51">
        <f t="shared" si="30"/>
        <v>0</v>
      </c>
      <c r="S115" s="51">
        <f t="shared" si="29"/>
        <v>0.24489795918367346</v>
      </c>
      <c r="T115" s="51">
        <v>0.4</v>
      </c>
      <c r="U115" s="51">
        <f t="shared" si="29"/>
        <v>0</v>
      </c>
      <c r="V115" s="51">
        <v>0.9</v>
      </c>
      <c r="W115" s="51">
        <f t="shared" si="29"/>
        <v>0</v>
      </c>
      <c r="X115" s="51">
        <v>0.9</v>
      </c>
      <c r="Y115" s="59">
        <f t="shared" si="30"/>
        <v>0.25916932907348245</v>
      </c>
      <c r="Z115" s="51">
        <f t="shared" si="30"/>
        <v>0.45662100456621002</v>
      </c>
      <c r="AA115" s="51">
        <f t="shared" si="30"/>
        <v>0.46992481203007519</v>
      </c>
    </row>
    <row r="116" spans="1:27" x14ac:dyDescent="0.25">
      <c r="A116" s="30" t="s">
        <v>60</v>
      </c>
      <c r="B116" s="32" t="s">
        <v>23</v>
      </c>
      <c r="C116" s="31" t="s">
        <v>64</v>
      </c>
      <c r="D116" s="2"/>
      <c r="E116" s="2"/>
      <c r="F116" s="51">
        <f t="shared" si="30"/>
        <v>0</v>
      </c>
      <c r="G116" s="51">
        <f t="shared" si="30"/>
        <v>0</v>
      </c>
      <c r="H116" s="51">
        <f t="shared" si="30"/>
        <v>0</v>
      </c>
      <c r="I116" s="51">
        <f t="shared" si="30"/>
        <v>0</v>
      </c>
      <c r="J116" s="51">
        <f t="shared" si="30"/>
        <v>0</v>
      </c>
      <c r="K116" s="51">
        <f t="shared" si="30"/>
        <v>0</v>
      </c>
      <c r="L116" s="52">
        <f t="shared" si="30"/>
        <v>0</v>
      </c>
      <c r="M116" s="51">
        <f t="shared" si="30"/>
        <v>0</v>
      </c>
      <c r="N116" s="51">
        <f t="shared" si="30"/>
        <v>0</v>
      </c>
      <c r="O116" s="51">
        <f t="shared" si="30"/>
        <v>0</v>
      </c>
      <c r="P116" s="51">
        <f t="shared" si="30"/>
        <v>0</v>
      </c>
      <c r="Q116" s="51">
        <f t="shared" si="30"/>
        <v>0</v>
      </c>
      <c r="R116" s="51">
        <f t="shared" si="30"/>
        <v>0</v>
      </c>
      <c r="S116" s="51">
        <f t="shared" si="30"/>
        <v>0</v>
      </c>
      <c r="T116" s="51">
        <f t="shared" si="30"/>
        <v>0</v>
      </c>
      <c r="U116" s="51">
        <f t="shared" si="30"/>
        <v>0</v>
      </c>
      <c r="V116" s="51">
        <f t="shared" si="30"/>
        <v>0</v>
      </c>
      <c r="W116" s="51">
        <f t="shared" si="29"/>
        <v>0</v>
      </c>
      <c r="X116" s="55">
        <f t="shared" si="30"/>
        <v>0</v>
      </c>
      <c r="Y116" s="59">
        <f t="shared" si="30"/>
        <v>0</v>
      </c>
      <c r="Z116" s="51">
        <f t="shared" si="30"/>
        <v>0</v>
      </c>
      <c r="AA116" s="51">
        <f t="shared" si="30"/>
        <v>0</v>
      </c>
    </row>
    <row r="117" spans="1:27" x14ac:dyDescent="0.25">
      <c r="A117" s="30" t="s">
        <v>60</v>
      </c>
      <c r="B117" s="32" t="s">
        <v>65</v>
      </c>
      <c r="C117" s="31" t="s">
        <v>66</v>
      </c>
      <c r="D117" s="2"/>
      <c r="E117" s="2"/>
      <c r="F117" s="51">
        <f t="shared" si="30"/>
        <v>0</v>
      </c>
      <c r="G117" s="51">
        <f t="shared" si="30"/>
        <v>0</v>
      </c>
      <c r="H117" s="51">
        <f t="shared" si="30"/>
        <v>0</v>
      </c>
      <c r="I117" s="51">
        <f t="shared" si="30"/>
        <v>0</v>
      </c>
      <c r="J117" s="77">
        <v>0.12</v>
      </c>
      <c r="K117" s="51">
        <f t="shared" si="30"/>
        <v>0</v>
      </c>
      <c r="L117" s="52">
        <f t="shared" si="30"/>
        <v>0</v>
      </c>
      <c r="M117" s="77">
        <v>0.12</v>
      </c>
      <c r="N117" s="51">
        <f t="shared" si="30"/>
        <v>0</v>
      </c>
      <c r="O117" s="51">
        <f t="shared" si="30"/>
        <v>0</v>
      </c>
      <c r="P117" s="51">
        <f t="shared" si="30"/>
        <v>0</v>
      </c>
      <c r="Q117" s="51">
        <f t="shared" si="30"/>
        <v>0</v>
      </c>
      <c r="R117" s="51">
        <f t="shared" si="30"/>
        <v>0</v>
      </c>
      <c r="S117" s="51">
        <f t="shared" si="30"/>
        <v>0</v>
      </c>
      <c r="T117" s="51">
        <f t="shared" si="30"/>
        <v>0</v>
      </c>
      <c r="U117" s="51">
        <f t="shared" si="30"/>
        <v>0</v>
      </c>
      <c r="V117" s="51">
        <f t="shared" si="30"/>
        <v>0</v>
      </c>
      <c r="W117" s="51">
        <f t="shared" si="29"/>
        <v>0</v>
      </c>
      <c r="X117" s="55">
        <f t="shared" si="30"/>
        <v>0</v>
      </c>
      <c r="Y117" s="59">
        <f t="shared" si="30"/>
        <v>0.11999999999999998</v>
      </c>
      <c r="Z117" s="51">
        <f t="shared" si="30"/>
        <v>0.12</v>
      </c>
      <c r="AA117" s="51">
        <f t="shared" si="30"/>
        <v>0.12</v>
      </c>
    </row>
    <row r="118" spans="1:27" x14ac:dyDescent="0.25">
      <c r="A118" s="30" t="s">
        <v>60</v>
      </c>
      <c r="B118" s="32" t="s">
        <v>65</v>
      </c>
      <c r="C118" s="31" t="s">
        <v>67</v>
      </c>
      <c r="D118" s="2"/>
      <c r="E118" s="2"/>
      <c r="F118" s="51">
        <f t="shared" si="30"/>
        <v>0</v>
      </c>
      <c r="G118" s="51">
        <f t="shared" si="30"/>
        <v>0</v>
      </c>
      <c r="H118" s="51">
        <f t="shared" si="30"/>
        <v>0</v>
      </c>
      <c r="I118" s="51">
        <f t="shared" si="30"/>
        <v>0</v>
      </c>
      <c r="J118" s="51">
        <f t="shared" si="30"/>
        <v>0</v>
      </c>
      <c r="K118" s="51">
        <f t="shared" si="30"/>
        <v>0</v>
      </c>
      <c r="L118" s="52">
        <f t="shared" si="30"/>
        <v>0</v>
      </c>
      <c r="M118" s="51">
        <f t="shared" si="30"/>
        <v>0</v>
      </c>
      <c r="N118" s="51">
        <f t="shared" si="30"/>
        <v>0</v>
      </c>
      <c r="O118" s="51">
        <f t="shared" si="30"/>
        <v>0</v>
      </c>
      <c r="P118" s="51">
        <f t="shared" si="30"/>
        <v>0</v>
      </c>
      <c r="Q118" s="77">
        <v>0.15</v>
      </c>
      <c r="R118" s="77">
        <v>0.18</v>
      </c>
      <c r="S118" s="51">
        <f t="shared" si="30"/>
        <v>0</v>
      </c>
      <c r="T118" s="77">
        <v>0.15</v>
      </c>
      <c r="U118" s="77">
        <v>0.12</v>
      </c>
      <c r="V118" s="77">
        <v>0.12</v>
      </c>
      <c r="W118" s="77">
        <v>0.12</v>
      </c>
      <c r="X118" s="77">
        <v>0.12</v>
      </c>
      <c r="Y118" s="59">
        <f t="shared" si="30"/>
        <v>0</v>
      </c>
      <c r="Z118" s="51">
        <f t="shared" si="30"/>
        <v>0.14342431761786598</v>
      </c>
      <c r="AA118" s="51">
        <f t="shared" si="30"/>
        <v>0.14342431761786598</v>
      </c>
    </row>
    <row r="119" spans="1:27" x14ac:dyDescent="0.25">
      <c r="A119" s="30" t="s">
        <v>60</v>
      </c>
      <c r="B119" s="32" t="s">
        <v>65</v>
      </c>
      <c r="C119" s="31" t="s">
        <v>68</v>
      </c>
      <c r="D119" s="2"/>
      <c r="E119" s="2"/>
      <c r="F119" s="51">
        <f t="shared" si="30"/>
        <v>0</v>
      </c>
      <c r="G119" s="51">
        <f t="shared" si="30"/>
        <v>0</v>
      </c>
      <c r="H119" s="51">
        <f t="shared" si="30"/>
        <v>0</v>
      </c>
      <c r="I119" s="51">
        <f t="shared" si="30"/>
        <v>0</v>
      </c>
      <c r="J119" s="51">
        <f t="shared" si="30"/>
        <v>0</v>
      </c>
      <c r="K119" s="51">
        <f t="shared" si="30"/>
        <v>0</v>
      </c>
      <c r="L119" s="77">
        <v>0.09</v>
      </c>
      <c r="M119" s="51">
        <f t="shared" si="30"/>
        <v>0</v>
      </c>
      <c r="N119" s="51">
        <f t="shared" si="30"/>
        <v>0</v>
      </c>
      <c r="O119" s="51">
        <f t="shared" si="30"/>
        <v>0</v>
      </c>
      <c r="P119" s="51">
        <f t="shared" si="30"/>
        <v>0</v>
      </c>
      <c r="Q119" s="51">
        <f t="shared" si="30"/>
        <v>0</v>
      </c>
      <c r="R119" s="51">
        <f t="shared" si="30"/>
        <v>0</v>
      </c>
      <c r="S119" s="51">
        <f t="shared" si="30"/>
        <v>0</v>
      </c>
      <c r="T119" s="51">
        <f t="shared" si="30"/>
        <v>0</v>
      </c>
      <c r="U119" s="51">
        <f t="shared" si="30"/>
        <v>0</v>
      </c>
      <c r="V119" s="51">
        <f t="shared" si="30"/>
        <v>0</v>
      </c>
      <c r="W119" s="51">
        <f t="shared" si="30"/>
        <v>0</v>
      </c>
      <c r="X119" s="55">
        <f t="shared" si="30"/>
        <v>0</v>
      </c>
      <c r="Y119" s="59">
        <f t="shared" si="30"/>
        <v>0</v>
      </c>
      <c r="Z119" s="51">
        <f t="shared" si="30"/>
        <v>0</v>
      </c>
      <c r="AA119" s="51">
        <f t="shared" si="30"/>
        <v>0.09</v>
      </c>
    </row>
    <row r="120" spans="1:27" x14ac:dyDescent="0.25">
      <c r="A120" s="30" t="s">
        <v>60</v>
      </c>
      <c r="B120" s="32" t="s">
        <v>9</v>
      </c>
      <c r="C120" s="31" t="s">
        <v>69</v>
      </c>
      <c r="D120" s="2"/>
      <c r="E120" s="2"/>
      <c r="F120" s="51">
        <f t="shared" si="30"/>
        <v>0</v>
      </c>
      <c r="G120" s="51">
        <f t="shared" si="30"/>
        <v>0</v>
      </c>
      <c r="H120" s="51">
        <f t="shared" si="30"/>
        <v>0</v>
      </c>
      <c r="I120" s="51">
        <f t="shared" si="30"/>
        <v>0</v>
      </c>
      <c r="J120" s="51">
        <f t="shared" si="30"/>
        <v>0</v>
      </c>
      <c r="K120" s="51">
        <f t="shared" si="30"/>
        <v>0</v>
      </c>
      <c r="L120" s="52">
        <f t="shared" si="30"/>
        <v>0</v>
      </c>
      <c r="M120" s="51">
        <f t="shared" si="30"/>
        <v>0</v>
      </c>
      <c r="N120" s="51">
        <f t="shared" si="30"/>
        <v>0</v>
      </c>
      <c r="O120" s="51">
        <f t="shared" si="30"/>
        <v>0</v>
      </c>
      <c r="P120" s="51">
        <f t="shared" si="30"/>
        <v>0</v>
      </c>
      <c r="Q120" s="51">
        <f t="shared" si="30"/>
        <v>0</v>
      </c>
      <c r="R120" s="51">
        <f t="shared" si="30"/>
        <v>0</v>
      </c>
      <c r="S120" s="51">
        <f t="shared" si="30"/>
        <v>0</v>
      </c>
      <c r="T120" s="51">
        <f t="shared" si="30"/>
        <v>0</v>
      </c>
      <c r="U120" s="51">
        <f t="shared" si="30"/>
        <v>0</v>
      </c>
      <c r="V120" s="51">
        <f t="shared" si="30"/>
        <v>1</v>
      </c>
      <c r="W120" s="51">
        <f t="shared" si="30"/>
        <v>0</v>
      </c>
      <c r="X120" s="79">
        <v>0.42</v>
      </c>
      <c r="Y120" s="59">
        <f t="shared" si="30"/>
        <v>0</v>
      </c>
      <c r="Z120" s="51">
        <f t="shared" si="30"/>
        <v>0.61607710230883284</v>
      </c>
      <c r="AA120" s="51">
        <f t="shared" si="30"/>
        <v>0.61607710230883284</v>
      </c>
    </row>
    <row r="121" spans="1:27" x14ac:dyDescent="0.25">
      <c r="A121" s="15" t="s">
        <v>51</v>
      </c>
      <c r="B121" s="16" t="s">
        <v>56</v>
      </c>
      <c r="C121" s="27" t="s">
        <v>57</v>
      </c>
      <c r="D121" s="16" t="s">
        <v>70</v>
      </c>
      <c r="E121" s="16"/>
      <c r="F121" s="1">
        <f t="shared" si="30"/>
        <v>0</v>
      </c>
      <c r="G121" s="1">
        <f t="shared" si="30"/>
        <v>0</v>
      </c>
      <c r="H121" s="1">
        <f t="shared" si="30"/>
        <v>0</v>
      </c>
      <c r="I121" s="1">
        <f t="shared" si="30"/>
        <v>0</v>
      </c>
      <c r="J121" s="1">
        <f t="shared" si="30"/>
        <v>0</v>
      </c>
      <c r="K121" s="1">
        <f t="shared" si="30"/>
        <v>0</v>
      </c>
      <c r="L121" s="52">
        <f t="shared" si="30"/>
        <v>0</v>
      </c>
      <c r="M121" s="1">
        <f t="shared" si="30"/>
        <v>0</v>
      </c>
      <c r="N121" s="1">
        <f t="shared" si="30"/>
        <v>0</v>
      </c>
      <c r="O121" s="1">
        <f t="shared" si="30"/>
        <v>0</v>
      </c>
      <c r="P121" s="1">
        <f t="shared" si="30"/>
        <v>0</v>
      </c>
      <c r="Q121" s="1">
        <f t="shared" si="30"/>
        <v>0</v>
      </c>
      <c r="R121" s="1">
        <f t="shared" si="30"/>
        <v>0</v>
      </c>
      <c r="S121" s="1">
        <f t="shared" si="30"/>
        <v>0</v>
      </c>
      <c r="T121" s="1">
        <f t="shared" si="30"/>
        <v>0</v>
      </c>
      <c r="U121" s="1">
        <f t="shared" si="30"/>
        <v>0</v>
      </c>
      <c r="V121" s="1">
        <f t="shared" si="30"/>
        <v>0</v>
      </c>
      <c r="W121" s="1">
        <f t="shared" si="30"/>
        <v>0</v>
      </c>
      <c r="X121" s="54">
        <f t="shared" si="30"/>
        <v>0</v>
      </c>
      <c r="Y121" s="58">
        <f t="shared" si="30"/>
        <v>0</v>
      </c>
      <c r="Z121" s="1">
        <f t="shared" si="30"/>
        <v>0</v>
      </c>
      <c r="AA121" s="1">
        <f t="shared" si="30"/>
        <v>0</v>
      </c>
    </row>
    <row r="122" spans="1:27" x14ac:dyDescent="0.25">
      <c r="A122" s="15" t="s">
        <v>51</v>
      </c>
      <c r="B122" s="16" t="s">
        <v>56</v>
      </c>
      <c r="C122" s="27" t="s">
        <v>57</v>
      </c>
      <c r="D122" s="16" t="s">
        <v>71</v>
      </c>
      <c r="E122" s="16"/>
      <c r="F122" s="1">
        <f t="shared" si="30"/>
        <v>0</v>
      </c>
      <c r="G122" s="1">
        <f t="shared" si="30"/>
        <v>0</v>
      </c>
      <c r="H122" s="1">
        <f t="shared" si="30"/>
        <v>0</v>
      </c>
      <c r="I122" s="1">
        <f t="shared" si="30"/>
        <v>0</v>
      </c>
      <c r="J122" s="1">
        <f t="shared" si="30"/>
        <v>0</v>
      </c>
      <c r="K122" s="1">
        <f t="shared" si="30"/>
        <v>0</v>
      </c>
      <c r="L122" s="52">
        <f t="shared" si="30"/>
        <v>0</v>
      </c>
      <c r="M122" s="1">
        <f t="shared" si="30"/>
        <v>0</v>
      </c>
      <c r="N122" s="1">
        <f t="shared" si="30"/>
        <v>0</v>
      </c>
      <c r="O122" s="1">
        <f t="shared" si="30"/>
        <v>0</v>
      </c>
      <c r="P122" s="1">
        <f t="shared" si="30"/>
        <v>0</v>
      </c>
      <c r="Q122" s="1">
        <f t="shared" si="30"/>
        <v>0</v>
      </c>
      <c r="R122" s="1">
        <f t="shared" si="30"/>
        <v>0</v>
      </c>
      <c r="S122" s="1">
        <f t="shared" si="30"/>
        <v>0</v>
      </c>
      <c r="T122" s="1">
        <f t="shared" si="30"/>
        <v>0</v>
      </c>
      <c r="U122" s="1">
        <f t="shared" si="30"/>
        <v>0</v>
      </c>
      <c r="V122" s="1">
        <f t="shared" si="30"/>
        <v>0</v>
      </c>
      <c r="W122" s="1">
        <f t="shared" si="30"/>
        <v>0</v>
      </c>
      <c r="X122" s="54">
        <f t="shared" si="30"/>
        <v>0</v>
      </c>
      <c r="Y122" s="58">
        <f t="shared" si="30"/>
        <v>0</v>
      </c>
      <c r="Z122" s="1">
        <f t="shared" si="30"/>
        <v>0</v>
      </c>
      <c r="AA122" s="1">
        <f t="shared" si="30"/>
        <v>0</v>
      </c>
    </row>
    <row r="123" spans="1:27" x14ac:dyDescent="0.25">
      <c r="A123" s="15" t="s">
        <v>51</v>
      </c>
      <c r="B123" s="16" t="s">
        <v>56</v>
      </c>
      <c r="C123" s="27" t="s">
        <v>27</v>
      </c>
      <c r="D123" s="16" t="s">
        <v>72</v>
      </c>
      <c r="E123" s="16"/>
      <c r="F123" s="1">
        <f t="shared" si="30"/>
        <v>0</v>
      </c>
      <c r="G123" s="1">
        <f t="shared" si="30"/>
        <v>0</v>
      </c>
      <c r="H123" s="1">
        <f t="shared" si="30"/>
        <v>0</v>
      </c>
      <c r="I123" s="1">
        <f t="shared" si="30"/>
        <v>0</v>
      </c>
      <c r="J123" s="1">
        <f t="shared" si="30"/>
        <v>0</v>
      </c>
      <c r="K123" s="1">
        <f t="shared" si="30"/>
        <v>0</v>
      </c>
      <c r="L123" s="52">
        <f t="shared" si="30"/>
        <v>0</v>
      </c>
      <c r="M123" s="1">
        <f t="shared" si="30"/>
        <v>0</v>
      </c>
      <c r="N123" s="1">
        <f t="shared" si="30"/>
        <v>0</v>
      </c>
      <c r="O123" s="1">
        <f t="shared" si="30"/>
        <v>0</v>
      </c>
      <c r="P123" s="1">
        <f t="shared" si="30"/>
        <v>0</v>
      </c>
      <c r="Q123" s="1">
        <f t="shared" si="30"/>
        <v>0</v>
      </c>
      <c r="R123" s="1">
        <f t="shared" si="30"/>
        <v>0</v>
      </c>
      <c r="S123" s="1">
        <f t="shared" si="30"/>
        <v>0</v>
      </c>
      <c r="T123" s="1">
        <f t="shared" si="30"/>
        <v>0</v>
      </c>
      <c r="U123" s="1">
        <f t="shared" si="30"/>
        <v>0</v>
      </c>
      <c r="V123" s="1">
        <f t="shared" si="30"/>
        <v>0</v>
      </c>
      <c r="W123" s="1">
        <f t="shared" si="30"/>
        <v>0</v>
      </c>
      <c r="X123" s="54">
        <f t="shared" si="30"/>
        <v>0</v>
      </c>
      <c r="Y123" s="58">
        <f t="shared" si="30"/>
        <v>0</v>
      </c>
      <c r="Z123" s="1">
        <f t="shared" si="30"/>
        <v>0</v>
      </c>
      <c r="AA123" s="1">
        <f t="shared" si="30"/>
        <v>0</v>
      </c>
    </row>
    <row r="124" spans="1:27" x14ac:dyDescent="0.25">
      <c r="A124" s="15" t="s">
        <v>51</v>
      </c>
      <c r="B124" s="16" t="s">
        <v>56</v>
      </c>
      <c r="C124" s="27" t="s">
        <v>57</v>
      </c>
      <c r="D124" s="16" t="s">
        <v>73</v>
      </c>
      <c r="E124" s="16"/>
      <c r="F124" s="1">
        <f t="shared" si="30"/>
        <v>0</v>
      </c>
      <c r="G124" s="1">
        <f t="shared" si="30"/>
        <v>0</v>
      </c>
      <c r="H124" s="1">
        <f t="shared" si="30"/>
        <v>0</v>
      </c>
      <c r="I124" s="1">
        <f t="shared" si="30"/>
        <v>0</v>
      </c>
      <c r="J124" s="1">
        <f t="shared" si="30"/>
        <v>0</v>
      </c>
      <c r="K124" s="1">
        <f t="shared" si="30"/>
        <v>0</v>
      </c>
      <c r="L124" s="52">
        <f t="shared" si="30"/>
        <v>0</v>
      </c>
      <c r="M124" s="1">
        <f t="shared" si="30"/>
        <v>0</v>
      </c>
      <c r="N124" s="1">
        <f t="shared" si="30"/>
        <v>0</v>
      </c>
      <c r="O124" s="1">
        <f t="shared" si="30"/>
        <v>0</v>
      </c>
      <c r="P124" s="1">
        <f t="shared" si="30"/>
        <v>0</v>
      </c>
      <c r="Q124" s="1">
        <f t="shared" si="30"/>
        <v>0</v>
      </c>
      <c r="R124" s="1">
        <f t="shared" si="30"/>
        <v>0</v>
      </c>
      <c r="S124" s="1">
        <f t="shared" si="30"/>
        <v>0</v>
      </c>
      <c r="T124" s="1">
        <f t="shared" si="30"/>
        <v>0</v>
      </c>
      <c r="U124" s="1">
        <f t="shared" si="30"/>
        <v>0</v>
      </c>
      <c r="V124" s="1">
        <f t="shared" si="30"/>
        <v>0</v>
      </c>
      <c r="W124" s="1">
        <f t="shared" si="30"/>
        <v>0</v>
      </c>
      <c r="X124" s="54">
        <f t="shared" si="30"/>
        <v>0</v>
      </c>
      <c r="Y124" s="58">
        <f t="shared" si="30"/>
        <v>0</v>
      </c>
      <c r="Z124" s="1">
        <f t="shared" si="30"/>
        <v>0</v>
      </c>
      <c r="AA124" s="1">
        <f t="shared" si="30"/>
        <v>0</v>
      </c>
    </row>
    <row r="125" spans="1:27" x14ac:dyDescent="0.25">
      <c r="A125" s="15" t="s">
        <v>51</v>
      </c>
      <c r="B125" s="16" t="s">
        <v>56</v>
      </c>
      <c r="C125" s="27" t="s">
        <v>57</v>
      </c>
      <c r="D125" s="16" t="s">
        <v>74</v>
      </c>
      <c r="E125" s="16"/>
      <c r="F125" s="1">
        <f t="shared" si="30"/>
        <v>0</v>
      </c>
      <c r="G125" s="1">
        <f t="shared" si="30"/>
        <v>0</v>
      </c>
      <c r="H125" s="1">
        <f t="shared" si="30"/>
        <v>0</v>
      </c>
      <c r="I125" s="1">
        <f t="shared" si="30"/>
        <v>0</v>
      </c>
      <c r="J125" s="1">
        <f t="shared" si="30"/>
        <v>0</v>
      </c>
      <c r="K125" s="1">
        <f t="shared" si="30"/>
        <v>0</v>
      </c>
      <c r="L125" s="52">
        <f t="shared" si="30"/>
        <v>0</v>
      </c>
      <c r="M125" s="1">
        <f t="shared" si="30"/>
        <v>0</v>
      </c>
      <c r="N125" s="1">
        <f t="shared" si="30"/>
        <v>0</v>
      </c>
      <c r="O125" s="1">
        <f t="shared" si="30"/>
        <v>0</v>
      </c>
      <c r="P125" s="1">
        <f t="shared" si="30"/>
        <v>0</v>
      </c>
      <c r="Q125" s="1">
        <f t="shared" si="30"/>
        <v>0</v>
      </c>
      <c r="R125" s="1">
        <f t="shared" si="30"/>
        <v>0</v>
      </c>
      <c r="S125" s="1">
        <f t="shared" si="30"/>
        <v>0</v>
      </c>
      <c r="T125" s="1">
        <f t="shared" si="30"/>
        <v>0</v>
      </c>
      <c r="U125" s="1">
        <f t="shared" si="30"/>
        <v>0</v>
      </c>
      <c r="V125" s="1">
        <f t="shared" si="30"/>
        <v>0</v>
      </c>
      <c r="W125" s="1">
        <f t="shared" si="30"/>
        <v>0</v>
      </c>
      <c r="X125" s="54">
        <f t="shared" si="30"/>
        <v>0</v>
      </c>
      <c r="Y125" s="58">
        <f t="shared" si="30"/>
        <v>0</v>
      </c>
      <c r="Z125" s="1">
        <f t="shared" si="30"/>
        <v>0</v>
      </c>
      <c r="AA125" s="1">
        <f t="shared" si="30"/>
        <v>0</v>
      </c>
    </row>
    <row r="126" spans="1:27" x14ac:dyDescent="0.25">
      <c r="A126" s="30" t="s">
        <v>60</v>
      </c>
      <c r="B126" s="31" t="s">
        <v>13</v>
      </c>
      <c r="C126" s="32" t="s">
        <v>61</v>
      </c>
      <c r="D126" s="31" t="s">
        <v>75</v>
      </c>
      <c r="E126" s="31"/>
      <c r="F126" s="51">
        <f t="shared" si="30"/>
        <v>0.1750714642857143</v>
      </c>
      <c r="G126" s="51">
        <f t="shared" si="30"/>
        <v>0</v>
      </c>
      <c r="H126" s="51">
        <f t="shared" si="30"/>
        <v>0.24052478134110788</v>
      </c>
      <c r="I126" s="51">
        <f t="shared" si="30"/>
        <v>0.21995464852607707</v>
      </c>
      <c r="J126" s="51">
        <f t="shared" si="30"/>
        <v>0.33257142857142852</v>
      </c>
      <c r="K126" s="51">
        <f t="shared" si="30"/>
        <v>0.27312500000000001</v>
      </c>
      <c r="L126" s="52">
        <f t="shared" si="30"/>
        <v>0</v>
      </c>
      <c r="M126" s="51">
        <f t="shared" si="30"/>
        <v>0.26</v>
      </c>
      <c r="N126" s="51">
        <f t="shared" si="30"/>
        <v>0</v>
      </c>
      <c r="O126" s="51">
        <f t="shared" si="30"/>
        <v>0</v>
      </c>
      <c r="P126" s="51">
        <f t="shared" si="30"/>
        <v>0</v>
      </c>
      <c r="Q126" s="51">
        <f t="shared" si="30"/>
        <v>0</v>
      </c>
      <c r="R126" s="51">
        <f t="shared" si="30"/>
        <v>0</v>
      </c>
      <c r="S126" s="51">
        <f t="shared" si="30"/>
        <v>0</v>
      </c>
      <c r="T126" s="51">
        <f t="shared" si="30"/>
        <v>0</v>
      </c>
      <c r="U126" s="51">
        <f t="shared" si="30"/>
        <v>0</v>
      </c>
      <c r="V126" s="51">
        <f t="shared" si="30"/>
        <v>0</v>
      </c>
      <c r="W126" s="51">
        <f t="shared" si="30"/>
        <v>0.8</v>
      </c>
      <c r="X126" s="55">
        <f t="shared" si="30"/>
        <v>0.35</v>
      </c>
      <c r="Y126" s="59">
        <f t="shared" si="30"/>
        <v>0.21922900399748818</v>
      </c>
      <c r="Z126" s="51">
        <f t="shared" si="30"/>
        <v>0.36248348745046238</v>
      </c>
      <c r="AA126" s="51">
        <f t="shared" si="30"/>
        <v>0.23266755751715826</v>
      </c>
    </row>
    <row r="127" spans="1:27" x14ac:dyDescent="0.25">
      <c r="A127" s="30" t="s">
        <v>60</v>
      </c>
      <c r="B127" s="31" t="s">
        <v>13</v>
      </c>
      <c r="C127" s="32" t="s">
        <v>61</v>
      </c>
      <c r="D127" s="31" t="s">
        <v>76</v>
      </c>
      <c r="E127" s="31"/>
      <c r="F127" s="51">
        <f t="shared" si="30"/>
        <v>0.1750714642857143</v>
      </c>
      <c r="G127" s="51">
        <f t="shared" si="30"/>
        <v>0</v>
      </c>
      <c r="H127" s="51">
        <f t="shared" si="30"/>
        <v>0</v>
      </c>
      <c r="I127" s="51">
        <f t="shared" si="30"/>
        <v>0.2199546485260771</v>
      </c>
      <c r="J127" s="51">
        <f t="shared" si="30"/>
        <v>0.33257142857142863</v>
      </c>
      <c r="K127" s="51">
        <f t="shared" si="30"/>
        <v>0.27312500000000001</v>
      </c>
      <c r="L127" s="52">
        <f t="shared" si="30"/>
        <v>0</v>
      </c>
      <c r="M127" s="51">
        <f t="shared" si="30"/>
        <v>0.26</v>
      </c>
      <c r="N127" s="51">
        <f t="shared" si="30"/>
        <v>0.28636363636363638</v>
      </c>
      <c r="O127" s="51">
        <f t="shared" si="30"/>
        <v>0.27777777777777779</v>
      </c>
      <c r="P127" s="51">
        <f t="shared" si="30"/>
        <v>0.16250000000000001</v>
      </c>
      <c r="Q127" s="51">
        <f t="shared" ref="Q127:AA135" si="31">IF(Q37&gt;0,Q82/Q37,0)</f>
        <v>0</v>
      </c>
      <c r="R127" s="51">
        <f t="shared" si="31"/>
        <v>0.35</v>
      </c>
      <c r="S127" s="51">
        <f t="shared" si="31"/>
        <v>0</v>
      </c>
      <c r="T127" s="51">
        <f t="shared" si="31"/>
        <v>0</v>
      </c>
      <c r="U127" s="51">
        <f t="shared" si="31"/>
        <v>0</v>
      </c>
      <c r="V127" s="51">
        <f t="shared" si="31"/>
        <v>0</v>
      </c>
      <c r="W127" s="51">
        <f t="shared" si="31"/>
        <v>0</v>
      </c>
      <c r="X127" s="55">
        <f t="shared" si="31"/>
        <v>0.35</v>
      </c>
      <c r="Y127" s="59">
        <f t="shared" si="31"/>
        <v>0.29120555107428325</v>
      </c>
      <c r="Z127" s="51">
        <f t="shared" si="31"/>
        <v>0.21473882446228565</v>
      </c>
      <c r="AA127" s="51">
        <f t="shared" si="31"/>
        <v>0.22134848423384063</v>
      </c>
    </row>
    <row r="128" spans="1:27" x14ac:dyDescent="0.25">
      <c r="A128" s="30" t="s">
        <v>60</v>
      </c>
      <c r="B128" s="31" t="s">
        <v>13</v>
      </c>
      <c r="C128" s="32" t="s">
        <v>61</v>
      </c>
      <c r="D128" s="31" t="s">
        <v>77</v>
      </c>
      <c r="E128" s="31"/>
      <c r="F128" s="51">
        <f t="shared" ref="F128:AA135" si="32">IF(F38&gt;0,F83/F38,0)</f>
        <v>0</v>
      </c>
      <c r="G128" s="51">
        <f t="shared" si="32"/>
        <v>0</v>
      </c>
      <c r="H128" s="51">
        <f t="shared" si="32"/>
        <v>0</v>
      </c>
      <c r="I128" s="51">
        <f t="shared" si="32"/>
        <v>0</v>
      </c>
      <c r="J128" s="51">
        <f t="shared" si="32"/>
        <v>0</v>
      </c>
      <c r="K128" s="51">
        <f t="shared" si="32"/>
        <v>0.27312500000000001</v>
      </c>
      <c r="L128" s="52">
        <f t="shared" si="32"/>
        <v>0</v>
      </c>
      <c r="M128" s="51">
        <f t="shared" si="32"/>
        <v>0.26</v>
      </c>
      <c r="N128" s="51">
        <f t="shared" si="32"/>
        <v>0</v>
      </c>
      <c r="O128" s="51">
        <f t="shared" si="32"/>
        <v>0.27777777777777779</v>
      </c>
      <c r="P128" s="51">
        <f t="shared" si="32"/>
        <v>0.16250000000000003</v>
      </c>
      <c r="Q128" s="51">
        <f t="shared" si="32"/>
        <v>0</v>
      </c>
      <c r="R128" s="51">
        <f t="shared" si="32"/>
        <v>0</v>
      </c>
      <c r="S128" s="51">
        <f t="shared" si="32"/>
        <v>0</v>
      </c>
      <c r="T128" s="51">
        <f t="shared" si="32"/>
        <v>0.4</v>
      </c>
      <c r="U128" s="51">
        <f t="shared" si="32"/>
        <v>0.48</v>
      </c>
      <c r="V128" s="51">
        <f t="shared" si="32"/>
        <v>0</v>
      </c>
      <c r="W128" s="51">
        <f t="shared" si="31"/>
        <v>0</v>
      </c>
      <c r="X128" s="55">
        <f t="shared" si="32"/>
        <v>0.35</v>
      </c>
      <c r="Y128" s="59">
        <f t="shared" si="32"/>
        <v>0.27312500000000001</v>
      </c>
      <c r="Z128" s="51">
        <f t="shared" si="32"/>
        <v>0.22638507160422391</v>
      </c>
      <c r="AA128" s="51">
        <f t="shared" si="32"/>
        <v>0.22660043196544277</v>
      </c>
    </row>
    <row r="129" spans="1:55" x14ac:dyDescent="0.25">
      <c r="A129" s="30" t="s">
        <v>60</v>
      </c>
      <c r="B129" s="31" t="s">
        <v>13</v>
      </c>
      <c r="C129" s="32" t="s">
        <v>61</v>
      </c>
      <c r="D129" s="31" t="s">
        <v>78</v>
      </c>
      <c r="E129" s="31"/>
      <c r="F129" s="51">
        <f t="shared" si="32"/>
        <v>0</v>
      </c>
      <c r="G129" s="51">
        <f t="shared" si="32"/>
        <v>0</v>
      </c>
      <c r="H129" s="51">
        <f t="shared" si="32"/>
        <v>0</v>
      </c>
      <c r="I129" s="51">
        <f t="shared" si="32"/>
        <v>0.2199546485260771</v>
      </c>
      <c r="J129" s="51">
        <f t="shared" si="32"/>
        <v>0</v>
      </c>
      <c r="K129" s="51">
        <f t="shared" si="32"/>
        <v>0.27312500000000001</v>
      </c>
      <c r="L129" s="52">
        <f t="shared" si="32"/>
        <v>0</v>
      </c>
      <c r="M129" s="51">
        <f t="shared" si="32"/>
        <v>0</v>
      </c>
      <c r="N129" s="51">
        <f t="shared" si="32"/>
        <v>0</v>
      </c>
      <c r="O129" s="51">
        <f t="shared" si="32"/>
        <v>0</v>
      </c>
      <c r="P129" s="51">
        <f t="shared" si="32"/>
        <v>0.16250000000000001</v>
      </c>
      <c r="Q129" s="51">
        <f t="shared" si="32"/>
        <v>0.3</v>
      </c>
      <c r="R129" s="51">
        <f t="shared" si="32"/>
        <v>0</v>
      </c>
      <c r="S129" s="51">
        <f t="shared" si="32"/>
        <v>0</v>
      </c>
      <c r="T129" s="51">
        <f t="shared" si="32"/>
        <v>0</v>
      </c>
      <c r="U129" s="51">
        <f t="shared" si="32"/>
        <v>0</v>
      </c>
      <c r="V129" s="51">
        <f t="shared" si="32"/>
        <v>0</v>
      </c>
      <c r="W129" s="51">
        <f t="shared" si="31"/>
        <v>0</v>
      </c>
      <c r="X129" s="55">
        <f t="shared" si="32"/>
        <v>0.35</v>
      </c>
      <c r="Y129" s="59">
        <f t="shared" si="32"/>
        <v>0.23654446177847119</v>
      </c>
      <c r="Z129" s="51">
        <f t="shared" si="32"/>
        <v>0.29566381156316918</v>
      </c>
      <c r="AA129" s="51">
        <f t="shared" si="32"/>
        <v>0.292441417875697</v>
      </c>
    </row>
    <row r="130" spans="1:55" ht="15.75" thickBot="1" x14ac:dyDescent="0.3">
      <c r="A130" s="33" t="s">
        <v>60</v>
      </c>
      <c r="B130" s="34" t="s">
        <v>13</v>
      </c>
      <c r="C130" s="35" t="s">
        <v>61</v>
      </c>
      <c r="D130" s="34" t="s">
        <v>79</v>
      </c>
      <c r="E130" s="31"/>
      <c r="F130" s="51">
        <f t="shared" si="32"/>
        <v>0</v>
      </c>
      <c r="G130" s="51">
        <f t="shared" si="32"/>
        <v>0</v>
      </c>
      <c r="H130" s="51">
        <f t="shared" si="32"/>
        <v>0</v>
      </c>
      <c r="I130" s="51">
        <f t="shared" si="32"/>
        <v>0</v>
      </c>
      <c r="J130" s="51">
        <f t="shared" si="32"/>
        <v>0</v>
      </c>
      <c r="K130" s="51">
        <f t="shared" si="32"/>
        <v>0</v>
      </c>
      <c r="L130" s="52">
        <f t="shared" si="32"/>
        <v>0</v>
      </c>
      <c r="M130" s="51">
        <f t="shared" si="32"/>
        <v>0</v>
      </c>
      <c r="N130" s="51">
        <f t="shared" si="32"/>
        <v>0</v>
      </c>
      <c r="O130" s="51">
        <f t="shared" si="32"/>
        <v>0</v>
      </c>
      <c r="P130" s="51">
        <f t="shared" si="32"/>
        <v>0</v>
      </c>
      <c r="Q130" s="51">
        <f t="shared" si="32"/>
        <v>0</v>
      </c>
      <c r="R130" s="51">
        <f t="shared" si="32"/>
        <v>0</v>
      </c>
      <c r="S130" s="51">
        <f t="shared" si="32"/>
        <v>0</v>
      </c>
      <c r="T130" s="51">
        <f t="shared" si="32"/>
        <v>0</v>
      </c>
      <c r="U130" s="51">
        <f t="shared" si="32"/>
        <v>0</v>
      </c>
      <c r="V130" s="51">
        <f t="shared" si="32"/>
        <v>0</v>
      </c>
      <c r="W130" s="51">
        <f t="shared" si="31"/>
        <v>0</v>
      </c>
      <c r="X130" s="55">
        <f t="shared" si="32"/>
        <v>0</v>
      </c>
      <c r="Y130" s="59">
        <f t="shared" si="32"/>
        <v>0</v>
      </c>
      <c r="Z130" s="51">
        <f t="shared" si="32"/>
        <v>0</v>
      </c>
      <c r="AA130" s="51">
        <f t="shared" si="32"/>
        <v>0</v>
      </c>
    </row>
    <row r="131" spans="1:55" x14ac:dyDescent="0.25">
      <c r="A131" s="30" t="s">
        <v>60</v>
      </c>
      <c r="B131" s="31" t="s">
        <v>13</v>
      </c>
      <c r="C131" s="32" t="s">
        <v>62</v>
      </c>
      <c r="D131" s="31" t="s">
        <v>75</v>
      </c>
      <c r="E131" s="31"/>
      <c r="F131" s="51">
        <f t="shared" si="32"/>
        <v>0</v>
      </c>
      <c r="G131" s="51">
        <f t="shared" si="32"/>
        <v>0.24068860162036304</v>
      </c>
      <c r="H131" s="51">
        <f>IF(H41&gt;0,H86/H41,0)</f>
        <v>0.28562317784256558</v>
      </c>
      <c r="I131" s="51">
        <f t="shared" si="32"/>
        <v>0</v>
      </c>
      <c r="J131" s="51">
        <f t="shared" si="32"/>
        <v>0</v>
      </c>
      <c r="K131" s="51">
        <f t="shared" si="32"/>
        <v>0</v>
      </c>
      <c r="L131" s="52">
        <f t="shared" si="32"/>
        <v>0</v>
      </c>
      <c r="M131" s="51">
        <f t="shared" si="32"/>
        <v>0</v>
      </c>
      <c r="N131" s="51">
        <f t="shared" si="32"/>
        <v>0</v>
      </c>
      <c r="O131" s="51">
        <f t="shared" si="32"/>
        <v>0</v>
      </c>
      <c r="P131" s="51">
        <f t="shared" si="32"/>
        <v>0</v>
      </c>
      <c r="Q131" s="51">
        <f t="shared" si="32"/>
        <v>0</v>
      </c>
      <c r="R131" s="51">
        <f t="shared" si="32"/>
        <v>0</v>
      </c>
      <c r="S131" s="51">
        <f t="shared" si="32"/>
        <v>0</v>
      </c>
      <c r="T131" s="51">
        <f t="shared" si="32"/>
        <v>0</v>
      </c>
      <c r="U131" s="51">
        <f t="shared" si="32"/>
        <v>0</v>
      </c>
      <c r="V131" s="51">
        <f t="shared" si="32"/>
        <v>0</v>
      </c>
      <c r="W131" s="51">
        <f t="shared" si="31"/>
        <v>0</v>
      </c>
      <c r="X131" s="55">
        <f t="shared" si="32"/>
        <v>0</v>
      </c>
      <c r="Y131" s="59">
        <f t="shared" si="32"/>
        <v>0.25511983724228765</v>
      </c>
      <c r="Z131" s="51">
        <f t="shared" si="32"/>
        <v>0</v>
      </c>
      <c r="AA131" s="51">
        <f t="shared" si="32"/>
        <v>0.25511983724228765</v>
      </c>
    </row>
    <row r="132" spans="1:55" x14ac:dyDescent="0.25">
      <c r="A132" s="30" t="s">
        <v>60</v>
      </c>
      <c r="B132" s="31" t="s">
        <v>13</v>
      </c>
      <c r="C132" s="32" t="s">
        <v>62</v>
      </c>
      <c r="D132" s="31" t="s">
        <v>76</v>
      </c>
      <c r="E132" s="31"/>
      <c r="F132" s="51">
        <f t="shared" si="32"/>
        <v>0.21888860000000004</v>
      </c>
      <c r="G132" s="51">
        <f t="shared" si="32"/>
        <v>0</v>
      </c>
      <c r="H132" s="51">
        <f>IF(H42&gt;0,H87/H42,0)</f>
        <v>0.28562317784256558</v>
      </c>
      <c r="I132" s="51">
        <f t="shared" si="32"/>
        <v>0</v>
      </c>
      <c r="J132" s="51">
        <f t="shared" si="32"/>
        <v>0</v>
      </c>
      <c r="K132" s="51">
        <f t="shared" si="32"/>
        <v>0</v>
      </c>
      <c r="L132" s="52">
        <f t="shared" si="32"/>
        <v>0</v>
      </c>
      <c r="M132" s="51">
        <f t="shared" si="32"/>
        <v>0</v>
      </c>
      <c r="N132" s="51">
        <f t="shared" si="32"/>
        <v>0</v>
      </c>
      <c r="O132" s="51">
        <f t="shared" si="32"/>
        <v>0</v>
      </c>
      <c r="P132" s="51">
        <f t="shared" si="32"/>
        <v>0.17</v>
      </c>
      <c r="Q132" s="51">
        <f t="shared" si="32"/>
        <v>0</v>
      </c>
      <c r="R132" s="51">
        <f t="shared" si="32"/>
        <v>0</v>
      </c>
      <c r="S132" s="51">
        <f t="shared" si="32"/>
        <v>0</v>
      </c>
      <c r="T132" s="51">
        <f t="shared" si="32"/>
        <v>0</v>
      </c>
      <c r="U132" s="51">
        <f t="shared" si="32"/>
        <v>0</v>
      </c>
      <c r="V132" s="51">
        <f t="shared" si="32"/>
        <v>0</v>
      </c>
      <c r="W132" s="51">
        <f t="shared" si="31"/>
        <v>0</v>
      </c>
      <c r="X132" s="55">
        <f t="shared" si="32"/>
        <v>0</v>
      </c>
      <c r="Y132" s="59">
        <f t="shared" si="32"/>
        <v>0.26779877136752139</v>
      </c>
      <c r="Z132" s="51">
        <f t="shared" si="32"/>
        <v>0.17</v>
      </c>
      <c r="AA132" s="51">
        <f t="shared" si="32"/>
        <v>0.18489822329517713</v>
      </c>
    </row>
    <row r="133" spans="1:55" x14ac:dyDescent="0.25">
      <c r="A133" s="30" t="s">
        <v>60</v>
      </c>
      <c r="B133" s="31" t="s">
        <v>13</v>
      </c>
      <c r="C133" s="32" t="s">
        <v>62</v>
      </c>
      <c r="D133" s="31" t="s">
        <v>77</v>
      </c>
      <c r="E133" s="31"/>
      <c r="F133" s="51">
        <f t="shared" si="32"/>
        <v>0</v>
      </c>
      <c r="G133" s="51">
        <f t="shared" si="32"/>
        <v>0</v>
      </c>
      <c r="H133" s="51">
        <f t="shared" si="32"/>
        <v>0</v>
      </c>
      <c r="I133" s="51">
        <f t="shared" si="32"/>
        <v>0</v>
      </c>
      <c r="J133" s="51">
        <f t="shared" si="32"/>
        <v>0</v>
      </c>
      <c r="K133" s="51">
        <f t="shared" si="32"/>
        <v>0</v>
      </c>
      <c r="L133" s="52">
        <f t="shared" si="32"/>
        <v>0</v>
      </c>
      <c r="M133" s="51">
        <f t="shared" si="32"/>
        <v>0</v>
      </c>
      <c r="N133" s="51">
        <f t="shared" si="32"/>
        <v>0</v>
      </c>
      <c r="O133" s="51">
        <f t="shared" si="32"/>
        <v>0</v>
      </c>
      <c r="P133" s="51">
        <f t="shared" si="32"/>
        <v>0</v>
      </c>
      <c r="Q133" s="51">
        <f t="shared" si="32"/>
        <v>0</v>
      </c>
      <c r="R133" s="51">
        <f t="shared" si="32"/>
        <v>0</v>
      </c>
      <c r="S133" s="51">
        <f t="shared" si="32"/>
        <v>0</v>
      </c>
      <c r="T133" s="51">
        <f t="shared" si="32"/>
        <v>0</v>
      </c>
      <c r="U133" s="51">
        <f t="shared" si="32"/>
        <v>0</v>
      </c>
      <c r="V133" s="51">
        <f t="shared" si="32"/>
        <v>0</v>
      </c>
      <c r="W133" s="51">
        <f t="shared" si="31"/>
        <v>0</v>
      </c>
      <c r="X133" s="55">
        <f t="shared" si="32"/>
        <v>0</v>
      </c>
      <c r="Y133" s="59">
        <f t="shared" si="32"/>
        <v>0</v>
      </c>
      <c r="Z133" s="51">
        <f t="shared" si="32"/>
        <v>0</v>
      </c>
      <c r="AA133" s="51">
        <f t="shared" si="32"/>
        <v>0</v>
      </c>
    </row>
    <row r="134" spans="1:55" x14ac:dyDescent="0.25">
      <c r="A134" s="30" t="s">
        <v>60</v>
      </c>
      <c r="B134" s="31" t="s">
        <v>13</v>
      </c>
      <c r="C134" s="32" t="s">
        <v>62</v>
      </c>
      <c r="D134" s="31" t="s">
        <v>78</v>
      </c>
      <c r="E134" s="31"/>
      <c r="F134" s="51">
        <f t="shared" si="32"/>
        <v>0</v>
      </c>
      <c r="G134" s="51">
        <f t="shared" si="32"/>
        <v>0</v>
      </c>
      <c r="H134" s="51">
        <f t="shared" si="32"/>
        <v>0</v>
      </c>
      <c r="I134" s="51">
        <f t="shared" si="32"/>
        <v>0</v>
      </c>
      <c r="J134" s="51">
        <f t="shared" si="32"/>
        <v>0</v>
      </c>
      <c r="K134" s="51">
        <f t="shared" si="32"/>
        <v>0</v>
      </c>
      <c r="L134" s="52">
        <f t="shared" si="32"/>
        <v>0</v>
      </c>
      <c r="M134" s="51">
        <f t="shared" si="32"/>
        <v>0</v>
      </c>
      <c r="N134" s="51">
        <f t="shared" si="32"/>
        <v>0</v>
      </c>
      <c r="O134" s="51">
        <f t="shared" si="32"/>
        <v>0</v>
      </c>
      <c r="P134" s="51">
        <f t="shared" si="32"/>
        <v>0</v>
      </c>
      <c r="Q134" s="51">
        <f t="shared" si="32"/>
        <v>0</v>
      </c>
      <c r="R134" s="51">
        <f t="shared" si="32"/>
        <v>0</v>
      </c>
      <c r="S134" s="51">
        <f t="shared" si="32"/>
        <v>0</v>
      </c>
      <c r="T134" s="51">
        <f t="shared" si="32"/>
        <v>0</v>
      </c>
      <c r="U134" s="51">
        <f t="shared" si="32"/>
        <v>0</v>
      </c>
      <c r="V134" s="51">
        <f t="shared" si="32"/>
        <v>0</v>
      </c>
      <c r="W134" s="51">
        <f t="shared" si="31"/>
        <v>0</v>
      </c>
      <c r="X134" s="55">
        <f t="shared" si="32"/>
        <v>0</v>
      </c>
      <c r="Y134" s="59">
        <f t="shared" si="32"/>
        <v>0</v>
      </c>
      <c r="Z134" s="51">
        <f t="shared" si="32"/>
        <v>0</v>
      </c>
      <c r="AA134" s="51">
        <f t="shared" si="32"/>
        <v>0</v>
      </c>
    </row>
    <row r="135" spans="1:55" ht="15.75" thickBot="1" x14ac:dyDescent="0.3">
      <c r="A135" s="33" t="s">
        <v>60</v>
      </c>
      <c r="B135" s="34" t="s">
        <v>13</v>
      </c>
      <c r="C135" s="32" t="s">
        <v>62</v>
      </c>
      <c r="D135" s="34" t="s">
        <v>79</v>
      </c>
      <c r="E135" s="31"/>
      <c r="F135" s="51">
        <f t="shared" si="32"/>
        <v>0</v>
      </c>
      <c r="G135" s="51">
        <f t="shared" si="32"/>
        <v>0</v>
      </c>
      <c r="H135" s="51">
        <f t="shared" si="32"/>
        <v>0</v>
      </c>
      <c r="I135" s="51">
        <f t="shared" si="32"/>
        <v>0</v>
      </c>
      <c r="J135" s="51">
        <f t="shared" si="32"/>
        <v>0</v>
      </c>
      <c r="K135" s="51">
        <f t="shared" si="32"/>
        <v>0</v>
      </c>
      <c r="L135" s="52">
        <f t="shared" si="32"/>
        <v>0</v>
      </c>
      <c r="M135" s="51">
        <f t="shared" si="32"/>
        <v>0</v>
      </c>
      <c r="N135" s="51">
        <f t="shared" si="32"/>
        <v>0</v>
      </c>
      <c r="O135" s="51">
        <f t="shared" si="32"/>
        <v>0</v>
      </c>
      <c r="P135" s="51">
        <f t="shared" si="32"/>
        <v>0</v>
      </c>
      <c r="Q135" s="51">
        <f t="shared" si="32"/>
        <v>0</v>
      </c>
      <c r="R135" s="51">
        <f t="shared" si="32"/>
        <v>0</v>
      </c>
      <c r="S135" s="51">
        <f t="shared" si="32"/>
        <v>0</v>
      </c>
      <c r="T135" s="51">
        <f t="shared" si="32"/>
        <v>0</v>
      </c>
      <c r="U135" s="51">
        <f t="shared" si="32"/>
        <v>0</v>
      </c>
      <c r="V135" s="51">
        <f t="shared" si="32"/>
        <v>0</v>
      </c>
      <c r="W135" s="51">
        <f t="shared" si="31"/>
        <v>0</v>
      </c>
      <c r="X135" s="55">
        <f t="shared" si="32"/>
        <v>0</v>
      </c>
      <c r="Y135" s="59">
        <f t="shared" si="32"/>
        <v>0</v>
      </c>
      <c r="Z135" s="51">
        <f t="shared" si="32"/>
        <v>0</v>
      </c>
      <c r="AA135" s="51">
        <f t="shared" si="32"/>
        <v>0</v>
      </c>
    </row>
    <row r="136" spans="1:5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55" x14ac:dyDescent="0.25">
      <c r="D137" s="41" t="s">
        <v>17</v>
      </c>
      <c r="E137" s="41"/>
      <c r="M137" s="24" t="s">
        <v>81</v>
      </c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AF137" s="41" t="s">
        <v>22</v>
      </c>
      <c r="AG137" s="41"/>
      <c r="AO137" s="24" t="s">
        <v>81</v>
      </c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</row>
    <row r="138" spans="1:55" x14ac:dyDescent="0.25">
      <c r="F138" s="23" t="s">
        <v>44</v>
      </c>
      <c r="G138" s="23"/>
      <c r="H138" s="23"/>
      <c r="I138" s="23"/>
      <c r="J138" s="23"/>
      <c r="K138" s="23"/>
      <c r="L138" s="7" t="s">
        <v>30</v>
      </c>
      <c r="M138" s="24" t="s">
        <v>46</v>
      </c>
      <c r="N138" s="8">
        <f>N21/N201</f>
        <v>999.99999999999989</v>
      </c>
      <c r="O138" s="8">
        <f>O21/O201</f>
        <v>12226.415094339622</v>
      </c>
      <c r="P138" s="8">
        <f>P21/P201</f>
        <v>95238.095238095237</v>
      </c>
      <c r="Q138" s="24"/>
      <c r="R138" s="24" t="s">
        <v>47</v>
      </c>
      <c r="S138" s="24"/>
      <c r="T138" s="24"/>
      <c r="U138" s="24"/>
      <c r="V138" s="24"/>
      <c r="W138" s="24"/>
      <c r="X138" s="24"/>
      <c r="Y138" s="44" t="s">
        <v>85</v>
      </c>
      <c r="Z138" s="44" t="s">
        <v>48</v>
      </c>
      <c r="AA138" s="44" t="s">
        <v>3</v>
      </c>
      <c r="AH138" s="23" t="s">
        <v>44</v>
      </c>
      <c r="AI138" s="23"/>
      <c r="AJ138" s="23"/>
      <c r="AK138" s="23"/>
      <c r="AL138" s="23"/>
      <c r="AM138" s="23"/>
      <c r="AN138" s="7" t="s">
        <v>30</v>
      </c>
      <c r="AO138" s="24" t="s">
        <v>46</v>
      </c>
      <c r="AP138" s="24"/>
      <c r="AQ138" s="24"/>
      <c r="AR138" s="24"/>
      <c r="AS138" s="24"/>
      <c r="AT138" s="24" t="s">
        <v>47</v>
      </c>
      <c r="AU138" s="24"/>
      <c r="AV138" s="24"/>
      <c r="AW138" s="24"/>
      <c r="AX138" s="24"/>
      <c r="AY138" s="24"/>
      <c r="AZ138" s="24"/>
      <c r="BA138" s="44" t="s">
        <v>85</v>
      </c>
      <c r="BB138" s="44" t="s">
        <v>48</v>
      </c>
      <c r="BC138" s="44" t="s">
        <v>3</v>
      </c>
    </row>
    <row r="139" spans="1:55" ht="63" x14ac:dyDescent="0.25">
      <c r="F139" s="38" t="s">
        <v>36</v>
      </c>
      <c r="G139" s="38" t="s">
        <v>37</v>
      </c>
      <c r="H139" s="38" t="s">
        <v>38</v>
      </c>
      <c r="I139" s="38" t="s">
        <v>80</v>
      </c>
      <c r="J139" s="38" t="s">
        <v>39</v>
      </c>
      <c r="K139" s="38" t="s">
        <v>45</v>
      </c>
      <c r="L139" s="39" t="s">
        <v>16</v>
      </c>
      <c r="M139" s="40" t="s">
        <v>34</v>
      </c>
      <c r="N139" s="40" t="s">
        <v>5</v>
      </c>
      <c r="O139" s="40" t="s">
        <v>7</v>
      </c>
      <c r="P139" s="40" t="s">
        <v>8</v>
      </c>
      <c r="Q139" s="40" t="s">
        <v>40</v>
      </c>
      <c r="R139" s="40" t="s">
        <v>41</v>
      </c>
      <c r="S139" s="40" t="s">
        <v>42</v>
      </c>
      <c r="T139" s="40" t="s">
        <v>31</v>
      </c>
      <c r="U139" s="40" t="s">
        <v>43</v>
      </c>
      <c r="V139" s="40" t="s">
        <v>82</v>
      </c>
      <c r="W139" s="40" t="s">
        <v>87</v>
      </c>
      <c r="X139" s="40" t="s">
        <v>83</v>
      </c>
      <c r="Y139" s="45" t="s">
        <v>3</v>
      </c>
      <c r="Z139" s="45" t="s">
        <v>3</v>
      </c>
      <c r="AA139" s="45" t="s">
        <v>3</v>
      </c>
      <c r="AH139" s="38" t="s">
        <v>36</v>
      </c>
      <c r="AI139" s="38" t="s">
        <v>37</v>
      </c>
      <c r="AJ139" s="38" t="s">
        <v>38</v>
      </c>
      <c r="AK139" s="38" t="s">
        <v>80</v>
      </c>
      <c r="AL139" s="38" t="s">
        <v>39</v>
      </c>
      <c r="AM139" s="38" t="s">
        <v>45</v>
      </c>
      <c r="AN139" s="39" t="s">
        <v>16</v>
      </c>
      <c r="AO139" s="40" t="s">
        <v>34</v>
      </c>
      <c r="AP139" s="40" t="s">
        <v>5</v>
      </c>
      <c r="AQ139" s="40" t="s">
        <v>7</v>
      </c>
      <c r="AR139" s="40" t="s">
        <v>8</v>
      </c>
      <c r="AS139" s="40" t="s">
        <v>40</v>
      </c>
      <c r="AT139" s="40" t="s">
        <v>41</v>
      </c>
      <c r="AU139" s="40" t="s">
        <v>42</v>
      </c>
      <c r="AV139" s="40" t="s">
        <v>31</v>
      </c>
      <c r="AW139" s="40" t="s">
        <v>43</v>
      </c>
      <c r="AX139" s="40" t="s">
        <v>82</v>
      </c>
      <c r="AY139" s="40" t="s">
        <v>87</v>
      </c>
      <c r="AZ139" s="40" t="s">
        <v>83</v>
      </c>
      <c r="BA139" s="45" t="s">
        <v>3</v>
      </c>
      <c r="BB139" s="45" t="s">
        <v>86</v>
      </c>
      <c r="BC139" s="45" t="s">
        <v>3</v>
      </c>
    </row>
    <row r="140" spans="1:55" x14ac:dyDescent="0.25">
      <c r="A140" s="15" t="s">
        <v>51</v>
      </c>
      <c r="B140" s="2"/>
      <c r="C140" s="2"/>
      <c r="F140" s="1">
        <f t="shared" ref="F140:AA151" si="33">IF(F185&gt;0,F5/F185,0)</f>
        <v>0</v>
      </c>
      <c r="G140" s="1">
        <f t="shared" si="33"/>
        <v>0</v>
      </c>
      <c r="H140" s="1">
        <f t="shared" si="33"/>
        <v>0</v>
      </c>
      <c r="I140" s="1">
        <f t="shared" si="33"/>
        <v>0</v>
      </c>
      <c r="J140" s="1">
        <f t="shared" si="33"/>
        <v>0</v>
      </c>
      <c r="K140" s="1">
        <f t="shared" si="33"/>
        <v>0</v>
      </c>
      <c r="L140" s="52">
        <f t="shared" si="33"/>
        <v>0</v>
      </c>
      <c r="M140" s="1">
        <f t="shared" si="33"/>
        <v>0</v>
      </c>
      <c r="N140" s="1">
        <f t="shared" si="33"/>
        <v>0</v>
      </c>
      <c r="O140" s="1">
        <f t="shared" si="33"/>
        <v>0</v>
      </c>
      <c r="P140" s="1">
        <f t="shared" si="33"/>
        <v>0</v>
      </c>
      <c r="Q140" s="1">
        <f t="shared" si="33"/>
        <v>0</v>
      </c>
      <c r="R140" s="1">
        <f t="shared" si="33"/>
        <v>0</v>
      </c>
      <c r="S140" s="1">
        <f t="shared" si="33"/>
        <v>0</v>
      </c>
      <c r="T140" s="1">
        <f t="shared" si="33"/>
        <v>0</v>
      </c>
      <c r="U140" s="1">
        <f t="shared" si="33"/>
        <v>0</v>
      </c>
      <c r="V140" s="1">
        <f t="shared" si="33"/>
        <v>0</v>
      </c>
      <c r="W140" s="1">
        <f t="shared" si="33"/>
        <v>0</v>
      </c>
      <c r="X140" s="54">
        <f t="shared" si="33"/>
        <v>0</v>
      </c>
      <c r="Y140" s="58">
        <f t="shared" si="33"/>
        <v>0</v>
      </c>
      <c r="Z140" s="1">
        <f t="shared" si="33"/>
        <v>0</v>
      </c>
      <c r="AA140" s="1">
        <f t="shared" si="33"/>
        <v>0</v>
      </c>
      <c r="AC140" s="15" t="s">
        <v>51</v>
      </c>
      <c r="AD140" s="2"/>
      <c r="AE140" s="2"/>
      <c r="AH140" s="1" t="str">
        <f t="shared" ref="AH140:AW155" si="34">IF(F185&gt;0,F50/F185,"")</f>
        <v/>
      </c>
      <c r="AI140" s="1" t="str">
        <f t="shared" si="34"/>
        <v/>
      </c>
      <c r="AJ140" s="1" t="str">
        <f t="shared" si="34"/>
        <v/>
      </c>
      <c r="AK140" s="1" t="str">
        <f t="shared" si="34"/>
        <v/>
      </c>
      <c r="AL140" s="1" t="str">
        <f t="shared" si="34"/>
        <v/>
      </c>
      <c r="AM140" s="1" t="str">
        <f t="shared" si="34"/>
        <v/>
      </c>
      <c r="AN140" s="52" t="str">
        <f t="shared" si="34"/>
        <v/>
      </c>
      <c r="AO140" s="1" t="str">
        <f t="shared" si="34"/>
        <v/>
      </c>
      <c r="AP140" s="1" t="str">
        <f t="shared" si="34"/>
        <v/>
      </c>
      <c r="AQ140" s="1" t="str">
        <f t="shared" si="34"/>
        <v/>
      </c>
      <c r="AR140" s="1" t="str">
        <f t="shared" si="34"/>
        <v/>
      </c>
      <c r="AS140" s="1" t="str">
        <f t="shared" si="34"/>
        <v/>
      </c>
      <c r="AT140" s="1" t="str">
        <f t="shared" si="34"/>
        <v/>
      </c>
      <c r="AU140" s="1" t="str">
        <f t="shared" si="34"/>
        <v/>
      </c>
      <c r="AV140" s="1" t="str">
        <f t="shared" si="34"/>
        <v/>
      </c>
      <c r="AW140" s="1" t="str">
        <f t="shared" si="34"/>
        <v/>
      </c>
      <c r="AX140" s="1" t="str">
        <f t="shared" ref="AX140:BC155" si="35">IF(V185&gt;0,V50/V185,"")</f>
        <v/>
      </c>
      <c r="AY140" s="1" t="str">
        <f t="shared" si="35"/>
        <v/>
      </c>
      <c r="AZ140" s="1" t="str">
        <f t="shared" si="35"/>
        <v/>
      </c>
      <c r="BA140" s="1" t="str">
        <f t="shared" si="35"/>
        <v/>
      </c>
      <c r="BB140" s="1" t="str">
        <f t="shared" si="35"/>
        <v/>
      </c>
      <c r="BC140" s="1" t="str">
        <f t="shared" si="35"/>
        <v/>
      </c>
    </row>
    <row r="141" spans="1:55" x14ac:dyDescent="0.25">
      <c r="A141" s="30" t="s">
        <v>60</v>
      </c>
      <c r="B141" s="2"/>
      <c r="C141" s="2"/>
      <c r="F141" s="1">
        <f t="shared" si="33"/>
        <v>48.484848484848484</v>
      </c>
      <c r="G141" s="1">
        <f t="shared" si="33"/>
        <v>21.09090909090909</v>
      </c>
      <c r="H141" s="1">
        <f t="shared" si="33"/>
        <v>6.86</v>
      </c>
      <c r="I141" s="1">
        <f t="shared" si="33"/>
        <v>29</v>
      </c>
      <c r="J141" s="1">
        <f t="shared" si="33"/>
        <v>51.109684163788586</v>
      </c>
      <c r="K141" s="1">
        <f t="shared" si="33"/>
        <v>4.5013185293849345</v>
      </c>
      <c r="L141" s="52">
        <f t="shared" si="33"/>
        <v>750</v>
      </c>
      <c r="M141" s="1">
        <f t="shared" si="33"/>
        <v>325</v>
      </c>
      <c r="N141" s="1">
        <f t="shared" si="33"/>
        <v>1241.3793103448274</v>
      </c>
      <c r="O141" s="1">
        <f t="shared" si="33"/>
        <v>12226.415094339622</v>
      </c>
      <c r="P141" s="1">
        <f t="shared" si="33"/>
        <v>64285.71428571429</v>
      </c>
      <c r="Q141" s="1">
        <f t="shared" si="33"/>
        <v>939.99999999999989</v>
      </c>
      <c r="R141" s="1">
        <f t="shared" si="33"/>
        <v>426</v>
      </c>
      <c r="S141" s="1">
        <f t="shared" si="33"/>
        <v>99.999999999999986</v>
      </c>
      <c r="T141" s="1">
        <f t="shared" si="33"/>
        <v>425.26129795294071</v>
      </c>
      <c r="U141" s="1">
        <f t="shared" si="33"/>
        <v>426</v>
      </c>
      <c r="V141" s="1">
        <f t="shared" si="33"/>
        <v>500.43123278302329</v>
      </c>
      <c r="W141" s="1">
        <f t="shared" si="33"/>
        <v>425.99999999999994</v>
      </c>
      <c r="X141" s="54">
        <f t="shared" si="33"/>
        <v>417.16768222510262</v>
      </c>
      <c r="Y141" s="58">
        <f t="shared" si="33"/>
        <v>12.816052478815706</v>
      </c>
      <c r="Z141" s="1">
        <f t="shared" si="33"/>
        <v>796.08457694148763</v>
      </c>
      <c r="AA141" s="1">
        <f t="shared" si="33"/>
        <v>150.73207278535958</v>
      </c>
      <c r="AC141" s="30" t="s">
        <v>60</v>
      </c>
      <c r="AD141" s="2"/>
      <c r="AE141" s="2"/>
      <c r="AH141" s="1">
        <f t="shared" si="34"/>
        <v>9.1256535757575765</v>
      </c>
      <c r="AI141" s="1">
        <f t="shared" si="34"/>
        <v>5.0763414159931113</v>
      </c>
      <c r="AJ141" s="1">
        <f t="shared" si="34"/>
        <v>1.88203125</v>
      </c>
      <c r="AK141" s="1">
        <f t="shared" si="34"/>
        <v>6.3786848072562359</v>
      </c>
      <c r="AL141" s="1">
        <f t="shared" si="34"/>
        <v>10.691588286042675</v>
      </c>
      <c r="AM141" s="1">
        <f t="shared" si="34"/>
        <v>2.8781659443449299</v>
      </c>
      <c r="AN141" s="52">
        <f t="shared" si="34"/>
        <v>67.5</v>
      </c>
      <c r="AO141" s="1">
        <f t="shared" si="34"/>
        <v>53</v>
      </c>
      <c r="AP141" s="1">
        <f t="shared" si="34"/>
        <v>372.41379310344826</v>
      </c>
      <c r="AQ141" s="1">
        <f t="shared" si="34"/>
        <v>3396.2264150943392</v>
      </c>
      <c r="AR141" s="1">
        <f t="shared" si="34"/>
        <v>10714.285714285716</v>
      </c>
      <c r="AS141" s="1">
        <f t="shared" si="34"/>
        <v>156</v>
      </c>
      <c r="AT141" s="1">
        <f t="shared" si="34"/>
        <v>86.359900990099007</v>
      </c>
      <c r="AU141" s="1">
        <f t="shared" si="34"/>
        <v>24.489795918367346</v>
      </c>
      <c r="AV141" s="1">
        <f t="shared" si="34"/>
        <v>70.133508812492209</v>
      </c>
      <c r="AW141" s="1">
        <f t="shared" si="34"/>
        <v>63.782752293577978</v>
      </c>
      <c r="AX141" s="1">
        <f t="shared" si="35"/>
        <v>138.99042118661777</v>
      </c>
      <c r="AY141" s="1">
        <f t="shared" si="35"/>
        <v>56.636122331217535</v>
      </c>
      <c r="AZ141" s="1">
        <f t="shared" si="35"/>
        <v>108.77839222764661</v>
      </c>
      <c r="BA141" s="1">
        <f t="shared" si="35"/>
        <v>3.4009250607885488</v>
      </c>
      <c r="BB141" s="1">
        <f t="shared" si="35"/>
        <v>143.42348836595303</v>
      </c>
      <c r="BC141" s="1">
        <f t="shared" si="35"/>
        <v>21.276015610110466</v>
      </c>
    </row>
    <row r="142" spans="1:55" x14ac:dyDescent="0.25">
      <c r="A142" s="15" t="s">
        <v>51</v>
      </c>
      <c r="B142" s="16" t="s">
        <v>52</v>
      </c>
      <c r="C142" s="2"/>
      <c r="F142" s="1">
        <f t="shared" si="33"/>
        <v>0</v>
      </c>
      <c r="G142" s="1">
        <f t="shared" si="33"/>
        <v>0</v>
      </c>
      <c r="H142" s="1">
        <f t="shared" si="33"/>
        <v>0</v>
      </c>
      <c r="I142" s="1">
        <f t="shared" si="33"/>
        <v>0</v>
      </c>
      <c r="J142" s="1">
        <f t="shared" si="33"/>
        <v>0</v>
      </c>
      <c r="K142" s="1">
        <f t="shared" si="33"/>
        <v>0</v>
      </c>
      <c r="L142" s="52">
        <f t="shared" si="33"/>
        <v>0</v>
      </c>
      <c r="M142" s="1">
        <f t="shared" si="33"/>
        <v>0</v>
      </c>
      <c r="N142" s="1">
        <f t="shared" si="33"/>
        <v>0</v>
      </c>
      <c r="O142" s="1">
        <f t="shared" si="33"/>
        <v>0</v>
      </c>
      <c r="P142" s="1">
        <f t="shared" si="33"/>
        <v>0</v>
      </c>
      <c r="Q142" s="1">
        <f t="shared" si="33"/>
        <v>0</v>
      </c>
      <c r="R142" s="1">
        <f t="shared" si="33"/>
        <v>0</v>
      </c>
      <c r="S142" s="1">
        <f t="shared" si="33"/>
        <v>0</v>
      </c>
      <c r="T142" s="1">
        <f t="shared" si="33"/>
        <v>0</v>
      </c>
      <c r="U142" s="1">
        <f t="shared" si="33"/>
        <v>0</v>
      </c>
      <c r="V142" s="1">
        <f t="shared" si="33"/>
        <v>0</v>
      </c>
      <c r="W142" s="1">
        <f t="shared" si="33"/>
        <v>0</v>
      </c>
      <c r="X142" s="54">
        <f t="shared" si="33"/>
        <v>0</v>
      </c>
      <c r="Y142" s="58">
        <f t="shared" si="33"/>
        <v>0</v>
      </c>
      <c r="Z142" s="1">
        <f t="shared" si="33"/>
        <v>0</v>
      </c>
      <c r="AA142" s="1">
        <f t="shared" si="33"/>
        <v>0</v>
      </c>
      <c r="AC142" s="15" t="s">
        <v>51</v>
      </c>
      <c r="AD142" s="16" t="s">
        <v>52</v>
      </c>
      <c r="AE142" s="2"/>
      <c r="AH142" s="1" t="str">
        <f t="shared" si="34"/>
        <v/>
      </c>
      <c r="AI142" s="1" t="str">
        <f t="shared" si="34"/>
        <v/>
      </c>
      <c r="AJ142" s="1" t="str">
        <f t="shared" si="34"/>
        <v/>
      </c>
      <c r="AK142" s="1" t="str">
        <f t="shared" si="34"/>
        <v/>
      </c>
      <c r="AL142" s="1" t="str">
        <f t="shared" si="34"/>
        <v/>
      </c>
      <c r="AM142" s="1" t="str">
        <f t="shared" si="34"/>
        <v/>
      </c>
      <c r="AN142" s="52" t="str">
        <f t="shared" si="34"/>
        <v/>
      </c>
      <c r="AO142" s="1" t="str">
        <f t="shared" si="34"/>
        <v/>
      </c>
      <c r="AP142" s="1" t="str">
        <f t="shared" si="34"/>
        <v/>
      </c>
      <c r="AQ142" s="1" t="str">
        <f t="shared" si="34"/>
        <v/>
      </c>
      <c r="AR142" s="1" t="str">
        <f t="shared" si="34"/>
        <v/>
      </c>
      <c r="AS142" s="1" t="str">
        <f t="shared" si="34"/>
        <v/>
      </c>
      <c r="AT142" s="1" t="str">
        <f t="shared" si="34"/>
        <v/>
      </c>
      <c r="AU142" s="1" t="str">
        <f t="shared" si="34"/>
        <v/>
      </c>
      <c r="AV142" s="1" t="str">
        <f t="shared" si="34"/>
        <v/>
      </c>
      <c r="AW142" s="1" t="str">
        <f t="shared" si="34"/>
        <v/>
      </c>
      <c r="AX142" s="1" t="str">
        <f t="shared" si="35"/>
        <v/>
      </c>
      <c r="AY142" s="1" t="str">
        <f t="shared" si="35"/>
        <v/>
      </c>
      <c r="AZ142" s="1" t="str">
        <f t="shared" si="35"/>
        <v/>
      </c>
      <c r="BA142" s="1" t="str">
        <f t="shared" si="35"/>
        <v/>
      </c>
      <c r="BB142" s="1" t="str">
        <f t="shared" si="35"/>
        <v/>
      </c>
      <c r="BC142" s="1" t="str">
        <f t="shared" si="35"/>
        <v/>
      </c>
    </row>
    <row r="143" spans="1:55" x14ac:dyDescent="0.25">
      <c r="A143" s="15" t="s">
        <v>51</v>
      </c>
      <c r="B143" s="16" t="s">
        <v>56</v>
      </c>
      <c r="C143" s="2"/>
      <c r="F143" s="1">
        <f t="shared" si="33"/>
        <v>0</v>
      </c>
      <c r="G143" s="1">
        <f t="shared" si="33"/>
        <v>0</v>
      </c>
      <c r="H143" s="1">
        <f t="shared" si="33"/>
        <v>0</v>
      </c>
      <c r="I143" s="1">
        <f t="shared" si="33"/>
        <v>0</v>
      </c>
      <c r="J143" s="1">
        <f t="shared" si="33"/>
        <v>0</v>
      </c>
      <c r="K143" s="1">
        <f t="shared" si="33"/>
        <v>0</v>
      </c>
      <c r="L143" s="52">
        <f t="shared" si="33"/>
        <v>0</v>
      </c>
      <c r="M143" s="1">
        <f t="shared" si="33"/>
        <v>0</v>
      </c>
      <c r="N143" s="1">
        <f t="shared" si="33"/>
        <v>0</v>
      </c>
      <c r="O143" s="1">
        <f t="shared" si="33"/>
        <v>0</v>
      </c>
      <c r="P143" s="1">
        <f t="shared" si="33"/>
        <v>0</v>
      </c>
      <c r="Q143" s="1">
        <f t="shared" si="33"/>
        <v>0</v>
      </c>
      <c r="R143" s="1">
        <f t="shared" si="33"/>
        <v>0</v>
      </c>
      <c r="S143" s="1">
        <f t="shared" si="33"/>
        <v>0</v>
      </c>
      <c r="T143" s="1">
        <f t="shared" si="33"/>
        <v>0</v>
      </c>
      <c r="U143" s="1">
        <f t="shared" si="33"/>
        <v>0</v>
      </c>
      <c r="V143" s="1">
        <f t="shared" si="33"/>
        <v>0</v>
      </c>
      <c r="W143" s="1">
        <f t="shared" si="33"/>
        <v>0</v>
      </c>
      <c r="X143" s="54">
        <f t="shared" si="33"/>
        <v>0</v>
      </c>
      <c r="Y143" s="58">
        <f t="shared" si="33"/>
        <v>0</v>
      </c>
      <c r="Z143" s="1">
        <f t="shared" si="33"/>
        <v>0</v>
      </c>
      <c r="AA143" s="1">
        <f t="shared" si="33"/>
        <v>0</v>
      </c>
      <c r="AC143" s="15" t="s">
        <v>51</v>
      </c>
      <c r="AD143" s="16" t="s">
        <v>56</v>
      </c>
      <c r="AE143" s="2"/>
      <c r="AH143" s="1" t="str">
        <f t="shared" si="34"/>
        <v/>
      </c>
      <c r="AI143" s="1" t="str">
        <f t="shared" si="34"/>
        <v/>
      </c>
      <c r="AJ143" s="1" t="str">
        <f t="shared" si="34"/>
        <v/>
      </c>
      <c r="AK143" s="1" t="str">
        <f t="shared" si="34"/>
        <v/>
      </c>
      <c r="AL143" s="1" t="str">
        <f t="shared" si="34"/>
        <v/>
      </c>
      <c r="AM143" s="1" t="str">
        <f t="shared" si="34"/>
        <v/>
      </c>
      <c r="AN143" s="52" t="str">
        <f t="shared" si="34"/>
        <v/>
      </c>
      <c r="AO143" s="1" t="str">
        <f t="shared" si="34"/>
        <v/>
      </c>
      <c r="AP143" s="1" t="str">
        <f t="shared" si="34"/>
        <v/>
      </c>
      <c r="AQ143" s="1" t="str">
        <f t="shared" si="34"/>
        <v/>
      </c>
      <c r="AR143" s="1" t="str">
        <f t="shared" si="34"/>
        <v/>
      </c>
      <c r="AS143" s="1" t="str">
        <f t="shared" si="34"/>
        <v/>
      </c>
      <c r="AT143" s="1" t="str">
        <f t="shared" si="34"/>
        <v/>
      </c>
      <c r="AU143" s="1" t="str">
        <f t="shared" si="34"/>
        <v/>
      </c>
      <c r="AV143" s="1" t="str">
        <f t="shared" si="34"/>
        <v/>
      </c>
      <c r="AW143" s="1" t="str">
        <f t="shared" si="34"/>
        <v/>
      </c>
      <c r="AX143" s="1" t="str">
        <f t="shared" si="35"/>
        <v/>
      </c>
      <c r="AY143" s="1" t="str">
        <f t="shared" si="35"/>
        <v/>
      </c>
      <c r="AZ143" s="1" t="str">
        <f t="shared" si="35"/>
        <v/>
      </c>
      <c r="BA143" s="1" t="str">
        <f t="shared" si="35"/>
        <v/>
      </c>
      <c r="BB143" s="1" t="str">
        <f t="shared" si="35"/>
        <v/>
      </c>
      <c r="BC143" s="1" t="str">
        <f t="shared" si="35"/>
        <v/>
      </c>
    </row>
    <row r="144" spans="1:55" x14ac:dyDescent="0.25">
      <c r="A144" s="15" t="s">
        <v>51</v>
      </c>
      <c r="B144" s="16" t="s">
        <v>9</v>
      </c>
      <c r="C144" s="2"/>
      <c r="F144" s="1">
        <f t="shared" si="33"/>
        <v>0</v>
      </c>
      <c r="G144" s="1">
        <f t="shared" si="33"/>
        <v>0</v>
      </c>
      <c r="H144" s="1">
        <f t="shared" si="33"/>
        <v>0</v>
      </c>
      <c r="I144" s="1">
        <f t="shared" si="33"/>
        <v>0</v>
      </c>
      <c r="J144" s="1">
        <f t="shared" si="33"/>
        <v>0</v>
      </c>
      <c r="K144" s="1">
        <f t="shared" si="33"/>
        <v>0</v>
      </c>
      <c r="L144" s="52">
        <f t="shared" si="33"/>
        <v>0</v>
      </c>
      <c r="M144" s="1">
        <f t="shared" si="33"/>
        <v>0</v>
      </c>
      <c r="N144" s="1">
        <f t="shared" si="33"/>
        <v>0</v>
      </c>
      <c r="O144" s="1">
        <f t="shared" si="33"/>
        <v>0</v>
      </c>
      <c r="P144" s="1">
        <f t="shared" si="33"/>
        <v>0</v>
      </c>
      <c r="Q144" s="1">
        <f t="shared" si="33"/>
        <v>0</v>
      </c>
      <c r="R144" s="1">
        <f t="shared" si="33"/>
        <v>0</v>
      </c>
      <c r="S144" s="1">
        <f t="shared" si="33"/>
        <v>0</v>
      </c>
      <c r="T144" s="1">
        <f t="shared" si="33"/>
        <v>0</v>
      </c>
      <c r="U144" s="1">
        <f t="shared" si="33"/>
        <v>0</v>
      </c>
      <c r="V144" s="1">
        <f t="shared" si="33"/>
        <v>0</v>
      </c>
      <c r="W144" s="1">
        <f t="shared" si="33"/>
        <v>0</v>
      </c>
      <c r="X144" s="54">
        <f t="shared" si="33"/>
        <v>0</v>
      </c>
      <c r="Y144" s="58">
        <f t="shared" si="33"/>
        <v>0</v>
      </c>
      <c r="Z144" s="1">
        <f t="shared" si="33"/>
        <v>0</v>
      </c>
      <c r="AA144" s="1">
        <f t="shared" si="33"/>
        <v>0</v>
      </c>
      <c r="AC144" s="15" t="s">
        <v>51</v>
      </c>
      <c r="AD144" s="16" t="s">
        <v>9</v>
      </c>
      <c r="AE144" s="2"/>
      <c r="AH144" s="1" t="str">
        <f t="shared" si="34"/>
        <v/>
      </c>
      <c r="AI144" s="1" t="str">
        <f t="shared" si="34"/>
        <v/>
      </c>
      <c r="AJ144" s="1" t="str">
        <f t="shared" si="34"/>
        <v/>
      </c>
      <c r="AK144" s="1" t="str">
        <f t="shared" si="34"/>
        <v/>
      </c>
      <c r="AL144" s="1" t="str">
        <f t="shared" si="34"/>
        <v/>
      </c>
      <c r="AM144" s="1" t="str">
        <f t="shared" si="34"/>
        <v/>
      </c>
      <c r="AN144" s="52" t="str">
        <f t="shared" si="34"/>
        <v/>
      </c>
      <c r="AO144" s="1" t="str">
        <f t="shared" si="34"/>
        <v/>
      </c>
      <c r="AP144" s="1" t="str">
        <f t="shared" si="34"/>
        <v/>
      </c>
      <c r="AQ144" s="1" t="str">
        <f t="shared" si="34"/>
        <v/>
      </c>
      <c r="AR144" s="1" t="str">
        <f t="shared" si="34"/>
        <v/>
      </c>
      <c r="AS144" s="1" t="str">
        <f t="shared" si="34"/>
        <v/>
      </c>
      <c r="AT144" s="1" t="str">
        <f t="shared" si="34"/>
        <v/>
      </c>
      <c r="AU144" s="1" t="str">
        <f t="shared" si="34"/>
        <v/>
      </c>
      <c r="AV144" s="1" t="str">
        <f t="shared" si="34"/>
        <v/>
      </c>
      <c r="AW144" s="1" t="str">
        <f t="shared" si="34"/>
        <v/>
      </c>
      <c r="AX144" s="1" t="str">
        <f t="shared" si="35"/>
        <v/>
      </c>
      <c r="AY144" s="1" t="str">
        <f t="shared" si="35"/>
        <v/>
      </c>
      <c r="AZ144" s="1" t="str">
        <f t="shared" si="35"/>
        <v/>
      </c>
      <c r="BA144" s="1" t="str">
        <f t="shared" si="35"/>
        <v/>
      </c>
      <c r="BB144" s="1" t="str">
        <f t="shared" si="35"/>
        <v/>
      </c>
      <c r="BC144" s="1" t="str">
        <f t="shared" si="35"/>
        <v/>
      </c>
    </row>
    <row r="145" spans="1:55" x14ac:dyDescent="0.25">
      <c r="A145" s="30" t="s">
        <v>60</v>
      </c>
      <c r="B145" s="32" t="s">
        <v>13</v>
      </c>
      <c r="C145" s="2"/>
      <c r="F145" s="51">
        <f t="shared" si="33"/>
        <v>48.484848484848484</v>
      </c>
      <c r="G145" s="51">
        <f t="shared" si="33"/>
        <v>21.09090909090909</v>
      </c>
      <c r="H145" s="51">
        <f t="shared" si="33"/>
        <v>6.86</v>
      </c>
      <c r="I145" s="51">
        <f t="shared" si="33"/>
        <v>29</v>
      </c>
      <c r="J145" s="51">
        <f t="shared" si="33"/>
        <v>50.555555555555557</v>
      </c>
      <c r="K145" s="51">
        <f t="shared" si="33"/>
        <v>29.000000000000004</v>
      </c>
      <c r="L145" s="52">
        <f t="shared" si="33"/>
        <v>0</v>
      </c>
      <c r="M145" s="51">
        <f t="shared" si="33"/>
        <v>400</v>
      </c>
      <c r="N145" s="51">
        <f t="shared" si="33"/>
        <v>999.99999999999989</v>
      </c>
      <c r="O145" s="51">
        <f t="shared" si="33"/>
        <v>12226.415094339622</v>
      </c>
      <c r="P145" s="51">
        <f t="shared" si="33"/>
        <v>64285.71428571429</v>
      </c>
      <c r="Q145" s="51">
        <f t="shared" si="33"/>
        <v>940</v>
      </c>
      <c r="R145" s="51">
        <f t="shared" si="33"/>
        <v>426</v>
      </c>
      <c r="S145" s="51">
        <f t="shared" si="33"/>
        <v>0</v>
      </c>
      <c r="T145" s="51">
        <f t="shared" si="33"/>
        <v>426.00000000000006</v>
      </c>
      <c r="U145" s="51">
        <f t="shared" si="33"/>
        <v>426.00000000000006</v>
      </c>
      <c r="V145" s="51">
        <f t="shared" si="33"/>
        <v>426</v>
      </c>
      <c r="W145" s="51">
        <f t="shared" si="33"/>
        <v>426</v>
      </c>
      <c r="X145" s="55">
        <f t="shared" si="33"/>
        <v>426</v>
      </c>
      <c r="Y145" s="59">
        <f t="shared" si="33"/>
        <v>14.028884207838633</v>
      </c>
      <c r="Z145" s="51">
        <f t="shared" si="33"/>
        <v>2439.5720315408435</v>
      </c>
      <c r="AA145" s="51">
        <f t="shared" si="33"/>
        <v>67.680579515716062</v>
      </c>
      <c r="AC145" s="30" t="s">
        <v>60</v>
      </c>
      <c r="AD145" s="32" t="s">
        <v>13</v>
      </c>
      <c r="AE145" s="2"/>
      <c r="AH145" s="1">
        <f t="shared" si="34"/>
        <v>9.1256535757575765</v>
      </c>
      <c r="AI145" s="1">
        <f t="shared" si="34"/>
        <v>5.0763414159931113</v>
      </c>
      <c r="AJ145" s="1">
        <f t="shared" si="34"/>
        <v>1.88203125</v>
      </c>
      <c r="AK145" s="1">
        <f t="shared" si="34"/>
        <v>6.3786848072562359</v>
      </c>
      <c r="AL145" s="1">
        <f t="shared" si="34"/>
        <v>16.813333333333333</v>
      </c>
      <c r="AM145" s="1">
        <f t="shared" si="34"/>
        <v>7.9206250000000002</v>
      </c>
      <c r="AN145" s="52" t="str">
        <f t="shared" si="34"/>
        <v/>
      </c>
      <c r="AO145" s="1">
        <f t="shared" si="34"/>
        <v>104</v>
      </c>
      <c r="AP145" s="1">
        <f t="shared" si="34"/>
        <v>286.36363636363632</v>
      </c>
      <c r="AQ145" s="1">
        <f t="shared" si="34"/>
        <v>3396.2264150943392</v>
      </c>
      <c r="AR145" s="1">
        <f t="shared" si="34"/>
        <v>10714.285714285716</v>
      </c>
      <c r="AS145" s="1">
        <f t="shared" si="34"/>
        <v>282</v>
      </c>
      <c r="AT145" s="1">
        <f t="shared" si="34"/>
        <v>149.1</v>
      </c>
      <c r="AU145" s="1" t="str">
        <f t="shared" si="34"/>
        <v/>
      </c>
      <c r="AV145" s="1">
        <f t="shared" si="34"/>
        <v>170.4</v>
      </c>
      <c r="AW145" s="1">
        <f t="shared" si="34"/>
        <v>204.48000000000002</v>
      </c>
      <c r="AX145" s="1">
        <f t="shared" si="35"/>
        <v>511.2</v>
      </c>
      <c r="AY145" s="1">
        <f t="shared" si="35"/>
        <v>340.8</v>
      </c>
      <c r="AZ145" s="1">
        <f t="shared" si="35"/>
        <v>149.1</v>
      </c>
      <c r="BA145" s="1">
        <f t="shared" si="35"/>
        <v>3.4595537475349016</v>
      </c>
      <c r="BB145" s="1">
        <f t="shared" si="35"/>
        <v>498.79827866670843</v>
      </c>
      <c r="BC145" s="1">
        <f t="shared" si="35"/>
        <v>14.416176956970389</v>
      </c>
    </row>
    <row r="146" spans="1:55" x14ac:dyDescent="0.25">
      <c r="A146" s="30" t="s">
        <v>60</v>
      </c>
      <c r="B146" s="31" t="s">
        <v>23</v>
      </c>
      <c r="C146" s="2"/>
      <c r="F146" s="51">
        <f t="shared" si="33"/>
        <v>0</v>
      </c>
      <c r="G146" s="51">
        <f t="shared" si="33"/>
        <v>0</v>
      </c>
      <c r="H146" s="51">
        <f t="shared" si="33"/>
        <v>0</v>
      </c>
      <c r="I146" s="51">
        <f t="shared" si="33"/>
        <v>0</v>
      </c>
      <c r="J146" s="51">
        <f t="shared" si="33"/>
        <v>40.090259869073591</v>
      </c>
      <c r="K146" s="51">
        <f t="shared" si="33"/>
        <v>2.5365466889112804</v>
      </c>
      <c r="L146" s="52">
        <f t="shared" si="33"/>
        <v>0</v>
      </c>
      <c r="M146" s="51">
        <f t="shared" si="33"/>
        <v>0</v>
      </c>
      <c r="N146" s="51">
        <f t="shared" si="33"/>
        <v>2000.0000000000002</v>
      </c>
      <c r="O146" s="51">
        <f t="shared" si="33"/>
        <v>0</v>
      </c>
      <c r="P146" s="51">
        <f t="shared" si="33"/>
        <v>0</v>
      </c>
      <c r="Q146" s="51">
        <f t="shared" si="33"/>
        <v>0</v>
      </c>
      <c r="R146" s="51">
        <f t="shared" si="33"/>
        <v>0</v>
      </c>
      <c r="S146" s="51">
        <f t="shared" si="33"/>
        <v>99.999999999999986</v>
      </c>
      <c r="T146" s="51">
        <f t="shared" si="33"/>
        <v>406</v>
      </c>
      <c r="U146" s="51">
        <f t="shared" si="33"/>
        <v>0</v>
      </c>
      <c r="V146" s="51">
        <f t="shared" si="33"/>
        <v>406</v>
      </c>
      <c r="W146" s="51">
        <f t="shared" si="33"/>
        <v>0</v>
      </c>
      <c r="X146" s="55">
        <f t="shared" si="33"/>
        <v>100</v>
      </c>
      <c r="Y146" s="59">
        <f t="shared" si="33"/>
        <v>4.2856359910453703</v>
      </c>
      <c r="Z146" s="51">
        <f t="shared" si="33"/>
        <v>416.02119183539361</v>
      </c>
      <c r="AA146" s="51">
        <f t="shared" si="33"/>
        <v>7.6796398467291374</v>
      </c>
      <c r="AC146" s="30" t="s">
        <v>60</v>
      </c>
      <c r="AD146" s="31" t="s">
        <v>23</v>
      </c>
      <c r="AE146" s="2"/>
      <c r="AH146" s="1" t="str">
        <f t="shared" si="34"/>
        <v/>
      </c>
      <c r="AI146" s="1" t="str">
        <f t="shared" si="34"/>
        <v/>
      </c>
      <c r="AJ146" s="1" t="str">
        <f t="shared" si="34"/>
        <v/>
      </c>
      <c r="AK146" s="1" t="str">
        <f t="shared" si="34"/>
        <v/>
      </c>
      <c r="AL146" s="1">
        <f t="shared" si="34"/>
        <v>10.527375520730013</v>
      </c>
      <c r="AM146" s="1">
        <f t="shared" si="34"/>
        <v>2.4737653413502043</v>
      </c>
      <c r="AN146" s="52" t="str">
        <f t="shared" si="34"/>
        <v/>
      </c>
      <c r="AO146" s="1" t="str">
        <f t="shared" si="34"/>
        <v/>
      </c>
      <c r="AP146" s="1">
        <f t="shared" si="34"/>
        <v>642.85714285714289</v>
      </c>
      <c r="AQ146" s="1" t="str">
        <f t="shared" si="34"/>
        <v/>
      </c>
      <c r="AR146" s="1" t="str">
        <f t="shared" si="34"/>
        <v/>
      </c>
      <c r="AS146" s="1" t="str">
        <f t="shared" si="34"/>
        <v/>
      </c>
      <c r="AT146" s="1" t="str">
        <f t="shared" si="34"/>
        <v/>
      </c>
      <c r="AU146" s="1">
        <f t="shared" si="34"/>
        <v>24.489795918367346</v>
      </c>
      <c r="AV146" s="1">
        <f t="shared" si="34"/>
        <v>162.4</v>
      </c>
      <c r="AW146" s="1" t="str">
        <f t="shared" si="34"/>
        <v/>
      </c>
      <c r="AX146" s="1">
        <f t="shared" si="35"/>
        <v>365.4</v>
      </c>
      <c r="AY146" s="1" t="str">
        <f t="shared" si="35"/>
        <v/>
      </c>
      <c r="AZ146" s="1">
        <f t="shared" si="35"/>
        <v>90</v>
      </c>
      <c r="BA146" s="1">
        <f t="shared" si="35"/>
        <v>2.8488676206037131</v>
      </c>
      <c r="BB146" s="1">
        <f t="shared" si="35"/>
        <v>158.40486262269496</v>
      </c>
      <c r="BC146" s="1">
        <f t="shared" si="35"/>
        <v>4.1311412530791429</v>
      </c>
    </row>
    <row r="147" spans="1:55" x14ac:dyDescent="0.25">
      <c r="A147" s="30" t="s">
        <v>60</v>
      </c>
      <c r="B147" s="31" t="s">
        <v>65</v>
      </c>
      <c r="C147" s="46"/>
      <c r="F147" s="51">
        <f t="shared" si="33"/>
        <v>0</v>
      </c>
      <c r="G147" s="51">
        <f t="shared" si="33"/>
        <v>0</v>
      </c>
      <c r="H147" s="51">
        <f t="shared" si="33"/>
        <v>0</v>
      </c>
      <c r="I147" s="51">
        <f t="shared" si="33"/>
        <v>0</v>
      </c>
      <c r="J147" s="51">
        <f t="shared" si="33"/>
        <v>56</v>
      </c>
      <c r="K147" s="51">
        <f t="shared" si="33"/>
        <v>0</v>
      </c>
      <c r="L147" s="52">
        <f t="shared" si="33"/>
        <v>750</v>
      </c>
      <c r="M147" s="51">
        <f t="shared" si="33"/>
        <v>300</v>
      </c>
      <c r="N147" s="51">
        <f t="shared" si="33"/>
        <v>0</v>
      </c>
      <c r="O147" s="51">
        <f t="shared" si="33"/>
        <v>0</v>
      </c>
      <c r="P147" s="51">
        <f t="shared" si="33"/>
        <v>0</v>
      </c>
      <c r="Q147" s="51">
        <f t="shared" si="33"/>
        <v>940</v>
      </c>
      <c r="R147" s="51">
        <f t="shared" si="33"/>
        <v>426</v>
      </c>
      <c r="S147" s="51">
        <f t="shared" si="33"/>
        <v>0</v>
      </c>
      <c r="T147" s="51">
        <f t="shared" si="33"/>
        <v>426</v>
      </c>
      <c r="U147" s="51">
        <f t="shared" si="33"/>
        <v>426</v>
      </c>
      <c r="V147" s="51">
        <f t="shared" si="33"/>
        <v>426</v>
      </c>
      <c r="W147" s="51">
        <f t="shared" si="33"/>
        <v>426</v>
      </c>
      <c r="X147" s="55">
        <f t="shared" si="33"/>
        <v>426</v>
      </c>
      <c r="Y147" s="59">
        <f t="shared" si="33"/>
        <v>56</v>
      </c>
      <c r="Z147" s="51">
        <f t="shared" si="33"/>
        <v>470.4659103425488</v>
      </c>
      <c r="AA147" s="51">
        <f>IF(AA192&gt;0,AB12/AA192,0)</f>
        <v>593.08499535931583</v>
      </c>
      <c r="AC147" s="30" t="s">
        <v>60</v>
      </c>
      <c r="AD147" s="31" t="s">
        <v>65</v>
      </c>
      <c r="AE147" s="46"/>
      <c r="AH147" s="1" t="str">
        <f t="shared" si="34"/>
        <v/>
      </c>
      <c r="AI147" s="1" t="str">
        <f t="shared" si="34"/>
        <v/>
      </c>
      <c r="AJ147" s="1" t="str">
        <f t="shared" si="34"/>
        <v/>
      </c>
      <c r="AK147" s="1" t="str">
        <f t="shared" si="34"/>
        <v/>
      </c>
      <c r="AL147" s="1">
        <f t="shared" si="34"/>
        <v>6.72</v>
      </c>
      <c r="AM147" s="1" t="str">
        <f t="shared" si="34"/>
        <v/>
      </c>
      <c r="AN147" s="52">
        <f t="shared" si="34"/>
        <v>67.5</v>
      </c>
      <c r="AO147" s="1">
        <f t="shared" si="34"/>
        <v>36</v>
      </c>
      <c r="AP147" s="1" t="str">
        <f t="shared" si="34"/>
        <v/>
      </c>
      <c r="AQ147" s="1" t="str">
        <f t="shared" si="34"/>
        <v/>
      </c>
      <c r="AR147" s="1" t="str">
        <f t="shared" si="34"/>
        <v/>
      </c>
      <c r="AS147" s="1">
        <f t="shared" si="34"/>
        <v>141</v>
      </c>
      <c r="AT147" s="1">
        <f t="shared" si="34"/>
        <v>76.679999999999993</v>
      </c>
      <c r="AU147" s="1" t="str">
        <f t="shared" si="34"/>
        <v/>
      </c>
      <c r="AV147" s="1">
        <f t="shared" si="34"/>
        <v>63.899999999999984</v>
      </c>
      <c r="AW147" s="1">
        <f t="shared" si="34"/>
        <v>51.11999999999999</v>
      </c>
      <c r="AX147" s="1">
        <f t="shared" si="35"/>
        <v>51.11999999999999</v>
      </c>
      <c r="AY147" s="1">
        <f t="shared" si="35"/>
        <v>51.11999999999999</v>
      </c>
      <c r="AZ147" s="1">
        <f t="shared" si="35"/>
        <v>51.12</v>
      </c>
      <c r="BA147" s="1">
        <f t="shared" si="35"/>
        <v>6.72</v>
      </c>
      <c r="BB147" s="1">
        <f t="shared" si="35"/>
        <v>66.369298066180988</v>
      </c>
      <c r="BC147" s="1">
        <f t="shared" si="35"/>
        <v>53.152564741849979</v>
      </c>
    </row>
    <row r="148" spans="1:55" ht="15.75" thickBot="1" x14ac:dyDescent="0.3">
      <c r="A148" s="48" t="s">
        <v>60</v>
      </c>
      <c r="B148" s="49" t="s">
        <v>9</v>
      </c>
      <c r="C148" s="50"/>
      <c r="D148" s="50"/>
      <c r="E148" s="50"/>
      <c r="F148" s="53">
        <f t="shared" si="33"/>
        <v>0</v>
      </c>
      <c r="G148" s="53">
        <f t="shared" si="33"/>
        <v>0</v>
      </c>
      <c r="H148" s="53">
        <f t="shared" si="33"/>
        <v>0</v>
      </c>
      <c r="I148" s="53">
        <f t="shared" si="33"/>
        <v>0</v>
      </c>
      <c r="J148" s="53">
        <f t="shared" si="33"/>
        <v>0</v>
      </c>
      <c r="K148" s="53">
        <f t="shared" si="33"/>
        <v>0</v>
      </c>
      <c r="L148" s="62">
        <f t="shared" si="33"/>
        <v>0</v>
      </c>
      <c r="M148" s="53">
        <f t="shared" si="33"/>
        <v>0</v>
      </c>
      <c r="N148" s="53">
        <f t="shared" si="33"/>
        <v>0</v>
      </c>
      <c r="O148" s="53">
        <f t="shared" si="33"/>
        <v>0</v>
      </c>
      <c r="P148" s="53">
        <f t="shared" si="33"/>
        <v>0</v>
      </c>
      <c r="Q148" s="53">
        <f t="shared" si="33"/>
        <v>0</v>
      </c>
      <c r="R148" s="53">
        <f t="shared" si="33"/>
        <v>0</v>
      </c>
      <c r="S148" s="53">
        <f t="shared" si="33"/>
        <v>0</v>
      </c>
      <c r="T148" s="53">
        <f t="shared" si="33"/>
        <v>0</v>
      </c>
      <c r="U148" s="53">
        <f t="shared" si="33"/>
        <v>0</v>
      </c>
      <c r="V148" s="53">
        <f t="shared" si="33"/>
        <v>0</v>
      </c>
      <c r="W148" s="53">
        <f t="shared" si="33"/>
        <v>0</v>
      </c>
      <c r="X148" s="56">
        <f t="shared" si="33"/>
        <v>426</v>
      </c>
      <c r="Y148" s="60">
        <f t="shared" si="33"/>
        <v>0</v>
      </c>
      <c r="Z148" s="53">
        <f t="shared" si="33"/>
        <v>643.56672000000003</v>
      </c>
      <c r="AA148" s="53">
        <f t="shared" si="33"/>
        <v>629.79840000000002</v>
      </c>
      <c r="AC148" s="48" t="s">
        <v>60</v>
      </c>
      <c r="AD148" s="49" t="s">
        <v>9</v>
      </c>
      <c r="AE148" s="50"/>
      <c r="AF148" s="50"/>
      <c r="AG148" s="50"/>
      <c r="AH148" s="1" t="str">
        <f t="shared" si="34"/>
        <v/>
      </c>
      <c r="AI148" s="1" t="str">
        <f t="shared" si="34"/>
        <v/>
      </c>
      <c r="AJ148" s="1" t="str">
        <f t="shared" si="34"/>
        <v/>
      </c>
      <c r="AK148" s="1" t="str">
        <f t="shared" si="34"/>
        <v/>
      </c>
      <c r="AL148" s="1" t="str">
        <f t="shared" si="34"/>
        <v/>
      </c>
      <c r="AM148" s="1" t="str">
        <f t="shared" si="34"/>
        <v/>
      </c>
      <c r="AN148" s="52" t="str">
        <f t="shared" si="34"/>
        <v/>
      </c>
      <c r="AO148" s="1" t="str">
        <f t="shared" si="34"/>
        <v/>
      </c>
      <c r="AP148" s="1" t="str">
        <f t="shared" si="34"/>
        <v/>
      </c>
      <c r="AQ148" s="1" t="str">
        <f t="shared" si="34"/>
        <v/>
      </c>
      <c r="AR148" s="1" t="str">
        <f t="shared" si="34"/>
        <v/>
      </c>
      <c r="AS148" s="1" t="str">
        <f t="shared" si="34"/>
        <v/>
      </c>
      <c r="AT148" s="1" t="str">
        <f t="shared" si="34"/>
        <v/>
      </c>
      <c r="AU148" s="1" t="str">
        <f t="shared" si="34"/>
        <v/>
      </c>
      <c r="AV148" s="1" t="str">
        <f t="shared" si="34"/>
        <v/>
      </c>
      <c r="AW148" s="1" t="str">
        <f t="shared" si="34"/>
        <v/>
      </c>
      <c r="AX148" s="1" t="str">
        <f t="shared" si="35"/>
        <v/>
      </c>
      <c r="AY148" s="1" t="str">
        <f t="shared" si="35"/>
        <v/>
      </c>
      <c r="AZ148" s="1">
        <f t="shared" si="35"/>
        <v>178.92000000000002</v>
      </c>
      <c r="BA148" s="1" t="str">
        <f t="shared" si="35"/>
        <v/>
      </c>
      <c r="BB148" s="1">
        <f t="shared" si="35"/>
        <v>396.48671999999999</v>
      </c>
      <c r="BC148" s="1">
        <f t="shared" si="35"/>
        <v>314.89920000000001</v>
      </c>
    </row>
    <row r="149" spans="1:55" ht="15.75" thickTop="1" x14ac:dyDescent="0.25">
      <c r="A149" s="15" t="s">
        <v>51</v>
      </c>
      <c r="B149" s="16" t="s">
        <v>52</v>
      </c>
      <c r="C149" s="16" t="s">
        <v>53</v>
      </c>
      <c r="D149" s="2"/>
      <c r="E149" s="2"/>
      <c r="F149" s="47">
        <f t="shared" si="33"/>
        <v>0</v>
      </c>
      <c r="G149" s="47">
        <f t="shared" si="33"/>
        <v>0</v>
      </c>
      <c r="H149" s="47">
        <f t="shared" si="33"/>
        <v>0</v>
      </c>
      <c r="I149" s="47">
        <f t="shared" si="33"/>
        <v>0</v>
      </c>
      <c r="J149" s="47">
        <f t="shared" si="33"/>
        <v>0</v>
      </c>
      <c r="K149" s="47">
        <f t="shared" si="33"/>
        <v>0</v>
      </c>
      <c r="L149" s="63">
        <f t="shared" si="33"/>
        <v>0</v>
      </c>
      <c r="M149" s="47">
        <f t="shared" si="33"/>
        <v>0</v>
      </c>
      <c r="N149" s="47">
        <f t="shared" si="33"/>
        <v>0</v>
      </c>
      <c r="O149" s="47">
        <f t="shared" si="33"/>
        <v>0</v>
      </c>
      <c r="P149" s="47">
        <f t="shared" si="33"/>
        <v>0</v>
      </c>
      <c r="Q149" s="47">
        <f t="shared" si="33"/>
        <v>0</v>
      </c>
      <c r="R149" s="47">
        <f t="shared" si="33"/>
        <v>0</v>
      </c>
      <c r="S149" s="47">
        <f t="shared" si="33"/>
        <v>0</v>
      </c>
      <c r="T149" s="47">
        <f t="shared" si="33"/>
        <v>0</v>
      </c>
      <c r="U149" s="47">
        <f t="shared" si="33"/>
        <v>0</v>
      </c>
      <c r="V149" s="47">
        <f t="shared" si="33"/>
        <v>0</v>
      </c>
      <c r="W149" s="47">
        <f t="shared" si="33"/>
        <v>0</v>
      </c>
      <c r="X149" s="57">
        <f t="shared" si="33"/>
        <v>0</v>
      </c>
      <c r="Y149" s="61">
        <f t="shared" si="33"/>
        <v>0</v>
      </c>
      <c r="Z149" s="47">
        <f t="shared" si="33"/>
        <v>0</v>
      </c>
      <c r="AA149" s="47">
        <f t="shared" si="33"/>
        <v>0</v>
      </c>
      <c r="AC149" s="15" t="s">
        <v>51</v>
      </c>
      <c r="AD149" s="16" t="s">
        <v>52</v>
      </c>
      <c r="AE149" s="16" t="s">
        <v>53</v>
      </c>
      <c r="AF149" s="2"/>
      <c r="AG149" s="2"/>
      <c r="AH149" s="90" t="str">
        <f t="shared" si="34"/>
        <v/>
      </c>
      <c r="AI149" s="90" t="str">
        <f t="shared" si="34"/>
        <v/>
      </c>
      <c r="AJ149" s="90" t="str">
        <f t="shared" si="34"/>
        <v/>
      </c>
      <c r="AK149" s="90" t="str">
        <f t="shared" si="34"/>
        <v/>
      </c>
      <c r="AL149" s="90" t="str">
        <f t="shared" si="34"/>
        <v/>
      </c>
      <c r="AM149" s="90" t="str">
        <f t="shared" si="34"/>
        <v/>
      </c>
      <c r="AN149" s="90" t="str">
        <f t="shared" si="34"/>
        <v/>
      </c>
      <c r="AO149" s="90" t="str">
        <f t="shared" si="34"/>
        <v/>
      </c>
      <c r="AP149" s="90" t="str">
        <f t="shared" si="34"/>
        <v/>
      </c>
      <c r="AQ149" s="90" t="str">
        <f t="shared" si="34"/>
        <v/>
      </c>
      <c r="AR149" s="90" t="str">
        <f t="shared" si="34"/>
        <v/>
      </c>
      <c r="AS149" s="90" t="str">
        <f t="shared" si="34"/>
        <v/>
      </c>
      <c r="AT149" s="90" t="str">
        <f t="shared" si="34"/>
        <v/>
      </c>
      <c r="AU149" s="90" t="str">
        <f t="shared" si="34"/>
        <v/>
      </c>
      <c r="AV149" s="90" t="str">
        <f t="shared" si="34"/>
        <v/>
      </c>
      <c r="AW149" s="90" t="str">
        <f t="shared" si="34"/>
        <v/>
      </c>
      <c r="AX149" s="90" t="str">
        <f t="shared" si="35"/>
        <v/>
      </c>
      <c r="AY149" s="90" t="str">
        <f t="shared" si="35"/>
        <v/>
      </c>
      <c r="AZ149" s="90" t="str">
        <f t="shared" si="35"/>
        <v/>
      </c>
      <c r="BA149" s="90" t="str">
        <f t="shared" si="35"/>
        <v/>
      </c>
      <c r="BB149" s="90" t="str">
        <f t="shared" si="35"/>
        <v/>
      </c>
      <c r="BC149" s="90" t="str">
        <f t="shared" si="35"/>
        <v/>
      </c>
    </row>
    <row r="150" spans="1:55" x14ac:dyDescent="0.25">
      <c r="A150" s="15" t="s">
        <v>51</v>
      </c>
      <c r="B150" s="16" t="s">
        <v>52</v>
      </c>
      <c r="C150" s="16" t="s">
        <v>54</v>
      </c>
      <c r="D150" s="2"/>
      <c r="E150" s="2"/>
      <c r="F150" s="1">
        <f t="shared" si="33"/>
        <v>0</v>
      </c>
      <c r="G150" s="1">
        <f t="shared" si="33"/>
        <v>0</v>
      </c>
      <c r="H150" s="1">
        <f t="shared" si="33"/>
        <v>0</v>
      </c>
      <c r="I150" s="1">
        <f t="shared" si="33"/>
        <v>0</v>
      </c>
      <c r="J150" s="1">
        <f t="shared" si="33"/>
        <v>0</v>
      </c>
      <c r="K150" s="1">
        <f t="shared" si="33"/>
        <v>0</v>
      </c>
      <c r="L150" s="52">
        <f t="shared" si="33"/>
        <v>0</v>
      </c>
      <c r="M150" s="1">
        <f t="shared" si="33"/>
        <v>0</v>
      </c>
      <c r="N150" s="1">
        <f t="shared" si="33"/>
        <v>0</v>
      </c>
      <c r="O150" s="1">
        <f t="shared" si="33"/>
        <v>0</v>
      </c>
      <c r="P150" s="1">
        <f t="shared" si="33"/>
        <v>0</v>
      </c>
      <c r="Q150" s="1">
        <f t="shared" si="33"/>
        <v>0</v>
      </c>
      <c r="R150" s="1">
        <f t="shared" si="33"/>
        <v>0</v>
      </c>
      <c r="S150" s="1">
        <f t="shared" si="33"/>
        <v>0</v>
      </c>
      <c r="T150" s="1">
        <f t="shared" si="33"/>
        <v>0</v>
      </c>
      <c r="U150" s="1">
        <f t="shared" si="33"/>
        <v>0</v>
      </c>
      <c r="V150" s="1">
        <f t="shared" si="33"/>
        <v>0</v>
      </c>
      <c r="W150" s="1">
        <f t="shared" si="33"/>
        <v>0</v>
      </c>
      <c r="X150" s="54">
        <f t="shared" si="33"/>
        <v>0</v>
      </c>
      <c r="Y150" s="58">
        <f t="shared" si="33"/>
        <v>0</v>
      </c>
      <c r="Z150" s="1">
        <f t="shared" si="33"/>
        <v>0</v>
      </c>
      <c r="AA150" s="1">
        <f t="shared" si="33"/>
        <v>0</v>
      </c>
      <c r="AC150" s="15" t="s">
        <v>51</v>
      </c>
      <c r="AD150" s="16" t="s">
        <v>52</v>
      </c>
      <c r="AE150" s="16" t="s">
        <v>54</v>
      </c>
      <c r="AF150" s="2"/>
      <c r="AG150" s="2"/>
      <c r="AH150" s="90" t="str">
        <f t="shared" si="34"/>
        <v/>
      </c>
      <c r="AI150" s="90" t="str">
        <f t="shared" si="34"/>
        <v/>
      </c>
      <c r="AJ150" s="90" t="str">
        <f t="shared" si="34"/>
        <v/>
      </c>
      <c r="AK150" s="90" t="str">
        <f t="shared" si="34"/>
        <v/>
      </c>
      <c r="AL150" s="90" t="str">
        <f t="shared" si="34"/>
        <v/>
      </c>
      <c r="AM150" s="90" t="str">
        <f t="shared" si="34"/>
        <v/>
      </c>
      <c r="AN150" s="90" t="str">
        <f t="shared" si="34"/>
        <v/>
      </c>
      <c r="AO150" s="90" t="str">
        <f t="shared" si="34"/>
        <v/>
      </c>
      <c r="AP150" s="90" t="str">
        <f t="shared" si="34"/>
        <v/>
      </c>
      <c r="AQ150" s="90" t="str">
        <f t="shared" si="34"/>
        <v/>
      </c>
      <c r="AR150" s="90" t="str">
        <f t="shared" si="34"/>
        <v/>
      </c>
      <c r="AS150" s="90" t="str">
        <f t="shared" si="34"/>
        <v/>
      </c>
      <c r="AT150" s="90" t="str">
        <f t="shared" si="34"/>
        <v/>
      </c>
      <c r="AU150" s="90" t="str">
        <f t="shared" si="34"/>
        <v/>
      </c>
      <c r="AV150" s="90" t="str">
        <f t="shared" si="34"/>
        <v/>
      </c>
      <c r="AW150" s="90" t="str">
        <f t="shared" si="34"/>
        <v/>
      </c>
      <c r="AX150" s="90" t="str">
        <f t="shared" si="35"/>
        <v/>
      </c>
      <c r="AY150" s="90" t="str">
        <f t="shared" si="35"/>
        <v/>
      </c>
      <c r="AZ150" s="90" t="str">
        <f t="shared" si="35"/>
        <v/>
      </c>
      <c r="BA150" s="90" t="str">
        <f t="shared" si="35"/>
        <v/>
      </c>
      <c r="BB150" s="90" t="str">
        <f t="shared" si="35"/>
        <v/>
      </c>
      <c r="BC150" s="90" t="str">
        <f t="shared" si="35"/>
        <v/>
      </c>
    </row>
    <row r="151" spans="1:55" x14ac:dyDescent="0.25">
      <c r="A151" s="15" t="s">
        <v>51</v>
      </c>
      <c r="B151" s="16" t="s">
        <v>52</v>
      </c>
      <c r="C151" s="16" t="s">
        <v>55</v>
      </c>
      <c r="D151" s="2"/>
      <c r="E151" s="2"/>
      <c r="F151" s="1">
        <f t="shared" si="33"/>
        <v>0</v>
      </c>
      <c r="G151" s="1">
        <f t="shared" si="33"/>
        <v>0</v>
      </c>
      <c r="H151" s="1">
        <f t="shared" si="33"/>
        <v>0</v>
      </c>
      <c r="I151" s="1">
        <f t="shared" si="33"/>
        <v>0</v>
      </c>
      <c r="J151" s="1">
        <f t="shared" si="33"/>
        <v>0</v>
      </c>
      <c r="K151" s="1">
        <f t="shared" si="33"/>
        <v>0</v>
      </c>
      <c r="L151" s="52">
        <f t="shared" si="33"/>
        <v>0</v>
      </c>
      <c r="M151" s="1">
        <f t="shared" si="33"/>
        <v>0</v>
      </c>
      <c r="N151" s="1">
        <f t="shared" si="33"/>
        <v>0</v>
      </c>
      <c r="O151" s="1">
        <f t="shared" si="33"/>
        <v>0</v>
      </c>
      <c r="P151" s="1">
        <f t="shared" si="33"/>
        <v>0</v>
      </c>
      <c r="Q151" s="1">
        <f t="shared" si="33"/>
        <v>0</v>
      </c>
      <c r="R151" s="1">
        <f t="shared" si="33"/>
        <v>0</v>
      </c>
      <c r="S151" s="1">
        <f t="shared" si="33"/>
        <v>0</v>
      </c>
      <c r="T151" s="1">
        <f t="shared" ref="G151:AA165" si="36">IF(T196&gt;0,T16/T196,0)</f>
        <v>0</v>
      </c>
      <c r="U151" s="1">
        <f t="shared" si="36"/>
        <v>0</v>
      </c>
      <c r="V151" s="1">
        <f t="shared" si="36"/>
        <v>0</v>
      </c>
      <c r="W151" s="1">
        <f t="shared" si="36"/>
        <v>0</v>
      </c>
      <c r="X151" s="54">
        <f t="shared" si="36"/>
        <v>0</v>
      </c>
      <c r="Y151" s="58">
        <f t="shared" si="36"/>
        <v>0</v>
      </c>
      <c r="Z151" s="1">
        <f t="shared" si="36"/>
        <v>0</v>
      </c>
      <c r="AA151" s="1">
        <f t="shared" si="36"/>
        <v>0</v>
      </c>
      <c r="AC151" s="15" t="s">
        <v>51</v>
      </c>
      <c r="AD151" s="16" t="s">
        <v>52</v>
      </c>
      <c r="AE151" s="16" t="s">
        <v>55</v>
      </c>
      <c r="AF151" s="2"/>
      <c r="AG151" s="2"/>
      <c r="AH151" s="90" t="str">
        <f t="shared" si="34"/>
        <v/>
      </c>
      <c r="AI151" s="90" t="str">
        <f t="shared" si="34"/>
        <v/>
      </c>
      <c r="AJ151" s="90" t="str">
        <f t="shared" si="34"/>
        <v/>
      </c>
      <c r="AK151" s="90" t="str">
        <f t="shared" si="34"/>
        <v/>
      </c>
      <c r="AL151" s="90" t="str">
        <f t="shared" si="34"/>
        <v/>
      </c>
      <c r="AM151" s="90" t="str">
        <f t="shared" si="34"/>
        <v/>
      </c>
      <c r="AN151" s="90" t="str">
        <f t="shared" si="34"/>
        <v/>
      </c>
      <c r="AO151" s="90" t="str">
        <f t="shared" si="34"/>
        <v/>
      </c>
      <c r="AP151" s="90" t="str">
        <f t="shared" si="34"/>
        <v/>
      </c>
      <c r="AQ151" s="90" t="str">
        <f t="shared" si="34"/>
        <v/>
      </c>
      <c r="AR151" s="90" t="str">
        <f t="shared" si="34"/>
        <v/>
      </c>
      <c r="AS151" s="90" t="str">
        <f t="shared" si="34"/>
        <v/>
      </c>
      <c r="AT151" s="90" t="str">
        <f t="shared" si="34"/>
        <v/>
      </c>
      <c r="AU151" s="90" t="str">
        <f t="shared" si="34"/>
        <v/>
      </c>
      <c r="AV151" s="90" t="str">
        <f t="shared" si="34"/>
        <v/>
      </c>
      <c r="AW151" s="90" t="str">
        <f t="shared" si="34"/>
        <v/>
      </c>
      <c r="AX151" s="90" t="str">
        <f t="shared" si="35"/>
        <v/>
      </c>
      <c r="AY151" s="90" t="str">
        <f t="shared" si="35"/>
        <v/>
      </c>
      <c r="AZ151" s="90" t="str">
        <f t="shared" si="35"/>
        <v/>
      </c>
      <c r="BA151" s="90" t="str">
        <f t="shared" si="35"/>
        <v/>
      </c>
      <c r="BB151" s="90" t="str">
        <f t="shared" si="35"/>
        <v/>
      </c>
      <c r="BC151" s="90" t="str">
        <f t="shared" si="35"/>
        <v/>
      </c>
    </row>
    <row r="152" spans="1:55" x14ac:dyDescent="0.25">
      <c r="A152" s="25" t="s">
        <v>51</v>
      </c>
      <c r="B152" s="26" t="s">
        <v>56</v>
      </c>
      <c r="C152" s="26" t="s">
        <v>57</v>
      </c>
      <c r="D152" s="2"/>
      <c r="E152" s="2"/>
      <c r="F152" s="1">
        <f t="shared" ref="F152:F170" si="37">IF(F197&gt;0,F17/F197,0)</f>
        <v>0</v>
      </c>
      <c r="G152" s="1">
        <f t="shared" si="36"/>
        <v>0</v>
      </c>
      <c r="H152" s="1">
        <f t="shared" si="36"/>
        <v>0</v>
      </c>
      <c r="I152" s="1">
        <f t="shared" si="36"/>
        <v>0</v>
      </c>
      <c r="J152" s="1">
        <f t="shared" si="36"/>
        <v>0</v>
      </c>
      <c r="K152" s="1">
        <f t="shared" si="36"/>
        <v>0</v>
      </c>
      <c r="L152" s="52">
        <f t="shared" si="36"/>
        <v>0</v>
      </c>
      <c r="M152" s="1">
        <f t="shared" si="36"/>
        <v>0</v>
      </c>
      <c r="N152" s="1">
        <f t="shared" si="36"/>
        <v>0</v>
      </c>
      <c r="O152" s="1">
        <f t="shared" si="36"/>
        <v>0</v>
      </c>
      <c r="P152" s="1">
        <f t="shared" si="36"/>
        <v>0</v>
      </c>
      <c r="Q152" s="1">
        <f t="shared" si="36"/>
        <v>0</v>
      </c>
      <c r="R152" s="1">
        <f t="shared" si="36"/>
        <v>0</v>
      </c>
      <c r="S152" s="1">
        <f t="shared" si="36"/>
        <v>0</v>
      </c>
      <c r="T152" s="1">
        <f t="shared" si="36"/>
        <v>0</v>
      </c>
      <c r="U152" s="1">
        <f t="shared" si="36"/>
        <v>0</v>
      </c>
      <c r="V152" s="1">
        <f t="shared" si="36"/>
        <v>0</v>
      </c>
      <c r="W152" s="1">
        <f t="shared" si="36"/>
        <v>0</v>
      </c>
      <c r="X152" s="54">
        <f t="shared" si="36"/>
        <v>0</v>
      </c>
      <c r="Y152" s="58">
        <f t="shared" si="36"/>
        <v>0</v>
      </c>
      <c r="Z152" s="1">
        <f t="shared" si="36"/>
        <v>0</v>
      </c>
      <c r="AA152" s="1">
        <f t="shared" si="36"/>
        <v>0</v>
      </c>
      <c r="AC152" s="25" t="s">
        <v>51</v>
      </c>
      <c r="AD152" s="26" t="s">
        <v>56</v>
      </c>
      <c r="AE152" s="26" t="s">
        <v>57</v>
      </c>
      <c r="AF152" s="2"/>
      <c r="AG152" s="2"/>
      <c r="AH152" s="90" t="str">
        <f t="shared" si="34"/>
        <v/>
      </c>
      <c r="AI152" s="90" t="str">
        <f t="shared" si="34"/>
        <v/>
      </c>
      <c r="AJ152" s="90" t="str">
        <f t="shared" si="34"/>
        <v/>
      </c>
      <c r="AK152" s="90" t="str">
        <f t="shared" si="34"/>
        <v/>
      </c>
      <c r="AL152" s="90" t="str">
        <f t="shared" si="34"/>
        <v/>
      </c>
      <c r="AM152" s="90" t="str">
        <f t="shared" si="34"/>
        <v/>
      </c>
      <c r="AN152" s="90" t="str">
        <f t="shared" si="34"/>
        <v/>
      </c>
      <c r="AO152" s="90" t="str">
        <f t="shared" si="34"/>
        <v/>
      </c>
      <c r="AP152" s="90" t="str">
        <f t="shared" si="34"/>
        <v/>
      </c>
      <c r="AQ152" s="90" t="str">
        <f t="shared" si="34"/>
        <v/>
      </c>
      <c r="AR152" s="90" t="str">
        <f t="shared" si="34"/>
        <v/>
      </c>
      <c r="AS152" s="90" t="str">
        <f t="shared" si="34"/>
        <v/>
      </c>
      <c r="AT152" s="90" t="str">
        <f t="shared" si="34"/>
        <v/>
      </c>
      <c r="AU152" s="90" t="str">
        <f t="shared" si="34"/>
        <v/>
      </c>
      <c r="AV152" s="90" t="str">
        <f t="shared" si="34"/>
        <v/>
      </c>
      <c r="AW152" s="90" t="str">
        <f t="shared" si="34"/>
        <v/>
      </c>
      <c r="AX152" s="90" t="str">
        <f t="shared" si="35"/>
        <v/>
      </c>
      <c r="AY152" s="90" t="str">
        <f t="shared" si="35"/>
        <v/>
      </c>
      <c r="AZ152" s="90" t="str">
        <f t="shared" si="35"/>
        <v/>
      </c>
      <c r="BA152" s="90" t="str">
        <f t="shared" si="35"/>
        <v/>
      </c>
      <c r="BB152" s="90" t="str">
        <f t="shared" si="35"/>
        <v/>
      </c>
      <c r="BC152" s="90" t="str">
        <f t="shared" si="35"/>
        <v/>
      </c>
    </row>
    <row r="153" spans="1:55" x14ac:dyDescent="0.25">
      <c r="A153" s="15" t="s">
        <v>51</v>
      </c>
      <c r="B153" s="16" t="s">
        <v>56</v>
      </c>
      <c r="C153" s="27" t="s">
        <v>58</v>
      </c>
      <c r="D153" s="2"/>
      <c r="E153" s="2"/>
      <c r="F153" s="1">
        <f t="shared" si="37"/>
        <v>0</v>
      </c>
      <c r="G153" s="1">
        <f t="shared" si="36"/>
        <v>0</v>
      </c>
      <c r="H153" s="1">
        <f t="shared" si="36"/>
        <v>0</v>
      </c>
      <c r="I153" s="1">
        <f t="shared" si="36"/>
        <v>0</v>
      </c>
      <c r="J153" s="1">
        <f t="shared" si="36"/>
        <v>0</v>
      </c>
      <c r="K153" s="1">
        <f t="shared" si="36"/>
        <v>0</v>
      </c>
      <c r="L153" s="52">
        <f t="shared" si="36"/>
        <v>0</v>
      </c>
      <c r="M153" s="1">
        <f t="shared" si="36"/>
        <v>0</v>
      </c>
      <c r="N153" s="1">
        <f t="shared" si="36"/>
        <v>0</v>
      </c>
      <c r="O153" s="1">
        <f t="shared" si="36"/>
        <v>0</v>
      </c>
      <c r="P153" s="1">
        <f t="shared" si="36"/>
        <v>0</v>
      </c>
      <c r="Q153" s="1">
        <f t="shared" si="36"/>
        <v>0</v>
      </c>
      <c r="R153" s="1">
        <f t="shared" si="36"/>
        <v>0</v>
      </c>
      <c r="S153" s="1">
        <f t="shared" si="36"/>
        <v>0</v>
      </c>
      <c r="T153" s="1">
        <f t="shared" si="36"/>
        <v>0</v>
      </c>
      <c r="U153" s="1">
        <f t="shared" si="36"/>
        <v>0</v>
      </c>
      <c r="V153" s="1">
        <f t="shared" si="36"/>
        <v>0</v>
      </c>
      <c r="W153" s="1">
        <f t="shared" si="36"/>
        <v>0</v>
      </c>
      <c r="X153" s="54">
        <f t="shared" si="36"/>
        <v>0</v>
      </c>
      <c r="Y153" s="58">
        <f t="shared" si="36"/>
        <v>0</v>
      </c>
      <c r="Z153" s="1">
        <f t="shared" si="36"/>
        <v>0</v>
      </c>
      <c r="AA153" s="1">
        <f t="shared" si="36"/>
        <v>0</v>
      </c>
      <c r="AC153" s="15" t="s">
        <v>51</v>
      </c>
      <c r="AD153" s="16" t="s">
        <v>56</v>
      </c>
      <c r="AE153" s="27" t="s">
        <v>58</v>
      </c>
      <c r="AF153" s="2"/>
      <c r="AG153" s="2"/>
      <c r="AH153" s="90" t="str">
        <f t="shared" si="34"/>
        <v/>
      </c>
      <c r="AI153" s="90" t="str">
        <f t="shared" si="34"/>
        <v/>
      </c>
      <c r="AJ153" s="90" t="str">
        <f t="shared" si="34"/>
        <v/>
      </c>
      <c r="AK153" s="90" t="str">
        <f t="shared" si="34"/>
        <v/>
      </c>
      <c r="AL153" s="90" t="str">
        <f t="shared" si="34"/>
        <v/>
      </c>
      <c r="AM153" s="90" t="str">
        <f t="shared" si="34"/>
        <v/>
      </c>
      <c r="AN153" s="90" t="str">
        <f t="shared" si="34"/>
        <v/>
      </c>
      <c r="AO153" s="90" t="str">
        <f t="shared" si="34"/>
        <v/>
      </c>
      <c r="AP153" s="90" t="str">
        <f t="shared" si="34"/>
        <v/>
      </c>
      <c r="AQ153" s="90" t="str">
        <f t="shared" si="34"/>
        <v/>
      </c>
      <c r="AR153" s="90" t="str">
        <f t="shared" si="34"/>
        <v/>
      </c>
      <c r="AS153" s="90" t="str">
        <f t="shared" si="34"/>
        <v/>
      </c>
      <c r="AT153" s="90" t="str">
        <f t="shared" si="34"/>
        <v/>
      </c>
      <c r="AU153" s="90" t="str">
        <f t="shared" si="34"/>
        <v/>
      </c>
      <c r="AV153" s="90" t="str">
        <f t="shared" si="34"/>
        <v/>
      </c>
      <c r="AW153" s="90" t="str">
        <f t="shared" si="34"/>
        <v/>
      </c>
      <c r="AX153" s="90" t="str">
        <f t="shared" si="35"/>
        <v/>
      </c>
      <c r="AY153" s="90" t="str">
        <f t="shared" si="35"/>
        <v/>
      </c>
      <c r="AZ153" s="90" t="str">
        <f t="shared" si="35"/>
        <v/>
      </c>
      <c r="BA153" s="90" t="str">
        <f t="shared" si="35"/>
        <v/>
      </c>
      <c r="BB153" s="90" t="str">
        <f t="shared" si="35"/>
        <v/>
      </c>
      <c r="BC153" s="90" t="str">
        <f t="shared" si="35"/>
        <v/>
      </c>
    </row>
    <row r="154" spans="1:55" x14ac:dyDescent="0.25">
      <c r="A154" s="15" t="s">
        <v>51</v>
      </c>
      <c r="B154" s="16" t="s">
        <v>9</v>
      </c>
      <c r="C154" s="27" t="s">
        <v>59</v>
      </c>
      <c r="D154" s="2"/>
      <c r="E154" s="2"/>
      <c r="F154" s="1">
        <f t="shared" si="37"/>
        <v>0</v>
      </c>
      <c r="G154" s="1">
        <f t="shared" si="36"/>
        <v>0</v>
      </c>
      <c r="H154" s="1">
        <f t="shared" si="36"/>
        <v>0</v>
      </c>
      <c r="I154" s="1">
        <f t="shared" si="36"/>
        <v>0</v>
      </c>
      <c r="J154" s="1">
        <f t="shared" si="36"/>
        <v>0</v>
      </c>
      <c r="K154" s="1">
        <f t="shared" si="36"/>
        <v>0</v>
      </c>
      <c r="L154" s="52">
        <f t="shared" si="36"/>
        <v>0</v>
      </c>
      <c r="M154" s="1">
        <f t="shared" si="36"/>
        <v>0</v>
      </c>
      <c r="N154" s="1">
        <f t="shared" si="36"/>
        <v>0</v>
      </c>
      <c r="O154" s="1">
        <f t="shared" si="36"/>
        <v>0</v>
      </c>
      <c r="P154" s="1">
        <f t="shared" si="36"/>
        <v>0</v>
      </c>
      <c r="Q154" s="1">
        <f t="shared" si="36"/>
        <v>0</v>
      </c>
      <c r="R154" s="1">
        <f t="shared" si="36"/>
        <v>0</v>
      </c>
      <c r="S154" s="1">
        <f t="shared" si="36"/>
        <v>0</v>
      </c>
      <c r="T154" s="1">
        <f t="shared" si="36"/>
        <v>0</v>
      </c>
      <c r="U154" s="1">
        <f t="shared" si="36"/>
        <v>0</v>
      </c>
      <c r="V154" s="1">
        <f t="shared" si="36"/>
        <v>0</v>
      </c>
      <c r="W154" s="1">
        <f t="shared" si="36"/>
        <v>0</v>
      </c>
      <c r="X154" s="54">
        <f t="shared" si="36"/>
        <v>0</v>
      </c>
      <c r="Y154" s="58">
        <f t="shared" si="36"/>
        <v>0</v>
      </c>
      <c r="Z154" s="1">
        <f t="shared" si="36"/>
        <v>0</v>
      </c>
      <c r="AA154" s="1">
        <f t="shared" si="36"/>
        <v>0</v>
      </c>
      <c r="AC154" s="15" t="s">
        <v>51</v>
      </c>
      <c r="AD154" s="16" t="s">
        <v>9</v>
      </c>
      <c r="AE154" s="27" t="s">
        <v>59</v>
      </c>
      <c r="AF154" s="2"/>
      <c r="AG154" s="2"/>
      <c r="AH154" s="90" t="str">
        <f t="shared" si="34"/>
        <v/>
      </c>
      <c r="AI154" s="90" t="str">
        <f t="shared" si="34"/>
        <v/>
      </c>
      <c r="AJ154" s="90" t="str">
        <f t="shared" si="34"/>
        <v/>
      </c>
      <c r="AK154" s="90" t="str">
        <f t="shared" si="34"/>
        <v/>
      </c>
      <c r="AL154" s="90" t="str">
        <f t="shared" si="34"/>
        <v/>
      </c>
      <c r="AM154" s="90" t="str">
        <f t="shared" si="34"/>
        <v/>
      </c>
      <c r="AN154" s="90" t="str">
        <f t="shared" si="34"/>
        <v/>
      </c>
      <c r="AO154" s="90" t="str">
        <f t="shared" si="34"/>
        <v/>
      </c>
      <c r="AP154" s="90" t="str">
        <f t="shared" si="34"/>
        <v/>
      </c>
      <c r="AQ154" s="90" t="str">
        <f t="shared" si="34"/>
        <v/>
      </c>
      <c r="AR154" s="90" t="str">
        <f t="shared" si="34"/>
        <v/>
      </c>
      <c r="AS154" s="90" t="str">
        <f t="shared" si="34"/>
        <v/>
      </c>
      <c r="AT154" s="90" t="str">
        <f t="shared" si="34"/>
        <v/>
      </c>
      <c r="AU154" s="90" t="str">
        <f t="shared" si="34"/>
        <v/>
      </c>
      <c r="AV154" s="90" t="str">
        <f t="shared" si="34"/>
        <v/>
      </c>
      <c r="AW154" s="90" t="str">
        <f t="shared" si="34"/>
        <v/>
      </c>
      <c r="AX154" s="90" t="str">
        <f t="shared" si="35"/>
        <v/>
      </c>
      <c r="AY154" s="90" t="str">
        <f t="shared" si="35"/>
        <v/>
      </c>
      <c r="AZ154" s="90" t="str">
        <f t="shared" si="35"/>
        <v/>
      </c>
      <c r="BA154" s="90" t="str">
        <f t="shared" si="35"/>
        <v/>
      </c>
      <c r="BB154" s="90" t="str">
        <f t="shared" si="35"/>
        <v/>
      </c>
      <c r="BC154" s="90" t="str">
        <f t="shared" si="35"/>
        <v/>
      </c>
    </row>
    <row r="155" spans="1:55" x14ac:dyDescent="0.25">
      <c r="A155" s="15" t="s">
        <v>51</v>
      </c>
      <c r="B155" s="16" t="s">
        <v>9</v>
      </c>
      <c r="C155" s="27" t="s">
        <v>9</v>
      </c>
      <c r="D155" s="2"/>
      <c r="E155" s="2"/>
      <c r="F155" s="1">
        <f t="shared" si="37"/>
        <v>0</v>
      </c>
      <c r="G155" s="1">
        <f t="shared" si="36"/>
        <v>0</v>
      </c>
      <c r="H155" s="1">
        <f t="shared" si="36"/>
        <v>0</v>
      </c>
      <c r="I155" s="1">
        <f t="shared" si="36"/>
        <v>0</v>
      </c>
      <c r="J155" s="1">
        <f t="shared" si="36"/>
        <v>0</v>
      </c>
      <c r="K155" s="1">
        <f t="shared" si="36"/>
        <v>0</v>
      </c>
      <c r="L155" s="52">
        <f t="shared" si="36"/>
        <v>0</v>
      </c>
      <c r="M155" s="1">
        <f t="shared" si="36"/>
        <v>0</v>
      </c>
      <c r="N155" s="1">
        <f t="shared" si="36"/>
        <v>0</v>
      </c>
      <c r="O155" s="1">
        <f t="shared" si="36"/>
        <v>0</v>
      </c>
      <c r="P155" s="1">
        <f t="shared" si="36"/>
        <v>0</v>
      </c>
      <c r="Q155" s="1">
        <f t="shared" si="36"/>
        <v>0</v>
      </c>
      <c r="R155" s="1">
        <f t="shared" si="36"/>
        <v>0</v>
      </c>
      <c r="S155" s="1">
        <f t="shared" si="36"/>
        <v>0</v>
      </c>
      <c r="T155" s="1">
        <f t="shared" si="36"/>
        <v>0</v>
      </c>
      <c r="U155" s="1">
        <f t="shared" si="36"/>
        <v>0</v>
      </c>
      <c r="V155" s="1">
        <f t="shared" si="36"/>
        <v>0</v>
      </c>
      <c r="W155" s="1">
        <f t="shared" si="36"/>
        <v>0</v>
      </c>
      <c r="X155" s="54">
        <f t="shared" si="36"/>
        <v>0</v>
      </c>
      <c r="Y155" s="58">
        <f t="shared" si="36"/>
        <v>0</v>
      </c>
      <c r="Z155" s="1">
        <f t="shared" si="36"/>
        <v>0</v>
      </c>
      <c r="AA155" s="1">
        <f t="shared" si="36"/>
        <v>0</v>
      </c>
      <c r="AC155" s="15" t="s">
        <v>51</v>
      </c>
      <c r="AD155" s="16" t="s">
        <v>9</v>
      </c>
      <c r="AE155" s="27" t="s">
        <v>9</v>
      </c>
      <c r="AF155" s="2"/>
      <c r="AG155" s="2"/>
      <c r="AH155" s="90" t="str">
        <f t="shared" si="34"/>
        <v/>
      </c>
      <c r="AI155" s="90" t="str">
        <f t="shared" si="34"/>
        <v/>
      </c>
      <c r="AJ155" s="90" t="str">
        <f t="shared" si="34"/>
        <v/>
      </c>
      <c r="AK155" s="90" t="str">
        <f t="shared" si="34"/>
        <v/>
      </c>
      <c r="AL155" s="90" t="str">
        <f t="shared" si="34"/>
        <v/>
      </c>
      <c r="AM155" s="90" t="str">
        <f t="shared" si="34"/>
        <v/>
      </c>
      <c r="AN155" s="90" t="str">
        <f t="shared" si="34"/>
        <v/>
      </c>
      <c r="AO155" s="90" t="str">
        <f t="shared" si="34"/>
        <v/>
      </c>
      <c r="AP155" s="90" t="str">
        <f t="shared" si="34"/>
        <v/>
      </c>
      <c r="AQ155" s="90" t="str">
        <f t="shared" si="34"/>
        <v/>
      </c>
      <c r="AR155" s="90" t="str">
        <f t="shared" si="34"/>
        <v/>
      </c>
      <c r="AS155" s="90" t="str">
        <f t="shared" si="34"/>
        <v/>
      </c>
      <c r="AT155" s="90" t="str">
        <f t="shared" si="34"/>
        <v/>
      </c>
      <c r="AU155" s="90" t="str">
        <f t="shared" si="34"/>
        <v/>
      </c>
      <c r="AV155" s="90" t="str">
        <f t="shared" si="34"/>
        <v/>
      </c>
      <c r="AW155" s="90" t="str">
        <f t="shared" ref="AW155:BC180" si="38">IF(U200&gt;0,U65/U200,"")</f>
        <v/>
      </c>
      <c r="AX155" s="90" t="str">
        <f t="shared" si="35"/>
        <v/>
      </c>
      <c r="AY155" s="90" t="str">
        <f t="shared" si="35"/>
        <v/>
      </c>
      <c r="AZ155" s="90" t="str">
        <f t="shared" si="35"/>
        <v/>
      </c>
      <c r="BA155" s="90" t="str">
        <f t="shared" si="35"/>
        <v/>
      </c>
      <c r="BB155" s="90" t="str">
        <f t="shared" si="35"/>
        <v/>
      </c>
      <c r="BC155" s="90" t="str">
        <f t="shared" si="35"/>
        <v/>
      </c>
    </row>
    <row r="156" spans="1:55" x14ac:dyDescent="0.25">
      <c r="A156" s="28" t="s">
        <v>60</v>
      </c>
      <c r="B156" s="29" t="s">
        <v>13</v>
      </c>
      <c r="C156" s="29" t="s">
        <v>61</v>
      </c>
      <c r="D156" s="2"/>
      <c r="E156" s="2"/>
      <c r="F156" s="51">
        <f t="shared" si="37"/>
        <v>45.252525252525253</v>
      </c>
      <c r="G156" s="51">
        <f t="shared" si="36"/>
        <v>0</v>
      </c>
      <c r="H156" s="51">
        <f t="shared" si="36"/>
        <v>6.86</v>
      </c>
      <c r="I156" s="91">
        <v>29</v>
      </c>
      <c r="J156" s="51">
        <f>IF(J201&gt;0,J21/J201,0)</f>
        <v>50.555555555555557</v>
      </c>
      <c r="K156" s="91">
        <v>29</v>
      </c>
      <c r="L156" s="52">
        <f t="shared" si="36"/>
        <v>0</v>
      </c>
      <c r="M156" s="64">
        <v>400</v>
      </c>
      <c r="N156" s="51">
        <f t="shared" ref="N156:P159" si="39">IF(N201&gt;0,N21/N201,0)</f>
        <v>999.99999999999989</v>
      </c>
      <c r="O156" s="51">
        <f t="shared" si="39"/>
        <v>12226.415094339622</v>
      </c>
      <c r="P156" s="51">
        <f t="shared" ref="P156" si="40">IF(P201&gt;0,P21/P201,0)</f>
        <v>95238.095238095237</v>
      </c>
      <c r="Q156" s="77">
        <v>940</v>
      </c>
      <c r="R156" s="77">
        <v>426</v>
      </c>
      <c r="S156" s="51">
        <f t="shared" si="36"/>
        <v>0</v>
      </c>
      <c r="T156" s="77">
        <v>426</v>
      </c>
      <c r="U156" s="77">
        <v>426</v>
      </c>
      <c r="V156" s="77">
        <v>426</v>
      </c>
      <c r="W156" s="77">
        <v>426</v>
      </c>
      <c r="X156" s="79">
        <v>426</v>
      </c>
      <c r="Y156" s="59">
        <f t="shared" si="36"/>
        <v>21.471615770412765</v>
      </c>
      <c r="Z156" s="51">
        <f t="shared" si="36"/>
        <v>1445.5901943485192</v>
      </c>
      <c r="AA156" s="51">
        <f t="shared" si="36"/>
        <v>106.47323918522294</v>
      </c>
      <c r="AC156" s="28" t="s">
        <v>60</v>
      </c>
      <c r="AD156" s="29" t="s">
        <v>13</v>
      </c>
      <c r="AE156" s="29" t="s">
        <v>61</v>
      </c>
      <c r="AF156" s="2"/>
      <c r="AG156" s="2"/>
      <c r="AH156" s="1">
        <f t="shared" ref="AH156:AV172" si="41">IF(F201&gt;0,F66/F201,"")</f>
        <v>7.9224258585858589</v>
      </c>
      <c r="AI156" s="1" t="str">
        <f t="shared" si="41"/>
        <v/>
      </c>
      <c r="AJ156" s="1">
        <f t="shared" si="41"/>
        <v>1.65</v>
      </c>
      <c r="AK156" s="1">
        <f t="shared" si="41"/>
        <v>6.3786848072562359</v>
      </c>
      <c r="AL156" s="1">
        <f t="shared" si="41"/>
        <v>16.813333333333333</v>
      </c>
      <c r="AM156" s="1">
        <f t="shared" si="41"/>
        <v>7.9206250000000002</v>
      </c>
      <c r="AN156" s="52" t="str">
        <f t="shared" si="41"/>
        <v/>
      </c>
      <c r="AO156" s="1">
        <f t="shared" si="41"/>
        <v>104</v>
      </c>
      <c r="AP156" s="1">
        <f t="shared" si="41"/>
        <v>286.36363636363632</v>
      </c>
      <c r="AQ156" s="1">
        <f t="shared" si="41"/>
        <v>3396.2264150943392</v>
      </c>
      <c r="AR156" s="1">
        <f t="shared" si="41"/>
        <v>15476.190476190477</v>
      </c>
      <c r="AS156" s="1">
        <f t="shared" si="41"/>
        <v>282</v>
      </c>
      <c r="AT156" s="1">
        <f t="shared" si="41"/>
        <v>149.1</v>
      </c>
      <c r="AU156" s="1" t="str">
        <f t="shared" si="41"/>
        <v/>
      </c>
      <c r="AV156" s="1">
        <f t="shared" si="41"/>
        <v>170.4</v>
      </c>
      <c r="AW156" s="1">
        <f t="shared" si="38"/>
        <v>204.48000000000002</v>
      </c>
      <c r="AX156" s="1">
        <f t="shared" si="38"/>
        <v>511.2</v>
      </c>
      <c r="AY156" s="1">
        <f t="shared" si="38"/>
        <v>340.8</v>
      </c>
      <c r="AZ156" s="1">
        <f t="shared" si="38"/>
        <v>149.1</v>
      </c>
      <c r="BA156" s="1">
        <f t="shared" si="38"/>
        <v>4.9846699249408779</v>
      </c>
      <c r="BB156" s="1">
        <f t="shared" si="38"/>
        <v>331.54149071388497</v>
      </c>
      <c r="BC156" s="1">
        <f t="shared" si="38"/>
        <v>24.475926005564428</v>
      </c>
    </row>
    <row r="157" spans="1:55" x14ac:dyDescent="0.25">
      <c r="A157" s="36" t="s">
        <v>60</v>
      </c>
      <c r="B157" s="37" t="s">
        <v>13</v>
      </c>
      <c r="C157" s="29" t="s">
        <v>62</v>
      </c>
      <c r="D157" s="2"/>
      <c r="E157" s="2"/>
      <c r="F157" s="51">
        <f t="shared" si="37"/>
        <v>58.18181818181818</v>
      </c>
      <c r="G157" s="51">
        <f t="shared" si="36"/>
        <v>21.09090909090909</v>
      </c>
      <c r="H157" s="51">
        <f t="shared" si="36"/>
        <v>6.86</v>
      </c>
      <c r="I157" s="77">
        <v>20</v>
      </c>
      <c r="J157" s="51">
        <f t="shared" si="36"/>
        <v>0</v>
      </c>
      <c r="K157" s="51">
        <f t="shared" si="36"/>
        <v>0</v>
      </c>
      <c r="L157" s="52">
        <f t="shared" si="36"/>
        <v>0</v>
      </c>
      <c r="M157" s="51">
        <f t="shared" si="36"/>
        <v>0</v>
      </c>
      <c r="N157" s="51">
        <f t="shared" si="39"/>
        <v>0</v>
      </c>
      <c r="O157" s="51">
        <f t="shared" si="39"/>
        <v>0</v>
      </c>
      <c r="P157" s="51">
        <f t="shared" ref="P157" si="42">IF(P202&gt;0,P22/P202,0)</f>
        <v>51020.408163265311</v>
      </c>
      <c r="Q157" s="51">
        <f t="shared" si="36"/>
        <v>0</v>
      </c>
      <c r="R157" s="51">
        <f t="shared" si="36"/>
        <v>0</v>
      </c>
      <c r="S157" s="51">
        <f t="shared" si="36"/>
        <v>0</v>
      </c>
      <c r="T157" s="51">
        <f t="shared" si="36"/>
        <v>0</v>
      </c>
      <c r="U157" s="51">
        <f t="shared" si="36"/>
        <v>0</v>
      </c>
      <c r="V157" s="51">
        <f t="shared" si="36"/>
        <v>0</v>
      </c>
      <c r="W157" s="51">
        <f t="shared" si="36"/>
        <v>0</v>
      </c>
      <c r="X157" s="55">
        <f t="shared" si="36"/>
        <v>0</v>
      </c>
      <c r="Y157" s="59">
        <f t="shared" si="36"/>
        <v>10.0352</v>
      </c>
      <c r="Z157" s="51">
        <f t="shared" si="36"/>
        <v>51020.408163265311</v>
      </c>
      <c r="AA157" s="51">
        <f t="shared" si="36"/>
        <v>45.559005990491961</v>
      </c>
      <c r="AB157" s="14">
        <f>0.74*55</f>
        <v>40.700000000000003</v>
      </c>
      <c r="AC157" s="36" t="s">
        <v>60</v>
      </c>
      <c r="AD157" s="37" t="s">
        <v>13</v>
      </c>
      <c r="AE157" s="29" t="s">
        <v>62</v>
      </c>
      <c r="AF157" s="2"/>
      <c r="AG157" s="2"/>
      <c r="AH157" s="1">
        <f t="shared" si="41"/>
        <v>12.735336727272729</v>
      </c>
      <c r="AI157" s="1">
        <f t="shared" si="41"/>
        <v>5.0763414159931113</v>
      </c>
      <c r="AJ157" s="1">
        <f t="shared" si="41"/>
        <v>1.9593750000000001</v>
      </c>
      <c r="AK157" s="1" t="str">
        <f t="shared" si="41"/>
        <v/>
      </c>
      <c r="AL157" s="1" t="str">
        <f t="shared" si="41"/>
        <v/>
      </c>
      <c r="AM157" s="1" t="str">
        <f t="shared" si="41"/>
        <v/>
      </c>
      <c r="AN157" s="52" t="str">
        <f t="shared" si="41"/>
        <v/>
      </c>
      <c r="AO157" s="1" t="str">
        <f t="shared" si="41"/>
        <v/>
      </c>
      <c r="AP157" s="1" t="str">
        <f t="shared" si="41"/>
        <v/>
      </c>
      <c r="AQ157" s="1" t="str">
        <f t="shared" si="41"/>
        <v/>
      </c>
      <c r="AR157" s="1">
        <f t="shared" si="41"/>
        <v>8673.4693877551035</v>
      </c>
      <c r="AS157" s="1" t="str">
        <f t="shared" si="41"/>
        <v/>
      </c>
      <c r="AT157" s="1" t="str">
        <f t="shared" si="41"/>
        <v/>
      </c>
      <c r="AU157" s="1" t="str">
        <f t="shared" si="41"/>
        <v/>
      </c>
      <c r="AV157" s="1" t="str">
        <f t="shared" si="41"/>
        <v/>
      </c>
      <c r="AW157" s="1" t="str">
        <f t="shared" si="38"/>
        <v/>
      </c>
      <c r="AX157" s="1" t="str">
        <f t="shared" si="38"/>
        <v/>
      </c>
      <c r="AY157" s="1" t="str">
        <f t="shared" si="38"/>
        <v/>
      </c>
      <c r="AZ157" s="1" t="str">
        <f t="shared" si="38"/>
        <v/>
      </c>
      <c r="BA157" s="1">
        <f t="shared" si="38"/>
        <v>2.6411939368098585</v>
      </c>
      <c r="BB157" s="1">
        <f t="shared" si="38"/>
        <v>8673.4693877551035</v>
      </c>
      <c r="BC157" s="1">
        <f t="shared" si="38"/>
        <v>8.679589671652014</v>
      </c>
    </row>
    <row r="158" spans="1:55" x14ac:dyDescent="0.25">
      <c r="A158" s="30" t="s">
        <v>60</v>
      </c>
      <c r="B158" s="31" t="s">
        <v>13</v>
      </c>
      <c r="C158" s="32" t="s">
        <v>63</v>
      </c>
      <c r="D158" s="2"/>
      <c r="E158" s="2"/>
      <c r="F158" s="51">
        <f t="shared" si="37"/>
        <v>0</v>
      </c>
      <c r="G158" s="51">
        <f t="shared" si="36"/>
        <v>0</v>
      </c>
      <c r="H158" s="51">
        <f t="shared" si="36"/>
        <v>0</v>
      </c>
      <c r="I158" s="51">
        <f t="shared" si="36"/>
        <v>0</v>
      </c>
      <c r="J158" s="51">
        <f t="shared" si="36"/>
        <v>0</v>
      </c>
      <c r="K158" s="51">
        <f t="shared" si="36"/>
        <v>0</v>
      </c>
      <c r="L158" s="52">
        <f t="shared" si="36"/>
        <v>0</v>
      </c>
      <c r="M158" s="51">
        <f t="shared" si="36"/>
        <v>0</v>
      </c>
      <c r="N158" s="51">
        <f t="shared" si="39"/>
        <v>0</v>
      </c>
      <c r="O158" s="51">
        <f t="shared" si="39"/>
        <v>0</v>
      </c>
      <c r="P158" s="51">
        <f t="shared" si="39"/>
        <v>0</v>
      </c>
      <c r="Q158" s="51">
        <f t="shared" si="36"/>
        <v>0</v>
      </c>
      <c r="R158" s="51">
        <f t="shared" si="36"/>
        <v>0</v>
      </c>
      <c r="S158" s="51">
        <f t="shared" si="36"/>
        <v>0</v>
      </c>
      <c r="T158" s="51">
        <f t="shared" si="36"/>
        <v>0</v>
      </c>
      <c r="U158" s="51">
        <f t="shared" si="36"/>
        <v>0</v>
      </c>
      <c r="V158" s="51">
        <f t="shared" si="36"/>
        <v>0</v>
      </c>
      <c r="W158" s="51">
        <f t="shared" si="36"/>
        <v>0</v>
      </c>
      <c r="X158" s="55">
        <f t="shared" si="36"/>
        <v>0</v>
      </c>
      <c r="Y158" s="59">
        <f t="shared" si="36"/>
        <v>0</v>
      </c>
      <c r="Z158" s="51">
        <f t="shared" si="36"/>
        <v>0</v>
      </c>
      <c r="AA158" s="51">
        <f t="shared" si="36"/>
        <v>0</v>
      </c>
      <c r="AB158" s="14">
        <f>0.75*70</f>
        <v>52.5</v>
      </c>
      <c r="AC158" s="30" t="s">
        <v>60</v>
      </c>
      <c r="AD158" s="31" t="s">
        <v>13</v>
      </c>
      <c r="AE158" s="32" t="s">
        <v>63</v>
      </c>
      <c r="AF158" s="2"/>
      <c r="AG158" s="2"/>
      <c r="AH158" s="1" t="str">
        <f t="shared" si="41"/>
        <v/>
      </c>
      <c r="AI158" s="1" t="str">
        <f t="shared" si="41"/>
        <v/>
      </c>
      <c r="AJ158" s="1" t="str">
        <f t="shared" si="41"/>
        <v/>
      </c>
      <c r="AK158" s="1" t="str">
        <f t="shared" si="41"/>
        <v/>
      </c>
      <c r="AL158" s="1" t="str">
        <f t="shared" si="41"/>
        <v/>
      </c>
      <c r="AM158" s="1" t="str">
        <f t="shared" si="41"/>
        <v/>
      </c>
      <c r="AN158" s="52" t="str">
        <f t="shared" si="41"/>
        <v/>
      </c>
      <c r="AO158" s="1" t="str">
        <f t="shared" si="41"/>
        <v/>
      </c>
      <c r="AP158" s="1" t="str">
        <f t="shared" si="41"/>
        <v/>
      </c>
      <c r="AQ158" s="1" t="str">
        <f t="shared" si="41"/>
        <v/>
      </c>
      <c r="AR158" s="1" t="str">
        <f t="shared" si="41"/>
        <v/>
      </c>
      <c r="AS158" s="1" t="str">
        <f t="shared" si="41"/>
        <v/>
      </c>
      <c r="AT158" s="1" t="str">
        <f t="shared" si="41"/>
        <v/>
      </c>
      <c r="AU158" s="1" t="str">
        <f t="shared" si="41"/>
        <v/>
      </c>
      <c r="AV158" s="1" t="str">
        <f t="shared" si="41"/>
        <v/>
      </c>
      <c r="AW158" s="1" t="str">
        <f t="shared" si="38"/>
        <v/>
      </c>
      <c r="AX158" s="1" t="str">
        <f t="shared" si="38"/>
        <v/>
      </c>
      <c r="AY158" s="1" t="str">
        <f t="shared" si="38"/>
        <v/>
      </c>
      <c r="AZ158" s="1" t="str">
        <f t="shared" si="38"/>
        <v/>
      </c>
      <c r="BA158" s="1" t="str">
        <f t="shared" si="38"/>
        <v/>
      </c>
      <c r="BB158" s="1" t="str">
        <f t="shared" si="38"/>
        <v/>
      </c>
      <c r="BC158" s="1" t="str">
        <f t="shared" si="38"/>
        <v/>
      </c>
    </row>
    <row r="159" spans="1:55" ht="15.75" thickBot="1" x14ac:dyDescent="0.3">
      <c r="A159" s="30" t="s">
        <v>60</v>
      </c>
      <c r="B159" s="32" t="s">
        <v>23</v>
      </c>
      <c r="C159" s="31" t="s">
        <v>50</v>
      </c>
      <c r="D159" s="2"/>
      <c r="E159" s="2"/>
      <c r="F159" s="77">
        <v>40</v>
      </c>
      <c r="G159" s="51">
        <f t="shared" si="36"/>
        <v>0</v>
      </c>
      <c r="H159" s="51">
        <f t="shared" si="36"/>
        <v>0</v>
      </c>
      <c r="I159" s="51">
        <f t="shared" si="36"/>
        <v>0</v>
      </c>
      <c r="J159" s="77">
        <v>45</v>
      </c>
      <c r="K159" s="77">
        <v>2.2000000000000002</v>
      </c>
      <c r="L159" s="52">
        <f t="shared" si="36"/>
        <v>0</v>
      </c>
      <c r="M159" s="51">
        <f t="shared" si="36"/>
        <v>0</v>
      </c>
      <c r="N159" s="53">
        <f t="shared" si="39"/>
        <v>2000.0000000000002</v>
      </c>
      <c r="O159" s="53">
        <f t="shared" si="39"/>
        <v>0</v>
      </c>
      <c r="P159" s="53">
        <f t="shared" si="39"/>
        <v>0</v>
      </c>
      <c r="Q159" s="51">
        <f t="shared" si="36"/>
        <v>0</v>
      </c>
      <c r="R159" s="51">
        <f t="shared" si="36"/>
        <v>0</v>
      </c>
      <c r="S159" s="51">
        <f t="shared" si="36"/>
        <v>0</v>
      </c>
      <c r="T159" s="51">
        <f t="shared" si="36"/>
        <v>0</v>
      </c>
      <c r="U159" s="51">
        <f t="shared" si="36"/>
        <v>0</v>
      </c>
      <c r="V159" s="77">
        <v>426</v>
      </c>
      <c r="W159" s="51">
        <f t="shared" si="36"/>
        <v>0</v>
      </c>
      <c r="X159" s="55">
        <f t="shared" si="36"/>
        <v>0</v>
      </c>
      <c r="Y159" s="59">
        <f t="shared" si="36"/>
        <v>2.2380486340598278</v>
      </c>
      <c r="Z159" s="51">
        <f t="shared" si="36"/>
        <v>2000.0000000000002</v>
      </c>
      <c r="AA159" s="51">
        <f t="shared" si="36"/>
        <v>5.4162866541987089</v>
      </c>
      <c r="AC159" s="30" t="s">
        <v>60</v>
      </c>
      <c r="AD159" s="32" t="s">
        <v>23</v>
      </c>
      <c r="AE159" s="31" t="s">
        <v>50</v>
      </c>
      <c r="AF159" s="2"/>
      <c r="AG159" s="2"/>
      <c r="AH159" s="1" t="str">
        <f t="shared" si="41"/>
        <v/>
      </c>
      <c r="AI159" s="1" t="str">
        <f t="shared" si="41"/>
        <v/>
      </c>
      <c r="AJ159" s="1" t="str">
        <f t="shared" si="41"/>
        <v/>
      </c>
      <c r="AK159" s="1" t="str">
        <f t="shared" si="41"/>
        <v/>
      </c>
      <c r="AL159" s="1">
        <f t="shared" si="41"/>
        <v>13.499999999999998</v>
      </c>
      <c r="AM159" s="1">
        <f t="shared" si="41"/>
        <v>2.407988</v>
      </c>
      <c r="AN159" s="52" t="str">
        <f t="shared" si="41"/>
        <v/>
      </c>
      <c r="AO159" s="1" t="str">
        <f t="shared" si="41"/>
        <v/>
      </c>
      <c r="AP159" s="1">
        <f t="shared" si="41"/>
        <v>642.85714285714289</v>
      </c>
      <c r="AQ159" s="1" t="str">
        <f t="shared" si="41"/>
        <v/>
      </c>
      <c r="AR159" s="1" t="str">
        <f t="shared" si="41"/>
        <v/>
      </c>
      <c r="AS159" s="1" t="str">
        <f t="shared" si="41"/>
        <v/>
      </c>
      <c r="AT159" s="1" t="str">
        <f t="shared" si="41"/>
        <v/>
      </c>
      <c r="AU159" s="1" t="str">
        <f t="shared" si="41"/>
        <v/>
      </c>
      <c r="AV159" s="1" t="str">
        <f t="shared" si="41"/>
        <v/>
      </c>
      <c r="AW159" s="1" t="str">
        <f t="shared" si="38"/>
        <v/>
      </c>
      <c r="AX159" s="1" t="str">
        <f t="shared" si="38"/>
        <v/>
      </c>
      <c r="AY159" s="1" t="str">
        <f t="shared" si="38"/>
        <v/>
      </c>
      <c r="AZ159" s="1" t="str">
        <f t="shared" si="38"/>
        <v/>
      </c>
      <c r="BA159" s="1">
        <f t="shared" si="38"/>
        <v>2.4178486519994213</v>
      </c>
      <c r="BB159" s="1">
        <f t="shared" si="38"/>
        <v>642.85714285714289</v>
      </c>
      <c r="BC159" s="1">
        <f t="shared" si="38"/>
        <v>3.0741086415722401</v>
      </c>
    </row>
    <row r="160" spans="1:55" ht="15.75" thickTop="1" x14ac:dyDescent="0.25">
      <c r="A160" s="30" t="s">
        <v>60</v>
      </c>
      <c r="B160" s="32" t="s">
        <v>23</v>
      </c>
      <c r="C160" s="31" t="s">
        <v>49</v>
      </c>
      <c r="D160" s="2"/>
      <c r="E160" s="2"/>
      <c r="F160" s="51">
        <f t="shared" si="37"/>
        <v>0</v>
      </c>
      <c r="G160" s="51">
        <f t="shared" si="36"/>
        <v>0</v>
      </c>
      <c r="H160" s="51">
        <f t="shared" si="36"/>
        <v>0</v>
      </c>
      <c r="I160" s="51">
        <f t="shared" si="36"/>
        <v>0</v>
      </c>
      <c r="J160" s="77">
        <v>40</v>
      </c>
      <c r="K160" s="77">
        <v>40</v>
      </c>
      <c r="L160" s="52">
        <f t="shared" si="36"/>
        <v>0</v>
      </c>
      <c r="M160" s="51">
        <f t="shared" si="36"/>
        <v>0</v>
      </c>
      <c r="N160" s="51">
        <f t="shared" si="36"/>
        <v>0</v>
      </c>
      <c r="O160" s="51">
        <f t="shared" si="36"/>
        <v>0</v>
      </c>
      <c r="P160" s="51">
        <f t="shared" si="36"/>
        <v>0</v>
      </c>
      <c r="Q160" s="51">
        <f t="shared" si="36"/>
        <v>0</v>
      </c>
      <c r="R160" s="51">
        <f t="shared" si="36"/>
        <v>0</v>
      </c>
      <c r="S160" s="77">
        <v>100</v>
      </c>
      <c r="T160" s="77">
        <v>406</v>
      </c>
      <c r="U160" s="51">
        <f t="shared" si="36"/>
        <v>0</v>
      </c>
      <c r="V160" s="77">
        <v>406</v>
      </c>
      <c r="W160" s="51">
        <f t="shared" si="36"/>
        <v>0</v>
      </c>
      <c r="X160" s="77">
        <v>100</v>
      </c>
      <c r="Y160" s="59">
        <f t="shared" si="36"/>
        <v>40</v>
      </c>
      <c r="Z160" s="51">
        <f t="shared" si="36"/>
        <v>206.70944343702052</v>
      </c>
      <c r="AA160" s="51">
        <f t="shared" si="36"/>
        <v>59.879847744303582</v>
      </c>
      <c r="AC160" s="30" t="s">
        <v>60</v>
      </c>
      <c r="AD160" s="32" t="s">
        <v>23</v>
      </c>
      <c r="AE160" s="31" t="s">
        <v>49</v>
      </c>
      <c r="AF160" s="2"/>
      <c r="AG160" s="2"/>
      <c r="AH160" s="1" t="str">
        <f t="shared" si="41"/>
        <v/>
      </c>
      <c r="AI160" s="1" t="str">
        <f t="shared" si="41"/>
        <v/>
      </c>
      <c r="AJ160" s="1" t="str">
        <f t="shared" si="41"/>
        <v/>
      </c>
      <c r="AK160" s="1" t="str">
        <f t="shared" si="41"/>
        <v/>
      </c>
      <c r="AL160" s="1">
        <f t="shared" si="41"/>
        <v>10.472727272727273</v>
      </c>
      <c r="AM160" s="1">
        <f t="shared" si="41"/>
        <v>9.795918367346939</v>
      </c>
      <c r="AN160" s="52" t="str">
        <f t="shared" si="41"/>
        <v/>
      </c>
      <c r="AO160" s="1" t="str">
        <f t="shared" si="41"/>
        <v/>
      </c>
      <c r="AP160" s="1" t="str">
        <f t="shared" si="41"/>
        <v/>
      </c>
      <c r="AQ160" s="1" t="str">
        <f t="shared" si="41"/>
        <v/>
      </c>
      <c r="AR160" s="1" t="str">
        <f t="shared" si="41"/>
        <v/>
      </c>
      <c r="AS160" s="1" t="str">
        <f t="shared" si="41"/>
        <v/>
      </c>
      <c r="AT160" s="1" t="str">
        <f t="shared" si="41"/>
        <v/>
      </c>
      <c r="AU160" s="1">
        <f t="shared" si="41"/>
        <v>24.489795918367346</v>
      </c>
      <c r="AV160" s="1">
        <f t="shared" si="41"/>
        <v>162.4</v>
      </c>
      <c r="AW160" s="1" t="str">
        <f t="shared" si="38"/>
        <v/>
      </c>
      <c r="AX160" s="1">
        <f t="shared" si="38"/>
        <v>365.4</v>
      </c>
      <c r="AY160" s="1" t="str">
        <f t="shared" si="38"/>
        <v/>
      </c>
      <c r="AZ160" s="1">
        <f t="shared" si="38"/>
        <v>90</v>
      </c>
      <c r="BA160" s="1">
        <f t="shared" si="38"/>
        <v>10.366773162939298</v>
      </c>
      <c r="BB160" s="1">
        <f t="shared" si="38"/>
        <v>94.387873715534482</v>
      </c>
      <c r="BC160" s="1">
        <f t="shared" si="38"/>
        <v>28.139026195631381</v>
      </c>
    </row>
    <row r="161" spans="1:55" x14ac:dyDescent="0.25">
      <c r="A161" s="30" t="s">
        <v>60</v>
      </c>
      <c r="B161" s="32" t="s">
        <v>23</v>
      </c>
      <c r="C161" s="31" t="s">
        <v>64</v>
      </c>
      <c r="D161" s="2"/>
      <c r="E161" s="2"/>
      <c r="F161" s="51">
        <f t="shared" si="37"/>
        <v>0</v>
      </c>
      <c r="G161" s="51">
        <f t="shared" si="36"/>
        <v>0</v>
      </c>
      <c r="H161" s="51">
        <f t="shared" si="36"/>
        <v>0</v>
      </c>
      <c r="I161" s="51">
        <f t="shared" si="36"/>
        <v>0</v>
      </c>
      <c r="J161" s="51">
        <f t="shared" si="36"/>
        <v>0</v>
      </c>
      <c r="K161" s="51">
        <f t="shared" si="36"/>
        <v>0</v>
      </c>
      <c r="L161" s="52">
        <f t="shared" si="36"/>
        <v>0</v>
      </c>
      <c r="M161" s="51">
        <f t="shared" si="36"/>
        <v>0</v>
      </c>
      <c r="N161" s="51">
        <f t="shared" si="36"/>
        <v>0</v>
      </c>
      <c r="O161" s="51">
        <f t="shared" si="36"/>
        <v>0</v>
      </c>
      <c r="P161" s="51">
        <f t="shared" si="36"/>
        <v>0</v>
      </c>
      <c r="Q161" s="51">
        <f t="shared" si="36"/>
        <v>0</v>
      </c>
      <c r="R161" s="51">
        <f t="shared" si="36"/>
        <v>0</v>
      </c>
      <c r="S161" s="51">
        <f t="shared" si="36"/>
        <v>0</v>
      </c>
      <c r="T161" s="51">
        <f t="shared" si="36"/>
        <v>0</v>
      </c>
      <c r="U161" s="51">
        <f t="shared" si="36"/>
        <v>0</v>
      </c>
      <c r="V161" s="51">
        <f t="shared" si="36"/>
        <v>0</v>
      </c>
      <c r="W161" s="51">
        <f t="shared" si="36"/>
        <v>0</v>
      </c>
      <c r="X161" s="55">
        <f t="shared" si="36"/>
        <v>0</v>
      </c>
      <c r="Y161" s="59">
        <f t="shared" si="36"/>
        <v>0</v>
      </c>
      <c r="Z161" s="51">
        <f t="shared" si="36"/>
        <v>0</v>
      </c>
      <c r="AA161" s="51">
        <f t="shared" si="36"/>
        <v>0</v>
      </c>
      <c r="AC161" s="30" t="s">
        <v>60</v>
      </c>
      <c r="AD161" s="32" t="s">
        <v>23</v>
      </c>
      <c r="AE161" s="31" t="s">
        <v>64</v>
      </c>
      <c r="AF161" s="2"/>
      <c r="AG161" s="2"/>
      <c r="AH161" s="1" t="str">
        <f t="shared" si="41"/>
        <v/>
      </c>
      <c r="AI161" s="1" t="str">
        <f t="shared" si="41"/>
        <v/>
      </c>
      <c r="AJ161" s="1" t="str">
        <f t="shared" si="41"/>
        <v/>
      </c>
      <c r="AK161" s="1" t="str">
        <f t="shared" si="41"/>
        <v/>
      </c>
      <c r="AL161" s="1" t="str">
        <f t="shared" si="41"/>
        <v/>
      </c>
      <c r="AM161" s="1" t="str">
        <f t="shared" si="41"/>
        <v/>
      </c>
      <c r="AN161" s="52" t="str">
        <f t="shared" si="41"/>
        <v/>
      </c>
      <c r="AO161" s="1" t="str">
        <f t="shared" si="41"/>
        <v/>
      </c>
      <c r="AP161" s="1" t="str">
        <f t="shared" si="41"/>
        <v/>
      </c>
      <c r="AQ161" s="1" t="str">
        <f t="shared" si="41"/>
        <v/>
      </c>
      <c r="AR161" s="1" t="str">
        <f t="shared" si="41"/>
        <v/>
      </c>
      <c r="AS161" s="1" t="str">
        <f t="shared" si="41"/>
        <v/>
      </c>
      <c r="AT161" s="1" t="str">
        <f t="shared" si="41"/>
        <v/>
      </c>
      <c r="AU161" s="1" t="str">
        <f t="shared" si="41"/>
        <v/>
      </c>
      <c r="AV161" s="1" t="str">
        <f t="shared" si="41"/>
        <v/>
      </c>
      <c r="AW161" s="1" t="str">
        <f t="shared" si="38"/>
        <v/>
      </c>
      <c r="AX161" s="1" t="str">
        <f t="shared" si="38"/>
        <v/>
      </c>
      <c r="AY161" s="1" t="str">
        <f t="shared" si="38"/>
        <v/>
      </c>
      <c r="AZ161" s="1" t="str">
        <f t="shared" si="38"/>
        <v/>
      </c>
      <c r="BA161" s="1" t="str">
        <f t="shared" si="38"/>
        <v/>
      </c>
      <c r="BB161" s="1" t="str">
        <f t="shared" si="38"/>
        <v/>
      </c>
      <c r="BC161" s="1" t="str">
        <f t="shared" si="38"/>
        <v/>
      </c>
    </row>
    <row r="162" spans="1:55" x14ac:dyDescent="0.25">
      <c r="A162" s="30" t="s">
        <v>60</v>
      </c>
      <c r="B162" s="32" t="s">
        <v>65</v>
      </c>
      <c r="C162" s="31" t="s">
        <v>66</v>
      </c>
      <c r="D162" s="2"/>
      <c r="E162" s="2"/>
      <c r="F162" s="51">
        <f t="shared" si="37"/>
        <v>0</v>
      </c>
      <c r="G162" s="51">
        <f t="shared" si="36"/>
        <v>0</v>
      </c>
      <c r="H162" s="51">
        <f t="shared" si="36"/>
        <v>0</v>
      </c>
      <c r="I162" s="51">
        <f t="shared" si="36"/>
        <v>0</v>
      </c>
      <c r="J162" s="77">
        <v>56</v>
      </c>
      <c r="K162" s="51">
        <f t="shared" si="36"/>
        <v>0</v>
      </c>
      <c r="L162" s="52">
        <f t="shared" si="36"/>
        <v>0</v>
      </c>
      <c r="M162" s="77">
        <f>300</f>
        <v>300</v>
      </c>
      <c r="N162" s="51">
        <f t="shared" si="36"/>
        <v>0</v>
      </c>
      <c r="O162" s="51">
        <f t="shared" si="36"/>
        <v>0</v>
      </c>
      <c r="P162" s="51">
        <f t="shared" si="36"/>
        <v>0</v>
      </c>
      <c r="Q162" s="51">
        <f t="shared" si="36"/>
        <v>0</v>
      </c>
      <c r="R162" s="51">
        <f t="shared" si="36"/>
        <v>0</v>
      </c>
      <c r="S162" s="51">
        <f t="shared" si="36"/>
        <v>0</v>
      </c>
      <c r="T162" s="51">
        <f t="shared" si="36"/>
        <v>0</v>
      </c>
      <c r="U162" s="51">
        <f t="shared" si="36"/>
        <v>0</v>
      </c>
      <c r="V162" s="51">
        <f t="shared" si="36"/>
        <v>0</v>
      </c>
      <c r="W162" s="51">
        <f t="shared" si="36"/>
        <v>0</v>
      </c>
      <c r="X162" s="55">
        <f t="shared" si="36"/>
        <v>0</v>
      </c>
      <c r="Y162" s="59">
        <f t="shared" si="36"/>
        <v>56</v>
      </c>
      <c r="Z162" s="51">
        <f t="shared" si="36"/>
        <v>300</v>
      </c>
      <c r="AA162" s="51">
        <f t="shared" si="36"/>
        <v>132.66832917705736</v>
      </c>
      <c r="AC162" s="30" t="s">
        <v>60</v>
      </c>
      <c r="AD162" s="32" t="s">
        <v>65</v>
      </c>
      <c r="AE162" s="31" t="s">
        <v>66</v>
      </c>
      <c r="AF162" s="2"/>
      <c r="AG162" s="2"/>
      <c r="AH162" s="1" t="str">
        <f t="shared" si="41"/>
        <v/>
      </c>
      <c r="AI162" s="1" t="str">
        <f t="shared" si="41"/>
        <v/>
      </c>
      <c r="AJ162" s="1" t="str">
        <f t="shared" si="41"/>
        <v/>
      </c>
      <c r="AK162" s="1" t="str">
        <f t="shared" si="41"/>
        <v/>
      </c>
      <c r="AL162" s="1">
        <f t="shared" si="41"/>
        <v>6.72</v>
      </c>
      <c r="AM162" s="1" t="str">
        <f t="shared" si="41"/>
        <v/>
      </c>
      <c r="AN162" s="52" t="str">
        <f t="shared" si="41"/>
        <v/>
      </c>
      <c r="AO162" s="1">
        <f t="shared" si="41"/>
        <v>36</v>
      </c>
      <c r="AP162" s="1" t="str">
        <f t="shared" si="41"/>
        <v/>
      </c>
      <c r="AQ162" s="1" t="str">
        <f t="shared" si="41"/>
        <v/>
      </c>
      <c r="AR162" s="1" t="str">
        <f t="shared" si="41"/>
        <v/>
      </c>
      <c r="AS162" s="1" t="str">
        <f t="shared" si="41"/>
        <v/>
      </c>
      <c r="AT162" s="1" t="str">
        <f t="shared" si="41"/>
        <v/>
      </c>
      <c r="AU162" s="1" t="str">
        <f t="shared" si="41"/>
        <v/>
      </c>
      <c r="AV162" s="1" t="str">
        <f t="shared" si="41"/>
        <v/>
      </c>
      <c r="AW162" s="1" t="str">
        <f t="shared" si="38"/>
        <v/>
      </c>
      <c r="AX162" s="1" t="str">
        <f t="shared" si="38"/>
        <v/>
      </c>
      <c r="AY162" s="1" t="str">
        <f t="shared" si="38"/>
        <v/>
      </c>
      <c r="AZ162" s="1" t="str">
        <f t="shared" si="38"/>
        <v/>
      </c>
      <c r="BA162" s="1">
        <f t="shared" si="38"/>
        <v>6.72</v>
      </c>
      <c r="BB162" s="1">
        <f t="shared" si="38"/>
        <v>36</v>
      </c>
      <c r="BC162" s="1">
        <f t="shared" si="38"/>
        <v>15.920199501246882</v>
      </c>
    </row>
    <row r="163" spans="1:55" x14ac:dyDescent="0.25">
      <c r="A163" s="30" t="s">
        <v>60</v>
      </c>
      <c r="B163" s="32" t="s">
        <v>65</v>
      </c>
      <c r="C163" s="31" t="s">
        <v>67</v>
      </c>
      <c r="D163" s="2"/>
      <c r="E163" s="2"/>
      <c r="F163" s="51">
        <f t="shared" si="37"/>
        <v>0</v>
      </c>
      <c r="G163" s="51">
        <f t="shared" si="36"/>
        <v>0</v>
      </c>
      <c r="H163" s="51">
        <f t="shared" si="36"/>
        <v>0</v>
      </c>
      <c r="I163" s="51">
        <f t="shared" si="36"/>
        <v>0</v>
      </c>
      <c r="J163" s="51">
        <f t="shared" si="36"/>
        <v>0</v>
      </c>
      <c r="K163" s="51">
        <f t="shared" si="36"/>
        <v>0</v>
      </c>
      <c r="L163" s="52">
        <f t="shared" si="36"/>
        <v>0</v>
      </c>
      <c r="M163" s="51">
        <f t="shared" si="36"/>
        <v>0</v>
      </c>
      <c r="N163" s="51">
        <f t="shared" si="36"/>
        <v>0</v>
      </c>
      <c r="O163" s="51">
        <f t="shared" si="36"/>
        <v>0</v>
      </c>
      <c r="P163" s="51">
        <f t="shared" si="36"/>
        <v>0</v>
      </c>
      <c r="Q163" s="77">
        <v>940</v>
      </c>
      <c r="R163" s="77">
        <v>426</v>
      </c>
      <c r="S163" s="51">
        <f t="shared" si="36"/>
        <v>0</v>
      </c>
      <c r="T163" s="77">
        <v>426</v>
      </c>
      <c r="U163" s="77">
        <v>426</v>
      </c>
      <c r="V163" s="77">
        <v>426</v>
      </c>
      <c r="W163" s="77">
        <v>426</v>
      </c>
      <c r="X163" s="79">
        <v>426</v>
      </c>
      <c r="Y163" s="59">
        <f t="shared" si="36"/>
        <v>0</v>
      </c>
      <c r="Z163" s="51">
        <f t="shared" si="36"/>
        <v>502.33872473945689</v>
      </c>
      <c r="AA163" s="51">
        <f t="shared" si="36"/>
        <v>502.33872473945689</v>
      </c>
      <c r="AC163" s="30" t="s">
        <v>60</v>
      </c>
      <c r="AD163" s="32" t="s">
        <v>65</v>
      </c>
      <c r="AE163" s="31" t="s">
        <v>67</v>
      </c>
      <c r="AF163" s="2"/>
      <c r="AG163" s="2"/>
      <c r="AH163" s="1" t="str">
        <f t="shared" si="41"/>
        <v/>
      </c>
      <c r="AI163" s="1" t="str">
        <f t="shared" si="41"/>
        <v/>
      </c>
      <c r="AJ163" s="1" t="str">
        <f t="shared" si="41"/>
        <v/>
      </c>
      <c r="AK163" s="1" t="str">
        <f t="shared" si="41"/>
        <v/>
      </c>
      <c r="AL163" s="1" t="str">
        <f t="shared" si="41"/>
        <v/>
      </c>
      <c r="AM163" s="1" t="str">
        <f t="shared" si="41"/>
        <v/>
      </c>
      <c r="AN163" s="52" t="str">
        <f t="shared" si="41"/>
        <v/>
      </c>
      <c r="AO163" s="1" t="str">
        <f t="shared" si="41"/>
        <v/>
      </c>
      <c r="AP163" s="1" t="str">
        <f t="shared" si="41"/>
        <v/>
      </c>
      <c r="AQ163" s="1" t="str">
        <f t="shared" si="41"/>
        <v/>
      </c>
      <c r="AR163" s="1" t="str">
        <f t="shared" si="41"/>
        <v/>
      </c>
      <c r="AS163" s="1">
        <f t="shared" si="41"/>
        <v>141</v>
      </c>
      <c r="AT163" s="1">
        <f t="shared" si="41"/>
        <v>76.679999999999993</v>
      </c>
      <c r="AU163" s="1" t="str">
        <f t="shared" si="41"/>
        <v/>
      </c>
      <c r="AV163" s="1">
        <f t="shared" si="41"/>
        <v>63.899999999999984</v>
      </c>
      <c r="AW163" s="1">
        <f t="shared" si="38"/>
        <v>51.11999999999999</v>
      </c>
      <c r="AX163" s="1">
        <f t="shared" si="38"/>
        <v>51.11999999999999</v>
      </c>
      <c r="AY163" s="1">
        <f t="shared" si="38"/>
        <v>51.11999999999999</v>
      </c>
      <c r="AZ163" s="1">
        <f t="shared" si="38"/>
        <v>51.12</v>
      </c>
      <c r="BA163" s="1" t="str">
        <f t="shared" si="38"/>
        <v/>
      </c>
      <c r="BB163" s="1">
        <f t="shared" si="38"/>
        <v>72.047588808785619</v>
      </c>
      <c r="BC163" s="1">
        <f t="shared" si="38"/>
        <v>72.047588808785619</v>
      </c>
    </row>
    <row r="164" spans="1:55" x14ac:dyDescent="0.25">
      <c r="A164" s="30" t="s">
        <v>60</v>
      </c>
      <c r="B164" s="32" t="s">
        <v>65</v>
      </c>
      <c r="C164" s="31" t="s">
        <v>68</v>
      </c>
      <c r="D164" s="2"/>
      <c r="E164" s="2"/>
      <c r="F164" s="51">
        <f t="shared" si="37"/>
        <v>0</v>
      </c>
      <c r="G164" s="51">
        <f t="shared" si="36"/>
        <v>0</v>
      </c>
      <c r="H164" s="51">
        <f t="shared" si="36"/>
        <v>0</v>
      </c>
      <c r="I164" s="51">
        <f t="shared" si="36"/>
        <v>0</v>
      </c>
      <c r="J164" s="51">
        <f t="shared" si="36"/>
        <v>0</v>
      </c>
      <c r="K164" s="51">
        <f t="shared" si="36"/>
        <v>0</v>
      </c>
      <c r="L164" s="77">
        <v>750</v>
      </c>
      <c r="M164" s="51">
        <f t="shared" si="36"/>
        <v>0</v>
      </c>
      <c r="N164" s="51">
        <f t="shared" si="36"/>
        <v>0</v>
      </c>
      <c r="O164" s="51">
        <f t="shared" si="36"/>
        <v>0</v>
      </c>
      <c r="P164" s="51">
        <f t="shared" si="36"/>
        <v>0</v>
      </c>
      <c r="Q164" s="51">
        <f t="shared" si="36"/>
        <v>0</v>
      </c>
      <c r="R164" s="51">
        <f t="shared" si="36"/>
        <v>0</v>
      </c>
      <c r="S164" s="51">
        <f t="shared" si="36"/>
        <v>0</v>
      </c>
      <c r="T164" s="51">
        <f t="shared" si="36"/>
        <v>0</v>
      </c>
      <c r="U164" s="51">
        <f t="shared" si="36"/>
        <v>0</v>
      </c>
      <c r="V164" s="51">
        <f t="shared" si="36"/>
        <v>0</v>
      </c>
      <c r="W164" s="51">
        <f t="shared" si="36"/>
        <v>0</v>
      </c>
      <c r="X164" s="55">
        <f t="shared" si="36"/>
        <v>0</v>
      </c>
      <c r="Y164" s="59">
        <f t="shared" si="36"/>
        <v>0</v>
      </c>
      <c r="Z164" s="51">
        <f t="shared" si="36"/>
        <v>0</v>
      </c>
      <c r="AA164" s="51">
        <f t="shared" si="36"/>
        <v>750</v>
      </c>
      <c r="AC164" s="30" t="s">
        <v>60</v>
      </c>
      <c r="AD164" s="32" t="s">
        <v>65</v>
      </c>
      <c r="AE164" s="31" t="s">
        <v>68</v>
      </c>
      <c r="AF164" s="2"/>
      <c r="AG164" s="2"/>
      <c r="AH164" s="1" t="str">
        <f t="shared" si="41"/>
        <v/>
      </c>
      <c r="AI164" s="1" t="str">
        <f t="shared" si="41"/>
        <v/>
      </c>
      <c r="AJ164" s="1" t="str">
        <f t="shared" si="41"/>
        <v/>
      </c>
      <c r="AK164" s="1" t="str">
        <f t="shared" si="41"/>
        <v/>
      </c>
      <c r="AL164" s="1" t="str">
        <f t="shared" si="41"/>
        <v/>
      </c>
      <c r="AM164" s="1" t="str">
        <f t="shared" si="41"/>
        <v/>
      </c>
      <c r="AN164" s="52">
        <f t="shared" si="41"/>
        <v>67.5</v>
      </c>
      <c r="AO164" s="1" t="str">
        <f t="shared" si="41"/>
        <v/>
      </c>
      <c r="AP164" s="1" t="str">
        <f t="shared" si="41"/>
        <v/>
      </c>
      <c r="AQ164" s="1" t="str">
        <f t="shared" si="41"/>
        <v/>
      </c>
      <c r="AR164" s="1" t="str">
        <f t="shared" si="41"/>
        <v/>
      </c>
      <c r="AS164" s="1" t="str">
        <f t="shared" si="41"/>
        <v/>
      </c>
      <c r="AT164" s="1" t="str">
        <f t="shared" si="41"/>
        <v/>
      </c>
      <c r="AU164" s="1" t="str">
        <f t="shared" si="41"/>
        <v/>
      </c>
      <c r="AV164" s="1" t="str">
        <f t="shared" si="41"/>
        <v/>
      </c>
      <c r="AW164" s="1" t="str">
        <f t="shared" si="38"/>
        <v/>
      </c>
      <c r="AX164" s="1" t="str">
        <f t="shared" si="38"/>
        <v/>
      </c>
      <c r="AY164" s="1" t="str">
        <f t="shared" si="38"/>
        <v/>
      </c>
      <c r="AZ164" s="1" t="str">
        <f t="shared" si="38"/>
        <v/>
      </c>
      <c r="BA164" s="1" t="str">
        <f t="shared" si="38"/>
        <v/>
      </c>
      <c r="BB164" s="1" t="str">
        <f t="shared" si="38"/>
        <v/>
      </c>
      <c r="BC164" s="1">
        <f t="shared" si="38"/>
        <v>67.5</v>
      </c>
    </row>
    <row r="165" spans="1:55" x14ac:dyDescent="0.25">
      <c r="A165" s="30" t="s">
        <v>60</v>
      </c>
      <c r="B165" s="32" t="s">
        <v>9</v>
      </c>
      <c r="C165" s="31" t="s">
        <v>69</v>
      </c>
      <c r="D165" s="2"/>
      <c r="E165" s="2"/>
      <c r="F165" s="51">
        <f t="shared" si="37"/>
        <v>0</v>
      </c>
      <c r="G165" s="51">
        <f t="shared" si="36"/>
        <v>0</v>
      </c>
      <c r="H165" s="51">
        <f t="shared" si="36"/>
        <v>0</v>
      </c>
      <c r="I165" s="51">
        <f t="shared" si="36"/>
        <v>0</v>
      </c>
      <c r="J165" s="51">
        <f t="shared" si="36"/>
        <v>0</v>
      </c>
      <c r="K165" s="51">
        <f t="shared" si="36"/>
        <v>0</v>
      </c>
      <c r="L165" s="52">
        <f t="shared" si="36"/>
        <v>0</v>
      </c>
      <c r="M165" s="51">
        <f t="shared" si="36"/>
        <v>0</v>
      </c>
      <c r="N165" s="51">
        <f t="shared" si="36"/>
        <v>0</v>
      </c>
      <c r="O165" s="51">
        <f t="shared" si="36"/>
        <v>0</v>
      </c>
      <c r="P165" s="51">
        <f t="shared" si="36"/>
        <v>0</v>
      </c>
      <c r="Q165" s="51">
        <f t="shared" ref="G165:AA179" si="43">IF(Q210&gt;0,Q30/Q210,0)</f>
        <v>0</v>
      </c>
      <c r="R165" s="51">
        <f t="shared" si="43"/>
        <v>0</v>
      </c>
      <c r="S165" s="51">
        <f t="shared" si="43"/>
        <v>0</v>
      </c>
      <c r="T165" s="51">
        <f t="shared" si="43"/>
        <v>0</v>
      </c>
      <c r="U165" s="51">
        <f t="shared" si="43"/>
        <v>0</v>
      </c>
      <c r="V165" s="51">
        <f t="shared" si="43"/>
        <v>0</v>
      </c>
      <c r="W165" s="51">
        <f t="shared" si="43"/>
        <v>0</v>
      </c>
      <c r="X165" s="79">
        <v>426</v>
      </c>
      <c r="Y165" s="59">
        <f t="shared" si="43"/>
        <v>0</v>
      </c>
      <c r="Z165" s="51">
        <f t="shared" si="43"/>
        <v>643.56672000000003</v>
      </c>
      <c r="AA165" s="51">
        <f t="shared" si="43"/>
        <v>643.56672000000003</v>
      </c>
      <c r="AC165" s="30" t="s">
        <v>60</v>
      </c>
      <c r="AD165" s="32" t="s">
        <v>9</v>
      </c>
      <c r="AE165" s="31" t="s">
        <v>69</v>
      </c>
      <c r="AF165" s="2"/>
      <c r="AG165" s="2"/>
      <c r="AH165" s="1" t="str">
        <f t="shared" si="41"/>
        <v/>
      </c>
      <c r="AI165" s="1" t="str">
        <f t="shared" si="41"/>
        <v/>
      </c>
      <c r="AJ165" s="1" t="str">
        <f t="shared" si="41"/>
        <v/>
      </c>
      <c r="AK165" s="1" t="str">
        <f t="shared" si="41"/>
        <v/>
      </c>
      <c r="AL165" s="1" t="str">
        <f t="shared" si="41"/>
        <v/>
      </c>
      <c r="AM165" s="1" t="str">
        <f t="shared" si="41"/>
        <v/>
      </c>
      <c r="AN165" s="52" t="str">
        <f t="shared" si="41"/>
        <v/>
      </c>
      <c r="AO165" s="1" t="str">
        <f t="shared" si="41"/>
        <v/>
      </c>
      <c r="AP165" s="1" t="str">
        <f t="shared" si="41"/>
        <v/>
      </c>
      <c r="AQ165" s="1" t="str">
        <f t="shared" si="41"/>
        <v/>
      </c>
      <c r="AR165" s="1" t="str">
        <f t="shared" si="41"/>
        <v/>
      </c>
      <c r="AS165" s="1" t="str">
        <f t="shared" si="41"/>
        <v/>
      </c>
      <c r="AT165" s="1" t="str">
        <f t="shared" si="41"/>
        <v/>
      </c>
      <c r="AU165" s="1" t="str">
        <f t="shared" si="41"/>
        <v/>
      </c>
      <c r="AV165" s="1" t="str">
        <f t="shared" si="41"/>
        <v/>
      </c>
      <c r="AW165" s="1" t="str">
        <f t="shared" si="38"/>
        <v/>
      </c>
      <c r="AX165" s="1" t="str">
        <f t="shared" si="38"/>
        <v/>
      </c>
      <c r="AY165" s="1" t="str">
        <f t="shared" si="38"/>
        <v/>
      </c>
      <c r="AZ165" s="1">
        <f t="shared" si="38"/>
        <v>178.92000000000002</v>
      </c>
      <c r="BA165" s="1" t="str">
        <f t="shared" si="38"/>
        <v/>
      </c>
      <c r="BB165" s="1">
        <f t="shared" si="38"/>
        <v>396.48671999999999</v>
      </c>
      <c r="BC165" s="1">
        <f t="shared" si="38"/>
        <v>396.48671999999999</v>
      </c>
    </row>
    <row r="166" spans="1:55" x14ac:dyDescent="0.25">
      <c r="A166" s="15" t="s">
        <v>51</v>
      </c>
      <c r="B166" s="16" t="s">
        <v>56</v>
      </c>
      <c r="C166" s="27" t="s">
        <v>57</v>
      </c>
      <c r="D166" s="16" t="s">
        <v>70</v>
      </c>
      <c r="E166" s="16"/>
      <c r="F166" s="1">
        <f t="shared" si="37"/>
        <v>0</v>
      </c>
      <c r="G166" s="1">
        <f t="shared" si="43"/>
        <v>0</v>
      </c>
      <c r="H166" s="1">
        <f t="shared" si="43"/>
        <v>0</v>
      </c>
      <c r="I166" s="1">
        <f t="shared" si="43"/>
        <v>0</v>
      </c>
      <c r="J166" s="1">
        <f t="shared" si="43"/>
        <v>0</v>
      </c>
      <c r="K166" s="1">
        <f t="shared" si="43"/>
        <v>0</v>
      </c>
      <c r="L166" s="52">
        <f t="shared" si="43"/>
        <v>0</v>
      </c>
      <c r="M166" s="1">
        <f t="shared" si="43"/>
        <v>0</v>
      </c>
      <c r="N166" s="1">
        <f t="shared" si="43"/>
        <v>0</v>
      </c>
      <c r="O166" s="1">
        <f t="shared" si="43"/>
        <v>0</v>
      </c>
      <c r="P166" s="1">
        <f t="shared" si="43"/>
        <v>0</v>
      </c>
      <c r="Q166" s="1">
        <f t="shared" si="43"/>
        <v>0</v>
      </c>
      <c r="R166" s="1">
        <f t="shared" si="43"/>
        <v>0</v>
      </c>
      <c r="S166" s="1">
        <f t="shared" si="43"/>
        <v>0</v>
      </c>
      <c r="T166" s="1">
        <f t="shared" si="43"/>
        <v>0</v>
      </c>
      <c r="U166" s="1">
        <f t="shared" si="43"/>
        <v>0</v>
      </c>
      <c r="V166" s="1">
        <f t="shared" si="43"/>
        <v>0</v>
      </c>
      <c r="W166" s="1">
        <f t="shared" si="43"/>
        <v>0</v>
      </c>
      <c r="X166" s="54">
        <f t="shared" si="43"/>
        <v>0</v>
      </c>
      <c r="Y166" s="58">
        <f t="shared" si="43"/>
        <v>0</v>
      </c>
      <c r="Z166" s="1">
        <f t="shared" si="43"/>
        <v>0</v>
      </c>
      <c r="AA166" s="1">
        <f t="shared" si="43"/>
        <v>0</v>
      </c>
      <c r="AC166" s="15" t="s">
        <v>51</v>
      </c>
      <c r="AD166" s="16" t="s">
        <v>56</v>
      </c>
      <c r="AE166" s="27" t="s">
        <v>57</v>
      </c>
      <c r="AF166" s="16" t="s">
        <v>70</v>
      </c>
      <c r="AG166" s="16"/>
      <c r="AH166" s="90" t="str">
        <f t="shared" si="41"/>
        <v/>
      </c>
      <c r="AI166" s="90" t="str">
        <f t="shared" si="41"/>
        <v/>
      </c>
      <c r="AJ166" s="90" t="str">
        <f t="shared" si="41"/>
        <v/>
      </c>
      <c r="AK166" s="90" t="str">
        <f t="shared" si="41"/>
        <v/>
      </c>
      <c r="AL166" s="90" t="str">
        <f t="shared" si="41"/>
        <v/>
      </c>
      <c r="AM166" s="90" t="str">
        <f t="shared" si="41"/>
        <v/>
      </c>
      <c r="AN166" s="90" t="str">
        <f t="shared" si="41"/>
        <v/>
      </c>
      <c r="AO166" s="90" t="str">
        <f t="shared" si="41"/>
        <v/>
      </c>
      <c r="AP166" s="90" t="str">
        <f t="shared" si="41"/>
        <v/>
      </c>
      <c r="AQ166" s="90" t="str">
        <f t="shared" si="41"/>
        <v/>
      </c>
      <c r="AR166" s="90" t="str">
        <f t="shared" si="41"/>
        <v/>
      </c>
      <c r="AS166" s="90" t="str">
        <f t="shared" si="41"/>
        <v/>
      </c>
      <c r="AT166" s="90" t="str">
        <f t="shared" si="41"/>
        <v/>
      </c>
      <c r="AU166" s="90" t="str">
        <f t="shared" si="41"/>
        <v/>
      </c>
      <c r="AV166" s="90" t="str">
        <f t="shared" si="41"/>
        <v/>
      </c>
      <c r="AW166" s="90" t="str">
        <f t="shared" si="38"/>
        <v/>
      </c>
      <c r="AX166" s="90" t="str">
        <f t="shared" si="38"/>
        <v/>
      </c>
      <c r="AY166" s="90" t="str">
        <f t="shared" si="38"/>
        <v/>
      </c>
      <c r="AZ166" s="90" t="str">
        <f t="shared" si="38"/>
        <v/>
      </c>
      <c r="BA166" s="90" t="str">
        <f t="shared" si="38"/>
        <v/>
      </c>
      <c r="BB166" s="90" t="str">
        <f t="shared" si="38"/>
        <v/>
      </c>
      <c r="BC166" s="90" t="str">
        <f t="shared" si="38"/>
        <v/>
      </c>
    </row>
    <row r="167" spans="1:55" x14ac:dyDescent="0.25">
      <c r="A167" s="15" t="s">
        <v>51</v>
      </c>
      <c r="B167" s="16" t="s">
        <v>56</v>
      </c>
      <c r="C167" s="27" t="s">
        <v>57</v>
      </c>
      <c r="D167" s="16" t="s">
        <v>71</v>
      </c>
      <c r="E167" s="16"/>
      <c r="F167" s="1">
        <f t="shared" si="37"/>
        <v>0</v>
      </c>
      <c r="G167" s="1">
        <f t="shared" si="43"/>
        <v>0</v>
      </c>
      <c r="H167" s="1">
        <f t="shared" si="43"/>
        <v>0</v>
      </c>
      <c r="I167" s="1">
        <f t="shared" si="43"/>
        <v>0</v>
      </c>
      <c r="J167" s="1">
        <f t="shared" si="43"/>
        <v>0</v>
      </c>
      <c r="K167" s="1">
        <f t="shared" si="43"/>
        <v>0</v>
      </c>
      <c r="L167" s="52">
        <f t="shared" si="43"/>
        <v>0</v>
      </c>
      <c r="M167" s="1">
        <f t="shared" si="43"/>
        <v>0</v>
      </c>
      <c r="N167" s="1">
        <f t="shared" si="43"/>
        <v>0</v>
      </c>
      <c r="O167" s="1">
        <f t="shared" si="43"/>
        <v>0</v>
      </c>
      <c r="P167" s="1">
        <f t="shared" si="43"/>
        <v>0</v>
      </c>
      <c r="Q167" s="1">
        <f t="shared" si="43"/>
        <v>0</v>
      </c>
      <c r="R167" s="1">
        <f t="shared" si="43"/>
        <v>0</v>
      </c>
      <c r="S167" s="1">
        <f t="shared" si="43"/>
        <v>0</v>
      </c>
      <c r="T167" s="1">
        <f t="shared" si="43"/>
        <v>0</v>
      </c>
      <c r="U167" s="1">
        <f t="shared" si="43"/>
        <v>0</v>
      </c>
      <c r="V167" s="1">
        <f t="shared" si="43"/>
        <v>0</v>
      </c>
      <c r="W167" s="1">
        <f t="shared" si="43"/>
        <v>0</v>
      </c>
      <c r="X167" s="54">
        <f t="shared" si="43"/>
        <v>0</v>
      </c>
      <c r="Y167" s="58">
        <f t="shared" si="43"/>
        <v>0</v>
      </c>
      <c r="Z167" s="1">
        <f t="shared" si="43"/>
        <v>0</v>
      </c>
      <c r="AA167" s="1">
        <f t="shared" si="43"/>
        <v>0</v>
      </c>
      <c r="AC167" s="15" t="s">
        <v>51</v>
      </c>
      <c r="AD167" s="16" t="s">
        <v>56</v>
      </c>
      <c r="AE167" s="27" t="s">
        <v>57</v>
      </c>
      <c r="AF167" s="16" t="s">
        <v>71</v>
      </c>
      <c r="AG167" s="16"/>
      <c r="AH167" s="90" t="str">
        <f t="shared" si="41"/>
        <v/>
      </c>
      <c r="AI167" s="90" t="str">
        <f t="shared" si="41"/>
        <v/>
      </c>
      <c r="AJ167" s="90" t="str">
        <f t="shared" si="41"/>
        <v/>
      </c>
      <c r="AK167" s="90" t="str">
        <f t="shared" si="41"/>
        <v/>
      </c>
      <c r="AL167" s="90" t="str">
        <f t="shared" si="41"/>
        <v/>
      </c>
      <c r="AM167" s="90" t="str">
        <f t="shared" si="41"/>
        <v/>
      </c>
      <c r="AN167" s="90" t="str">
        <f t="shared" si="41"/>
        <v/>
      </c>
      <c r="AO167" s="90" t="str">
        <f t="shared" si="41"/>
        <v/>
      </c>
      <c r="AP167" s="90" t="str">
        <f t="shared" si="41"/>
        <v/>
      </c>
      <c r="AQ167" s="90" t="str">
        <f t="shared" si="41"/>
        <v/>
      </c>
      <c r="AR167" s="90" t="str">
        <f t="shared" si="41"/>
        <v/>
      </c>
      <c r="AS167" s="90" t="str">
        <f t="shared" si="41"/>
        <v/>
      </c>
      <c r="AT167" s="90" t="str">
        <f t="shared" si="41"/>
        <v/>
      </c>
      <c r="AU167" s="90" t="str">
        <f t="shared" si="41"/>
        <v/>
      </c>
      <c r="AV167" s="90" t="str">
        <f t="shared" si="41"/>
        <v/>
      </c>
      <c r="AW167" s="90" t="str">
        <f t="shared" si="38"/>
        <v/>
      </c>
      <c r="AX167" s="90" t="str">
        <f t="shared" si="38"/>
        <v/>
      </c>
      <c r="AY167" s="90" t="str">
        <f t="shared" si="38"/>
        <v/>
      </c>
      <c r="AZ167" s="90" t="str">
        <f t="shared" si="38"/>
        <v/>
      </c>
      <c r="BA167" s="90" t="str">
        <f t="shared" si="38"/>
        <v/>
      </c>
      <c r="BB167" s="90" t="str">
        <f t="shared" si="38"/>
        <v/>
      </c>
      <c r="BC167" s="90" t="str">
        <f t="shared" si="38"/>
        <v/>
      </c>
    </row>
    <row r="168" spans="1:55" x14ac:dyDescent="0.25">
      <c r="A168" s="15" t="s">
        <v>51</v>
      </c>
      <c r="B168" s="16" t="s">
        <v>56</v>
      </c>
      <c r="C168" s="27" t="s">
        <v>27</v>
      </c>
      <c r="D168" s="16" t="s">
        <v>72</v>
      </c>
      <c r="E168" s="16"/>
      <c r="F168" s="1">
        <f t="shared" si="37"/>
        <v>0</v>
      </c>
      <c r="G168" s="1">
        <f t="shared" si="43"/>
        <v>0</v>
      </c>
      <c r="H168" s="1">
        <f t="shared" si="43"/>
        <v>0</v>
      </c>
      <c r="I168" s="1">
        <f t="shared" si="43"/>
        <v>0</v>
      </c>
      <c r="J168" s="1">
        <f t="shared" si="43"/>
        <v>0</v>
      </c>
      <c r="K168" s="1">
        <f t="shared" si="43"/>
        <v>0</v>
      </c>
      <c r="L168" s="52">
        <f t="shared" si="43"/>
        <v>0</v>
      </c>
      <c r="M168" s="1">
        <f t="shared" si="43"/>
        <v>0</v>
      </c>
      <c r="N168" s="1">
        <f t="shared" si="43"/>
        <v>0</v>
      </c>
      <c r="O168" s="1">
        <f t="shared" si="43"/>
        <v>0</v>
      </c>
      <c r="P168" s="1">
        <f t="shared" si="43"/>
        <v>0</v>
      </c>
      <c r="Q168" s="1">
        <f t="shared" si="43"/>
        <v>0</v>
      </c>
      <c r="R168" s="1">
        <f t="shared" si="43"/>
        <v>0</v>
      </c>
      <c r="S168" s="1">
        <f t="shared" si="43"/>
        <v>0</v>
      </c>
      <c r="T168" s="1">
        <f t="shared" si="43"/>
        <v>0</v>
      </c>
      <c r="U168" s="1">
        <f t="shared" si="43"/>
        <v>0</v>
      </c>
      <c r="V168" s="1">
        <f t="shared" si="43"/>
        <v>0</v>
      </c>
      <c r="W168" s="1">
        <f t="shared" si="43"/>
        <v>0</v>
      </c>
      <c r="X168" s="54">
        <f t="shared" si="43"/>
        <v>0</v>
      </c>
      <c r="Y168" s="58">
        <f t="shared" si="43"/>
        <v>0</v>
      </c>
      <c r="Z168" s="1">
        <f t="shared" si="43"/>
        <v>0</v>
      </c>
      <c r="AA168" s="1">
        <f t="shared" si="43"/>
        <v>0</v>
      </c>
      <c r="AC168" s="15" t="s">
        <v>51</v>
      </c>
      <c r="AD168" s="16" t="s">
        <v>56</v>
      </c>
      <c r="AE168" s="27" t="s">
        <v>27</v>
      </c>
      <c r="AF168" s="16" t="s">
        <v>72</v>
      </c>
      <c r="AG168" s="16"/>
      <c r="AH168" s="90" t="str">
        <f t="shared" si="41"/>
        <v/>
      </c>
      <c r="AI168" s="90" t="str">
        <f t="shared" si="41"/>
        <v/>
      </c>
      <c r="AJ168" s="90" t="str">
        <f t="shared" si="41"/>
        <v/>
      </c>
      <c r="AK168" s="90" t="str">
        <f t="shared" si="41"/>
        <v/>
      </c>
      <c r="AL168" s="90" t="str">
        <f t="shared" si="41"/>
        <v/>
      </c>
      <c r="AM168" s="90" t="str">
        <f t="shared" si="41"/>
        <v/>
      </c>
      <c r="AN168" s="90" t="str">
        <f t="shared" si="41"/>
        <v/>
      </c>
      <c r="AO168" s="90" t="str">
        <f t="shared" si="41"/>
        <v/>
      </c>
      <c r="AP168" s="90" t="str">
        <f t="shared" si="41"/>
        <v/>
      </c>
      <c r="AQ168" s="90" t="str">
        <f t="shared" si="41"/>
        <v/>
      </c>
      <c r="AR168" s="90" t="str">
        <f t="shared" si="41"/>
        <v/>
      </c>
      <c r="AS168" s="90" t="str">
        <f t="shared" si="41"/>
        <v/>
      </c>
      <c r="AT168" s="90" t="str">
        <f t="shared" si="41"/>
        <v/>
      </c>
      <c r="AU168" s="90" t="str">
        <f t="shared" si="41"/>
        <v/>
      </c>
      <c r="AV168" s="90" t="str">
        <f t="shared" si="41"/>
        <v/>
      </c>
      <c r="AW168" s="90" t="str">
        <f t="shared" si="38"/>
        <v/>
      </c>
      <c r="AX168" s="90" t="str">
        <f t="shared" si="38"/>
        <v/>
      </c>
      <c r="AY168" s="90" t="str">
        <f t="shared" si="38"/>
        <v/>
      </c>
      <c r="AZ168" s="90" t="str">
        <f t="shared" si="38"/>
        <v/>
      </c>
      <c r="BA168" s="90" t="str">
        <f t="shared" si="38"/>
        <v/>
      </c>
      <c r="BB168" s="90" t="str">
        <f t="shared" si="38"/>
        <v/>
      </c>
      <c r="BC168" s="90" t="str">
        <f t="shared" si="38"/>
        <v/>
      </c>
    </row>
    <row r="169" spans="1:55" x14ac:dyDescent="0.25">
      <c r="A169" s="15" t="s">
        <v>51</v>
      </c>
      <c r="B169" s="16" t="s">
        <v>56</v>
      </c>
      <c r="C169" s="27" t="s">
        <v>57</v>
      </c>
      <c r="D169" s="16" t="s">
        <v>73</v>
      </c>
      <c r="E169" s="16"/>
      <c r="F169" s="1">
        <f t="shared" si="37"/>
        <v>0</v>
      </c>
      <c r="G169" s="1">
        <f t="shared" si="43"/>
        <v>0</v>
      </c>
      <c r="H169" s="1">
        <f t="shared" si="43"/>
        <v>0</v>
      </c>
      <c r="I169" s="1">
        <f t="shared" si="43"/>
        <v>0</v>
      </c>
      <c r="J169" s="1">
        <f t="shared" si="43"/>
        <v>0</v>
      </c>
      <c r="K169" s="1">
        <f t="shared" si="43"/>
        <v>0</v>
      </c>
      <c r="L169" s="52">
        <f t="shared" si="43"/>
        <v>0</v>
      </c>
      <c r="M169" s="1">
        <f t="shared" si="43"/>
        <v>0</v>
      </c>
      <c r="N169" s="1">
        <f t="shared" si="43"/>
        <v>0</v>
      </c>
      <c r="O169" s="1">
        <f t="shared" si="43"/>
        <v>0</v>
      </c>
      <c r="P169" s="1">
        <f t="shared" si="43"/>
        <v>0</v>
      </c>
      <c r="Q169" s="1">
        <f t="shared" si="43"/>
        <v>0</v>
      </c>
      <c r="R169" s="1">
        <f t="shared" si="43"/>
        <v>0</v>
      </c>
      <c r="S169" s="1">
        <f t="shared" si="43"/>
        <v>0</v>
      </c>
      <c r="T169" s="1">
        <f t="shared" si="43"/>
        <v>0</v>
      </c>
      <c r="U169" s="1">
        <f t="shared" si="43"/>
        <v>0</v>
      </c>
      <c r="V169" s="1">
        <f t="shared" si="43"/>
        <v>0</v>
      </c>
      <c r="W169" s="1">
        <f t="shared" si="43"/>
        <v>0</v>
      </c>
      <c r="X169" s="54">
        <f t="shared" si="43"/>
        <v>0</v>
      </c>
      <c r="Y169" s="58">
        <f t="shared" si="43"/>
        <v>0</v>
      </c>
      <c r="Z169" s="1">
        <f t="shared" si="43"/>
        <v>0</v>
      </c>
      <c r="AA169" s="1">
        <f t="shared" si="43"/>
        <v>0</v>
      </c>
      <c r="AC169" s="15" t="s">
        <v>51</v>
      </c>
      <c r="AD169" s="16" t="s">
        <v>56</v>
      </c>
      <c r="AE169" s="27" t="s">
        <v>57</v>
      </c>
      <c r="AF169" s="16" t="s">
        <v>73</v>
      </c>
      <c r="AG169" s="16"/>
      <c r="AH169" s="90" t="str">
        <f t="shared" si="41"/>
        <v/>
      </c>
      <c r="AI169" s="90" t="str">
        <f t="shared" si="41"/>
        <v/>
      </c>
      <c r="AJ169" s="90" t="str">
        <f t="shared" si="41"/>
        <v/>
      </c>
      <c r="AK169" s="90" t="str">
        <f t="shared" si="41"/>
        <v/>
      </c>
      <c r="AL169" s="90" t="str">
        <f t="shared" si="41"/>
        <v/>
      </c>
      <c r="AM169" s="90" t="str">
        <f t="shared" si="41"/>
        <v/>
      </c>
      <c r="AN169" s="90" t="str">
        <f t="shared" si="41"/>
        <v/>
      </c>
      <c r="AO169" s="90" t="str">
        <f t="shared" si="41"/>
        <v/>
      </c>
      <c r="AP169" s="90" t="str">
        <f t="shared" si="41"/>
        <v/>
      </c>
      <c r="AQ169" s="90" t="str">
        <f t="shared" si="41"/>
        <v/>
      </c>
      <c r="AR169" s="90" t="str">
        <f t="shared" si="41"/>
        <v/>
      </c>
      <c r="AS169" s="90" t="str">
        <f t="shared" si="41"/>
        <v/>
      </c>
      <c r="AT169" s="90" t="str">
        <f t="shared" si="41"/>
        <v/>
      </c>
      <c r="AU169" s="90" t="str">
        <f t="shared" si="41"/>
        <v/>
      </c>
      <c r="AV169" s="90" t="str">
        <f t="shared" si="41"/>
        <v/>
      </c>
      <c r="AW169" s="90" t="str">
        <f t="shared" si="38"/>
        <v/>
      </c>
      <c r="AX169" s="90" t="str">
        <f t="shared" si="38"/>
        <v/>
      </c>
      <c r="AY169" s="90" t="str">
        <f t="shared" si="38"/>
        <v/>
      </c>
      <c r="AZ169" s="90" t="str">
        <f t="shared" si="38"/>
        <v/>
      </c>
      <c r="BA169" s="90" t="str">
        <f t="shared" si="38"/>
        <v/>
      </c>
      <c r="BB169" s="90" t="str">
        <f t="shared" si="38"/>
        <v/>
      </c>
      <c r="BC169" s="90" t="str">
        <f t="shared" si="38"/>
        <v/>
      </c>
    </row>
    <row r="170" spans="1:55" x14ac:dyDescent="0.25">
      <c r="A170" s="15" t="s">
        <v>51</v>
      </c>
      <c r="B170" s="16" t="s">
        <v>56</v>
      </c>
      <c r="C170" s="27" t="s">
        <v>57</v>
      </c>
      <c r="D170" s="16" t="s">
        <v>74</v>
      </c>
      <c r="E170" s="16"/>
      <c r="F170" s="1">
        <f t="shared" si="37"/>
        <v>0</v>
      </c>
      <c r="G170" s="1">
        <f t="shared" si="43"/>
        <v>0</v>
      </c>
      <c r="H170" s="1">
        <f t="shared" si="43"/>
        <v>0</v>
      </c>
      <c r="I170" s="1">
        <f t="shared" si="43"/>
        <v>0</v>
      </c>
      <c r="J170" s="1">
        <f t="shared" si="43"/>
        <v>0</v>
      </c>
      <c r="K170" s="1">
        <f t="shared" si="43"/>
        <v>0</v>
      </c>
      <c r="L170" s="52">
        <f t="shared" si="43"/>
        <v>0</v>
      </c>
      <c r="M170" s="1">
        <f t="shared" si="43"/>
        <v>0</v>
      </c>
      <c r="N170" s="1">
        <f t="shared" si="43"/>
        <v>0</v>
      </c>
      <c r="O170" s="1">
        <f t="shared" si="43"/>
        <v>0</v>
      </c>
      <c r="P170" s="1">
        <f t="shared" si="43"/>
        <v>0</v>
      </c>
      <c r="Q170" s="1">
        <f t="shared" si="43"/>
        <v>0</v>
      </c>
      <c r="R170" s="1">
        <f t="shared" si="43"/>
        <v>0</v>
      </c>
      <c r="S170" s="1">
        <f t="shared" si="43"/>
        <v>0</v>
      </c>
      <c r="T170" s="1">
        <f t="shared" si="43"/>
        <v>0</v>
      </c>
      <c r="U170" s="1">
        <f t="shared" si="43"/>
        <v>0</v>
      </c>
      <c r="V170" s="1">
        <f t="shared" si="43"/>
        <v>0</v>
      </c>
      <c r="W170" s="1">
        <f t="shared" si="43"/>
        <v>0</v>
      </c>
      <c r="X170" s="54">
        <f t="shared" si="43"/>
        <v>0</v>
      </c>
      <c r="Y170" s="58">
        <f t="shared" si="43"/>
        <v>0</v>
      </c>
      <c r="Z170" s="1">
        <f t="shared" si="43"/>
        <v>0</v>
      </c>
      <c r="AA170" s="1">
        <f t="shared" si="43"/>
        <v>0</v>
      </c>
      <c r="AC170" s="15" t="s">
        <v>51</v>
      </c>
      <c r="AD170" s="16" t="s">
        <v>56</v>
      </c>
      <c r="AE170" s="27" t="s">
        <v>57</v>
      </c>
      <c r="AF170" s="16" t="s">
        <v>74</v>
      </c>
      <c r="AG170" s="16"/>
      <c r="AH170" s="90" t="str">
        <f t="shared" si="41"/>
        <v/>
      </c>
      <c r="AI170" s="90" t="str">
        <f t="shared" si="41"/>
        <v/>
      </c>
      <c r="AJ170" s="90" t="str">
        <f t="shared" si="41"/>
        <v/>
      </c>
      <c r="AK170" s="90" t="str">
        <f t="shared" si="41"/>
        <v/>
      </c>
      <c r="AL170" s="90" t="str">
        <f t="shared" si="41"/>
        <v/>
      </c>
      <c r="AM170" s="90" t="str">
        <f t="shared" si="41"/>
        <v/>
      </c>
      <c r="AN170" s="90" t="str">
        <f t="shared" si="41"/>
        <v/>
      </c>
      <c r="AO170" s="90" t="str">
        <f t="shared" si="41"/>
        <v/>
      </c>
      <c r="AP170" s="90" t="str">
        <f t="shared" si="41"/>
        <v/>
      </c>
      <c r="AQ170" s="90" t="str">
        <f t="shared" si="41"/>
        <v/>
      </c>
      <c r="AR170" s="90" t="str">
        <f t="shared" si="41"/>
        <v/>
      </c>
      <c r="AS170" s="90" t="str">
        <f t="shared" si="41"/>
        <v/>
      </c>
      <c r="AT170" s="90" t="str">
        <f t="shared" si="41"/>
        <v/>
      </c>
      <c r="AU170" s="90" t="str">
        <f t="shared" si="41"/>
        <v/>
      </c>
      <c r="AV170" s="90" t="str">
        <f t="shared" si="41"/>
        <v/>
      </c>
      <c r="AW170" s="90" t="str">
        <f t="shared" si="38"/>
        <v/>
      </c>
      <c r="AX170" s="90" t="str">
        <f t="shared" si="38"/>
        <v/>
      </c>
      <c r="AY170" s="90" t="str">
        <f t="shared" si="38"/>
        <v/>
      </c>
      <c r="AZ170" s="90" t="str">
        <f t="shared" si="38"/>
        <v/>
      </c>
      <c r="BA170" s="90" t="str">
        <f t="shared" si="38"/>
        <v/>
      </c>
      <c r="BB170" s="90" t="str">
        <f t="shared" si="38"/>
        <v/>
      </c>
      <c r="BC170" s="90" t="str">
        <f t="shared" si="38"/>
        <v/>
      </c>
    </row>
    <row r="171" spans="1:55" x14ac:dyDescent="0.25">
      <c r="A171" s="30" t="s">
        <v>60</v>
      </c>
      <c r="B171" s="31" t="s">
        <v>13</v>
      </c>
      <c r="C171" s="32" t="s">
        <v>61</v>
      </c>
      <c r="D171" s="31" t="s">
        <v>75</v>
      </c>
      <c r="E171" s="31"/>
      <c r="F171" s="51"/>
      <c r="G171" s="73"/>
      <c r="H171" s="51"/>
      <c r="I171" s="51"/>
      <c r="J171" s="51"/>
      <c r="K171" s="51"/>
      <c r="L171" s="52"/>
      <c r="M171" s="73"/>
      <c r="N171" s="73"/>
      <c r="O171" s="73"/>
      <c r="P171" s="73"/>
      <c r="Q171" s="73"/>
      <c r="R171" s="73"/>
      <c r="S171" s="51"/>
      <c r="T171" s="51"/>
      <c r="U171" s="51"/>
      <c r="V171" s="51"/>
      <c r="W171" s="51"/>
      <c r="X171" s="55"/>
      <c r="Y171" s="59">
        <f t="shared" si="43"/>
        <v>19.169334151696731</v>
      </c>
      <c r="Z171" s="51">
        <f t="shared" si="43"/>
        <v>243.95955214847689</v>
      </c>
      <c r="AA171" s="51">
        <f t="shared" si="43"/>
        <v>20.98306486112865</v>
      </c>
      <c r="AC171" s="30" t="s">
        <v>60</v>
      </c>
      <c r="AD171" s="31" t="s">
        <v>13</v>
      </c>
      <c r="AE171" s="32" t="s">
        <v>61</v>
      </c>
      <c r="AF171" s="31" t="s">
        <v>75</v>
      </c>
      <c r="AG171" s="31"/>
      <c r="AH171" s="1">
        <f t="shared" si="41"/>
        <v>7.9224258585858589</v>
      </c>
      <c r="AI171" s="1" t="str">
        <f t="shared" si="41"/>
        <v/>
      </c>
      <c r="AJ171" s="1">
        <f t="shared" si="41"/>
        <v>1.65</v>
      </c>
      <c r="AK171" s="1">
        <f t="shared" si="41"/>
        <v>6.378684807256235</v>
      </c>
      <c r="AL171" s="1">
        <f t="shared" si="41"/>
        <v>16.813333333333333</v>
      </c>
      <c r="AM171" s="1">
        <f t="shared" si="41"/>
        <v>7.9206250000000002</v>
      </c>
      <c r="AN171" s="52" t="str">
        <f t="shared" si="41"/>
        <v/>
      </c>
      <c r="AO171" s="1">
        <f t="shared" si="41"/>
        <v>104</v>
      </c>
      <c r="AP171" s="1" t="str">
        <f t="shared" si="41"/>
        <v/>
      </c>
      <c r="AQ171" s="1" t="str">
        <f t="shared" si="41"/>
        <v/>
      </c>
      <c r="AR171" s="1" t="str">
        <f t="shared" si="41"/>
        <v/>
      </c>
      <c r="AS171" s="1" t="str">
        <f t="shared" si="41"/>
        <v/>
      </c>
      <c r="AT171" s="1" t="str">
        <f t="shared" si="41"/>
        <v/>
      </c>
      <c r="AU171" s="1" t="str">
        <f t="shared" si="41"/>
        <v/>
      </c>
      <c r="AV171" s="1" t="str">
        <f t="shared" si="41"/>
        <v/>
      </c>
      <c r="AW171" s="1" t="str">
        <f t="shared" si="38"/>
        <v/>
      </c>
      <c r="AX171" s="1" t="str">
        <f t="shared" si="38"/>
        <v/>
      </c>
      <c r="AY171" s="1">
        <f t="shared" si="38"/>
        <v>340.8</v>
      </c>
      <c r="AZ171" s="1">
        <f t="shared" si="38"/>
        <v>63</v>
      </c>
      <c r="BA171" s="1">
        <f t="shared" si="38"/>
        <v>4.2024740333715096</v>
      </c>
      <c r="BB171" s="1">
        <f t="shared" si="38"/>
        <v>88.43130925963284</v>
      </c>
      <c r="BC171" s="1">
        <f t="shared" si="38"/>
        <v>4.8820784504629131</v>
      </c>
    </row>
    <row r="172" spans="1:55" x14ac:dyDescent="0.25">
      <c r="A172" s="30" t="s">
        <v>60</v>
      </c>
      <c r="B172" s="31" t="s">
        <v>13</v>
      </c>
      <c r="C172" s="32" t="s">
        <v>61</v>
      </c>
      <c r="D172" s="31" t="s">
        <v>76</v>
      </c>
      <c r="E172" s="31"/>
      <c r="F172" s="51"/>
      <c r="G172" s="51"/>
      <c r="H172" s="51"/>
      <c r="I172" s="51"/>
      <c r="J172" s="51"/>
      <c r="K172" s="51"/>
      <c r="L172" s="52"/>
      <c r="M172" s="73"/>
      <c r="N172" s="73"/>
      <c r="O172" s="73"/>
      <c r="P172" s="73"/>
      <c r="Q172" s="73"/>
      <c r="R172" s="73"/>
      <c r="S172" s="51"/>
      <c r="T172" s="51"/>
      <c r="U172" s="51"/>
      <c r="V172" s="51"/>
      <c r="W172" s="51"/>
      <c r="X172" s="55"/>
      <c r="Y172" s="59">
        <f t="shared" si="43"/>
        <v>46.214288844417815</v>
      </c>
      <c r="Z172" s="51">
        <f t="shared" si="43"/>
        <v>1524.8254677921457</v>
      </c>
      <c r="AA172" s="51">
        <f t="shared" si="43"/>
        <v>404.9390508147581</v>
      </c>
      <c r="AC172" s="30" t="s">
        <v>60</v>
      </c>
      <c r="AD172" s="31" t="s">
        <v>13</v>
      </c>
      <c r="AE172" s="32" t="s">
        <v>61</v>
      </c>
      <c r="AF172" s="31" t="s">
        <v>76</v>
      </c>
      <c r="AG172" s="31"/>
      <c r="AH172" s="1">
        <f t="shared" si="41"/>
        <v>7.9224258585858598</v>
      </c>
      <c r="AI172" s="1" t="str">
        <f t="shared" si="41"/>
        <v/>
      </c>
      <c r="AJ172" s="1" t="str">
        <f t="shared" si="41"/>
        <v/>
      </c>
      <c r="AK172" s="1">
        <f t="shared" si="41"/>
        <v>6.378684807256235</v>
      </c>
      <c r="AL172" s="1">
        <f t="shared" si="41"/>
        <v>16.813333333333333</v>
      </c>
      <c r="AM172" s="1">
        <f t="shared" si="41"/>
        <v>7.9206250000000002</v>
      </c>
      <c r="AN172" s="52" t="str">
        <f t="shared" si="41"/>
        <v/>
      </c>
      <c r="AO172" s="1">
        <f t="shared" si="41"/>
        <v>104</v>
      </c>
      <c r="AP172" s="1">
        <f t="shared" si="41"/>
        <v>286.36363636363632</v>
      </c>
      <c r="AQ172" s="1">
        <f t="shared" si="41"/>
        <v>3396.2264150943392</v>
      </c>
      <c r="AR172" s="1">
        <f t="shared" si="41"/>
        <v>15476.190476190477</v>
      </c>
      <c r="AS172" s="1" t="str">
        <f t="shared" si="41"/>
        <v/>
      </c>
      <c r="AT172" s="1">
        <f t="shared" si="41"/>
        <v>149.1</v>
      </c>
      <c r="AU172" s="1" t="str">
        <f t="shared" si="41"/>
        <v/>
      </c>
      <c r="AV172" s="1" t="str">
        <f t="shared" si="41"/>
        <v/>
      </c>
      <c r="AW172" s="1" t="str">
        <f t="shared" si="38"/>
        <v/>
      </c>
      <c r="AX172" s="1" t="str">
        <f t="shared" si="38"/>
        <v/>
      </c>
      <c r="AY172" s="1" t="str">
        <f t="shared" si="38"/>
        <v/>
      </c>
      <c r="AZ172" s="1">
        <f t="shared" si="38"/>
        <v>63</v>
      </c>
      <c r="BA172" s="1">
        <f t="shared" si="38"/>
        <v>13.457857450444791</v>
      </c>
      <c r="BB172" s="1">
        <f t="shared" si="38"/>
        <v>327.43922846384015</v>
      </c>
      <c r="BC172" s="1">
        <f t="shared" si="38"/>
        <v>89.632645104936884</v>
      </c>
    </row>
    <row r="173" spans="1:55" x14ac:dyDescent="0.25">
      <c r="A173" s="30" t="s">
        <v>60</v>
      </c>
      <c r="B173" s="31" t="s">
        <v>13</v>
      </c>
      <c r="C173" s="32" t="s">
        <v>61</v>
      </c>
      <c r="D173" s="31" t="s">
        <v>77</v>
      </c>
      <c r="E173" s="31"/>
      <c r="F173" s="51"/>
      <c r="G173" s="51"/>
      <c r="H173" s="51"/>
      <c r="I173" s="51"/>
      <c r="J173" s="51"/>
      <c r="K173" s="51"/>
      <c r="L173" s="52"/>
      <c r="M173" s="73"/>
      <c r="N173" s="73"/>
      <c r="O173" s="73"/>
      <c r="P173" s="73"/>
      <c r="Q173" s="73"/>
      <c r="R173" s="73"/>
      <c r="S173" s="51"/>
      <c r="T173" s="51"/>
      <c r="U173" s="51"/>
      <c r="V173" s="51"/>
      <c r="W173" s="51"/>
      <c r="X173" s="55"/>
      <c r="Y173" s="59">
        <f t="shared" si="43"/>
        <v>28.999999999999996</v>
      </c>
      <c r="Z173" s="51">
        <f t="shared" si="43"/>
        <v>892.42550256886591</v>
      </c>
      <c r="AA173" s="51">
        <f t="shared" si="43"/>
        <v>784.76765398804002</v>
      </c>
      <c r="AC173" s="30" t="s">
        <v>60</v>
      </c>
      <c r="AD173" s="31" t="s">
        <v>13</v>
      </c>
      <c r="AE173" s="32" t="s">
        <v>61</v>
      </c>
      <c r="AF173" s="31" t="s">
        <v>77</v>
      </c>
      <c r="AG173" s="31"/>
      <c r="AH173" s="1" t="str">
        <f t="shared" ref="AH173:AV180" si="44">IF(F218&gt;0,F83/F218,"")</f>
        <v/>
      </c>
      <c r="AI173" s="1" t="str">
        <f t="shared" si="44"/>
        <v/>
      </c>
      <c r="AJ173" s="1" t="str">
        <f t="shared" si="44"/>
        <v/>
      </c>
      <c r="AK173" s="1" t="str">
        <f t="shared" si="44"/>
        <v/>
      </c>
      <c r="AL173" s="1" t="str">
        <f t="shared" si="44"/>
        <v/>
      </c>
      <c r="AM173" s="1">
        <f t="shared" si="44"/>
        <v>7.9206250000000002</v>
      </c>
      <c r="AN173" s="52" t="str">
        <f t="shared" si="44"/>
        <v/>
      </c>
      <c r="AO173" s="1">
        <f t="shared" si="44"/>
        <v>104</v>
      </c>
      <c r="AP173" s="1" t="str">
        <f t="shared" si="44"/>
        <v/>
      </c>
      <c r="AQ173" s="1">
        <f t="shared" si="44"/>
        <v>3396.2264150943392</v>
      </c>
      <c r="AR173" s="1">
        <f t="shared" si="44"/>
        <v>15476.190476190477</v>
      </c>
      <c r="AS173" s="1" t="str">
        <f t="shared" si="44"/>
        <v/>
      </c>
      <c r="AT173" s="1" t="str">
        <f t="shared" si="44"/>
        <v/>
      </c>
      <c r="AU173" s="1" t="str">
        <f t="shared" si="44"/>
        <v/>
      </c>
      <c r="AV173" s="1">
        <f t="shared" si="44"/>
        <v>170.4</v>
      </c>
      <c r="AW173" s="1">
        <f t="shared" si="38"/>
        <v>204.48000000000002</v>
      </c>
      <c r="AX173" s="1" t="str">
        <f t="shared" si="38"/>
        <v/>
      </c>
      <c r="AY173" s="1" t="str">
        <f t="shared" si="38"/>
        <v/>
      </c>
      <c r="AZ173" s="1">
        <f t="shared" si="38"/>
        <v>63</v>
      </c>
      <c r="BA173" s="1">
        <f t="shared" si="38"/>
        <v>7.9206250000000002</v>
      </c>
      <c r="BB173" s="1">
        <f t="shared" si="38"/>
        <v>202.03181130048822</v>
      </c>
      <c r="BC173" s="1">
        <f t="shared" si="38"/>
        <v>177.82868938619697</v>
      </c>
    </row>
    <row r="174" spans="1:55" x14ac:dyDescent="0.25">
      <c r="A174" s="30" t="s">
        <v>60</v>
      </c>
      <c r="B174" s="31" t="s">
        <v>13</v>
      </c>
      <c r="C174" s="32" t="s">
        <v>61</v>
      </c>
      <c r="D174" s="31" t="s">
        <v>78</v>
      </c>
      <c r="E174" s="31"/>
      <c r="F174" s="51"/>
      <c r="G174" s="51"/>
      <c r="H174" s="51"/>
      <c r="I174" s="51"/>
      <c r="J174" s="51"/>
      <c r="K174" s="51"/>
      <c r="L174" s="52"/>
      <c r="M174" s="73"/>
      <c r="N174" s="73"/>
      <c r="O174" s="73"/>
      <c r="P174" s="73"/>
      <c r="Q174" s="73"/>
      <c r="R174" s="73"/>
      <c r="S174" s="51"/>
      <c r="T174" s="51"/>
      <c r="U174" s="51"/>
      <c r="V174" s="51"/>
      <c r="W174" s="51"/>
      <c r="X174" s="55"/>
      <c r="Y174" s="59">
        <f t="shared" si="43"/>
        <v>28.999999999999993</v>
      </c>
      <c r="Z174" s="51">
        <f t="shared" si="43"/>
        <v>850.88897121576292</v>
      </c>
      <c r="AA174" s="51">
        <f t="shared" si="43"/>
        <v>334.36760151412113</v>
      </c>
      <c r="AC174" s="30" t="s">
        <v>60</v>
      </c>
      <c r="AD174" s="31" t="s">
        <v>13</v>
      </c>
      <c r="AE174" s="32" t="s">
        <v>61</v>
      </c>
      <c r="AF174" s="31" t="s">
        <v>78</v>
      </c>
      <c r="AG174" s="31"/>
      <c r="AH174" s="1" t="str">
        <f t="shared" si="44"/>
        <v/>
      </c>
      <c r="AI174" s="1" t="str">
        <f t="shared" si="44"/>
        <v/>
      </c>
      <c r="AJ174" s="1" t="str">
        <f t="shared" si="44"/>
        <v/>
      </c>
      <c r="AK174" s="1">
        <f t="shared" si="44"/>
        <v>6.378684807256235</v>
      </c>
      <c r="AL174" s="1" t="str">
        <f t="shared" si="44"/>
        <v/>
      </c>
      <c r="AM174" s="1">
        <f t="shared" si="44"/>
        <v>7.9206250000000002</v>
      </c>
      <c r="AN174" s="52" t="str">
        <f t="shared" si="44"/>
        <v/>
      </c>
      <c r="AO174" s="1" t="str">
        <f t="shared" si="44"/>
        <v/>
      </c>
      <c r="AP174" s="1" t="str">
        <f t="shared" si="44"/>
        <v/>
      </c>
      <c r="AQ174" s="1" t="str">
        <f t="shared" si="44"/>
        <v/>
      </c>
      <c r="AR174" s="1">
        <f t="shared" si="44"/>
        <v>15476.190476190477</v>
      </c>
      <c r="AS174" s="1">
        <f t="shared" si="44"/>
        <v>282</v>
      </c>
      <c r="AT174" s="1" t="str">
        <f t="shared" si="44"/>
        <v/>
      </c>
      <c r="AU174" s="1" t="str">
        <f t="shared" si="44"/>
        <v/>
      </c>
      <c r="AV174" s="1" t="str">
        <f t="shared" si="44"/>
        <v/>
      </c>
      <c r="AW174" s="1" t="str">
        <f t="shared" si="38"/>
        <v/>
      </c>
      <c r="AX174" s="1" t="str">
        <f t="shared" si="38"/>
        <v/>
      </c>
      <c r="AY174" s="1" t="str">
        <f t="shared" si="38"/>
        <v/>
      </c>
      <c r="AZ174" s="1">
        <f t="shared" si="38"/>
        <v>149.09999999999997</v>
      </c>
      <c r="BA174" s="1">
        <f t="shared" si="38"/>
        <v>6.8597893915756627</v>
      </c>
      <c r="BB174" s="1">
        <f t="shared" si="38"/>
        <v>251.57707644671621</v>
      </c>
      <c r="BC174" s="1">
        <f t="shared" si="38"/>
        <v>97.782935478485641</v>
      </c>
    </row>
    <row r="175" spans="1:55" ht="15.75" thickBot="1" x14ac:dyDescent="0.3">
      <c r="A175" s="33" t="s">
        <v>60</v>
      </c>
      <c r="B175" s="34" t="s">
        <v>13</v>
      </c>
      <c r="C175" s="35" t="s">
        <v>61</v>
      </c>
      <c r="D175" s="34" t="s">
        <v>79</v>
      </c>
      <c r="E175" s="31"/>
      <c r="F175" s="51"/>
      <c r="G175" s="51"/>
      <c r="H175" s="51"/>
      <c r="I175" s="51"/>
      <c r="J175" s="51"/>
      <c r="K175" s="51"/>
      <c r="L175" s="52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5"/>
      <c r="Y175" s="59">
        <f t="shared" si="43"/>
        <v>0</v>
      </c>
      <c r="Z175" s="51">
        <f t="shared" si="43"/>
        <v>0</v>
      </c>
      <c r="AA175" s="51">
        <f t="shared" si="43"/>
        <v>0</v>
      </c>
      <c r="AC175" s="33" t="s">
        <v>60</v>
      </c>
      <c r="AD175" s="34" t="s">
        <v>13</v>
      </c>
      <c r="AE175" s="35" t="s">
        <v>61</v>
      </c>
      <c r="AF175" s="34" t="s">
        <v>79</v>
      </c>
      <c r="AG175" s="31"/>
      <c r="AH175" s="1" t="str">
        <f t="shared" si="44"/>
        <v/>
      </c>
      <c r="AI175" s="1" t="str">
        <f t="shared" si="44"/>
        <v/>
      </c>
      <c r="AJ175" s="1" t="str">
        <f t="shared" si="44"/>
        <v/>
      </c>
      <c r="AK175" s="1" t="str">
        <f t="shared" si="44"/>
        <v/>
      </c>
      <c r="AL175" s="1" t="str">
        <f t="shared" si="44"/>
        <v/>
      </c>
      <c r="AM175" s="1" t="str">
        <f t="shared" si="44"/>
        <v/>
      </c>
      <c r="AN175" s="52" t="str">
        <f t="shared" si="44"/>
        <v/>
      </c>
      <c r="AO175" s="1" t="str">
        <f t="shared" si="44"/>
        <v/>
      </c>
      <c r="AP175" s="1" t="str">
        <f t="shared" si="44"/>
        <v/>
      </c>
      <c r="AQ175" s="1" t="str">
        <f t="shared" si="44"/>
        <v/>
      </c>
      <c r="AR175" s="1" t="str">
        <f t="shared" si="44"/>
        <v/>
      </c>
      <c r="AS175" s="1" t="str">
        <f t="shared" si="44"/>
        <v/>
      </c>
      <c r="AT175" s="1" t="str">
        <f t="shared" si="44"/>
        <v/>
      </c>
      <c r="AU175" s="1" t="str">
        <f t="shared" si="44"/>
        <v/>
      </c>
      <c r="AV175" s="1" t="str">
        <f t="shared" si="44"/>
        <v/>
      </c>
      <c r="AW175" s="1" t="str">
        <f t="shared" si="38"/>
        <v/>
      </c>
      <c r="AX175" s="1" t="str">
        <f t="shared" si="38"/>
        <v/>
      </c>
      <c r="AY175" s="1" t="str">
        <f t="shared" si="38"/>
        <v/>
      </c>
      <c r="AZ175" s="1" t="str">
        <f t="shared" si="38"/>
        <v/>
      </c>
      <c r="BA175" s="1" t="str">
        <f t="shared" si="38"/>
        <v/>
      </c>
      <c r="BB175" s="1" t="str">
        <f t="shared" si="38"/>
        <v/>
      </c>
      <c r="BC175" s="1" t="str">
        <f t="shared" si="38"/>
        <v/>
      </c>
    </row>
    <row r="176" spans="1:55" x14ac:dyDescent="0.25">
      <c r="A176" s="30" t="s">
        <v>60</v>
      </c>
      <c r="B176" s="31" t="s">
        <v>13</v>
      </c>
      <c r="C176" s="32" t="s">
        <v>62</v>
      </c>
      <c r="D176" s="31" t="s">
        <v>75</v>
      </c>
      <c r="E176" s="31"/>
      <c r="F176" s="51"/>
      <c r="G176" s="73"/>
      <c r="H176" s="51"/>
      <c r="I176" s="51"/>
      <c r="J176" s="51"/>
      <c r="K176" s="51"/>
      <c r="L176" s="52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5"/>
      <c r="Y176" s="59">
        <f t="shared" si="43"/>
        <v>7.9479069767441857</v>
      </c>
      <c r="Z176" s="51">
        <f t="shared" si="43"/>
        <v>0</v>
      </c>
      <c r="AA176" s="51">
        <f t="shared" si="43"/>
        <v>7.9479069767441857</v>
      </c>
      <c r="AC176" s="30" t="s">
        <v>60</v>
      </c>
      <c r="AD176" s="31" t="s">
        <v>13</v>
      </c>
      <c r="AE176" s="32" t="s">
        <v>62</v>
      </c>
      <c r="AF176" s="31" t="s">
        <v>75</v>
      </c>
      <c r="AG176" s="31"/>
      <c r="AH176" s="1" t="str">
        <f t="shared" si="44"/>
        <v/>
      </c>
      <c r="AI176" s="1">
        <f t="shared" si="44"/>
        <v>5.0763414159931113</v>
      </c>
      <c r="AJ176" s="1">
        <f t="shared" si="44"/>
        <v>0.97968750000000004</v>
      </c>
      <c r="AK176" s="1" t="str">
        <f t="shared" si="44"/>
        <v/>
      </c>
      <c r="AL176" s="1" t="str">
        <f t="shared" si="44"/>
        <v/>
      </c>
      <c r="AM176" s="1" t="str">
        <f t="shared" si="44"/>
        <v/>
      </c>
      <c r="AN176" s="52" t="str">
        <f t="shared" si="44"/>
        <v/>
      </c>
      <c r="AO176" s="1" t="str">
        <f t="shared" si="44"/>
        <v/>
      </c>
      <c r="AP176" s="1" t="str">
        <f t="shared" si="44"/>
        <v/>
      </c>
      <c r="AQ176" s="1" t="str">
        <f t="shared" si="44"/>
        <v/>
      </c>
      <c r="AR176" s="1" t="str">
        <f t="shared" si="44"/>
        <v/>
      </c>
      <c r="AS176" s="1" t="str">
        <f t="shared" si="44"/>
        <v/>
      </c>
      <c r="AT176" s="1" t="str">
        <f t="shared" si="44"/>
        <v/>
      </c>
      <c r="AU176" s="1" t="str">
        <f t="shared" si="44"/>
        <v/>
      </c>
      <c r="AV176" s="1" t="str">
        <f t="shared" si="44"/>
        <v/>
      </c>
      <c r="AW176" s="1" t="str">
        <f t="shared" si="38"/>
        <v/>
      </c>
      <c r="AX176" s="1" t="str">
        <f t="shared" si="38"/>
        <v/>
      </c>
      <c r="AY176" s="1" t="str">
        <f t="shared" si="38"/>
        <v/>
      </c>
      <c r="AZ176" s="1" t="str">
        <f t="shared" si="38"/>
        <v/>
      </c>
      <c r="BA176" s="1">
        <f t="shared" si="38"/>
        <v>2.0276687343238193</v>
      </c>
      <c r="BB176" s="1" t="str">
        <f t="shared" si="38"/>
        <v/>
      </c>
      <c r="BC176" s="1">
        <f t="shared" si="38"/>
        <v>2.0276687343238193</v>
      </c>
    </row>
    <row r="177" spans="1:55" x14ac:dyDescent="0.25">
      <c r="A177" s="30" t="s">
        <v>60</v>
      </c>
      <c r="B177" s="31" t="s">
        <v>13</v>
      </c>
      <c r="C177" s="32" t="s">
        <v>62</v>
      </c>
      <c r="D177" s="31" t="s">
        <v>76</v>
      </c>
      <c r="E177" s="31"/>
      <c r="F177" s="51"/>
      <c r="G177" s="51"/>
      <c r="H177" s="51"/>
      <c r="I177" s="51"/>
      <c r="J177" s="51"/>
      <c r="K177" s="51"/>
      <c r="L177" s="52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5"/>
      <c r="Y177" s="59">
        <f t="shared" si="43"/>
        <v>11.803743842364533</v>
      </c>
      <c r="Z177" s="51">
        <f t="shared" si="43"/>
        <v>51020.408163265311</v>
      </c>
      <c r="AA177" s="51">
        <f t="shared" si="43"/>
        <v>77.385566036498162</v>
      </c>
      <c r="AC177" s="30" t="s">
        <v>60</v>
      </c>
      <c r="AD177" s="31" t="s">
        <v>13</v>
      </c>
      <c r="AE177" s="32" t="s">
        <v>62</v>
      </c>
      <c r="AF177" s="31" t="s">
        <v>76</v>
      </c>
      <c r="AG177" s="31"/>
      <c r="AH177" s="1">
        <f t="shared" si="44"/>
        <v>12.735336727272729</v>
      </c>
      <c r="AI177" s="1" t="str">
        <f t="shared" si="44"/>
        <v/>
      </c>
      <c r="AJ177" s="1">
        <f t="shared" si="44"/>
        <v>2.6124999999999998</v>
      </c>
      <c r="AK177" s="1" t="str">
        <f t="shared" si="44"/>
        <v/>
      </c>
      <c r="AL177" s="1" t="str">
        <f t="shared" si="44"/>
        <v/>
      </c>
      <c r="AM177" s="1" t="str">
        <f t="shared" si="44"/>
        <v/>
      </c>
      <c r="AN177" s="52" t="str">
        <f t="shared" si="44"/>
        <v/>
      </c>
      <c r="AO177" s="1" t="str">
        <f t="shared" si="44"/>
        <v/>
      </c>
      <c r="AP177" s="1" t="str">
        <f t="shared" si="44"/>
        <v/>
      </c>
      <c r="AQ177" s="1" t="str">
        <f t="shared" si="44"/>
        <v/>
      </c>
      <c r="AR177" s="1">
        <f t="shared" si="44"/>
        <v>8673.4693877551035</v>
      </c>
      <c r="AS177" s="1" t="str">
        <f t="shared" si="44"/>
        <v/>
      </c>
      <c r="AT177" s="1" t="str">
        <f t="shared" si="44"/>
        <v/>
      </c>
      <c r="AU177" s="1" t="str">
        <f t="shared" si="44"/>
        <v/>
      </c>
      <c r="AV177" s="1" t="str">
        <f t="shared" si="44"/>
        <v/>
      </c>
      <c r="AW177" s="1" t="str">
        <f t="shared" si="38"/>
        <v/>
      </c>
      <c r="AX177" s="1" t="str">
        <f t="shared" si="38"/>
        <v/>
      </c>
      <c r="AY177" s="1" t="str">
        <f t="shared" si="38"/>
        <v/>
      </c>
      <c r="AZ177" s="1" t="str">
        <f t="shared" si="38"/>
        <v/>
      </c>
      <c r="BA177" s="1">
        <f t="shared" si="38"/>
        <v>3.1610280985221677</v>
      </c>
      <c r="BB177" s="1">
        <f t="shared" si="38"/>
        <v>8673.4693877551035</v>
      </c>
      <c r="BC177" s="1">
        <f t="shared" si="38"/>
        <v>14.308453668840114</v>
      </c>
    </row>
    <row r="178" spans="1:55" x14ac:dyDescent="0.25">
      <c r="A178" s="30" t="s">
        <v>60</v>
      </c>
      <c r="B178" s="31" t="s">
        <v>13</v>
      </c>
      <c r="C178" s="32" t="s">
        <v>62</v>
      </c>
      <c r="D178" s="31" t="s">
        <v>77</v>
      </c>
      <c r="E178" s="31"/>
      <c r="F178" s="51"/>
      <c r="G178" s="51"/>
      <c r="H178" s="51"/>
      <c r="I178" s="51"/>
      <c r="J178" s="51"/>
      <c r="K178" s="51"/>
      <c r="L178" s="52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5"/>
      <c r="Y178" s="59">
        <f t="shared" si="43"/>
        <v>0</v>
      </c>
      <c r="Z178" s="51">
        <f t="shared" si="43"/>
        <v>0</v>
      </c>
      <c r="AA178" s="51">
        <f t="shared" si="43"/>
        <v>0</v>
      </c>
      <c r="AC178" s="30" t="s">
        <v>60</v>
      </c>
      <c r="AD178" s="31" t="s">
        <v>13</v>
      </c>
      <c r="AE178" s="32" t="s">
        <v>62</v>
      </c>
      <c r="AF178" s="31" t="s">
        <v>77</v>
      </c>
      <c r="AG178" s="31"/>
      <c r="AH178" s="1" t="str">
        <f t="shared" si="44"/>
        <v/>
      </c>
      <c r="AI178" s="1" t="str">
        <f t="shared" si="44"/>
        <v/>
      </c>
      <c r="AJ178" s="1" t="str">
        <f t="shared" si="44"/>
        <v/>
      </c>
      <c r="AK178" s="1" t="str">
        <f t="shared" si="44"/>
        <v/>
      </c>
      <c r="AL178" s="1" t="str">
        <f t="shared" si="44"/>
        <v/>
      </c>
      <c r="AM178" s="1" t="str">
        <f t="shared" si="44"/>
        <v/>
      </c>
      <c r="AN178" s="52" t="str">
        <f t="shared" si="44"/>
        <v/>
      </c>
      <c r="AO178" s="1" t="str">
        <f t="shared" si="44"/>
        <v/>
      </c>
      <c r="AP178" s="1" t="str">
        <f t="shared" si="44"/>
        <v/>
      </c>
      <c r="AQ178" s="1" t="str">
        <f t="shared" si="44"/>
        <v/>
      </c>
      <c r="AR178" s="1" t="str">
        <f t="shared" si="44"/>
        <v/>
      </c>
      <c r="AS178" s="1" t="str">
        <f t="shared" si="44"/>
        <v/>
      </c>
      <c r="AT178" s="1" t="str">
        <f t="shared" si="44"/>
        <v/>
      </c>
      <c r="AU178" s="1" t="str">
        <f t="shared" si="44"/>
        <v/>
      </c>
      <c r="AV178" s="1" t="str">
        <f t="shared" si="44"/>
        <v/>
      </c>
      <c r="AW178" s="1" t="str">
        <f t="shared" si="38"/>
        <v/>
      </c>
      <c r="AX178" s="1" t="str">
        <f t="shared" si="38"/>
        <v/>
      </c>
      <c r="AY178" s="1" t="str">
        <f t="shared" si="38"/>
        <v/>
      </c>
      <c r="AZ178" s="1" t="str">
        <f t="shared" si="38"/>
        <v/>
      </c>
      <c r="BA178" s="1" t="str">
        <f t="shared" si="38"/>
        <v/>
      </c>
      <c r="BB178" s="1" t="str">
        <f t="shared" si="38"/>
        <v/>
      </c>
      <c r="BC178" s="1" t="str">
        <f t="shared" si="38"/>
        <v/>
      </c>
    </row>
    <row r="179" spans="1:55" x14ac:dyDescent="0.25">
      <c r="A179" s="30" t="s">
        <v>60</v>
      </c>
      <c r="B179" s="31" t="s">
        <v>13</v>
      </c>
      <c r="C179" s="32" t="s">
        <v>62</v>
      </c>
      <c r="D179" s="31" t="s">
        <v>78</v>
      </c>
      <c r="E179" s="31"/>
      <c r="F179" s="51"/>
      <c r="G179" s="51"/>
      <c r="H179" s="51"/>
      <c r="I179" s="51"/>
      <c r="J179" s="51"/>
      <c r="K179" s="51"/>
      <c r="L179" s="52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5"/>
      <c r="Y179" s="59">
        <f t="shared" si="43"/>
        <v>0</v>
      </c>
      <c r="Z179" s="51">
        <f t="shared" ref="Y179:AA180" si="45">IF(Z224&gt;0,Z44/Z224,0)</f>
        <v>0</v>
      </c>
      <c r="AA179" s="51">
        <f t="shared" si="45"/>
        <v>0</v>
      </c>
      <c r="AC179" s="30" t="s">
        <v>60</v>
      </c>
      <c r="AD179" s="31" t="s">
        <v>13</v>
      </c>
      <c r="AE179" s="32" t="s">
        <v>62</v>
      </c>
      <c r="AF179" s="31" t="s">
        <v>78</v>
      </c>
      <c r="AG179" s="31"/>
      <c r="AH179" s="1" t="str">
        <f t="shared" si="44"/>
        <v/>
      </c>
      <c r="AI179" s="1" t="str">
        <f t="shared" si="44"/>
        <v/>
      </c>
      <c r="AJ179" s="1" t="str">
        <f t="shared" si="44"/>
        <v/>
      </c>
      <c r="AK179" s="1" t="str">
        <f t="shared" si="44"/>
        <v/>
      </c>
      <c r="AL179" s="1" t="str">
        <f t="shared" si="44"/>
        <v/>
      </c>
      <c r="AM179" s="1" t="str">
        <f t="shared" si="44"/>
        <v/>
      </c>
      <c r="AN179" s="52" t="str">
        <f t="shared" si="44"/>
        <v/>
      </c>
      <c r="AO179" s="1" t="str">
        <f t="shared" si="44"/>
        <v/>
      </c>
      <c r="AP179" s="1" t="str">
        <f t="shared" si="44"/>
        <v/>
      </c>
      <c r="AQ179" s="1" t="str">
        <f t="shared" si="44"/>
        <v/>
      </c>
      <c r="AR179" s="1" t="str">
        <f t="shared" si="44"/>
        <v/>
      </c>
      <c r="AS179" s="1" t="str">
        <f t="shared" si="44"/>
        <v/>
      </c>
      <c r="AT179" s="1" t="str">
        <f t="shared" si="44"/>
        <v/>
      </c>
      <c r="AU179" s="1" t="str">
        <f t="shared" si="44"/>
        <v/>
      </c>
      <c r="AV179" s="1" t="str">
        <f t="shared" si="44"/>
        <v/>
      </c>
      <c r="AW179" s="1" t="str">
        <f t="shared" si="38"/>
        <v/>
      </c>
      <c r="AX179" s="1" t="str">
        <f t="shared" si="38"/>
        <v/>
      </c>
      <c r="AY179" s="1" t="str">
        <f t="shared" si="38"/>
        <v/>
      </c>
      <c r="AZ179" s="1" t="str">
        <f t="shared" si="38"/>
        <v/>
      </c>
      <c r="BA179" s="1" t="str">
        <f t="shared" si="38"/>
        <v/>
      </c>
      <c r="BB179" s="1" t="str">
        <f t="shared" si="38"/>
        <v/>
      </c>
      <c r="BC179" s="1" t="str">
        <f t="shared" si="38"/>
        <v/>
      </c>
    </row>
    <row r="180" spans="1:55" ht="15.75" thickBot="1" x14ac:dyDescent="0.3">
      <c r="A180" s="33" t="s">
        <v>60</v>
      </c>
      <c r="B180" s="34" t="s">
        <v>13</v>
      </c>
      <c r="C180" s="32" t="s">
        <v>62</v>
      </c>
      <c r="D180" s="34" t="s">
        <v>79</v>
      </c>
      <c r="E180" s="31"/>
      <c r="F180" s="51"/>
      <c r="G180" s="51"/>
      <c r="H180" s="51"/>
      <c r="I180" s="51"/>
      <c r="J180" s="51"/>
      <c r="K180" s="51"/>
      <c r="L180" s="52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5"/>
      <c r="Y180" s="59">
        <f t="shared" si="45"/>
        <v>0</v>
      </c>
      <c r="Z180" s="51">
        <f t="shared" si="45"/>
        <v>0</v>
      </c>
      <c r="AA180" s="51">
        <f t="shared" si="45"/>
        <v>0</v>
      </c>
      <c r="AC180" s="33" t="s">
        <v>60</v>
      </c>
      <c r="AD180" s="34" t="s">
        <v>13</v>
      </c>
      <c r="AE180" s="32" t="s">
        <v>62</v>
      </c>
      <c r="AF180" s="34" t="s">
        <v>79</v>
      </c>
      <c r="AG180" s="31"/>
      <c r="AH180" s="1" t="str">
        <f t="shared" si="44"/>
        <v/>
      </c>
      <c r="AI180" s="1" t="str">
        <f t="shared" si="44"/>
        <v/>
      </c>
      <c r="AJ180" s="1" t="str">
        <f t="shared" si="44"/>
        <v/>
      </c>
      <c r="AK180" s="1" t="str">
        <f t="shared" si="44"/>
        <v/>
      </c>
      <c r="AL180" s="1" t="str">
        <f t="shared" si="44"/>
        <v/>
      </c>
      <c r="AM180" s="1" t="str">
        <f t="shared" si="44"/>
        <v/>
      </c>
      <c r="AN180" s="52" t="str">
        <f t="shared" si="44"/>
        <v/>
      </c>
      <c r="AO180" s="1" t="str">
        <f t="shared" si="44"/>
        <v/>
      </c>
      <c r="AP180" s="1" t="str">
        <f t="shared" si="44"/>
        <v/>
      </c>
      <c r="AQ180" s="1" t="str">
        <f t="shared" si="44"/>
        <v/>
      </c>
      <c r="AR180" s="1" t="str">
        <f t="shared" si="44"/>
        <v/>
      </c>
      <c r="AS180" s="1" t="str">
        <f t="shared" si="44"/>
        <v/>
      </c>
      <c r="AT180" s="1" t="str">
        <f t="shared" si="44"/>
        <v/>
      </c>
      <c r="AU180" s="1" t="str">
        <f t="shared" si="44"/>
        <v/>
      </c>
      <c r="AV180" s="1" t="str">
        <f t="shared" si="44"/>
        <v/>
      </c>
      <c r="AW180" s="1" t="str">
        <f t="shared" si="38"/>
        <v/>
      </c>
      <c r="AX180" s="1" t="str">
        <f t="shared" si="38"/>
        <v/>
      </c>
      <c r="AY180" s="1" t="str">
        <f t="shared" si="38"/>
        <v/>
      </c>
      <c r="AZ180" s="1" t="str">
        <f t="shared" si="38"/>
        <v/>
      </c>
      <c r="BA180" s="1" t="str">
        <f t="shared" si="38"/>
        <v/>
      </c>
      <c r="BB180" s="1" t="str">
        <f t="shared" si="38"/>
        <v/>
      </c>
      <c r="BC180" s="1" t="str">
        <f t="shared" si="38"/>
        <v/>
      </c>
    </row>
    <row r="181" spans="1:55" x14ac:dyDescent="0.25">
      <c r="F181" s="99">
        <v>170</v>
      </c>
      <c r="G181" s="99">
        <v>230</v>
      </c>
      <c r="H181" s="99">
        <v>1900</v>
      </c>
      <c r="M181" s="5" t="s">
        <v>126</v>
      </c>
      <c r="N181" s="5">
        <v>0.6</v>
      </c>
    </row>
    <row r="182" spans="1:55" x14ac:dyDescent="0.25">
      <c r="D182" s="41" t="s">
        <v>35</v>
      </c>
      <c r="E182" s="41"/>
      <c r="M182" s="24" t="s">
        <v>81</v>
      </c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AF182" s="41" t="s">
        <v>101</v>
      </c>
      <c r="AG182" s="41"/>
      <c r="AO182" s="24" t="s">
        <v>81</v>
      </c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</row>
    <row r="183" spans="1:55" x14ac:dyDescent="0.25">
      <c r="F183" s="23" t="s">
        <v>44</v>
      </c>
      <c r="G183" s="23"/>
      <c r="H183" s="23"/>
      <c r="I183" s="23"/>
      <c r="J183" s="23"/>
      <c r="K183" s="23"/>
      <c r="L183" s="7" t="s">
        <v>30</v>
      </c>
      <c r="M183" s="24" t="s">
        <v>46</v>
      </c>
      <c r="N183" s="24"/>
      <c r="O183" s="24"/>
      <c r="P183" s="24"/>
      <c r="Q183" s="24"/>
      <c r="R183" s="24" t="s">
        <v>47</v>
      </c>
      <c r="S183" s="24"/>
      <c r="T183" s="24"/>
      <c r="U183" s="24"/>
      <c r="V183" s="24"/>
      <c r="W183" s="24"/>
      <c r="X183" s="24"/>
      <c r="Y183" s="44" t="s">
        <v>85</v>
      </c>
      <c r="Z183" s="44" t="s">
        <v>48</v>
      </c>
      <c r="AA183" s="44" t="s">
        <v>3</v>
      </c>
      <c r="AH183" s="23" t="s">
        <v>44</v>
      </c>
      <c r="AI183" s="23"/>
      <c r="AJ183" s="23"/>
      <c r="AK183" s="23"/>
      <c r="AL183" s="23"/>
      <c r="AM183" s="23"/>
      <c r="AN183" s="7" t="s">
        <v>30</v>
      </c>
      <c r="AO183" s="24" t="s">
        <v>46</v>
      </c>
      <c r="AP183" s="24"/>
      <c r="AQ183" s="24"/>
      <c r="AR183" s="24"/>
      <c r="AS183" s="24"/>
      <c r="AT183" s="24" t="s">
        <v>47</v>
      </c>
      <c r="AU183" s="24"/>
      <c r="AV183" s="24"/>
      <c r="AW183" s="24"/>
      <c r="AX183" s="24"/>
      <c r="AY183" s="24"/>
      <c r="AZ183" s="24"/>
      <c r="BA183" s="44" t="s">
        <v>85</v>
      </c>
      <c r="BB183" s="44" t="s">
        <v>48</v>
      </c>
      <c r="BC183" s="44" t="s">
        <v>3</v>
      </c>
    </row>
    <row r="184" spans="1:55" ht="63" x14ac:dyDescent="0.25">
      <c r="F184" s="38" t="s">
        <v>36</v>
      </c>
      <c r="G184" s="38" t="s">
        <v>37</v>
      </c>
      <c r="H184" s="38" t="s">
        <v>38</v>
      </c>
      <c r="I184" s="38" t="s">
        <v>80</v>
      </c>
      <c r="J184" s="38" t="s">
        <v>39</v>
      </c>
      <c r="K184" s="38" t="s">
        <v>45</v>
      </c>
      <c r="L184" s="39" t="s">
        <v>16</v>
      </c>
      <c r="M184" s="40" t="s">
        <v>34</v>
      </c>
      <c r="N184" s="40" t="s">
        <v>5</v>
      </c>
      <c r="O184" s="40" t="s">
        <v>7</v>
      </c>
      <c r="P184" s="40" t="s">
        <v>8</v>
      </c>
      <c r="Q184" s="40" t="s">
        <v>40</v>
      </c>
      <c r="R184" s="40" t="s">
        <v>41</v>
      </c>
      <c r="S184" s="40" t="s">
        <v>42</v>
      </c>
      <c r="T184" s="40" t="s">
        <v>31</v>
      </c>
      <c r="U184" s="40" t="s">
        <v>43</v>
      </c>
      <c r="V184" s="40" t="s">
        <v>82</v>
      </c>
      <c r="W184" s="40" t="s">
        <v>87</v>
      </c>
      <c r="X184" s="40" t="s">
        <v>83</v>
      </c>
      <c r="Y184" s="45" t="s">
        <v>3</v>
      </c>
      <c r="Z184" s="45" t="s">
        <v>3</v>
      </c>
      <c r="AA184" s="45" t="s">
        <v>3</v>
      </c>
      <c r="AH184" s="38" t="s">
        <v>36</v>
      </c>
      <c r="AI184" s="38" t="s">
        <v>37</v>
      </c>
      <c r="AJ184" s="38" t="s">
        <v>38</v>
      </c>
      <c r="AK184" s="38" t="s">
        <v>80</v>
      </c>
      <c r="AL184" s="38" t="s">
        <v>39</v>
      </c>
      <c r="AM184" s="38" t="s">
        <v>45</v>
      </c>
      <c r="AN184" s="39" t="s">
        <v>16</v>
      </c>
      <c r="AO184" s="40" t="s">
        <v>34</v>
      </c>
      <c r="AP184" s="40" t="s">
        <v>5</v>
      </c>
      <c r="AQ184" s="40" t="s">
        <v>7</v>
      </c>
      <c r="AR184" s="40" t="s">
        <v>8</v>
      </c>
      <c r="AS184" s="40" t="s">
        <v>40</v>
      </c>
      <c r="AT184" s="40" t="s">
        <v>41</v>
      </c>
      <c r="AU184" s="40" t="s">
        <v>42</v>
      </c>
      <c r="AV184" s="40" t="s">
        <v>31</v>
      </c>
      <c r="AW184" s="40" t="s">
        <v>43</v>
      </c>
      <c r="AX184" s="40" t="s">
        <v>82</v>
      </c>
      <c r="AY184" s="40" t="s">
        <v>87</v>
      </c>
      <c r="AZ184" s="40" t="s">
        <v>83</v>
      </c>
      <c r="BA184" s="45" t="s">
        <v>3</v>
      </c>
      <c r="BB184" s="45" t="s">
        <v>86</v>
      </c>
      <c r="BC184" s="45" t="s">
        <v>3</v>
      </c>
    </row>
    <row r="185" spans="1:55" x14ac:dyDescent="0.25">
      <c r="A185" s="15" t="s">
        <v>51</v>
      </c>
      <c r="B185" s="2"/>
      <c r="C185" s="2"/>
      <c r="F185" s="1">
        <f t="shared" ref="F185:X185" si="46">F187+F188+F189</f>
        <v>0</v>
      </c>
      <c r="G185" s="1">
        <f t="shared" si="46"/>
        <v>0</v>
      </c>
      <c r="H185" s="1">
        <f t="shared" si="46"/>
        <v>0</v>
      </c>
      <c r="I185" s="1">
        <f t="shared" si="46"/>
        <v>0</v>
      </c>
      <c r="J185" s="1">
        <f t="shared" si="46"/>
        <v>0</v>
      </c>
      <c r="K185" s="1">
        <f t="shared" si="46"/>
        <v>0</v>
      </c>
      <c r="L185" s="52">
        <f t="shared" si="46"/>
        <v>0</v>
      </c>
      <c r="M185" s="1">
        <f t="shared" si="46"/>
        <v>0</v>
      </c>
      <c r="N185" s="1">
        <f t="shared" si="46"/>
        <v>0</v>
      </c>
      <c r="O185" s="1">
        <f t="shared" si="46"/>
        <v>0</v>
      </c>
      <c r="P185" s="1">
        <f t="shared" si="46"/>
        <v>0</v>
      </c>
      <c r="Q185" s="1">
        <f t="shared" si="46"/>
        <v>0</v>
      </c>
      <c r="R185" s="1">
        <f t="shared" si="46"/>
        <v>0</v>
      </c>
      <c r="S185" s="1">
        <f t="shared" si="46"/>
        <v>0</v>
      </c>
      <c r="T185" s="1">
        <f t="shared" si="46"/>
        <v>0</v>
      </c>
      <c r="U185" s="1">
        <f t="shared" si="46"/>
        <v>0</v>
      </c>
      <c r="V185" s="1">
        <f t="shared" si="46"/>
        <v>0</v>
      </c>
      <c r="W185" s="1">
        <f t="shared" si="46"/>
        <v>0</v>
      </c>
      <c r="X185" s="1">
        <f t="shared" si="46"/>
        <v>0</v>
      </c>
      <c r="Y185" s="58">
        <f t="shared" ref="Y185:Y225" si="47">SUM(F185:K185)</f>
        <v>0</v>
      </c>
      <c r="Z185" s="1">
        <f t="shared" ref="Z185:Z225" si="48">SUM(M185:X185)</f>
        <v>0</v>
      </c>
      <c r="AA185" s="1">
        <f t="shared" ref="AA185:AA225" si="49">L185+Y185+Z185</f>
        <v>0</v>
      </c>
      <c r="AC185" s="15" t="s">
        <v>51</v>
      </c>
      <c r="AD185" s="2"/>
      <c r="AE185" s="2"/>
      <c r="AH185" s="1" t="str">
        <f t="shared" ref="AH185:AW200" si="50">IF(F185&gt;0,F230/F185*1000,"")</f>
        <v/>
      </c>
      <c r="AI185" s="1" t="str">
        <f t="shared" si="50"/>
        <v/>
      </c>
      <c r="AJ185" s="1" t="str">
        <f t="shared" si="50"/>
        <v/>
      </c>
      <c r="AK185" s="1" t="str">
        <f t="shared" si="50"/>
        <v/>
      </c>
      <c r="AL185" s="1" t="str">
        <f t="shared" si="50"/>
        <v/>
      </c>
      <c r="AM185" s="1" t="str">
        <f t="shared" si="50"/>
        <v/>
      </c>
      <c r="AN185" s="52" t="str">
        <f t="shared" si="50"/>
        <v/>
      </c>
      <c r="AO185" s="1" t="str">
        <f t="shared" si="50"/>
        <v/>
      </c>
      <c r="AP185" s="1" t="str">
        <f t="shared" si="50"/>
        <v/>
      </c>
      <c r="AQ185" s="1" t="str">
        <f t="shared" si="50"/>
        <v/>
      </c>
      <c r="AR185" s="1" t="str">
        <f t="shared" si="50"/>
        <v/>
      </c>
      <c r="AS185" s="1" t="str">
        <f t="shared" si="50"/>
        <v/>
      </c>
      <c r="AT185" s="1" t="str">
        <f t="shared" si="50"/>
        <v/>
      </c>
      <c r="AU185" s="1" t="str">
        <f t="shared" si="50"/>
        <v/>
      </c>
      <c r="AV185" s="1" t="str">
        <f t="shared" si="50"/>
        <v/>
      </c>
      <c r="AW185" s="1" t="str">
        <f t="shared" si="50"/>
        <v/>
      </c>
      <c r="AX185" s="1" t="str">
        <f t="shared" ref="AX185:BC200" si="51">IF(V185&gt;0,V230/V185*1000,"")</f>
        <v/>
      </c>
      <c r="AY185" s="1" t="str">
        <f t="shared" si="51"/>
        <v/>
      </c>
      <c r="AZ185" s="1" t="str">
        <f t="shared" si="51"/>
        <v/>
      </c>
      <c r="BA185" s="1" t="str">
        <f t="shared" si="51"/>
        <v/>
      </c>
      <c r="BB185" s="1" t="str">
        <f t="shared" si="51"/>
        <v/>
      </c>
      <c r="BC185" s="1" t="str">
        <f t="shared" si="51"/>
        <v/>
      </c>
    </row>
    <row r="186" spans="1:55" x14ac:dyDescent="0.25">
      <c r="A186" s="30" t="s">
        <v>60</v>
      </c>
      <c r="B186" s="2"/>
      <c r="C186" s="2"/>
      <c r="F186" s="1">
        <f>F190+F191+F192+F193</f>
        <v>165</v>
      </c>
      <c r="G186" s="1">
        <f t="shared" ref="G186:X186" si="52">G190+G191+G192+G193</f>
        <v>165</v>
      </c>
      <c r="H186" s="1">
        <f t="shared" si="52"/>
        <v>1600</v>
      </c>
      <c r="I186" s="1">
        <f t="shared" si="52"/>
        <v>121.65517241379311</v>
      </c>
      <c r="J186" s="1">
        <f t="shared" si="52"/>
        <v>169.45190476190476</v>
      </c>
      <c r="K186" s="1">
        <f t="shared" si="52"/>
        <v>743.11559561128524</v>
      </c>
      <c r="L186" s="52">
        <f t="shared" si="52"/>
        <v>362.96296296296299</v>
      </c>
      <c r="M186" s="1">
        <f t="shared" si="52"/>
        <v>50</v>
      </c>
      <c r="N186" s="1">
        <f t="shared" si="52"/>
        <v>2.9000000000000004</v>
      </c>
      <c r="O186" s="1">
        <f t="shared" si="52"/>
        <v>0.53</v>
      </c>
      <c r="P186" s="1">
        <f t="shared" si="52"/>
        <v>1.4</v>
      </c>
      <c r="Q186" s="1">
        <f t="shared" si="52"/>
        <v>33.333333333333336</v>
      </c>
      <c r="R186" s="1">
        <f t="shared" si="52"/>
        <v>45.15984797674939</v>
      </c>
      <c r="S186" s="1">
        <f t="shared" si="52"/>
        <v>2.4500000000000002</v>
      </c>
      <c r="T186" s="1">
        <f t="shared" si="52"/>
        <v>43.345899149687405</v>
      </c>
      <c r="U186" s="1">
        <f t="shared" si="52"/>
        <v>53.30594679186229</v>
      </c>
      <c r="V186" s="1">
        <f t="shared" si="52"/>
        <v>10.144583978969605</v>
      </c>
      <c r="W186" s="1">
        <f t="shared" si="52"/>
        <v>16.950312989045386</v>
      </c>
      <c r="X186" s="54">
        <f t="shared" si="52"/>
        <v>36.90990386765035</v>
      </c>
      <c r="Y186" s="58">
        <f t="shared" si="47"/>
        <v>2964.2226727869829</v>
      </c>
      <c r="Z186" s="1">
        <f t="shared" si="48"/>
        <v>296.42982808729772</v>
      </c>
      <c r="AA186" s="1">
        <f t="shared" si="49"/>
        <v>3623.6154638372436</v>
      </c>
      <c r="AC186" s="30" t="s">
        <v>60</v>
      </c>
      <c r="AD186" s="2"/>
      <c r="AE186" s="2"/>
      <c r="AH186" s="1">
        <f t="shared" si="50"/>
        <v>269.36026936026934</v>
      </c>
      <c r="AI186" s="1">
        <f t="shared" si="50"/>
        <v>117.17171717171716</v>
      </c>
      <c r="AJ186" s="1">
        <f t="shared" si="50"/>
        <v>40.352941176470587</v>
      </c>
      <c r="AK186" s="1">
        <f t="shared" si="50"/>
        <v>170.58823529411765</v>
      </c>
      <c r="AL186" s="1">
        <f t="shared" si="50"/>
        <v>946.55466057728063</v>
      </c>
      <c r="AM186" s="1">
        <f t="shared" si="50"/>
        <v>48.82790886530978</v>
      </c>
      <c r="AN186" s="52">
        <f t="shared" si="50"/>
        <v>18750</v>
      </c>
      <c r="AO186" s="1">
        <f t="shared" si="50"/>
        <v>6180.5555555555557</v>
      </c>
      <c r="AP186" s="1">
        <f t="shared" si="50"/>
        <v>12168.435013262599</v>
      </c>
      <c r="AQ186" s="1">
        <f t="shared" si="50"/>
        <v>67924.528301886792</v>
      </c>
      <c r="AR186" s="1">
        <f t="shared" si="50"/>
        <v>357142.85714285716</v>
      </c>
      <c r="AS186" s="1">
        <f t="shared" si="50"/>
        <v>24555.555555555555</v>
      </c>
      <c r="AT186" s="1">
        <f t="shared" si="50"/>
        <v>10860.891089108909</v>
      </c>
      <c r="AU186" s="1">
        <f t="shared" si="50"/>
        <v>2222.2222222222222</v>
      </c>
      <c r="AV186" s="1">
        <f t="shared" si="50"/>
        <v>11911.38109804898</v>
      </c>
      <c r="AW186" s="1">
        <f t="shared" si="50"/>
        <v>11361.861074705112</v>
      </c>
      <c r="AX186" s="1">
        <f t="shared" si="51"/>
        <v>11981.528202595131</v>
      </c>
      <c r="AY186" s="1">
        <f t="shared" si="51"/>
        <v>11984.72508449427</v>
      </c>
      <c r="AZ186" s="1">
        <f t="shared" si="51"/>
        <v>6967.8463700347675</v>
      </c>
      <c r="BA186" s="1">
        <f t="shared" si="51"/>
        <v>116.64970340655184</v>
      </c>
      <c r="BB186" s="1">
        <f t="shared" si="51"/>
        <v>13151.829907351814</v>
      </c>
      <c r="BC186" s="1">
        <f t="shared" si="51"/>
        <v>3049.4201274699954</v>
      </c>
    </row>
    <row r="187" spans="1:55" x14ac:dyDescent="0.25">
      <c r="A187" s="15" t="s">
        <v>51</v>
      </c>
      <c r="B187" s="16" t="s">
        <v>52</v>
      </c>
      <c r="C187" s="2"/>
      <c r="F187" s="1">
        <f>F194+F195+F196</f>
        <v>0</v>
      </c>
      <c r="G187" s="1">
        <f t="shared" ref="G187:X187" si="53">G194+G195+G196</f>
        <v>0</v>
      </c>
      <c r="H187" s="1">
        <f t="shared" si="53"/>
        <v>0</v>
      </c>
      <c r="I187" s="1">
        <f t="shared" si="53"/>
        <v>0</v>
      </c>
      <c r="J187" s="1">
        <f t="shared" si="53"/>
        <v>0</v>
      </c>
      <c r="K187" s="1">
        <f t="shared" si="53"/>
        <v>0</v>
      </c>
      <c r="L187" s="52">
        <f t="shared" si="53"/>
        <v>0</v>
      </c>
      <c r="M187" s="1">
        <f t="shared" si="53"/>
        <v>0</v>
      </c>
      <c r="N187" s="1">
        <f t="shared" si="53"/>
        <v>0</v>
      </c>
      <c r="O187" s="1">
        <f t="shared" si="53"/>
        <v>0</v>
      </c>
      <c r="P187" s="1">
        <f t="shared" si="53"/>
        <v>0</v>
      </c>
      <c r="Q187" s="1">
        <f t="shared" si="53"/>
        <v>0</v>
      </c>
      <c r="R187" s="1">
        <f t="shared" si="53"/>
        <v>0</v>
      </c>
      <c r="S187" s="1">
        <f t="shared" si="53"/>
        <v>0</v>
      </c>
      <c r="T187" s="1">
        <f t="shared" si="53"/>
        <v>0</v>
      </c>
      <c r="U187" s="1">
        <f t="shared" si="53"/>
        <v>0</v>
      </c>
      <c r="V187" s="1">
        <f t="shared" si="53"/>
        <v>0</v>
      </c>
      <c r="W187" s="1">
        <f t="shared" si="53"/>
        <v>0</v>
      </c>
      <c r="X187" s="54">
        <f t="shared" si="53"/>
        <v>0</v>
      </c>
      <c r="Y187" s="58">
        <f t="shared" si="47"/>
        <v>0</v>
      </c>
      <c r="Z187" s="1">
        <f t="shared" si="48"/>
        <v>0</v>
      </c>
      <c r="AA187" s="1">
        <f t="shared" si="49"/>
        <v>0</v>
      </c>
      <c r="AC187" s="15" t="s">
        <v>51</v>
      </c>
      <c r="AD187" s="16" t="s">
        <v>52</v>
      </c>
      <c r="AE187" s="2"/>
      <c r="AH187" s="1" t="str">
        <f t="shared" si="50"/>
        <v/>
      </c>
      <c r="AI187" s="1" t="str">
        <f t="shared" si="50"/>
        <v/>
      </c>
      <c r="AJ187" s="1" t="str">
        <f t="shared" si="50"/>
        <v/>
      </c>
      <c r="AK187" s="1" t="str">
        <f t="shared" si="50"/>
        <v/>
      </c>
      <c r="AL187" s="1" t="str">
        <f t="shared" si="50"/>
        <v/>
      </c>
      <c r="AM187" s="1" t="str">
        <f t="shared" si="50"/>
        <v/>
      </c>
      <c r="AN187" s="52" t="str">
        <f t="shared" si="50"/>
        <v/>
      </c>
      <c r="AO187" s="1" t="str">
        <f t="shared" si="50"/>
        <v/>
      </c>
      <c r="AP187" s="1" t="str">
        <f t="shared" si="50"/>
        <v/>
      </c>
      <c r="AQ187" s="1" t="str">
        <f t="shared" si="50"/>
        <v/>
      </c>
      <c r="AR187" s="1" t="str">
        <f t="shared" si="50"/>
        <v/>
      </c>
      <c r="AS187" s="1" t="str">
        <f t="shared" si="50"/>
        <v/>
      </c>
      <c r="AT187" s="1" t="str">
        <f t="shared" si="50"/>
        <v/>
      </c>
      <c r="AU187" s="1" t="str">
        <f t="shared" si="50"/>
        <v/>
      </c>
      <c r="AV187" s="1" t="str">
        <f t="shared" si="50"/>
        <v/>
      </c>
      <c r="AW187" s="1" t="str">
        <f t="shared" si="50"/>
        <v/>
      </c>
      <c r="AX187" s="1" t="str">
        <f t="shared" si="51"/>
        <v/>
      </c>
      <c r="AY187" s="1" t="str">
        <f t="shared" si="51"/>
        <v/>
      </c>
      <c r="AZ187" s="1" t="str">
        <f t="shared" si="51"/>
        <v/>
      </c>
      <c r="BA187" s="1" t="str">
        <f t="shared" si="51"/>
        <v/>
      </c>
      <c r="BB187" s="1" t="str">
        <f t="shared" si="51"/>
        <v/>
      </c>
      <c r="BC187" s="1" t="str">
        <f t="shared" si="51"/>
        <v/>
      </c>
    </row>
    <row r="188" spans="1:55" x14ac:dyDescent="0.25">
      <c r="A188" s="15" t="s">
        <v>51</v>
      </c>
      <c r="B188" s="16" t="s">
        <v>56</v>
      </c>
      <c r="C188" s="2"/>
      <c r="F188" s="1">
        <f>F197+F198+F199</f>
        <v>0</v>
      </c>
      <c r="G188" s="1">
        <f t="shared" ref="G188:X188" si="54">G197+G198+G199</f>
        <v>0</v>
      </c>
      <c r="H188" s="1">
        <f t="shared" si="54"/>
        <v>0</v>
      </c>
      <c r="I188" s="1">
        <f t="shared" si="54"/>
        <v>0</v>
      </c>
      <c r="J188" s="1">
        <f t="shared" si="54"/>
        <v>0</v>
      </c>
      <c r="K188" s="1">
        <f t="shared" si="54"/>
        <v>0</v>
      </c>
      <c r="L188" s="52">
        <f t="shared" si="54"/>
        <v>0</v>
      </c>
      <c r="M188" s="1">
        <f t="shared" si="54"/>
        <v>0</v>
      </c>
      <c r="N188" s="1">
        <f t="shared" si="54"/>
        <v>0</v>
      </c>
      <c r="O188" s="1">
        <f t="shared" si="54"/>
        <v>0</v>
      </c>
      <c r="P188" s="1">
        <f t="shared" si="54"/>
        <v>0</v>
      </c>
      <c r="Q188" s="1">
        <f t="shared" si="54"/>
        <v>0</v>
      </c>
      <c r="R188" s="1">
        <f t="shared" si="54"/>
        <v>0</v>
      </c>
      <c r="S188" s="1">
        <f t="shared" si="54"/>
        <v>0</v>
      </c>
      <c r="T188" s="1">
        <f t="shared" si="54"/>
        <v>0</v>
      </c>
      <c r="U188" s="1">
        <f t="shared" si="54"/>
        <v>0</v>
      </c>
      <c r="V188" s="1">
        <f t="shared" si="54"/>
        <v>0</v>
      </c>
      <c r="W188" s="1">
        <f t="shared" si="54"/>
        <v>0</v>
      </c>
      <c r="X188" s="54">
        <f t="shared" si="54"/>
        <v>0</v>
      </c>
      <c r="Y188" s="58">
        <f t="shared" si="47"/>
        <v>0</v>
      </c>
      <c r="Z188" s="1">
        <f t="shared" si="48"/>
        <v>0</v>
      </c>
      <c r="AA188" s="1">
        <f t="shared" si="49"/>
        <v>0</v>
      </c>
      <c r="AC188" s="15" t="s">
        <v>51</v>
      </c>
      <c r="AD188" s="16" t="s">
        <v>56</v>
      </c>
      <c r="AE188" s="2"/>
      <c r="AH188" s="1" t="str">
        <f t="shared" si="50"/>
        <v/>
      </c>
      <c r="AI188" s="1" t="str">
        <f t="shared" si="50"/>
        <v/>
      </c>
      <c r="AJ188" s="1" t="str">
        <f t="shared" si="50"/>
        <v/>
      </c>
      <c r="AK188" s="1" t="str">
        <f t="shared" si="50"/>
        <v/>
      </c>
      <c r="AL188" s="1" t="str">
        <f t="shared" si="50"/>
        <v/>
      </c>
      <c r="AM188" s="1" t="str">
        <f t="shared" si="50"/>
        <v/>
      </c>
      <c r="AN188" s="52" t="str">
        <f t="shared" si="50"/>
        <v/>
      </c>
      <c r="AO188" s="1" t="str">
        <f t="shared" si="50"/>
        <v/>
      </c>
      <c r="AP188" s="1" t="str">
        <f t="shared" si="50"/>
        <v/>
      </c>
      <c r="AQ188" s="1" t="str">
        <f t="shared" si="50"/>
        <v/>
      </c>
      <c r="AR188" s="1" t="str">
        <f t="shared" si="50"/>
        <v/>
      </c>
      <c r="AS188" s="1" t="str">
        <f t="shared" si="50"/>
        <v/>
      </c>
      <c r="AT188" s="1" t="str">
        <f t="shared" si="50"/>
        <v/>
      </c>
      <c r="AU188" s="1" t="str">
        <f t="shared" si="50"/>
        <v/>
      </c>
      <c r="AV188" s="1" t="str">
        <f t="shared" si="50"/>
        <v/>
      </c>
      <c r="AW188" s="1" t="str">
        <f t="shared" si="50"/>
        <v/>
      </c>
      <c r="AX188" s="1" t="str">
        <f t="shared" si="51"/>
        <v/>
      </c>
      <c r="AY188" s="1" t="str">
        <f t="shared" si="51"/>
        <v/>
      </c>
      <c r="AZ188" s="1" t="str">
        <f t="shared" si="51"/>
        <v/>
      </c>
      <c r="BA188" s="1" t="str">
        <f t="shared" si="51"/>
        <v/>
      </c>
      <c r="BB188" s="1" t="str">
        <f t="shared" si="51"/>
        <v/>
      </c>
      <c r="BC188" s="1" t="str">
        <f t="shared" si="51"/>
        <v/>
      </c>
    </row>
    <row r="189" spans="1:55" x14ac:dyDescent="0.25">
      <c r="A189" s="15" t="s">
        <v>51</v>
      </c>
      <c r="B189" s="16" t="s">
        <v>9</v>
      </c>
      <c r="C189" s="2"/>
      <c r="F189" s="1">
        <f>F200</f>
        <v>0</v>
      </c>
      <c r="G189" s="1">
        <f t="shared" ref="G189:X189" si="55">G200</f>
        <v>0</v>
      </c>
      <c r="H189" s="1">
        <f t="shared" si="55"/>
        <v>0</v>
      </c>
      <c r="I189" s="1">
        <f t="shared" si="55"/>
        <v>0</v>
      </c>
      <c r="J189" s="1">
        <f t="shared" si="55"/>
        <v>0</v>
      </c>
      <c r="K189" s="1">
        <f t="shared" si="55"/>
        <v>0</v>
      </c>
      <c r="L189" s="52">
        <f t="shared" si="55"/>
        <v>0</v>
      </c>
      <c r="M189" s="1">
        <f t="shared" si="55"/>
        <v>0</v>
      </c>
      <c r="N189" s="1">
        <f t="shared" si="55"/>
        <v>0</v>
      </c>
      <c r="O189" s="1">
        <f t="shared" si="55"/>
        <v>0</v>
      </c>
      <c r="P189" s="1">
        <f t="shared" si="55"/>
        <v>0</v>
      </c>
      <c r="Q189" s="1">
        <f t="shared" si="55"/>
        <v>0</v>
      </c>
      <c r="R189" s="1">
        <f t="shared" si="55"/>
        <v>0</v>
      </c>
      <c r="S189" s="1">
        <f t="shared" si="55"/>
        <v>0</v>
      </c>
      <c r="T189" s="1">
        <f t="shared" si="55"/>
        <v>0</v>
      </c>
      <c r="U189" s="1">
        <f t="shared" si="55"/>
        <v>0</v>
      </c>
      <c r="V189" s="1">
        <f t="shared" si="55"/>
        <v>0</v>
      </c>
      <c r="W189" s="1">
        <f t="shared" si="55"/>
        <v>0</v>
      </c>
      <c r="X189" s="54">
        <f t="shared" si="55"/>
        <v>0</v>
      </c>
      <c r="Y189" s="58">
        <f t="shared" si="47"/>
        <v>0</v>
      </c>
      <c r="Z189" s="1">
        <f t="shared" si="48"/>
        <v>0</v>
      </c>
      <c r="AA189" s="1">
        <f t="shared" si="49"/>
        <v>0</v>
      </c>
      <c r="AC189" s="15" t="s">
        <v>51</v>
      </c>
      <c r="AD189" s="16" t="s">
        <v>9</v>
      </c>
      <c r="AE189" s="2"/>
      <c r="AH189" s="1" t="str">
        <f t="shared" si="50"/>
        <v/>
      </c>
      <c r="AI189" s="1" t="str">
        <f t="shared" si="50"/>
        <v/>
      </c>
      <c r="AJ189" s="1" t="str">
        <f t="shared" si="50"/>
        <v/>
      </c>
      <c r="AK189" s="1" t="str">
        <f t="shared" si="50"/>
        <v/>
      </c>
      <c r="AL189" s="1" t="str">
        <f t="shared" si="50"/>
        <v/>
      </c>
      <c r="AM189" s="1" t="str">
        <f t="shared" si="50"/>
        <v/>
      </c>
      <c r="AN189" s="52" t="str">
        <f t="shared" si="50"/>
        <v/>
      </c>
      <c r="AO189" s="1" t="str">
        <f t="shared" si="50"/>
        <v/>
      </c>
      <c r="AP189" s="1" t="str">
        <f t="shared" si="50"/>
        <v/>
      </c>
      <c r="AQ189" s="1" t="str">
        <f t="shared" si="50"/>
        <v/>
      </c>
      <c r="AR189" s="1" t="str">
        <f t="shared" si="50"/>
        <v/>
      </c>
      <c r="AS189" s="1" t="str">
        <f t="shared" si="50"/>
        <v/>
      </c>
      <c r="AT189" s="1" t="str">
        <f t="shared" si="50"/>
        <v/>
      </c>
      <c r="AU189" s="1" t="str">
        <f t="shared" si="50"/>
        <v/>
      </c>
      <c r="AV189" s="1" t="str">
        <f t="shared" si="50"/>
        <v/>
      </c>
      <c r="AW189" s="1" t="str">
        <f t="shared" si="50"/>
        <v/>
      </c>
      <c r="AX189" s="1" t="str">
        <f t="shared" si="51"/>
        <v/>
      </c>
      <c r="AY189" s="1" t="str">
        <f t="shared" si="51"/>
        <v/>
      </c>
      <c r="AZ189" s="1" t="str">
        <f t="shared" si="51"/>
        <v/>
      </c>
      <c r="BA189" s="1" t="str">
        <f t="shared" si="51"/>
        <v/>
      </c>
      <c r="BB189" s="1" t="str">
        <f t="shared" si="51"/>
        <v/>
      </c>
      <c r="BC189" s="1" t="str">
        <f t="shared" si="51"/>
        <v/>
      </c>
    </row>
    <row r="190" spans="1:55" x14ac:dyDescent="0.25">
      <c r="A190" s="30" t="s">
        <v>60</v>
      </c>
      <c r="B190" s="32" t="s">
        <v>13</v>
      </c>
      <c r="C190" s="2"/>
      <c r="F190" s="51">
        <f>F201+F202+F203</f>
        <v>165</v>
      </c>
      <c r="G190" s="51">
        <f t="shared" ref="G190:X190" si="56">G201+G202+G203</f>
        <v>165</v>
      </c>
      <c r="H190" s="51">
        <f t="shared" si="56"/>
        <v>1600</v>
      </c>
      <c r="I190" s="51">
        <f t="shared" si="56"/>
        <v>121.65517241379311</v>
      </c>
      <c r="J190" s="51">
        <f t="shared" si="56"/>
        <v>54</v>
      </c>
      <c r="K190" s="51">
        <f t="shared" si="56"/>
        <v>55.172413793103445</v>
      </c>
      <c r="L190" s="52">
        <f t="shared" si="56"/>
        <v>0</v>
      </c>
      <c r="M190" s="51">
        <f t="shared" si="56"/>
        <v>12.5</v>
      </c>
      <c r="N190" s="51">
        <f t="shared" si="56"/>
        <v>2.2000000000000002</v>
      </c>
      <c r="O190" s="51">
        <f t="shared" si="56"/>
        <v>0.53</v>
      </c>
      <c r="P190" s="51">
        <f t="shared" si="56"/>
        <v>1.4</v>
      </c>
      <c r="Q190" s="51">
        <f t="shared" si="56"/>
        <v>3.5460992907801421</v>
      </c>
      <c r="R190" s="51">
        <f t="shared" si="56"/>
        <v>6.0362173038229381</v>
      </c>
      <c r="S190" s="51">
        <f t="shared" si="56"/>
        <v>0</v>
      </c>
      <c r="T190" s="51">
        <f t="shared" si="56"/>
        <v>1.056338028169014</v>
      </c>
      <c r="U190" s="51">
        <f t="shared" si="56"/>
        <v>4.401408450704225</v>
      </c>
      <c r="V190" s="51">
        <f t="shared" si="56"/>
        <v>0.11737089201877934</v>
      </c>
      <c r="W190" s="51">
        <f t="shared" si="56"/>
        <v>0.32276995305164319</v>
      </c>
      <c r="X190" s="55">
        <f t="shared" si="56"/>
        <v>16.76727028839705</v>
      </c>
      <c r="Y190" s="59">
        <f t="shared" si="47"/>
        <v>2160.8275862068963</v>
      </c>
      <c r="Z190" s="51">
        <f t="shared" si="48"/>
        <v>48.877474206943788</v>
      </c>
      <c r="AA190" s="51">
        <f t="shared" si="49"/>
        <v>2209.7050604138399</v>
      </c>
      <c r="AB190" s="97">
        <v>5200</v>
      </c>
      <c r="AC190" s="30" t="s">
        <v>60</v>
      </c>
      <c r="AD190" s="32" t="s">
        <v>13</v>
      </c>
      <c r="AE190" s="2"/>
      <c r="AH190" s="1">
        <f t="shared" si="50"/>
        <v>269.36026936026934</v>
      </c>
      <c r="AI190" s="1">
        <f t="shared" si="50"/>
        <v>117.17171717171716</v>
      </c>
      <c r="AJ190" s="1">
        <f t="shared" si="50"/>
        <v>40.352941176470587</v>
      </c>
      <c r="AK190" s="1">
        <f t="shared" si="50"/>
        <v>170.58823529411765</v>
      </c>
      <c r="AL190" s="1">
        <f t="shared" si="50"/>
        <v>297.38562091503269</v>
      </c>
      <c r="AM190" s="1">
        <f t="shared" si="50"/>
        <v>170.58823529411765</v>
      </c>
      <c r="AN190" s="52" t="str">
        <f t="shared" si="50"/>
        <v/>
      </c>
      <c r="AO190" s="1">
        <f t="shared" si="50"/>
        <v>2222.2222222222222</v>
      </c>
      <c r="AP190" s="1">
        <f t="shared" si="50"/>
        <v>6249.9999999999991</v>
      </c>
      <c r="AQ190" s="1">
        <f t="shared" si="50"/>
        <v>67924.528301886792</v>
      </c>
      <c r="AR190" s="1">
        <f t="shared" si="50"/>
        <v>357142.85714285716</v>
      </c>
      <c r="AS190" s="1">
        <f t="shared" si="50"/>
        <v>5222.2222222222226</v>
      </c>
      <c r="AT190" s="1">
        <f t="shared" si="50"/>
        <v>2366.6666666666665</v>
      </c>
      <c r="AU190" s="1" t="str">
        <f t="shared" si="50"/>
        <v/>
      </c>
      <c r="AV190" s="1">
        <f t="shared" si="50"/>
        <v>2366.6666666666665</v>
      </c>
      <c r="AW190" s="1">
        <f t="shared" si="50"/>
        <v>2366.6666666666665</v>
      </c>
      <c r="AX190" s="1">
        <f t="shared" si="51"/>
        <v>2366.6666666666665</v>
      </c>
      <c r="AY190" s="1">
        <f t="shared" si="51"/>
        <v>2366.6666666666665</v>
      </c>
      <c r="AZ190" s="1">
        <f t="shared" si="51"/>
        <v>2366.6666666666665</v>
      </c>
      <c r="BA190" s="1">
        <f t="shared" si="51"/>
        <v>80.786645906500823</v>
      </c>
      <c r="BB190" s="1">
        <f t="shared" si="51"/>
        <v>13584.43525102523</v>
      </c>
      <c r="BC190" s="1">
        <f t="shared" si="51"/>
        <v>379.48000920662923</v>
      </c>
    </row>
    <row r="191" spans="1:55" x14ac:dyDescent="0.25">
      <c r="A191" s="30" t="s">
        <v>60</v>
      </c>
      <c r="B191" s="31" t="s">
        <v>23</v>
      </c>
      <c r="C191" s="2"/>
      <c r="F191" s="51">
        <f>F204+F205+F206</f>
        <v>0</v>
      </c>
      <c r="G191" s="51">
        <f t="shared" ref="G191:X191" si="57">G204+G205+G206</f>
        <v>0</v>
      </c>
      <c r="H191" s="51">
        <f t="shared" si="57"/>
        <v>0</v>
      </c>
      <c r="I191" s="51">
        <f t="shared" si="57"/>
        <v>0</v>
      </c>
      <c r="J191" s="51">
        <f t="shared" si="57"/>
        <v>33.606666666666669</v>
      </c>
      <c r="K191" s="51">
        <f t="shared" si="57"/>
        <v>687.94318181818176</v>
      </c>
      <c r="L191" s="52">
        <f t="shared" si="57"/>
        <v>0</v>
      </c>
      <c r="M191" s="51">
        <f t="shared" si="57"/>
        <v>0</v>
      </c>
      <c r="N191" s="51">
        <f t="shared" si="57"/>
        <v>0.7</v>
      </c>
      <c r="O191" s="51">
        <f t="shared" si="57"/>
        <v>0</v>
      </c>
      <c r="P191" s="51">
        <f t="shared" si="57"/>
        <v>0</v>
      </c>
      <c r="Q191" s="51">
        <f t="shared" si="57"/>
        <v>0</v>
      </c>
      <c r="R191" s="51">
        <f t="shared" si="57"/>
        <v>0</v>
      </c>
      <c r="S191" s="51">
        <f t="shared" si="57"/>
        <v>2.4500000000000002</v>
      </c>
      <c r="T191" s="51">
        <f t="shared" si="57"/>
        <v>1.6009852216748768</v>
      </c>
      <c r="U191" s="51">
        <f t="shared" si="57"/>
        <v>0</v>
      </c>
      <c r="V191" s="51">
        <f t="shared" si="57"/>
        <v>0.24630541871921183</v>
      </c>
      <c r="W191" s="51">
        <f t="shared" si="57"/>
        <v>0</v>
      </c>
      <c r="X191" s="55">
        <f t="shared" si="57"/>
        <v>1</v>
      </c>
      <c r="Y191" s="59">
        <f t="shared" si="47"/>
        <v>721.54984848484844</v>
      </c>
      <c r="Z191" s="51">
        <f t="shared" si="48"/>
        <v>5.9972906403940893</v>
      </c>
      <c r="AA191" s="51">
        <f t="shared" si="49"/>
        <v>727.54713912524255</v>
      </c>
      <c r="AC191" s="30" t="s">
        <v>60</v>
      </c>
      <c r="AD191" s="31" t="s">
        <v>23</v>
      </c>
      <c r="AE191" s="2"/>
      <c r="AH191" s="1" t="str">
        <f t="shared" si="50"/>
        <v/>
      </c>
      <c r="AI191" s="1" t="str">
        <f t="shared" si="50"/>
        <v/>
      </c>
      <c r="AJ191" s="1" t="str">
        <f t="shared" si="50"/>
        <v/>
      </c>
      <c r="AK191" s="1" t="str">
        <f t="shared" si="50"/>
        <v/>
      </c>
      <c r="AL191" s="1">
        <f t="shared" si="50"/>
        <v>885.34021027573885</v>
      </c>
      <c r="AM191" s="1">
        <f t="shared" si="50"/>
        <v>39.062842082383213</v>
      </c>
      <c r="AN191" s="52" t="str">
        <f t="shared" si="50"/>
        <v/>
      </c>
      <c r="AO191" s="1" t="str">
        <f t="shared" si="50"/>
        <v/>
      </c>
      <c r="AP191" s="1">
        <f t="shared" si="50"/>
        <v>30769.230769230773</v>
      </c>
      <c r="AQ191" s="1" t="str">
        <f t="shared" si="50"/>
        <v/>
      </c>
      <c r="AR191" s="1" t="str">
        <f t="shared" si="50"/>
        <v/>
      </c>
      <c r="AS191" s="1" t="str">
        <f t="shared" si="50"/>
        <v/>
      </c>
      <c r="AT191" s="1" t="str">
        <f t="shared" si="50"/>
        <v/>
      </c>
      <c r="AU191" s="1">
        <f t="shared" si="50"/>
        <v>2222.2222222222222</v>
      </c>
      <c r="AV191" s="1">
        <f t="shared" si="50"/>
        <v>11600.000000000002</v>
      </c>
      <c r="AW191" s="1" t="str">
        <f t="shared" si="50"/>
        <v/>
      </c>
      <c r="AX191" s="1">
        <f t="shared" si="51"/>
        <v>9022.2222222222226</v>
      </c>
      <c r="AY191" s="1" t="str">
        <f t="shared" si="51"/>
        <v/>
      </c>
      <c r="AZ191" s="1">
        <f t="shared" si="51"/>
        <v>2222.2222222222222</v>
      </c>
      <c r="BA191" s="1">
        <f t="shared" si="51"/>
        <v>78.478776380116287</v>
      </c>
      <c r="BB191" s="1">
        <f t="shared" si="51"/>
        <v>8336.894440635866</v>
      </c>
      <c r="BC191" s="1">
        <f t="shared" si="51"/>
        <v>146.55425397360182</v>
      </c>
    </row>
    <row r="192" spans="1:55" x14ac:dyDescent="0.25">
      <c r="A192" s="30" t="s">
        <v>60</v>
      </c>
      <c r="B192" s="31" t="s">
        <v>65</v>
      </c>
      <c r="C192" s="46"/>
      <c r="F192" s="51">
        <f>F207+F208+F209</f>
        <v>0</v>
      </c>
      <c r="G192" s="51">
        <f t="shared" ref="G192:X192" si="58">G207+G208+G209</f>
        <v>0</v>
      </c>
      <c r="H192" s="51">
        <f t="shared" si="58"/>
        <v>0</v>
      </c>
      <c r="I192" s="51">
        <f t="shared" si="58"/>
        <v>0</v>
      </c>
      <c r="J192" s="51">
        <f t="shared" si="58"/>
        <v>81.845238095238102</v>
      </c>
      <c r="K192" s="51">
        <f t="shared" si="58"/>
        <v>0</v>
      </c>
      <c r="L192" s="52">
        <f t="shared" si="58"/>
        <v>362.96296296296299</v>
      </c>
      <c r="M192" s="51">
        <f t="shared" si="58"/>
        <v>37.5</v>
      </c>
      <c r="N192" s="51">
        <f t="shared" si="58"/>
        <v>0</v>
      </c>
      <c r="O192" s="51">
        <f t="shared" si="58"/>
        <v>0</v>
      </c>
      <c r="P192" s="51">
        <f t="shared" si="58"/>
        <v>0</v>
      </c>
      <c r="Q192" s="51">
        <f t="shared" si="58"/>
        <v>29.787234042553191</v>
      </c>
      <c r="R192" s="51">
        <f t="shared" si="58"/>
        <v>39.123630672926453</v>
      </c>
      <c r="S192" s="51">
        <f t="shared" si="58"/>
        <v>0</v>
      </c>
      <c r="T192" s="51">
        <f t="shared" si="58"/>
        <v>40.688575899843514</v>
      </c>
      <c r="U192" s="51">
        <f t="shared" si="58"/>
        <v>48.904538341158066</v>
      </c>
      <c r="V192" s="51">
        <f t="shared" si="58"/>
        <v>9.7809076682316132</v>
      </c>
      <c r="W192" s="51">
        <f t="shared" si="58"/>
        <v>16.627543035993742</v>
      </c>
      <c r="X192" s="55">
        <f t="shared" si="58"/>
        <v>15.649452269170579</v>
      </c>
      <c r="Y192" s="59">
        <f t="shared" si="47"/>
        <v>81.845238095238102</v>
      </c>
      <c r="Z192" s="51">
        <f t="shared" si="48"/>
        <v>238.06188192987713</v>
      </c>
      <c r="AA192" s="51">
        <f t="shared" si="49"/>
        <v>682.87008298807825</v>
      </c>
      <c r="AC192" s="30" t="s">
        <v>60</v>
      </c>
      <c r="AD192" s="31" t="s">
        <v>65</v>
      </c>
      <c r="AE192" s="46"/>
      <c r="AH192" s="1" t="str">
        <f t="shared" si="50"/>
        <v/>
      </c>
      <c r="AI192" s="1" t="str">
        <f t="shared" si="50"/>
        <v/>
      </c>
      <c r="AJ192" s="1" t="str">
        <f t="shared" si="50"/>
        <v/>
      </c>
      <c r="AK192" s="1" t="str">
        <f t="shared" si="50"/>
        <v/>
      </c>
      <c r="AL192" s="1">
        <f t="shared" si="50"/>
        <v>1400</v>
      </c>
      <c r="AM192" s="1" t="str">
        <f t="shared" si="50"/>
        <v/>
      </c>
      <c r="AN192" s="52">
        <f t="shared" si="50"/>
        <v>18750</v>
      </c>
      <c r="AO192" s="1">
        <f t="shared" si="50"/>
        <v>7500</v>
      </c>
      <c r="AP192" s="1" t="str">
        <f t="shared" si="50"/>
        <v/>
      </c>
      <c r="AQ192" s="1" t="str">
        <f t="shared" si="50"/>
        <v/>
      </c>
      <c r="AR192" s="1" t="str">
        <f t="shared" si="50"/>
        <v/>
      </c>
      <c r="AS192" s="1">
        <f t="shared" si="50"/>
        <v>26857.142857142859</v>
      </c>
      <c r="AT192" s="1">
        <f t="shared" si="50"/>
        <v>12171.428571428571</v>
      </c>
      <c r="AU192" s="1" t="str">
        <f t="shared" si="50"/>
        <v/>
      </c>
      <c r="AV192" s="1">
        <f t="shared" si="50"/>
        <v>12171.428571428571</v>
      </c>
      <c r="AW192" s="1">
        <f t="shared" si="50"/>
        <v>12171.428571428571</v>
      </c>
      <c r="AX192" s="1">
        <f t="shared" si="51"/>
        <v>12171.428571428571</v>
      </c>
      <c r="AY192" s="1">
        <f t="shared" si="51"/>
        <v>12171.428571428571</v>
      </c>
      <c r="AZ192" s="1">
        <f t="shared" si="51"/>
        <v>12171.428571428571</v>
      </c>
      <c r="BA192" s="1">
        <f t="shared" si="51"/>
        <v>1400</v>
      </c>
      <c r="BB192" s="1">
        <f t="shared" si="51"/>
        <v>13273.109508149555</v>
      </c>
      <c r="BC192" s="1">
        <f t="shared" si="51"/>
        <v>14761.168439760593</v>
      </c>
    </row>
    <row r="193" spans="1:55" ht="15.75" thickBot="1" x14ac:dyDescent="0.3">
      <c r="A193" s="48" t="s">
        <v>60</v>
      </c>
      <c r="B193" s="49" t="s">
        <v>9</v>
      </c>
      <c r="C193" s="50"/>
      <c r="D193" s="50"/>
      <c r="E193" s="50"/>
      <c r="F193" s="53">
        <f>F210</f>
        <v>0</v>
      </c>
      <c r="G193" s="53">
        <f t="shared" ref="G193:X193" si="59">G210</f>
        <v>0</v>
      </c>
      <c r="H193" s="53">
        <f t="shared" si="59"/>
        <v>0</v>
      </c>
      <c r="I193" s="53">
        <f t="shared" si="59"/>
        <v>0</v>
      </c>
      <c r="J193" s="53">
        <f t="shared" si="59"/>
        <v>0</v>
      </c>
      <c r="K193" s="53">
        <f t="shared" si="59"/>
        <v>0</v>
      </c>
      <c r="L193" s="62">
        <f t="shared" si="59"/>
        <v>0</v>
      </c>
      <c r="M193" s="53">
        <f t="shared" si="59"/>
        <v>0</v>
      </c>
      <c r="N193" s="53">
        <f t="shared" si="59"/>
        <v>0</v>
      </c>
      <c r="O193" s="53">
        <f t="shared" si="59"/>
        <v>0</v>
      </c>
      <c r="P193" s="53">
        <f t="shared" si="59"/>
        <v>0</v>
      </c>
      <c r="Q193" s="53">
        <f t="shared" si="59"/>
        <v>0</v>
      </c>
      <c r="R193" s="53">
        <f t="shared" si="59"/>
        <v>0</v>
      </c>
      <c r="S193" s="53">
        <f t="shared" si="59"/>
        <v>0</v>
      </c>
      <c r="T193" s="53">
        <f t="shared" si="59"/>
        <v>0</v>
      </c>
      <c r="U193" s="53">
        <f t="shared" si="59"/>
        <v>0</v>
      </c>
      <c r="V193" s="53">
        <f t="shared" si="59"/>
        <v>0</v>
      </c>
      <c r="W193" s="53">
        <f t="shared" si="59"/>
        <v>0</v>
      </c>
      <c r="X193" s="56">
        <f t="shared" si="59"/>
        <v>3.4931813100827185</v>
      </c>
      <c r="Y193" s="60">
        <f t="shared" si="47"/>
        <v>0</v>
      </c>
      <c r="Z193" s="53">
        <f t="shared" si="48"/>
        <v>3.4931813100827185</v>
      </c>
      <c r="AA193" s="53">
        <f t="shared" si="49"/>
        <v>3.4931813100827185</v>
      </c>
      <c r="AC193" s="48" t="s">
        <v>60</v>
      </c>
      <c r="AD193" s="49" t="s">
        <v>9</v>
      </c>
      <c r="AE193" s="50"/>
      <c r="AF193" s="50"/>
      <c r="AG193" s="50"/>
      <c r="AH193" s="1" t="str">
        <f t="shared" si="50"/>
        <v/>
      </c>
      <c r="AI193" s="1" t="str">
        <f t="shared" si="50"/>
        <v/>
      </c>
      <c r="AJ193" s="1" t="str">
        <f t="shared" si="50"/>
        <v/>
      </c>
      <c r="AK193" s="1" t="str">
        <f t="shared" si="50"/>
        <v/>
      </c>
      <c r="AL193" s="1" t="str">
        <f t="shared" si="50"/>
        <v/>
      </c>
      <c r="AM193" s="1" t="str">
        <f t="shared" si="50"/>
        <v/>
      </c>
      <c r="AN193" s="52" t="str">
        <f t="shared" si="50"/>
        <v/>
      </c>
      <c r="AO193" s="1" t="str">
        <f t="shared" si="50"/>
        <v/>
      </c>
      <c r="AP193" s="1" t="str">
        <f t="shared" si="50"/>
        <v/>
      </c>
      <c r="AQ193" s="1" t="str">
        <f t="shared" si="50"/>
        <v/>
      </c>
      <c r="AR193" s="1" t="str">
        <f t="shared" si="50"/>
        <v/>
      </c>
      <c r="AS193" s="1" t="str">
        <f t="shared" si="50"/>
        <v/>
      </c>
      <c r="AT193" s="1" t="str">
        <f t="shared" si="50"/>
        <v/>
      </c>
      <c r="AU193" s="1" t="str">
        <f t="shared" si="50"/>
        <v/>
      </c>
      <c r="AV193" s="1" t="str">
        <f t="shared" si="50"/>
        <v/>
      </c>
      <c r="AW193" s="1" t="str">
        <f t="shared" si="50"/>
        <v/>
      </c>
      <c r="AX193" s="1" t="str">
        <f t="shared" si="51"/>
        <v/>
      </c>
      <c r="AY193" s="1" t="str">
        <f t="shared" si="51"/>
        <v/>
      </c>
      <c r="AZ193" s="1">
        <f t="shared" si="51"/>
        <v>7100</v>
      </c>
      <c r="BA193" s="1" t="str">
        <f t="shared" si="51"/>
        <v/>
      </c>
      <c r="BB193" s="1">
        <f t="shared" si="51"/>
        <v>7100</v>
      </c>
      <c r="BC193" s="1">
        <f t="shared" si="51"/>
        <v>7100</v>
      </c>
    </row>
    <row r="194" spans="1:55" ht="15.75" thickTop="1" x14ac:dyDescent="0.25">
      <c r="A194" s="15" t="s">
        <v>51</v>
      </c>
      <c r="B194" s="16" t="s">
        <v>52</v>
      </c>
      <c r="C194" s="16" t="s">
        <v>53</v>
      </c>
      <c r="D194" s="2"/>
      <c r="E194" s="2"/>
      <c r="F194" s="47">
        <v>0</v>
      </c>
      <c r="G194" s="47">
        <v>0</v>
      </c>
      <c r="H194" s="47">
        <v>0</v>
      </c>
      <c r="I194" s="47">
        <v>0</v>
      </c>
      <c r="J194" s="47">
        <v>0</v>
      </c>
      <c r="K194" s="47">
        <v>0</v>
      </c>
      <c r="L194" s="63">
        <v>0</v>
      </c>
      <c r="M194" s="47">
        <v>0</v>
      </c>
      <c r="N194" s="47">
        <v>0</v>
      </c>
      <c r="O194" s="47">
        <v>0</v>
      </c>
      <c r="P194" s="47">
        <v>0</v>
      </c>
      <c r="Q194" s="47">
        <v>0</v>
      </c>
      <c r="R194" s="47">
        <v>0</v>
      </c>
      <c r="S194" s="47">
        <v>0</v>
      </c>
      <c r="T194" s="47">
        <v>0</v>
      </c>
      <c r="U194" s="47">
        <v>0</v>
      </c>
      <c r="V194" s="47">
        <v>0</v>
      </c>
      <c r="W194" s="47">
        <v>0</v>
      </c>
      <c r="X194" s="57">
        <v>0</v>
      </c>
      <c r="Y194" s="61">
        <f t="shared" si="47"/>
        <v>0</v>
      </c>
      <c r="Z194" s="47">
        <f t="shared" si="48"/>
        <v>0</v>
      </c>
      <c r="AA194" s="47">
        <f t="shared" si="49"/>
        <v>0</v>
      </c>
      <c r="AC194" s="15" t="s">
        <v>51</v>
      </c>
      <c r="AD194" s="16" t="s">
        <v>52</v>
      </c>
      <c r="AE194" s="16" t="s">
        <v>53</v>
      </c>
      <c r="AF194" s="2"/>
      <c r="AG194" s="2"/>
      <c r="AH194" s="90" t="str">
        <f t="shared" si="50"/>
        <v/>
      </c>
      <c r="AI194" s="90" t="str">
        <f t="shared" si="50"/>
        <v/>
      </c>
      <c r="AJ194" s="90" t="str">
        <f t="shared" si="50"/>
        <v/>
      </c>
      <c r="AK194" s="90" t="str">
        <f t="shared" si="50"/>
        <v/>
      </c>
      <c r="AL194" s="90" t="str">
        <f t="shared" si="50"/>
        <v/>
      </c>
      <c r="AM194" s="90" t="str">
        <f t="shared" si="50"/>
        <v/>
      </c>
      <c r="AN194" s="90" t="str">
        <f t="shared" si="50"/>
        <v/>
      </c>
      <c r="AO194" s="90" t="str">
        <f t="shared" si="50"/>
        <v/>
      </c>
      <c r="AP194" s="90" t="str">
        <f t="shared" si="50"/>
        <v/>
      </c>
      <c r="AQ194" s="90" t="str">
        <f t="shared" si="50"/>
        <v/>
      </c>
      <c r="AR194" s="90" t="str">
        <f t="shared" si="50"/>
        <v/>
      </c>
      <c r="AS194" s="90" t="str">
        <f t="shared" si="50"/>
        <v/>
      </c>
      <c r="AT194" s="90" t="str">
        <f t="shared" si="50"/>
        <v/>
      </c>
      <c r="AU194" s="90" t="str">
        <f t="shared" si="50"/>
        <v/>
      </c>
      <c r="AV194" s="90" t="str">
        <f t="shared" si="50"/>
        <v/>
      </c>
      <c r="AW194" s="90" t="str">
        <f t="shared" si="50"/>
        <v/>
      </c>
      <c r="AX194" s="90" t="str">
        <f t="shared" si="51"/>
        <v/>
      </c>
      <c r="AY194" s="90" t="str">
        <f t="shared" si="51"/>
        <v/>
      </c>
      <c r="AZ194" s="90" t="str">
        <f t="shared" si="51"/>
        <v/>
      </c>
      <c r="BA194" s="90" t="str">
        <f t="shared" si="51"/>
        <v/>
      </c>
      <c r="BB194" s="90" t="str">
        <f t="shared" si="51"/>
        <v/>
      </c>
      <c r="BC194" s="90" t="str">
        <f t="shared" si="51"/>
        <v/>
      </c>
    </row>
    <row r="195" spans="1:55" x14ac:dyDescent="0.25">
      <c r="A195" s="15" t="s">
        <v>51</v>
      </c>
      <c r="B195" s="16" t="s">
        <v>52</v>
      </c>
      <c r="C195" s="16" t="s">
        <v>54</v>
      </c>
      <c r="D195" s="2"/>
      <c r="E195" s="2"/>
      <c r="F195" s="47">
        <v>0</v>
      </c>
      <c r="G195" s="47">
        <v>0</v>
      </c>
      <c r="H195" s="1">
        <v>0</v>
      </c>
      <c r="I195" s="1">
        <v>0</v>
      </c>
      <c r="J195" s="1">
        <v>0</v>
      </c>
      <c r="K195" s="1">
        <v>0</v>
      </c>
      <c r="L195" s="52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54">
        <v>0</v>
      </c>
      <c r="Y195" s="58">
        <f t="shared" si="47"/>
        <v>0</v>
      </c>
      <c r="Z195" s="1">
        <f t="shared" si="48"/>
        <v>0</v>
      </c>
      <c r="AA195" s="1">
        <f t="shared" si="49"/>
        <v>0</v>
      </c>
      <c r="AC195" s="15" t="s">
        <v>51</v>
      </c>
      <c r="AD195" s="16" t="s">
        <v>52</v>
      </c>
      <c r="AE195" s="16" t="s">
        <v>54</v>
      </c>
      <c r="AF195" s="2"/>
      <c r="AG195" s="2"/>
      <c r="AH195" s="90" t="str">
        <f t="shared" si="50"/>
        <v/>
      </c>
      <c r="AI195" s="90" t="str">
        <f t="shared" si="50"/>
        <v/>
      </c>
      <c r="AJ195" s="90" t="str">
        <f t="shared" si="50"/>
        <v/>
      </c>
      <c r="AK195" s="90" t="str">
        <f t="shared" si="50"/>
        <v/>
      </c>
      <c r="AL195" s="90" t="str">
        <f t="shared" si="50"/>
        <v/>
      </c>
      <c r="AM195" s="90" t="str">
        <f t="shared" si="50"/>
        <v/>
      </c>
      <c r="AN195" s="90" t="str">
        <f t="shared" si="50"/>
        <v/>
      </c>
      <c r="AO195" s="90" t="str">
        <f t="shared" si="50"/>
        <v/>
      </c>
      <c r="AP195" s="90" t="str">
        <f t="shared" si="50"/>
        <v/>
      </c>
      <c r="AQ195" s="90" t="str">
        <f t="shared" si="50"/>
        <v/>
      </c>
      <c r="AR195" s="90" t="str">
        <f t="shared" si="50"/>
        <v/>
      </c>
      <c r="AS195" s="90" t="str">
        <f t="shared" si="50"/>
        <v/>
      </c>
      <c r="AT195" s="90" t="str">
        <f t="shared" si="50"/>
        <v/>
      </c>
      <c r="AU195" s="90" t="str">
        <f t="shared" si="50"/>
        <v/>
      </c>
      <c r="AV195" s="90" t="str">
        <f t="shared" si="50"/>
        <v/>
      </c>
      <c r="AW195" s="90" t="str">
        <f t="shared" si="50"/>
        <v/>
      </c>
      <c r="AX195" s="90" t="str">
        <f t="shared" si="51"/>
        <v/>
      </c>
      <c r="AY195" s="90" t="str">
        <f t="shared" si="51"/>
        <v/>
      </c>
      <c r="AZ195" s="90" t="str">
        <f t="shared" si="51"/>
        <v/>
      </c>
      <c r="BA195" s="90" t="str">
        <f t="shared" si="51"/>
        <v/>
      </c>
      <c r="BB195" s="90" t="str">
        <f t="shared" si="51"/>
        <v/>
      </c>
      <c r="BC195" s="90" t="str">
        <f t="shared" si="51"/>
        <v/>
      </c>
    </row>
    <row r="196" spans="1:55" x14ac:dyDescent="0.25">
      <c r="A196" s="15" t="s">
        <v>51</v>
      </c>
      <c r="B196" s="16" t="s">
        <v>52</v>
      </c>
      <c r="C196" s="16" t="s">
        <v>55</v>
      </c>
      <c r="D196" s="2"/>
      <c r="E196" s="2"/>
      <c r="F196" s="47">
        <v>0</v>
      </c>
      <c r="G196" s="47">
        <v>0</v>
      </c>
      <c r="H196" s="1">
        <v>0</v>
      </c>
      <c r="I196" s="1">
        <v>0</v>
      </c>
      <c r="J196" s="1">
        <v>0</v>
      </c>
      <c r="K196" s="1">
        <v>0</v>
      </c>
      <c r="L196" s="52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54">
        <v>0</v>
      </c>
      <c r="Y196" s="58">
        <f t="shared" si="47"/>
        <v>0</v>
      </c>
      <c r="Z196" s="1">
        <f t="shared" si="48"/>
        <v>0</v>
      </c>
      <c r="AA196" s="1">
        <f t="shared" si="49"/>
        <v>0</v>
      </c>
      <c r="AC196" s="15" t="s">
        <v>51</v>
      </c>
      <c r="AD196" s="16" t="s">
        <v>52</v>
      </c>
      <c r="AE196" s="16" t="s">
        <v>55</v>
      </c>
      <c r="AF196" s="2"/>
      <c r="AG196" s="2"/>
      <c r="AH196" s="90" t="str">
        <f t="shared" si="50"/>
        <v/>
      </c>
      <c r="AI196" s="90" t="str">
        <f t="shared" si="50"/>
        <v/>
      </c>
      <c r="AJ196" s="90" t="str">
        <f t="shared" si="50"/>
        <v/>
      </c>
      <c r="AK196" s="90" t="str">
        <f t="shared" si="50"/>
        <v/>
      </c>
      <c r="AL196" s="90" t="str">
        <f t="shared" si="50"/>
        <v/>
      </c>
      <c r="AM196" s="90" t="str">
        <f t="shared" si="50"/>
        <v/>
      </c>
      <c r="AN196" s="90" t="str">
        <f t="shared" si="50"/>
        <v/>
      </c>
      <c r="AO196" s="90" t="str">
        <f t="shared" si="50"/>
        <v/>
      </c>
      <c r="AP196" s="90" t="str">
        <f t="shared" si="50"/>
        <v/>
      </c>
      <c r="AQ196" s="90" t="str">
        <f t="shared" si="50"/>
        <v/>
      </c>
      <c r="AR196" s="90" t="str">
        <f t="shared" si="50"/>
        <v/>
      </c>
      <c r="AS196" s="90" t="str">
        <f t="shared" si="50"/>
        <v/>
      </c>
      <c r="AT196" s="90" t="str">
        <f t="shared" si="50"/>
        <v/>
      </c>
      <c r="AU196" s="90" t="str">
        <f t="shared" si="50"/>
        <v/>
      </c>
      <c r="AV196" s="90" t="str">
        <f t="shared" si="50"/>
        <v/>
      </c>
      <c r="AW196" s="90" t="str">
        <f t="shared" si="50"/>
        <v/>
      </c>
      <c r="AX196" s="90" t="str">
        <f t="shared" si="51"/>
        <v/>
      </c>
      <c r="AY196" s="90" t="str">
        <f t="shared" si="51"/>
        <v/>
      </c>
      <c r="AZ196" s="90" t="str">
        <f t="shared" si="51"/>
        <v/>
      </c>
      <c r="BA196" s="90" t="str">
        <f t="shared" si="51"/>
        <v/>
      </c>
      <c r="BB196" s="90" t="str">
        <f t="shared" si="51"/>
        <v/>
      </c>
      <c r="BC196" s="90" t="str">
        <f t="shared" si="51"/>
        <v/>
      </c>
    </row>
    <row r="197" spans="1:55" x14ac:dyDescent="0.25">
      <c r="A197" s="25" t="s">
        <v>51</v>
      </c>
      <c r="B197" s="26" t="s">
        <v>56</v>
      </c>
      <c r="C197" s="26" t="s">
        <v>57</v>
      </c>
      <c r="D197" s="2"/>
      <c r="E197" s="2"/>
      <c r="F197" s="47">
        <v>0</v>
      </c>
      <c r="G197" s="47">
        <v>0</v>
      </c>
      <c r="H197" s="1">
        <v>0</v>
      </c>
      <c r="I197" s="1">
        <v>0</v>
      </c>
      <c r="J197" s="1">
        <v>0</v>
      </c>
      <c r="K197" s="1">
        <v>0</v>
      </c>
      <c r="L197" s="52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54">
        <v>0</v>
      </c>
      <c r="Y197" s="58">
        <f t="shared" si="47"/>
        <v>0</v>
      </c>
      <c r="Z197" s="1">
        <f t="shared" si="48"/>
        <v>0</v>
      </c>
      <c r="AA197" s="1">
        <f t="shared" si="49"/>
        <v>0</v>
      </c>
      <c r="AC197" s="25" t="s">
        <v>51</v>
      </c>
      <c r="AD197" s="26" t="s">
        <v>56</v>
      </c>
      <c r="AE197" s="26" t="s">
        <v>57</v>
      </c>
      <c r="AF197" s="2"/>
      <c r="AG197" s="2"/>
      <c r="AH197" s="90" t="str">
        <f t="shared" si="50"/>
        <v/>
      </c>
      <c r="AI197" s="90" t="str">
        <f t="shared" si="50"/>
        <v/>
      </c>
      <c r="AJ197" s="90" t="str">
        <f t="shared" si="50"/>
        <v/>
      </c>
      <c r="AK197" s="90" t="str">
        <f t="shared" si="50"/>
        <v/>
      </c>
      <c r="AL197" s="90" t="str">
        <f t="shared" si="50"/>
        <v/>
      </c>
      <c r="AM197" s="90" t="str">
        <f t="shared" si="50"/>
        <v/>
      </c>
      <c r="AN197" s="90" t="str">
        <f t="shared" si="50"/>
        <v/>
      </c>
      <c r="AO197" s="90" t="str">
        <f t="shared" si="50"/>
        <v/>
      </c>
      <c r="AP197" s="90" t="str">
        <f t="shared" si="50"/>
        <v/>
      </c>
      <c r="AQ197" s="90" t="str">
        <f t="shared" si="50"/>
        <v/>
      </c>
      <c r="AR197" s="90" t="str">
        <f t="shared" si="50"/>
        <v/>
      </c>
      <c r="AS197" s="90" t="str">
        <f t="shared" si="50"/>
        <v/>
      </c>
      <c r="AT197" s="90" t="str">
        <f t="shared" si="50"/>
        <v/>
      </c>
      <c r="AU197" s="90" t="str">
        <f t="shared" si="50"/>
        <v/>
      </c>
      <c r="AV197" s="90" t="str">
        <f t="shared" si="50"/>
        <v/>
      </c>
      <c r="AW197" s="90" t="str">
        <f t="shared" si="50"/>
        <v/>
      </c>
      <c r="AX197" s="90" t="str">
        <f t="shared" si="51"/>
        <v/>
      </c>
      <c r="AY197" s="90" t="str">
        <f t="shared" si="51"/>
        <v/>
      </c>
      <c r="AZ197" s="90" t="str">
        <f t="shared" si="51"/>
        <v/>
      </c>
      <c r="BA197" s="90" t="str">
        <f t="shared" si="51"/>
        <v/>
      </c>
      <c r="BB197" s="90" t="str">
        <f t="shared" si="51"/>
        <v/>
      </c>
      <c r="BC197" s="90" t="str">
        <f t="shared" si="51"/>
        <v/>
      </c>
    </row>
    <row r="198" spans="1:55" x14ac:dyDescent="0.25">
      <c r="A198" s="15" t="s">
        <v>51</v>
      </c>
      <c r="B198" s="16" t="s">
        <v>56</v>
      </c>
      <c r="C198" s="27" t="s">
        <v>58</v>
      </c>
      <c r="D198" s="2"/>
      <c r="E198" s="2"/>
      <c r="F198" s="47">
        <v>0</v>
      </c>
      <c r="G198" s="47">
        <v>0</v>
      </c>
      <c r="H198" s="1">
        <v>0</v>
      </c>
      <c r="I198" s="1">
        <v>0</v>
      </c>
      <c r="J198" s="1">
        <v>0</v>
      </c>
      <c r="K198" s="1">
        <v>0</v>
      </c>
      <c r="L198" s="52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54">
        <v>0</v>
      </c>
      <c r="Y198" s="58">
        <f t="shared" si="47"/>
        <v>0</v>
      </c>
      <c r="Z198" s="1">
        <f t="shared" si="48"/>
        <v>0</v>
      </c>
      <c r="AA198" s="1">
        <f t="shared" si="49"/>
        <v>0</v>
      </c>
      <c r="AC198" s="15" t="s">
        <v>51</v>
      </c>
      <c r="AD198" s="16" t="s">
        <v>56</v>
      </c>
      <c r="AE198" s="27" t="s">
        <v>58</v>
      </c>
      <c r="AF198" s="2"/>
      <c r="AG198" s="2"/>
      <c r="AH198" s="90" t="str">
        <f t="shared" si="50"/>
        <v/>
      </c>
      <c r="AI198" s="90" t="str">
        <f t="shared" si="50"/>
        <v/>
      </c>
      <c r="AJ198" s="90" t="str">
        <f t="shared" si="50"/>
        <v/>
      </c>
      <c r="AK198" s="90" t="str">
        <f t="shared" si="50"/>
        <v/>
      </c>
      <c r="AL198" s="90" t="str">
        <f t="shared" si="50"/>
        <v/>
      </c>
      <c r="AM198" s="90" t="str">
        <f t="shared" si="50"/>
        <v/>
      </c>
      <c r="AN198" s="90" t="str">
        <f t="shared" si="50"/>
        <v/>
      </c>
      <c r="AO198" s="90" t="str">
        <f t="shared" si="50"/>
        <v/>
      </c>
      <c r="AP198" s="90" t="str">
        <f t="shared" si="50"/>
        <v/>
      </c>
      <c r="AQ198" s="90" t="str">
        <f t="shared" si="50"/>
        <v/>
      </c>
      <c r="AR198" s="90" t="str">
        <f t="shared" si="50"/>
        <v/>
      </c>
      <c r="AS198" s="90" t="str">
        <f t="shared" si="50"/>
        <v/>
      </c>
      <c r="AT198" s="90" t="str">
        <f t="shared" si="50"/>
        <v/>
      </c>
      <c r="AU198" s="90" t="str">
        <f t="shared" si="50"/>
        <v/>
      </c>
      <c r="AV198" s="90" t="str">
        <f t="shared" si="50"/>
        <v/>
      </c>
      <c r="AW198" s="90" t="str">
        <f t="shared" si="50"/>
        <v/>
      </c>
      <c r="AX198" s="90" t="str">
        <f t="shared" si="51"/>
        <v/>
      </c>
      <c r="AY198" s="90" t="str">
        <f t="shared" si="51"/>
        <v/>
      </c>
      <c r="AZ198" s="90" t="str">
        <f t="shared" si="51"/>
        <v/>
      </c>
      <c r="BA198" s="90" t="str">
        <f t="shared" si="51"/>
        <v/>
      </c>
      <c r="BB198" s="90" t="str">
        <f t="shared" si="51"/>
        <v/>
      </c>
      <c r="BC198" s="90" t="str">
        <f t="shared" si="51"/>
        <v/>
      </c>
    </row>
    <row r="199" spans="1:55" x14ac:dyDescent="0.25">
      <c r="A199" s="15" t="s">
        <v>51</v>
      </c>
      <c r="B199" s="16" t="s">
        <v>9</v>
      </c>
      <c r="C199" s="27" t="s">
        <v>59</v>
      </c>
      <c r="D199" s="2"/>
      <c r="E199" s="2"/>
      <c r="F199" s="47">
        <v>0</v>
      </c>
      <c r="G199" s="47">
        <v>0</v>
      </c>
      <c r="H199" s="1">
        <v>0</v>
      </c>
      <c r="I199" s="1">
        <v>0</v>
      </c>
      <c r="J199" s="1">
        <v>0</v>
      </c>
      <c r="K199" s="1">
        <v>0</v>
      </c>
      <c r="L199" s="52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54">
        <v>0</v>
      </c>
      <c r="Y199" s="58">
        <f t="shared" si="47"/>
        <v>0</v>
      </c>
      <c r="Z199" s="1">
        <f t="shared" si="48"/>
        <v>0</v>
      </c>
      <c r="AA199" s="1">
        <f t="shared" si="49"/>
        <v>0</v>
      </c>
      <c r="AC199" s="15" t="s">
        <v>51</v>
      </c>
      <c r="AD199" s="16" t="s">
        <v>9</v>
      </c>
      <c r="AE199" s="27" t="s">
        <v>59</v>
      </c>
      <c r="AF199" s="2"/>
      <c r="AG199" s="2"/>
      <c r="AH199" s="90" t="str">
        <f t="shared" si="50"/>
        <v/>
      </c>
      <c r="AI199" s="90" t="str">
        <f t="shared" si="50"/>
        <v/>
      </c>
      <c r="AJ199" s="90" t="str">
        <f t="shared" si="50"/>
        <v/>
      </c>
      <c r="AK199" s="90" t="str">
        <f t="shared" si="50"/>
        <v/>
      </c>
      <c r="AL199" s="90" t="str">
        <f t="shared" si="50"/>
        <v/>
      </c>
      <c r="AM199" s="90" t="str">
        <f t="shared" si="50"/>
        <v/>
      </c>
      <c r="AN199" s="90" t="str">
        <f t="shared" si="50"/>
        <v/>
      </c>
      <c r="AO199" s="90" t="str">
        <f t="shared" si="50"/>
        <v/>
      </c>
      <c r="AP199" s="90" t="str">
        <f t="shared" si="50"/>
        <v/>
      </c>
      <c r="AQ199" s="90" t="str">
        <f t="shared" si="50"/>
        <v/>
      </c>
      <c r="AR199" s="90" t="str">
        <f t="shared" si="50"/>
        <v/>
      </c>
      <c r="AS199" s="90" t="str">
        <f t="shared" si="50"/>
        <v/>
      </c>
      <c r="AT199" s="90" t="str">
        <f t="shared" si="50"/>
        <v/>
      </c>
      <c r="AU199" s="90" t="str">
        <f t="shared" si="50"/>
        <v/>
      </c>
      <c r="AV199" s="90" t="str">
        <f t="shared" si="50"/>
        <v/>
      </c>
      <c r="AW199" s="90" t="str">
        <f t="shared" si="50"/>
        <v/>
      </c>
      <c r="AX199" s="90" t="str">
        <f t="shared" si="51"/>
        <v/>
      </c>
      <c r="AY199" s="90" t="str">
        <f t="shared" si="51"/>
        <v/>
      </c>
      <c r="AZ199" s="90" t="str">
        <f t="shared" si="51"/>
        <v/>
      </c>
      <c r="BA199" s="90" t="str">
        <f t="shared" si="51"/>
        <v/>
      </c>
      <c r="BB199" s="90" t="str">
        <f t="shared" si="51"/>
        <v/>
      </c>
      <c r="BC199" s="90" t="str">
        <f t="shared" si="51"/>
        <v/>
      </c>
    </row>
    <row r="200" spans="1:55" x14ac:dyDescent="0.25">
      <c r="A200" s="15" t="s">
        <v>51</v>
      </c>
      <c r="B200" s="16" t="s">
        <v>9</v>
      </c>
      <c r="C200" s="27" t="s">
        <v>9</v>
      </c>
      <c r="D200" s="2"/>
      <c r="E200" s="2"/>
      <c r="F200" s="47">
        <v>0</v>
      </c>
      <c r="G200" s="47">
        <v>0</v>
      </c>
      <c r="H200" s="1">
        <v>0</v>
      </c>
      <c r="I200" s="1">
        <v>0</v>
      </c>
      <c r="J200" s="1">
        <v>0</v>
      </c>
      <c r="K200" s="1">
        <v>0</v>
      </c>
      <c r="L200" s="52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54">
        <v>0</v>
      </c>
      <c r="Y200" s="58">
        <f t="shared" si="47"/>
        <v>0</v>
      </c>
      <c r="Z200" s="1">
        <f t="shared" si="48"/>
        <v>0</v>
      </c>
      <c r="AA200" s="1">
        <f t="shared" si="49"/>
        <v>0</v>
      </c>
      <c r="AC200" s="15" t="s">
        <v>51</v>
      </c>
      <c r="AD200" s="16" t="s">
        <v>9</v>
      </c>
      <c r="AE200" s="27" t="s">
        <v>9</v>
      </c>
      <c r="AF200" s="2"/>
      <c r="AG200" s="2"/>
      <c r="AH200" s="90" t="str">
        <f t="shared" si="50"/>
        <v/>
      </c>
      <c r="AI200" s="90" t="str">
        <f t="shared" si="50"/>
        <v/>
      </c>
      <c r="AJ200" s="90" t="str">
        <f t="shared" si="50"/>
        <v/>
      </c>
      <c r="AK200" s="90" t="str">
        <f t="shared" si="50"/>
        <v/>
      </c>
      <c r="AL200" s="90" t="str">
        <f t="shared" si="50"/>
        <v/>
      </c>
      <c r="AM200" s="90" t="str">
        <f t="shared" si="50"/>
        <v/>
      </c>
      <c r="AN200" s="90" t="str">
        <f t="shared" si="50"/>
        <v/>
      </c>
      <c r="AO200" s="90" t="str">
        <f t="shared" si="50"/>
        <v/>
      </c>
      <c r="AP200" s="90" t="str">
        <f t="shared" si="50"/>
        <v/>
      </c>
      <c r="AQ200" s="90" t="str">
        <f t="shared" si="50"/>
        <v/>
      </c>
      <c r="AR200" s="90" t="str">
        <f t="shared" si="50"/>
        <v/>
      </c>
      <c r="AS200" s="90" t="str">
        <f t="shared" si="50"/>
        <v/>
      </c>
      <c r="AT200" s="90" t="str">
        <f t="shared" si="50"/>
        <v/>
      </c>
      <c r="AU200" s="90" t="str">
        <f t="shared" si="50"/>
        <v/>
      </c>
      <c r="AV200" s="90" t="str">
        <f t="shared" si="50"/>
        <v/>
      </c>
      <c r="AW200" s="90" t="str">
        <f t="shared" ref="AW200:BC225" si="60">IF(U200&gt;0,U245/U200*1000,"")</f>
        <v/>
      </c>
      <c r="AX200" s="90" t="str">
        <f t="shared" si="51"/>
        <v/>
      </c>
      <c r="AY200" s="90" t="str">
        <f t="shared" si="51"/>
        <v/>
      </c>
      <c r="AZ200" s="90" t="str">
        <f t="shared" si="51"/>
        <v/>
      </c>
      <c r="BA200" s="90" t="str">
        <f t="shared" si="51"/>
        <v/>
      </c>
      <c r="BB200" s="90" t="str">
        <f t="shared" si="51"/>
        <v/>
      </c>
      <c r="BC200" s="90" t="str">
        <f t="shared" si="51"/>
        <v/>
      </c>
    </row>
    <row r="201" spans="1:55" x14ac:dyDescent="0.25">
      <c r="A201" s="28" t="s">
        <v>60</v>
      </c>
      <c r="B201" s="29" t="s">
        <v>13</v>
      </c>
      <c r="C201" s="29" t="s">
        <v>61</v>
      </c>
      <c r="D201" s="2"/>
      <c r="E201" s="2"/>
      <c r="F201" s="103">
        <f>165*0.75</f>
        <v>123.75</v>
      </c>
      <c r="G201" s="51">
        <v>0</v>
      </c>
      <c r="H201" s="91">
        <v>400</v>
      </c>
      <c r="I201" s="77">
        <f>I21/I156</f>
        <v>121.65517241379311</v>
      </c>
      <c r="J201" s="103">
        <f>72*0.75</f>
        <v>54</v>
      </c>
      <c r="K201" s="77">
        <f>K21/K156</f>
        <v>55.172413793103445</v>
      </c>
      <c r="L201" s="52">
        <v>0</v>
      </c>
      <c r="M201" s="80">
        <f>M21/M156</f>
        <v>12.5</v>
      </c>
      <c r="N201" s="107">
        <v>2.2000000000000002</v>
      </c>
      <c r="O201" s="107">
        <v>0.53</v>
      </c>
      <c r="P201" s="107">
        <f>1.4*0.3</f>
        <v>0.42</v>
      </c>
      <c r="Q201" s="84">
        <f t="shared" ref="Q201:X201" si="61">Q21/Q156</f>
        <v>3.5460992907801421</v>
      </c>
      <c r="R201" s="80">
        <f t="shared" si="61"/>
        <v>6.0362173038229381</v>
      </c>
      <c r="S201" s="51">
        <v>0</v>
      </c>
      <c r="T201" s="80">
        <f t="shared" si="61"/>
        <v>1.056338028169014</v>
      </c>
      <c r="U201" s="80">
        <f t="shared" si="61"/>
        <v>4.401408450704225</v>
      </c>
      <c r="V201" s="80">
        <f t="shared" si="61"/>
        <v>0.11737089201877934</v>
      </c>
      <c r="W201" s="80">
        <f t="shared" si="61"/>
        <v>0.32276995305164319</v>
      </c>
      <c r="X201" s="80">
        <f t="shared" si="61"/>
        <v>16.76727028839705</v>
      </c>
      <c r="Y201" s="59">
        <f t="shared" si="47"/>
        <v>754.57758620689663</v>
      </c>
      <c r="Z201" s="51">
        <f t="shared" si="48"/>
        <v>47.897474206943791</v>
      </c>
      <c r="AA201" s="51">
        <f t="shared" si="49"/>
        <v>802.47506041384042</v>
      </c>
      <c r="AB201" s="5" t="s">
        <v>124</v>
      </c>
      <c r="AC201" s="28" t="s">
        <v>60</v>
      </c>
      <c r="AD201" s="29" t="s">
        <v>13</v>
      </c>
      <c r="AE201" s="29" t="s">
        <v>61</v>
      </c>
      <c r="AF201" s="2"/>
      <c r="AG201" s="2"/>
      <c r="AH201" s="1">
        <f t="shared" ref="AH201:AV217" si="62">IF(F201&gt;0,F246/F201*1000,"")</f>
        <v>251.40291806958476</v>
      </c>
      <c r="AI201" s="1" t="str">
        <f t="shared" si="62"/>
        <v/>
      </c>
      <c r="AJ201" s="1">
        <f t="shared" si="62"/>
        <v>40.352941176470587</v>
      </c>
      <c r="AK201" s="1">
        <f t="shared" si="62"/>
        <v>170.58823529411765</v>
      </c>
      <c r="AL201" s="1">
        <f t="shared" si="62"/>
        <v>297.38562091503269</v>
      </c>
      <c r="AM201" s="1">
        <f t="shared" si="62"/>
        <v>170.58823529411765</v>
      </c>
      <c r="AN201" s="52" t="str">
        <f t="shared" si="62"/>
        <v/>
      </c>
      <c r="AO201" s="1">
        <f t="shared" si="62"/>
        <v>2222.2222222222222</v>
      </c>
      <c r="AP201" s="1">
        <f t="shared" si="62"/>
        <v>6249.9999999999991</v>
      </c>
      <c r="AQ201" s="1">
        <f t="shared" si="62"/>
        <v>67924.528301886792</v>
      </c>
      <c r="AR201" s="1">
        <f t="shared" si="62"/>
        <v>529100.52910052915</v>
      </c>
      <c r="AS201" s="1">
        <f t="shared" si="62"/>
        <v>5222.2222222222226</v>
      </c>
      <c r="AT201" s="1">
        <f t="shared" si="62"/>
        <v>2366.6666666666665</v>
      </c>
      <c r="AU201" s="1" t="str">
        <f t="shared" si="62"/>
        <v/>
      </c>
      <c r="AV201" s="1">
        <f t="shared" si="62"/>
        <v>2366.6666666666665</v>
      </c>
      <c r="AW201" s="1">
        <f t="shared" si="60"/>
        <v>2366.6666666666665</v>
      </c>
      <c r="AX201" s="1">
        <f t="shared" si="60"/>
        <v>2366.6666666666665</v>
      </c>
      <c r="AY201" s="1">
        <f t="shared" si="60"/>
        <v>2366.6666666666665</v>
      </c>
      <c r="AZ201" s="1">
        <f t="shared" si="60"/>
        <v>2366.6666666666665</v>
      </c>
      <c r="BA201" s="1">
        <f t="shared" si="60"/>
        <v>0</v>
      </c>
      <c r="BB201" s="1">
        <f t="shared" si="60"/>
        <v>0</v>
      </c>
      <c r="BC201" s="1">
        <f t="shared" si="60"/>
        <v>0</v>
      </c>
    </row>
    <row r="202" spans="1:55" x14ac:dyDescent="0.25">
      <c r="A202" s="36" t="s">
        <v>60</v>
      </c>
      <c r="B202" s="37" t="s">
        <v>13</v>
      </c>
      <c r="C202" s="29" t="s">
        <v>62</v>
      </c>
      <c r="D202" s="2"/>
      <c r="E202" s="2"/>
      <c r="F202" s="103">
        <f>165*0.25</f>
        <v>41.25</v>
      </c>
      <c r="G202" s="91">
        <v>165</v>
      </c>
      <c r="H202" s="91">
        <v>1200</v>
      </c>
      <c r="I202" s="51">
        <v>0</v>
      </c>
      <c r="J202" s="51">
        <v>0</v>
      </c>
      <c r="K202" s="51">
        <v>0</v>
      </c>
      <c r="L202" s="52">
        <v>0</v>
      </c>
      <c r="M202" s="51">
        <v>0</v>
      </c>
      <c r="N202" s="51">
        <v>0</v>
      </c>
      <c r="O202" s="51">
        <v>0</v>
      </c>
      <c r="P202" s="107">
        <f>1.4*0.7</f>
        <v>0.97999999999999987</v>
      </c>
      <c r="Q202" s="51">
        <v>0</v>
      </c>
      <c r="R202" s="51">
        <v>0</v>
      </c>
      <c r="S202" s="51">
        <v>0</v>
      </c>
      <c r="T202" s="51">
        <v>0</v>
      </c>
      <c r="U202" s="51">
        <v>0</v>
      </c>
      <c r="V202" s="51">
        <v>0</v>
      </c>
      <c r="W202" s="51">
        <v>0</v>
      </c>
      <c r="X202" s="55">
        <v>0</v>
      </c>
      <c r="Y202" s="59">
        <f t="shared" si="47"/>
        <v>1406.25</v>
      </c>
      <c r="Z202" s="51">
        <f t="shared" si="48"/>
        <v>0.97999999999999987</v>
      </c>
      <c r="AA202" s="51">
        <f t="shared" si="49"/>
        <v>1407.23</v>
      </c>
      <c r="AC202" s="36" t="s">
        <v>60</v>
      </c>
      <c r="AD202" s="37" t="s">
        <v>13</v>
      </c>
      <c r="AE202" s="29" t="s">
        <v>62</v>
      </c>
      <c r="AF202" s="2"/>
      <c r="AG202" s="2"/>
      <c r="AH202" s="1">
        <f t="shared" si="62"/>
        <v>323.23232323232327</v>
      </c>
      <c r="AI202" s="1">
        <f t="shared" si="62"/>
        <v>117.17171717171716</v>
      </c>
      <c r="AJ202" s="1">
        <f t="shared" si="62"/>
        <v>40.352941176470587</v>
      </c>
      <c r="AK202" s="1" t="str">
        <f t="shared" si="62"/>
        <v/>
      </c>
      <c r="AL202" s="1" t="str">
        <f t="shared" si="62"/>
        <v/>
      </c>
      <c r="AM202" s="1" t="str">
        <f t="shared" si="62"/>
        <v/>
      </c>
      <c r="AN202" s="52" t="str">
        <f t="shared" si="62"/>
        <v/>
      </c>
      <c r="AO202" s="1" t="str">
        <f t="shared" si="62"/>
        <v/>
      </c>
      <c r="AP202" s="1" t="str">
        <f t="shared" si="62"/>
        <v/>
      </c>
      <c r="AQ202" s="1" t="str">
        <f t="shared" si="62"/>
        <v/>
      </c>
      <c r="AR202" s="1">
        <f t="shared" si="62"/>
        <v>283446.71201814059</v>
      </c>
      <c r="AS202" s="1" t="str">
        <f t="shared" si="62"/>
        <v/>
      </c>
      <c r="AT202" s="1" t="str">
        <f t="shared" si="62"/>
        <v/>
      </c>
      <c r="AU202" s="1" t="str">
        <f t="shared" si="62"/>
        <v/>
      </c>
      <c r="AV202" s="1" t="str">
        <f t="shared" si="62"/>
        <v/>
      </c>
      <c r="AW202" s="1" t="str">
        <f t="shared" si="60"/>
        <v/>
      </c>
      <c r="AX202" s="1" t="str">
        <f t="shared" si="60"/>
        <v/>
      </c>
      <c r="AY202" s="1" t="str">
        <f t="shared" si="60"/>
        <v/>
      </c>
      <c r="AZ202" s="1" t="str">
        <f t="shared" si="60"/>
        <v/>
      </c>
      <c r="BA202" s="1">
        <f t="shared" si="60"/>
        <v>0</v>
      </c>
      <c r="BB202" s="1">
        <f t="shared" si="60"/>
        <v>0</v>
      </c>
      <c r="BC202" s="1">
        <f t="shared" si="60"/>
        <v>0</v>
      </c>
    </row>
    <row r="203" spans="1:55" x14ac:dyDescent="0.25">
      <c r="A203" s="30" t="s">
        <v>60</v>
      </c>
      <c r="B203" s="31" t="s">
        <v>13</v>
      </c>
      <c r="C203" s="32" t="s">
        <v>63</v>
      </c>
      <c r="D203" s="2"/>
      <c r="E203" s="2"/>
      <c r="F203" s="51">
        <v>0</v>
      </c>
      <c r="G203" s="51">
        <v>0</v>
      </c>
      <c r="H203" s="51">
        <v>0</v>
      </c>
      <c r="I203" s="51">
        <v>0</v>
      </c>
      <c r="J203" s="51">
        <v>0</v>
      </c>
      <c r="K203" s="51">
        <v>0</v>
      </c>
      <c r="L203" s="52">
        <v>0</v>
      </c>
      <c r="M203" s="51">
        <v>0</v>
      </c>
      <c r="N203" s="51">
        <v>0</v>
      </c>
      <c r="O203" s="51">
        <v>0</v>
      </c>
      <c r="P203" s="51">
        <v>0</v>
      </c>
      <c r="Q203" s="51">
        <v>0</v>
      </c>
      <c r="R203" s="51">
        <v>0</v>
      </c>
      <c r="S203" s="51">
        <v>0</v>
      </c>
      <c r="T203" s="51">
        <v>0</v>
      </c>
      <c r="U203" s="51">
        <v>0</v>
      </c>
      <c r="V203" s="51">
        <v>0</v>
      </c>
      <c r="W203" s="51">
        <v>0</v>
      </c>
      <c r="X203" s="55">
        <v>0</v>
      </c>
      <c r="Y203" s="59">
        <f t="shared" si="47"/>
        <v>0</v>
      </c>
      <c r="Z203" s="51">
        <f t="shared" si="48"/>
        <v>0</v>
      </c>
      <c r="AA203" s="51">
        <f t="shared" si="49"/>
        <v>0</v>
      </c>
      <c r="AC203" s="30" t="s">
        <v>60</v>
      </c>
      <c r="AD203" s="31" t="s">
        <v>13</v>
      </c>
      <c r="AE203" s="32" t="s">
        <v>63</v>
      </c>
      <c r="AF203" s="2"/>
      <c r="AG203" s="2"/>
      <c r="AH203" s="1" t="str">
        <f t="shared" si="62"/>
        <v/>
      </c>
      <c r="AI203" s="1" t="str">
        <f t="shared" si="62"/>
        <v/>
      </c>
      <c r="AJ203" s="1" t="str">
        <f t="shared" si="62"/>
        <v/>
      </c>
      <c r="AK203" s="1" t="str">
        <f t="shared" si="62"/>
        <v/>
      </c>
      <c r="AL203" s="1" t="str">
        <f t="shared" si="62"/>
        <v/>
      </c>
      <c r="AM203" s="1" t="str">
        <f t="shared" si="62"/>
        <v/>
      </c>
      <c r="AN203" s="52" t="str">
        <f t="shared" si="62"/>
        <v/>
      </c>
      <c r="AO203" s="1" t="str">
        <f t="shared" si="62"/>
        <v/>
      </c>
      <c r="AP203" s="1" t="str">
        <f t="shared" si="62"/>
        <v/>
      </c>
      <c r="AQ203" s="1" t="str">
        <f t="shared" si="62"/>
        <v/>
      </c>
      <c r="AR203" s="1" t="str">
        <f t="shared" si="62"/>
        <v/>
      </c>
      <c r="AS203" s="1" t="str">
        <f t="shared" si="62"/>
        <v/>
      </c>
      <c r="AT203" s="1" t="str">
        <f t="shared" si="62"/>
        <v/>
      </c>
      <c r="AU203" s="1" t="str">
        <f t="shared" si="62"/>
        <v/>
      </c>
      <c r="AV203" s="1" t="str">
        <f t="shared" si="62"/>
        <v/>
      </c>
      <c r="AW203" s="1" t="str">
        <f t="shared" si="60"/>
        <v/>
      </c>
      <c r="AX203" s="1" t="str">
        <f t="shared" si="60"/>
        <v/>
      </c>
      <c r="AY203" s="1" t="str">
        <f t="shared" si="60"/>
        <v/>
      </c>
      <c r="AZ203" s="1" t="str">
        <f t="shared" si="60"/>
        <v/>
      </c>
      <c r="BA203" s="1" t="str">
        <f t="shared" si="60"/>
        <v/>
      </c>
      <c r="BB203" s="1" t="str">
        <f t="shared" si="60"/>
        <v/>
      </c>
      <c r="BC203" s="1" t="str">
        <f t="shared" si="60"/>
        <v/>
      </c>
    </row>
    <row r="204" spans="1:55" x14ac:dyDescent="0.25">
      <c r="A204" s="30" t="s">
        <v>60</v>
      </c>
      <c r="B204" s="32" t="s">
        <v>23</v>
      </c>
      <c r="C204" s="31" t="s">
        <v>50</v>
      </c>
      <c r="D204" s="2"/>
      <c r="E204" s="2"/>
      <c r="F204" s="64">
        <v>0</v>
      </c>
      <c r="G204" s="51">
        <v>0</v>
      </c>
      <c r="H204" s="51">
        <v>0</v>
      </c>
      <c r="I204" s="51">
        <v>0</v>
      </c>
      <c r="J204" s="80">
        <f>J24/J159</f>
        <v>0.60666666666666669</v>
      </c>
      <c r="K204" s="77">
        <f>K24/K159</f>
        <v>681.81818181818176</v>
      </c>
      <c r="L204" s="52">
        <v>0</v>
      </c>
      <c r="M204" s="51">
        <v>0</v>
      </c>
      <c r="N204" s="107">
        <v>0.7</v>
      </c>
      <c r="O204" s="51">
        <v>0</v>
      </c>
      <c r="P204" s="51">
        <v>0</v>
      </c>
      <c r="Q204" s="51">
        <v>0</v>
      </c>
      <c r="R204" s="51">
        <v>0</v>
      </c>
      <c r="S204" s="51">
        <v>0</v>
      </c>
      <c r="T204" s="51">
        <v>0</v>
      </c>
      <c r="U204" s="51">
        <v>0</v>
      </c>
      <c r="V204" s="51">
        <v>0</v>
      </c>
      <c r="W204" s="51">
        <v>0</v>
      </c>
      <c r="X204" s="55">
        <v>0</v>
      </c>
      <c r="Y204" s="59">
        <f t="shared" si="47"/>
        <v>682.42484848484844</v>
      </c>
      <c r="Z204" s="51">
        <f t="shared" si="48"/>
        <v>0.7</v>
      </c>
      <c r="AA204" s="51">
        <f t="shared" si="49"/>
        <v>683.12484848484848</v>
      </c>
      <c r="AB204" s="64">
        <v>1200</v>
      </c>
      <c r="AC204" s="30" t="s">
        <v>60</v>
      </c>
      <c r="AD204" s="32" t="s">
        <v>23</v>
      </c>
      <c r="AE204" s="31" t="s">
        <v>50</v>
      </c>
      <c r="AF204" s="2"/>
      <c r="AG204" s="2"/>
      <c r="AH204" s="1" t="str">
        <f t="shared" si="62"/>
        <v/>
      </c>
      <c r="AI204" s="1" t="str">
        <f t="shared" si="62"/>
        <v/>
      </c>
      <c r="AJ204" s="1" t="str">
        <f t="shared" si="62"/>
        <v/>
      </c>
      <c r="AK204" s="1" t="str">
        <f t="shared" si="62"/>
        <v/>
      </c>
      <c r="AL204" s="1">
        <f t="shared" si="62"/>
        <v>692.30769230769226</v>
      </c>
      <c r="AM204" s="1">
        <f t="shared" si="62"/>
        <v>31.428571428571431</v>
      </c>
      <c r="AN204" s="52" t="str">
        <f t="shared" si="62"/>
        <v/>
      </c>
      <c r="AO204" s="1" t="str">
        <f t="shared" si="62"/>
        <v/>
      </c>
      <c r="AP204" s="1">
        <f t="shared" si="62"/>
        <v>30769.230769230773</v>
      </c>
      <c r="AQ204" s="1" t="str">
        <f t="shared" si="62"/>
        <v/>
      </c>
      <c r="AR204" s="1" t="str">
        <f t="shared" si="62"/>
        <v/>
      </c>
      <c r="AS204" s="1" t="str">
        <f t="shared" si="62"/>
        <v/>
      </c>
      <c r="AT204" s="1" t="str">
        <f t="shared" si="62"/>
        <v/>
      </c>
      <c r="AU204" s="1" t="str">
        <f t="shared" si="62"/>
        <v/>
      </c>
      <c r="AV204" s="1" t="str">
        <f t="shared" si="62"/>
        <v/>
      </c>
      <c r="AW204" s="1" t="str">
        <f t="shared" si="60"/>
        <v/>
      </c>
      <c r="AX204" s="1" t="str">
        <f t="shared" si="60"/>
        <v/>
      </c>
      <c r="AY204" s="1" t="str">
        <f t="shared" si="60"/>
        <v/>
      </c>
      <c r="AZ204" s="1" t="str">
        <f t="shared" si="60"/>
        <v/>
      </c>
      <c r="BA204" s="1">
        <f t="shared" si="60"/>
        <v>0</v>
      </c>
      <c r="BB204" s="1">
        <f t="shared" si="60"/>
        <v>0</v>
      </c>
      <c r="BC204" s="1">
        <f t="shared" si="60"/>
        <v>0</v>
      </c>
    </row>
    <row r="205" spans="1:55" x14ac:dyDescent="0.25">
      <c r="A205" s="30" t="s">
        <v>60</v>
      </c>
      <c r="B205" s="32" t="s">
        <v>23</v>
      </c>
      <c r="C205" s="31" t="s">
        <v>49</v>
      </c>
      <c r="D205" s="2"/>
      <c r="E205" s="2"/>
      <c r="F205" s="51">
        <v>0</v>
      </c>
      <c r="G205" s="51">
        <v>0</v>
      </c>
      <c r="H205" s="51">
        <v>0</v>
      </c>
      <c r="I205" s="51">
        <v>0</v>
      </c>
      <c r="J205" s="80">
        <f>J25/J160</f>
        <v>33</v>
      </c>
      <c r="K205" s="80">
        <f>K25/K160</f>
        <v>6.125</v>
      </c>
      <c r="L205" s="52">
        <v>0</v>
      </c>
      <c r="M205" s="51">
        <v>0</v>
      </c>
      <c r="N205" s="51">
        <v>0</v>
      </c>
      <c r="O205" s="51">
        <v>0</v>
      </c>
      <c r="P205" s="51">
        <v>0</v>
      </c>
      <c r="Q205" s="51">
        <v>0</v>
      </c>
      <c r="R205" s="51">
        <v>0</v>
      </c>
      <c r="S205" s="77">
        <f t="shared" ref="S205:X205" si="63">S25/S160</f>
        <v>2.4500000000000002</v>
      </c>
      <c r="T205" s="80">
        <f t="shared" si="63"/>
        <v>1.6009852216748768</v>
      </c>
      <c r="U205" s="86">
        <v>0</v>
      </c>
      <c r="V205" s="80">
        <f t="shared" si="63"/>
        <v>0.24630541871921183</v>
      </c>
      <c r="W205" s="86">
        <v>0</v>
      </c>
      <c r="X205" s="80">
        <f t="shared" si="63"/>
        <v>1</v>
      </c>
      <c r="Y205" s="59">
        <f t="shared" si="47"/>
        <v>39.125</v>
      </c>
      <c r="Z205" s="51">
        <f t="shared" si="48"/>
        <v>5.2972906403940883</v>
      </c>
      <c r="AA205" s="51">
        <f t="shared" si="49"/>
        <v>44.422290640394088</v>
      </c>
      <c r="AB205" s="97">
        <v>900</v>
      </c>
      <c r="AC205" s="30" t="s">
        <v>60</v>
      </c>
      <c r="AD205" s="32" t="s">
        <v>23</v>
      </c>
      <c r="AE205" s="31" t="s">
        <v>49</v>
      </c>
      <c r="AF205" s="2"/>
      <c r="AG205" s="2"/>
      <c r="AH205" s="1" t="str">
        <f t="shared" si="62"/>
        <v/>
      </c>
      <c r="AI205" s="1" t="str">
        <f t="shared" si="62"/>
        <v/>
      </c>
      <c r="AJ205" s="1" t="str">
        <f t="shared" si="62"/>
        <v/>
      </c>
      <c r="AK205" s="1" t="str">
        <f t="shared" si="62"/>
        <v/>
      </c>
      <c r="AL205" s="1">
        <f t="shared" si="62"/>
        <v>888.8888888888888</v>
      </c>
      <c r="AM205" s="1">
        <f t="shared" si="62"/>
        <v>888.88888888888891</v>
      </c>
      <c r="AN205" s="52" t="str">
        <f t="shared" si="62"/>
        <v/>
      </c>
      <c r="AO205" s="1" t="str">
        <f t="shared" si="62"/>
        <v/>
      </c>
      <c r="AP205" s="1" t="str">
        <f t="shared" si="62"/>
        <v/>
      </c>
      <c r="AQ205" s="1" t="str">
        <f t="shared" si="62"/>
        <v/>
      </c>
      <c r="AR205" s="1" t="str">
        <f t="shared" si="62"/>
        <v/>
      </c>
      <c r="AS205" s="1" t="str">
        <f t="shared" si="62"/>
        <v/>
      </c>
      <c r="AT205" s="1" t="str">
        <f t="shared" si="62"/>
        <v/>
      </c>
      <c r="AU205" s="1">
        <f t="shared" si="62"/>
        <v>2222.2222222222222</v>
      </c>
      <c r="AV205" s="1">
        <f t="shared" si="62"/>
        <v>11600.000000000002</v>
      </c>
      <c r="AW205" s="1" t="str">
        <f t="shared" si="60"/>
        <v/>
      </c>
      <c r="AX205" s="1">
        <f t="shared" si="60"/>
        <v>9022.2222222222226</v>
      </c>
      <c r="AY205" s="1" t="str">
        <f t="shared" si="60"/>
        <v/>
      </c>
      <c r="AZ205" s="1">
        <f t="shared" si="60"/>
        <v>2222.2222222222222</v>
      </c>
      <c r="BA205" s="1">
        <f t="shared" si="60"/>
        <v>0</v>
      </c>
      <c r="BB205" s="1">
        <f t="shared" si="60"/>
        <v>0</v>
      </c>
      <c r="BC205" s="1">
        <f t="shared" si="60"/>
        <v>0</v>
      </c>
    </row>
    <row r="206" spans="1:55" x14ac:dyDescent="0.25">
      <c r="A206" s="30" t="s">
        <v>60</v>
      </c>
      <c r="B206" s="32" t="s">
        <v>23</v>
      </c>
      <c r="C206" s="31" t="s">
        <v>64</v>
      </c>
      <c r="D206" s="2"/>
      <c r="E206" s="2"/>
      <c r="F206" s="51">
        <v>0</v>
      </c>
      <c r="G206" s="51">
        <v>0</v>
      </c>
      <c r="H206" s="51">
        <v>0</v>
      </c>
      <c r="I206" s="51">
        <v>0</v>
      </c>
      <c r="J206" s="51">
        <v>0</v>
      </c>
      <c r="K206" s="51">
        <v>0</v>
      </c>
      <c r="L206" s="52">
        <v>0</v>
      </c>
      <c r="M206" s="51">
        <v>0</v>
      </c>
      <c r="N206" s="51">
        <v>0</v>
      </c>
      <c r="O206" s="51">
        <v>0</v>
      </c>
      <c r="P206" s="51">
        <v>0</v>
      </c>
      <c r="Q206" s="51">
        <v>0</v>
      </c>
      <c r="R206" s="51">
        <v>0</v>
      </c>
      <c r="S206" s="51">
        <v>0</v>
      </c>
      <c r="T206" s="51">
        <v>0</v>
      </c>
      <c r="U206" s="51">
        <v>0</v>
      </c>
      <c r="V206" s="51">
        <v>0</v>
      </c>
      <c r="W206" s="51">
        <v>0</v>
      </c>
      <c r="X206" s="55">
        <v>0</v>
      </c>
      <c r="Y206" s="59">
        <f t="shared" si="47"/>
        <v>0</v>
      </c>
      <c r="Z206" s="51">
        <f t="shared" si="48"/>
        <v>0</v>
      </c>
      <c r="AA206" s="51">
        <f t="shared" si="49"/>
        <v>0</v>
      </c>
      <c r="AC206" s="30" t="s">
        <v>60</v>
      </c>
      <c r="AD206" s="32" t="s">
        <v>23</v>
      </c>
      <c r="AE206" s="31" t="s">
        <v>64</v>
      </c>
      <c r="AF206" s="2"/>
      <c r="AG206" s="2"/>
      <c r="AH206" s="1" t="str">
        <f t="shared" si="62"/>
        <v/>
      </c>
      <c r="AI206" s="1" t="str">
        <f t="shared" si="62"/>
        <v/>
      </c>
      <c r="AJ206" s="1" t="str">
        <f t="shared" si="62"/>
        <v/>
      </c>
      <c r="AK206" s="1" t="str">
        <f t="shared" si="62"/>
        <v/>
      </c>
      <c r="AL206" s="1" t="str">
        <f t="shared" si="62"/>
        <v/>
      </c>
      <c r="AM206" s="1" t="str">
        <f t="shared" si="62"/>
        <v/>
      </c>
      <c r="AN206" s="52" t="str">
        <f t="shared" si="62"/>
        <v/>
      </c>
      <c r="AO206" s="1" t="str">
        <f t="shared" si="62"/>
        <v/>
      </c>
      <c r="AP206" s="1" t="str">
        <f t="shared" si="62"/>
        <v/>
      </c>
      <c r="AQ206" s="1" t="str">
        <f t="shared" si="62"/>
        <v/>
      </c>
      <c r="AR206" s="1" t="str">
        <f t="shared" si="62"/>
        <v/>
      </c>
      <c r="AS206" s="1" t="str">
        <f t="shared" si="62"/>
        <v/>
      </c>
      <c r="AT206" s="1" t="str">
        <f t="shared" si="62"/>
        <v/>
      </c>
      <c r="AU206" s="1" t="str">
        <f t="shared" si="62"/>
        <v/>
      </c>
      <c r="AV206" s="1" t="str">
        <f t="shared" si="62"/>
        <v/>
      </c>
      <c r="AW206" s="1" t="str">
        <f t="shared" si="60"/>
        <v/>
      </c>
      <c r="AX206" s="1" t="str">
        <f t="shared" si="60"/>
        <v/>
      </c>
      <c r="AY206" s="1" t="str">
        <f t="shared" si="60"/>
        <v/>
      </c>
      <c r="AZ206" s="1" t="str">
        <f t="shared" si="60"/>
        <v/>
      </c>
      <c r="BA206" s="1" t="str">
        <f t="shared" si="60"/>
        <v/>
      </c>
      <c r="BB206" s="1" t="str">
        <f t="shared" si="60"/>
        <v/>
      </c>
      <c r="BC206" s="1" t="str">
        <f t="shared" si="60"/>
        <v/>
      </c>
    </row>
    <row r="207" spans="1:55" x14ac:dyDescent="0.25">
      <c r="A207" s="30" t="s">
        <v>60</v>
      </c>
      <c r="B207" s="32" t="s">
        <v>65</v>
      </c>
      <c r="C207" s="31" t="s">
        <v>66</v>
      </c>
      <c r="D207" s="2"/>
      <c r="E207" s="2"/>
      <c r="F207" s="51">
        <v>0</v>
      </c>
      <c r="G207" s="51">
        <v>0</v>
      </c>
      <c r="H207" s="51">
        <v>0</v>
      </c>
      <c r="I207" s="51">
        <v>0</v>
      </c>
      <c r="J207" s="80">
        <f>J27/J162</f>
        <v>81.845238095238102</v>
      </c>
      <c r="K207" s="51">
        <v>0</v>
      </c>
      <c r="L207" s="52">
        <v>0</v>
      </c>
      <c r="M207" s="81">
        <f>M27/M162</f>
        <v>37.5</v>
      </c>
      <c r="N207" s="51">
        <v>0</v>
      </c>
      <c r="O207" s="51">
        <v>0</v>
      </c>
      <c r="P207" s="51">
        <v>0</v>
      </c>
      <c r="Q207" s="51">
        <v>0</v>
      </c>
      <c r="R207" s="51">
        <v>0</v>
      </c>
      <c r="S207" s="51">
        <v>0</v>
      </c>
      <c r="T207" s="51">
        <v>0</v>
      </c>
      <c r="U207" s="51">
        <v>0</v>
      </c>
      <c r="V207" s="51">
        <v>0</v>
      </c>
      <c r="W207" s="51">
        <v>0</v>
      </c>
      <c r="X207" s="55">
        <v>0</v>
      </c>
      <c r="Y207" s="59">
        <f t="shared" si="47"/>
        <v>81.845238095238102</v>
      </c>
      <c r="Z207" s="51">
        <f t="shared" si="48"/>
        <v>37.5</v>
      </c>
      <c r="AA207" s="51">
        <f t="shared" si="49"/>
        <v>119.3452380952381</v>
      </c>
      <c r="AC207" s="30" t="s">
        <v>60</v>
      </c>
      <c r="AD207" s="32" t="s">
        <v>65</v>
      </c>
      <c r="AE207" s="31" t="s">
        <v>66</v>
      </c>
      <c r="AF207" s="2"/>
      <c r="AG207" s="2"/>
      <c r="AH207" s="1" t="str">
        <f t="shared" si="62"/>
        <v/>
      </c>
      <c r="AI207" s="1" t="str">
        <f t="shared" si="62"/>
        <v/>
      </c>
      <c r="AJ207" s="1" t="str">
        <f t="shared" si="62"/>
        <v/>
      </c>
      <c r="AK207" s="1" t="str">
        <f t="shared" si="62"/>
        <v/>
      </c>
      <c r="AL207" s="1">
        <f t="shared" si="62"/>
        <v>1400</v>
      </c>
      <c r="AM207" s="1" t="str">
        <f t="shared" si="62"/>
        <v/>
      </c>
      <c r="AN207" s="52" t="str">
        <f t="shared" si="62"/>
        <v/>
      </c>
      <c r="AO207" s="1">
        <f t="shared" si="62"/>
        <v>7500</v>
      </c>
      <c r="AP207" s="1" t="str">
        <f t="shared" si="62"/>
        <v/>
      </c>
      <c r="AQ207" s="1" t="str">
        <f t="shared" si="62"/>
        <v/>
      </c>
      <c r="AR207" s="1" t="str">
        <f t="shared" si="62"/>
        <v/>
      </c>
      <c r="AS207" s="1" t="str">
        <f t="shared" si="62"/>
        <v/>
      </c>
      <c r="AT207" s="1" t="str">
        <f t="shared" si="62"/>
        <v/>
      </c>
      <c r="AU207" s="1" t="str">
        <f t="shared" si="62"/>
        <v/>
      </c>
      <c r="AV207" s="1" t="str">
        <f t="shared" si="62"/>
        <v/>
      </c>
      <c r="AW207" s="1" t="str">
        <f t="shared" si="60"/>
        <v/>
      </c>
      <c r="AX207" s="1" t="str">
        <f t="shared" si="60"/>
        <v/>
      </c>
      <c r="AY207" s="1" t="str">
        <f t="shared" si="60"/>
        <v/>
      </c>
      <c r="AZ207" s="1" t="str">
        <f t="shared" si="60"/>
        <v/>
      </c>
      <c r="BA207" s="1">
        <f t="shared" si="60"/>
        <v>0</v>
      </c>
      <c r="BB207" s="1">
        <f t="shared" si="60"/>
        <v>0</v>
      </c>
      <c r="BC207" s="1">
        <f t="shared" si="60"/>
        <v>0</v>
      </c>
    </row>
    <row r="208" spans="1:55" x14ac:dyDescent="0.25">
      <c r="A208" s="30" t="s">
        <v>60</v>
      </c>
      <c r="B208" s="32" t="s">
        <v>65</v>
      </c>
      <c r="C208" s="31" t="s">
        <v>67</v>
      </c>
      <c r="D208" s="2"/>
      <c r="E208" s="2"/>
      <c r="F208" s="51">
        <v>0</v>
      </c>
      <c r="G208" s="51">
        <v>0</v>
      </c>
      <c r="H208" s="51">
        <v>0</v>
      </c>
      <c r="I208" s="51">
        <v>0</v>
      </c>
      <c r="J208" s="51">
        <v>0</v>
      </c>
      <c r="K208" s="51">
        <v>0</v>
      </c>
      <c r="L208" s="52">
        <v>0</v>
      </c>
      <c r="M208" s="51">
        <v>0</v>
      </c>
      <c r="N208" s="51">
        <v>0</v>
      </c>
      <c r="O208" s="51">
        <v>0</v>
      </c>
      <c r="P208" s="51">
        <v>0</v>
      </c>
      <c r="Q208" s="80">
        <f>Q28/Q163</f>
        <v>29.787234042553191</v>
      </c>
      <c r="R208" s="80">
        <f>R28/R163</f>
        <v>39.123630672926453</v>
      </c>
      <c r="S208" s="51">
        <v>0</v>
      </c>
      <c r="T208" s="80">
        <f>T28/T163</f>
        <v>40.688575899843514</v>
      </c>
      <c r="U208" s="80">
        <f>U28/U163</f>
        <v>48.904538341158066</v>
      </c>
      <c r="V208" s="80">
        <f>V28/V163</f>
        <v>9.7809076682316132</v>
      </c>
      <c r="W208" s="80">
        <f>W28/W163</f>
        <v>16.627543035993742</v>
      </c>
      <c r="X208" s="80">
        <f>X28/X163</f>
        <v>15.649452269170579</v>
      </c>
      <c r="Y208" s="59">
        <f t="shared" si="47"/>
        <v>0</v>
      </c>
      <c r="Z208" s="51">
        <f t="shared" si="48"/>
        <v>200.56188192987716</v>
      </c>
      <c r="AA208" s="51">
        <f t="shared" si="49"/>
        <v>200.56188192987716</v>
      </c>
      <c r="AC208" s="30" t="s">
        <v>60</v>
      </c>
      <c r="AD208" s="32" t="s">
        <v>65</v>
      </c>
      <c r="AE208" s="31" t="s">
        <v>67</v>
      </c>
      <c r="AF208" s="2"/>
      <c r="AG208" s="2"/>
      <c r="AH208" s="1" t="str">
        <f t="shared" si="62"/>
        <v/>
      </c>
      <c r="AI208" s="1" t="str">
        <f t="shared" si="62"/>
        <v/>
      </c>
      <c r="AJ208" s="1" t="str">
        <f t="shared" si="62"/>
        <v/>
      </c>
      <c r="AK208" s="1" t="str">
        <f t="shared" si="62"/>
        <v/>
      </c>
      <c r="AL208" s="1" t="str">
        <f t="shared" si="62"/>
        <v/>
      </c>
      <c r="AM208" s="1" t="str">
        <f t="shared" si="62"/>
        <v/>
      </c>
      <c r="AN208" s="52" t="str">
        <f t="shared" si="62"/>
        <v/>
      </c>
      <c r="AO208" s="1" t="str">
        <f t="shared" si="62"/>
        <v/>
      </c>
      <c r="AP208" s="1" t="str">
        <f t="shared" si="62"/>
        <v/>
      </c>
      <c r="AQ208" s="1" t="str">
        <f t="shared" si="62"/>
        <v/>
      </c>
      <c r="AR208" s="1" t="str">
        <f t="shared" si="62"/>
        <v/>
      </c>
      <c r="AS208" s="1">
        <f t="shared" si="62"/>
        <v>26857.142857142859</v>
      </c>
      <c r="AT208" s="1">
        <f t="shared" si="62"/>
        <v>12171.428571428571</v>
      </c>
      <c r="AU208" s="1" t="str">
        <f t="shared" si="62"/>
        <v/>
      </c>
      <c r="AV208" s="1">
        <f t="shared" si="62"/>
        <v>12171.428571428571</v>
      </c>
      <c r="AW208" s="1">
        <f t="shared" si="60"/>
        <v>12171.428571428571</v>
      </c>
      <c r="AX208" s="1">
        <f t="shared" si="60"/>
        <v>12171.428571428571</v>
      </c>
      <c r="AY208" s="1">
        <f t="shared" si="60"/>
        <v>12171.428571428571</v>
      </c>
      <c r="AZ208" s="1">
        <f t="shared" si="60"/>
        <v>12171.428571428571</v>
      </c>
      <c r="BA208" s="1" t="str">
        <f t="shared" si="60"/>
        <v/>
      </c>
      <c r="BB208" s="1">
        <f t="shared" si="60"/>
        <v>0</v>
      </c>
      <c r="BC208" s="1">
        <f t="shared" si="60"/>
        <v>0</v>
      </c>
    </row>
    <row r="209" spans="1:55" x14ac:dyDescent="0.25">
      <c r="A209" s="30" t="s">
        <v>60</v>
      </c>
      <c r="B209" s="32" t="s">
        <v>65</v>
      </c>
      <c r="C209" s="31" t="s">
        <v>68</v>
      </c>
      <c r="D209" s="2"/>
      <c r="E209" s="2"/>
      <c r="F209" s="51">
        <v>0</v>
      </c>
      <c r="G209" s="51">
        <v>0</v>
      </c>
      <c r="H209" s="51">
        <v>0</v>
      </c>
      <c r="I209" s="51">
        <v>0</v>
      </c>
      <c r="J209" s="51">
        <v>0</v>
      </c>
      <c r="K209" s="51">
        <v>0</v>
      </c>
      <c r="L209" s="80">
        <f>L29/L164</f>
        <v>362.96296296296299</v>
      </c>
      <c r="M209" s="51">
        <v>0</v>
      </c>
      <c r="N209" s="51">
        <v>0</v>
      </c>
      <c r="O209" s="51">
        <v>0</v>
      </c>
      <c r="P209" s="51">
        <v>0</v>
      </c>
      <c r="Q209" s="51">
        <v>0</v>
      </c>
      <c r="R209" s="51">
        <v>0</v>
      </c>
      <c r="S209" s="51">
        <v>0</v>
      </c>
      <c r="T209" s="51">
        <v>0</v>
      </c>
      <c r="U209" s="51">
        <v>0</v>
      </c>
      <c r="V209" s="51">
        <v>0</v>
      </c>
      <c r="W209" s="51">
        <v>0</v>
      </c>
      <c r="X209" s="55">
        <v>0</v>
      </c>
      <c r="Y209" s="59">
        <f t="shared" si="47"/>
        <v>0</v>
      </c>
      <c r="Z209" s="51">
        <f t="shared" si="48"/>
        <v>0</v>
      </c>
      <c r="AA209" s="51">
        <f t="shared" si="49"/>
        <v>362.96296296296299</v>
      </c>
      <c r="AC209" s="30" t="s">
        <v>60</v>
      </c>
      <c r="AD209" s="32" t="s">
        <v>65</v>
      </c>
      <c r="AE209" s="31" t="s">
        <v>68</v>
      </c>
      <c r="AF209" s="2"/>
      <c r="AG209" s="2"/>
      <c r="AH209" s="1" t="str">
        <f t="shared" si="62"/>
        <v/>
      </c>
      <c r="AI209" s="1" t="str">
        <f t="shared" si="62"/>
        <v/>
      </c>
      <c r="AJ209" s="1" t="str">
        <f t="shared" si="62"/>
        <v/>
      </c>
      <c r="AK209" s="1" t="str">
        <f t="shared" si="62"/>
        <v/>
      </c>
      <c r="AL209" s="1" t="str">
        <f t="shared" si="62"/>
        <v/>
      </c>
      <c r="AM209" s="1" t="str">
        <f t="shared" si="62"/>
        <v/>
      </c>
      <c r="AN209" s="52">
        <f t="shared" si="62"/>
        <v>18750</v>
      </c>
      <c r="AO209" s="1" t="str">
        <f t="shared" si="62"/>
        <v/>
      </c>
      <c r="AP209" s="1" t="str">
        <f t="shared" si="62"/>
        <v/>
      </c>
      <c r="AQ209" s="1" t="str">
        <f t="shared" si="62"/>
        <v/>
      </c>
      <c r="AR209" s="1" t="str">
        <f t="shared" si="62"/>
        <v/>
      </c>
      <c r="AS209" s="1" t="str">
        <f t="shared" si="62"/>
        <v/>
      </c>
      <c r="AT209" s="1" t="str">
        <f t="shared" si="62"/>
        <v/>
      </c>
      <c r="AU209" s="1" t="str">
        <f t="shared" si="62"/>
        <v/>
      </c>
      <c r="AV209" s="1" t="str">
        <f t="shared" si="62"/>
        <v/>
      </c>
      <c r="AW209" s="1" t="str">
        <f t="shared" si="60"/>
        <v/>
      </c>
      <c r="AX209" s="1" t="str">
        <f t="shared" si="60"/>
        <v/>
      </c>
      <c r="AY209" s="1" t="str">
        <f t="shared" si="60"/>
        <v/>
      </c>
      <c r="AZ209" s="1" t="str">
        <f t="shared" si="60"/>
        <v/>
      </c>
      <c r="BA209" s="1" t="str">
        <f t="shared" si="60"/>
        <v/>
      </c>
      <c r="BB209" s="1" t="str">
        <f t="shared" si="60"/>
        <v/>
      </c>
      <c r="BC209" s="1">
        <f t="shared" si="60"/>
        <v>0</v>
      </c>
    </row>
    <row r="210" spans="1:55" x14ac:dyDescent="0.25">
      <c r="A210" s="30" t="s">
        <v>60</v>
      </c>
      <c r="B210" s="32" t="s">
        <v>9</v>
      </c>
      <c r="C210" s="31" t="s">
        <v>69</v>
      </c>
      <c r="D210" s="2"/>
      <c r="E210" s="2"/>
      <c r="F210" s="51">
        <v>0</v>
      </c>
      <c r="G210" s="51">
        <v>0</v>
      </c>
      <c r="H210" s="51">
        <v>0</v>
      </c>
      <c r="I210" s="51">
        <v>0</v>
      </c>
      <c r="J210" s="51">
        <v>0</v>
      </c>
      <c r="K210" s="51">
        <v>0</v>
      </c>
      <c r="L210" s="52">
        <v>0</v>
      </c>
      <c r="M210" s="51">
        <v>0</v>
      </c>
      <c r="N210" s="51">
        <v>0</v>
      </c>
      <c r="O210" s="51">
        <v>0</v>
      </c>
      <c r="P210" s="51">
        <v>0</v>
      </c>
      <c r="Q210" s="51">
        <v>0</v>
      </c>
      <c r="R210" s="51">
        <v>0</v>
      </c>
      <c r="S210" s="51">
        <v>0</v>
      </c>
      <c r="T210" s="51">
        <v>0</v>
      </c>
      <c r="U210" s="51">
        <v>0</v>
      </c>
      <c r="V210" s="51">
        <v>0</v>
      </c>
      <c r="W210" s="51">
        <v>0</v>
      </c>
      <c r="X210" s="80">
        <f>X30/X165</f>
        <v>3.4931813100827185</v>
      </c>
      <c r="Y210" s="80">
        <f t="shared" si="47"/>
        <v>0</v>
      </c>
      <c r="Z210" s="80">
        <f t="shared" si="48"/>
        <v>3.4931813100827185</v>
      </c>
      <c r="AA210" s="51">
        <f t="shared" si="49"/>
        <v>3.4931813100827185</v>
      </c>
      <c r="AC210" s="30" t="s">
        <v>60</v>
      </c>
      <c r="AD210" s="32" t="s">
        <v>9</v>
      </c>
      <c r="AE210" s="31" t="s">
        <v>69</v>
      </c>
      <c r="AF210" s="2"/>
      <c r="AG210" s="2"/>
      <c r="AH210" s="1" t="str">
        <f t="shared" si="62"/>
        <v/>
      </c>
      <c r="AI210" s="1" t="str">
        <f t="shared" si="62"/>
        <v/>
      </c>
      <c r="AJ210" s="1" t="str">
        <f t="shared" si="62"/>
        <v/>
      </c>
      <c r="AK210" s="1" t="str">
        <f t="shared" si="62"/>
        <v/>
      </c>
      <c r="AL210" s="1" t="str">
        <f t="shared" si="62"/>
        <v/>
      </c>
      <c r="AM210" s="1" t="str">
        <f t="shared" si="62"/>
        <v/>
      </c>
      <c r="AN210" s="52" t="str">
        <f t="shared" si="62"/>
        <v/>
      </c>
      <c r="AO210" s="1" t="str">
        <f t="shared" si="62"/>
        <v/>
      </c>
      <c r="AP210" s="1" t="str">
        <f t="shared" si="62"/>
        <v/>
      </c>
      <c r="AQ210" s="1" t="str">
        <f t="shared" si="62"/>
        <v/>
      </c>
      <c r="AR210" s="1" t="str">
        <f t="shared" si="62"/>
        <v/>
      </c>
      <c r="AS210" s="1" t="str">
        <f t="shared" si="62"/>
        <v/>
      </c>
      <c r="AT210" s="1" t="str">
        <f t="shared" si="62"/>
        <v/>
      </c>
      <c r="AU210" s="1" t="str">
        <f t="shared" si="62"/>
        <v/>
      </c>
      <c r="AV210" s="1" t="str">
        <f t="shared" si="62"/>
        <v/>
      </c>
      <c r="AW210" s="1" t="str">
        <f t="shared" si="60"/>
        <v/>
      </c>
      <c r="AX210" s="1" t="str">
        <f t="shared" si="60"/>
        <v/>
      </c>
      <c r="AY210" s="1" t="str">
        <f t="shared" si="60"/>
        <v/>
      </c>
      <c r="AZ210" s="1">
        <f t="shared" si="60"/>
        <v>7100</v>
      </c>
      <c r="BA210" s="1" t="str">
        <f t="shared" si="60"/>
        <v/>
      </c>
      <c r="BB210" s="1">
        <f t="shared" si="60"/>
        <v>0</v>
      </c>
      <c r="BC210" s="1">
        <f t="shared" si="60"/>
        <v>0</v>
      </c>
    </row>
    <row r="211" spans="1:55" x14ac:dyDescent="0.25">
      <c r="A211" s="15" t="s">
        <v>51</v>
      </c>
      <c r="B211" s="16" t="s">
        <v>56</v>
      </c>
      <c r="C211" s="27" t="s">
        <v>57</v>
      </c>
      <c r="D211" s="16" t="s">
        <v>70</v>
      </c>
      <c r="E211" s="16"/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52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54">
        <v>0</v>
      </c>
      <c r="Y211" s="58">
        <f t="shared" si="47"/>
        <v>0</v>
      </c>
      <c r="Z211" s="1">
        <f t="shared" si="48"/>
        <v>0</v>
      </c>
      <c r="AA211" s="1">
        <f t="shared" si="49"/>
        <v>0</v>
      </c>
      <c r="AC211" s="15" t="s">
        <v>51</v>
      </c>
      <c r="AD211" s="16" t="s">
        <v>56</v>
      </c>
      <c r="AE211" s="27" t="s">
        <v>57</v>
      </c>
      <c r="AF211" s="16" t="s">
        <v>70</v>
      </c>
      <c r="AG211" s="16"/>
      <c r="AH211" s="90" t="str">
        <f t="shared" si="62"/>
        <v/>
      </c>
      <c r="AI211" s="90" t="str">
        <f t="shared" si="62"/>
        <v/>
      </c>
      <c r="AJ211" s="90" t="str">
        <f t="shared" si="62"/>
        <v/>
      </c>
      <c r="AK211" s="90" t="str">
        <f t="shared" si="62"/>
        <v/>
      </c>
      <c r="AL211" s="90" t="str">
        <f t="shared" si="62"/>
        <v/>
      </c>
      <c r="AM211" s="90" t="str">
        <f t="shared" si="62"/>
        <v/>
      </c>
      <c r="AN211" s="90" t="str">
        <f t="shared" si="62"/>
        <v/>
      </c>
      <c r="AO211" s="90" t="str">
        <f t="shared" si="62"/>
        <v/>
      </c>
      <c r="AP211" s="90" t="str">
        <f t="shared" si="62"/>
        <v/>
      </c>
      <c r="AQ211" s="90" t="str">
        <f t="shared" si="62"/>
        <v/>
      </c>
      <c r="AR211" s="90" t="str">
        <f t="shared" si="62"/>
        <v/>
      </c>
      <c r="AS211" s="90" t="str">
        <f t="shared" si="62"/>
        <v/>
      </c>
      <c r="AT211" s="90" t="str">
        <f t="shared" si="62"/>
        <v/>
      </c>
      <c r="AU211" s="90" t="str">
        <f t="shared" si="62"/>
        <v/>
      </c>
      <c r="AV211" s="90" t="str">
        <f t="shared" si="62"/>
        <v/>
      </c>
      <c r="AW211" s="90" t="str">
        <f t="shared" si="60"/>
        <v/>
      </c>
      <c r="AX211" s="90" t="str">
        <f t="shared" si="60"/>
        <v/>
      </c>
      <c r="AY211" s="90" t="str">
        <f t="shared" si="60"/>
        <v/>
      </c>
      <c r="AZ211" s="90" t="str">
        <f t="shared" si="60"/>
        <v/>
      </c>
      <c r="BA211" s="90" t="str">
        <f t="shared" si="60"/>
        <v/>
      </c>
      <c r="BB211" s="90" t="str">
        <f t="shared" si="60"/>
        <v/>
      </c>
      <c r="BC211" s="90" t="str">
        <f t="shared" si="60"/>
        <v/>
      </c>
    </row>
    <row r="212" spans="1:55" x14ac:dyDescent="0.25">
      <c r="A212" s="15" t="s">
        <v>51</v>
      </c>
      <c r="B212" s="16" t="s">
        <v>56</v>
      </c>
      <c r="C212" s="27" t="s">
        <v>57</v>
      </c>
      <c r="D212" s="16" t="s">
        <v>71</v>
      </c>
      <c r="E212" s="16"/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52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54">
        <v>0</v>
      </c>
      <c r="Y212" s="58">
        <f t="shared" si="47"/>
        <v>0</v>
      </c>
      <c r="Z212" s="1">
        <f t="shared" si="48"/>
        <v>0</v>
      </c>
      <c r="AA212" s="1">
        <f t="shared" si="49"/>
        <v>0</v>
      </c>
      <c r="AC212" s="15" t="s">
        <v>51</v>
      </c>
      <c r="AD212" s="16" t="s">
        <v>56</v>
      </c>
      <c r="AE212" s="27" t="s">
        <v>57</v>
      </c>
      <c r="AF212" s="16" t="s">
        <v>71</v>
      </c>
      <c r="AG212" s="16"/>
      <c r="AH212" s="90" t="str">
        <f t="shared" si="62"/>
        <v/>
      </c>
      <c r="AI212" s="90" t="str">
        <f t="shared" si="62"/>
        <v/>
      </c>
      <c r="AJ212" s="90" t="str">
        <f t="shared" si="62"/>
        <v/>
      </c>
      <c r="AK212" s="90" t="str">
        <f t="shared" si="62"/>
        <v/>
      </c>
      <c r="AL212" s="90" t="str">
        <f t="shared" si="62"/>
        <v/>
      </c>
      <c r="AM212" s="90" t="str">
        <f t="shared" si="62"/>
        <v/>
      </c>
      <c r="AN212" s="90" t="str">
        <f t="shared" si="62"/>
        <v/>
      </c>
      <c r="AO212" s="90" t="str">
        <f t="shared" si="62"/>
        <v/>
      </c>
      <c r="AP212" s="90" t="str">
        <f t="shared" si="62"/>
        <v/>
      </c>
      <c r="AQ212" s="90" t="str">
        <f t="shared" si="62"/>
        <v/>
      </c>
      <c r="AR212" s="90" t="str">
        <f t="shared" si="62"/>
        <v/>
      </c>
      <c r="AS212" s="90" t="str">
        <f t="shared" si="62"/>
        <v/>
      </c>
      <c r="AT212" s="90" t="str">
        <f t="shared" si="62"/>
        <v/>
      </c>
      <c r="AU212" s="90" t="str">
        <f t="shared" si="62"/>
        <v/>
      </c>
      <c r="AV212" s="90" t="str">
        <f t="shared" si="62"/>
        <v/>
      </c>
      <c r="AW212" s="90" t="str">
        <f t="shared" si="60"/>
        <v/>
      </c>
      <c r="AX212" s="90" t="str">
        <f t="shared" si="60"/>
        <v/>
      </c>
      <c r="AY212" s="90" t="str">
        <f t="shared" si="60"/>
        <v/>
      </c>
      <c r="AZ212" s="90" t="str">
        <f t="shared" si="60"/>
        <v/>
      </c>
      <c r="BA212" s="90" t="str">
        <f t="shared" si="60"/>
        <v/>
      </c>
      <c r="BB212" s="90" t="str">
        <f t="shared" si="60"/>
        <v/>
      </c>
      <c r="BC212" s="90" t="str">
        <f t="shared" si="60"/>
        <v/>
      </c>
    </row>
    <row r="213" spans="1:55" x14ac:dyDescent="0.25">
      <c r="A213" s="15" t="s">
        <v>51</v>
      </c>
      <c r="B213" s="16" t="s">
        <v>56</v>
      </c>
      <c r="C213" s="27" t="s">
        <v>27</v>
      </c>
      <c r="D213" s="16" t="s">
        <v>72</v>
      </c>
      <c r="E213" s="16"/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52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54">
        <v>0</v>
      </c>
      <c r="Y213" s="58">
        <f t="shared" si="47"/>
        <v>0</v>
      </c>
      <c r="Z213" s="1">
        <f t="shared" si="48"/>
        <v>0</v>
      </c>
      <c r="AA213" s="1">
        <f t="shared" si="49"/>
        <v>0</v>
      </c>
      <c r="AC213" s="15" t="s">
        <v>51</v>
      </c>
      <c r="AD213" s="16" t="s">
        <v>56</v>
      </c>
      <c r="AE213" s="27" t="s">
        <v>27</v>
      </c>
      <c r="AF213" s="16" t="s">
        <v>72</v>
      </c>
      <c r="AG213" s="16"/>
      <c r="AH213" s="90" t="str">
        <f t="shared" si="62"/>
        <v/>
      </c>
      <c r="AI213" s="90" t="str">
        <f t="shared" si="62"/>
        <v/>
      </c>
      <c r="AJ213" s="90" t="str">
        <f t="shared" si="62"/>
        <v/>
      </c>
      <c r="AK213" s="90" t="str">
        <f t="shared" si="62"/>
        <v/>
      </c>
      <c r="AL213" s="90" t="str">
        <f t="shared" si="62"/>
        <v/>
      </c>
      <c r="AM213" s="90" t="str">
        <f t="shared" si="62"/>
        <v/>
      </c>
      <c r="AN213" s="90" t="str">
        <f t="shared" si="62"/>
        <v/>
      </c>
      <c r="AO213" s="90" t="str">
        <f t="shared" si="62"/>
        <v/>
      </c>
      <c r="AP213" s="90" t="str">
        <f t="shared" si="62"/>
        <v/>
      </c>
      <c r="AQ213" s="90" t="str">
        <f t="shared" si="62"/>
        <v/>
      </c>
      <c r="AR213" s="90" t="str">
        <f t="shared" si="62"/>
        <v/>
      </c>
      <c r="AS213" s="90" t="str">
        <f t="shared" si="62"/>
        <v/>
      </c>
      <c r="AT213" s="90" t="str">
        <f t="shared" si="62"/>
        <v/>
      </c>
      <c r="AU213" s="90" t="str">
        <f t="shared" si="62"/>
        <v/>
      </c>
      <c r="AV213" s="90" t="str">
        <f t="shared" si="62"/>
        <v/>
      </c>
      <c r="AW213" s="90" t="str">
        <f t="shared" si="60"/>
        <v/>
      </c>
      <c r="AX213" s="90" t="str">
        <f t="shared" si="60"/>
        <v/>
      </c>
      <c r="AY213" s="90" t="str">
        <f t="shared" si="60"/>
        <v/>
      </c>
      <c r="AZ213" s="90" t="str">
        <f t="shared" si="60"/>
        <v/>
      </c>
      <c r="BA213" s="90" t="str">
        <f t="shared" si="60"/>
        <v/>
      </c>
      <c r="BB213" s="90" t="str">
        <f t="shared" si="60"/>
        <v/>
      </c>
      <c r="BC213" s="90" t="str">
        <f t="shared" si="60"/>
        <v/>
      </c>
    </row>
    <row r="214" spans="1:55" x14ac:dyDescent="0.25">
      <c r="A214" s="15" t="s">
        <v>51</v>
      </c>
      <c r="B214" s="16" t="s">
        <v>56</v>
      </c>
      <c r="C214" s="27" t="s">
        <v>57</v>
      </c>
      <c r="D214" s="16" t="s">
        <v>73</v>
      </c>
      <c r="E214" s="16"/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52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54">
        <v>0</v>
      </c>
      <c r="Y214" s="58">
        <f t="shared" si="47"/>
        <v>0</v>
      </c>
      <c r="Z214" s="1">
        <f t="shared" si="48"/>
        <v>0</v>
      </c>
      <c r="AA214" s="1">
        <f t="shared" si="49"/>
        <v>0</v>
      </c>
      <c r="AC214" s="15" t="s">
        <v>51</v>
      </c>
      <c r="AD214" s="16" t="s">
        <v>56</v>
      </c>
      <c r="AE214" s="27" t="s">
        <v>57</v>
      </c>
      <c r="AF214" s="16" t="s">
        <v>73</v>
      </c>
      <c r="AG214" s="16"/>
      <c r="AH214" s="90" t="str">
        <f t="shared" si="62"/>
        <v/>
      </c>
      <c r="AI214" s="90" t="str">
        <f t="shared" si="62"/>
        <v/>
      </c>
      <c r="AJ214" s="90" t="str">
        <f t="shared" si="62"/>
        <v/>
      </c>
      <c r="AK214" s="90" t="str">
        <f t="shared" si="62"/>
        <v/>
      </c>
      <c r="AL214" s="90" t="str">
        <f t="shared" si="62"/>
        <v/>
      </c>
      <c r="AM214" s="90" t="str">
        <f t="shared" si="62"/>
        <v/>
      </c>
      <c r="AN214" s="90" t="str">
        <f t="shared" si="62"/>
        <v/>
      </c>
      <c r="AO214" s="90" t="str">
        <f t="shared" si="62"/>
        <v/>
      </c>
      <c r="AP214" s="90" t="str">
        <f t="shared" si="62"/>
        <v/>
      </c>
      <c r="AQ214" s="90" t="str">
        <f t="shared" si="62"/>
        <v/>
      </c>
      <c r="AR214" s="90" t="str">
        <f t="shared" si="62"/>
        <v/>
      </c>
      <c r="AS214" s="90" t="str">
        <f t="shared" si="62"/>
        <v/>
      </c>
      <c r="AT214" s="90" t="str">
        <f t="shared" si="62"/>
        <v/>
      </c>
      <c r="AU214" s="90" t="str">
        <f t="shared" si="62"/>
        <v/>
      </c>
      <c r="AV214" s="90" t="str">
        <f t="shared" si="62"/>
        <v/>
      </c>
      <c r="AW214" s="90" t="str">
        <f t="shared" si="60"/>
        <v/>
      </c>
      <c r="AX214" s="90" t="str">
        <f t="shared" si="60"/>
        <v/>
      </c>
      <c r="AY214" s="90" t="str">
        <f t="shared" si="60"/>
        <v/>
      </c>
      <c r="AZ214" s="90" t="str">
        <f t="shared" si="60"/>
        <v/>
      </c>
      <c r="BA214" s="90" t="str">
        <f t="shared" si="60"/>
        <v/>
      </c>
      <c r="BB214" s="90" t="str">
        <f t="shared" si="60"/>
        <v/>
      </c>
      <c r="BC214" s="90" t="str">
        <f t="shared" si="60"/>
        <v/>
      </c>
    </row>
    <row r="215" spans="1:55" x14ac:dyDescent="0.25">
      <c r="A215" s="15" t="s">
        <v>51</v>
      </c>
      <c r="B215" s="16" t="s">
        <v>56</v>
      </c>
      <c r="C215" s="27" t="s">
        <v>57</v>
      </c>
      <c r="D215" s="16" t="s">
        <v>74</v>
      </c>
      <c r="E215" s="16"/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52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54">
        <v>0</v>
      </c>
      <c r="Y215" s="58">
        <f t="shared" si="47"/>
        <v>0</v>
      </c>
      <c r="Z215" s="1">
        <f t="shared" si="48"/>
        <v>0</v>
      </c>
      <c r="AA215" s="1">
        <f t="shared" si="49"/>
        <v>0</v>
      </c>
      <c r="AC215" s="15" t="s">
        <v>51</v>
      </c>
      <c r="AD215" s="16" t="s">
        <v>56</v>
      </c>
      <c r="AE215" s="27" t="s">
        <v>57</v>
      </c>
      <c r="AF215" s="16" t="s">
        <v>74</v>
      </c>
      <c r="AG215" s="16"/>
      <c r="AH215" s="90" t="str">
        <f t="shared" si="62"/>
        <v/>
      </c>
      <c r="AI215" s="90" t="str">
        <f t="shared" si="62"/>
        <v/>
      </c>
      <c r="AJ215" s="90" t="str">
        <f t="shared" si="62"/>
        <v/>
      </c>
      <c r="AK215" s="90" t="str">
        <f t="shared" si="62"/>
        <v/>
      </c>
      <c r="AL215" s="90" t="str">
        <f t="shared" si="62"/>
        <v/>
      </c>
      <c r="AM215" s="90" t="str">
        <f t="shared" si="62"/>
        <v/>
      </c>
      <c r="AN215" s="90" t="str">
        <f t="shared" si="62"/>
        <v/>
      </c>
      <c r="AO215" s="90" t="str">
        <f t="shared" si="62"/>
        <v/>
      </c>
      <c r="AP215" s="90" t="str">
        <f t="shared" si="62"/>
        <v/>
      </c>
      <c r="AQ215" s="90" t="str">
        <f t="shared" si="62"/>
        <v/>
      </c>
      <c r="AR215" s="90" t="str">
        <f t="shared" si="62"/>
        <v/>
      </c>
      <c r="AS215" s="90" t="str">
        <f t="shared" si="62"/>
        <v/>
      </c>
      <c r="AT215" s="90" t="str">
        <f t="shared" si="62"/>
        <v/>
      </c>
      <c r="AU215" s="90" t="str">
        <f t="shared" si="62"/>
        <v/>
      </c>
      <c r="AV215" s="90" t="str">
        <f t="shared" si="62"/>
        <v/>
      </c>
      <c r="AW215" s="90" t="str">
        <f t="shared" si="60"/>
        <v/>
      </c>
      <c r="AX215" s="90" t="str">
        <f t="shared" si="60"/>
        <v/>
      </c>
      <c r="AY215" s="90" t="str">
        <f t="shared" si="60"/>
        <v/>
      </c>
      <c r="AZ215" s="90" t="str">
        <f t="shared" si="60"/>
        <v/>
      </c>
      <c r="BA215" s="90" t="str">
        <f t="shared" si="60"/>
        <v/>
      </c>
      <c r="BB215" s="90" t="str">
        <f t="shared" si="60"/>
        <v/>
      </c>
      <c r="BC215" s="90" t="str">
        <f t="shared" si="60"/>
        <v/>
      </c>
    </row>
    <row r="216" spans="1:55" x14ac:dyDescent="0.25">
      <c r="A216" s="30" t="s">
        <v>60</v>
      </c>
      <c r="B216" s="31" t="s">
        <v>13</v>
      </c>
      <c r="C216" s="32" t="s">
        <v>61</v>
      </c>
      <c r="D216" s="31" t="s">
        <v>75</v>
      </c>
      <c r="E216" s="31"/>
      <c r="F216" s="51">
        <f>F201*0.9</f>
        <v>111.375</v>
      </c>
      <c r="G216" s="73"/>
      <c r="H216" s="51">
        <f>H201</f>
        <v>400</v>
      </c>
      <c r="I216" s="51">
        <f>I201*0.9</f>
        <v>109.4896551724138</v>
      </c>
      <c r="J216" s="51">
        <f>J201*0.3</f>
        <v>16.2</v>
      </c>
      <c r="K216" s="51">
        <f>K201*0.8</f>
        <v>44.137931034482762</v>
      </c>
      <c r="L216" s="52">
        <v>0</v>
      </c>
      <c r="M216" s="73">
        <f>M201*0.1</f>
        <v>1.25</v>
      </c>
      <c r="N216" s="73">
        <v>0</v>
      </c>
      <c r="O216" s="73">
        <v>0</v>
      </c>
      <c r="P216" s="73">
        <v>0</v>
      </c>
      <c r="Q216" s="73"/>
      <c r="R216" s="73"/>
      <c r="S216" s="51"/>
      <c r="T216" s="51"/>
      <c r="U216" s="51"/>
      <c r="V216" s="51"/>
      <c r="W216" s="51">
        <f>W201</f>
        <v>0.32276995305164319</v>
      </c>
      <c r="X216" s="55">
        <f>X246*0.1</f>
        <v>3.9682539682539684</v>
      </c>
      <c r="Y216" s="59">
        <f t="shared" si="47"/>
        <v>681.20258620689663</v>
      </c>
      <c r="Z216" s="51">
        <f t="shared" si="48"/>
        <v>5.5410239213056114</v>
      </c>
      <c r="AA216" s="51">
        <f t="shared" si="49"/>
        <v>686.74361012820225</v>
      </c>
      <c r="AC216" s="30" t="s">
        <v>60</v>
      </c>
      <c r="AD216" s="31" t="s">
        <v>13</v>
      </c>
      <c r="AE216" s="32" t="s">
        <v>61</v>
      </c>
      <c r="AF216" s="31" t="s">
        <v>75</v>
      </c>
      <c r="AG216" s="31"/>
      <c r="AH216" s="1">
        <f t="shared" si="62"/>
        <v>251.40291806958476</v>
      </c>
      <c r="AI216" s="1" t="str">
        <f t="shared" si="62"/>
        <v/>
      </c>
      <c r="AJ216" s="1">
        <f t="shared" si="62"/>
        <v>40.352941176470587</v>
      </c>
      <c r="AK216" s="1">
        <f t="shared" si="62"/>
        <v>170.58823529411765</v>
      </c>
      <c r="AL216" s="1">
        <f t="shared" si="62"/>
        <v>297.38562091503269</v>
      </c>
      <c r="AM216" s="1">
        <f t="shared" si="62"/>
        <v>170.58823529411765</v>
      </c>
      <c r="AN216" s="52" t="str">
        <f t="shared" si="62"/>
        <v/>
      </c>
      <c r="AO216" s="1">
        <f t="shared" si="62"/>
        <v>2222.2222222222222</v>
      </c>
      <c r="AP216" s="1" t="str">
        <f t="shared" si="62"/>
        <v/>
      </c>
      <c r="AQ216" s="1" t="str">
        <f t="shared" si="62"/>
        <v/>
      </c>
      <c r="AR216" s="1" t="str">
        <f t="shared" si="62"/>
        <v/>
      </c>
      <c r="AS216" s="1" t="str">
        <f t="shared" si="62"/>
        <v/>
      </c>
      <c r="AT216" s="1" t="str">
        <f t="shared" si="62"/>
        <v/>
      </c>
      <c r="AU216" s="1" t="str">
        <f t="shared" si="62"/>
        <v/>
      </c>
      <c r="AV216" s="1" t="str">
        <f t="shared" si="62"/>
        <v/>
      </c>
      <c r="AW216" s="1" t="str">
        <f t="shared" si="60"/>
        <v/>
      </c>
      <c r="AX216" s="1" t="str">
        <f t="shared" si="60"/>
        <v/>
      </c>
      <c r="AY216" s="1">
        <f t="shared" si="60"/>
        <v>2366.6666666666665</v>
      </c>
      <c r="AZ216" s="1">
        <f t="shared" si="60"/>
        <v>4536</v>
      </c>
      <c r="BA216" s="1">
        <f t="shared" si="60"/>
        <v>0</v>
      </c>
      <c r="BB216" s="1">
        <f t="shared" si="60"/>
        <v>0</v>
      </c>
      <c r="BC216" s="1">
        <f t="shared" si="60"/>
        <v>0</v>
      </c>
    </row>
    <row r="217" spans="1:55" x14ac:dyDescent="0.25">
      <c r="A217" s="30" t="s">
        <v>60</v>
      </c>
      <c r="B217" s="31" t="s">
        <v>13</v>
      </c>
      <c r="C217" s="32" t="s">
        <v>61</v>
      </c>
      <c r="D217" s="31" t="s">
        <v>76</v>
      </c>
      <c r="E217" s="31"/>
      <c r="F217" s="51">
        <f>F201*0.1</f>
        <v>12.375</v>
      </c>
      <c r="G217" s="51">
        <v>0</v>
      </c>
      <c r="H217" s="51">
        <v>0</v>
      </c>
      <c r="I217" s="51">
        <f>I201*0.05</f>
        <v>6.0827586206896562</v>
      </c>
      <c r="J217" s="51">
        <f>J201*0.7</f>
        <v>37.799999999999997</v>
      </c>
      <c r="K217" s="51">
        <f>K201*0.05</f>
        <v>2.7586206896551726</v>
      </c>
      <c r="L217" s="52">
        <v>0</v>
      </c>
      <c r="M217" s="73">
        <f>M201*0.5</f>
        <v>6.25</v>
      </c>
      <c r="N217" s="73">
        <f>N201</f>
        <v>2.2000000000000002</v>
      </c>
      <c r="O217" s="73">
        <f>O201*0.5</f>
        <v>0.26500000000000001</v>
      </c>
      <c r="P217" s="73">
        <f>P201*0.44</f>
        <v>0.18479999999999999</v>
      </c>
      <c r="Q217" s="73"/>
      <c r="R217" s="73">
        <f>R201</f>
        <v>6.0362173038229381</v>
      </c>
      <c r="S217" s="51"/>
      <c r="T217" s="51"/>
      <c r="U217" s="51"/>
      <c r="V217" s="51"/>
      <c r="W217" s="51"/>
      <c r="X217" s="55">
        <f>X246*0.1</f>
        <v>3.9682539682539684</v>
      </c>
      <c r="Y217" s="59">
        <f t="shared" si="47"/>
        <v>59.016379310344831</v>
      </c>
      <c r="Z217" s="51">
        <f t="shared" si="48"/>
        <v>18.904271272076905</v>
      </c>
      <c r="AA217" s="51">
        <f t="shared" si="49"/>
        <v>77.920650582421729</v>
      </c>
      <c r="AC217" s="30" t="s">
        <v>60</v>
      </c>
      <c r="AD217" s="31" t="s">
        <v>13</v>
      </c>
      <c r="AE217" s="32" t="s">
        <v>61</v>
      </c>
      <c r="AF217" s="31" t="s">
        <v>76</v>
      </c>
      <c r="AG217" s="31"/>
      <c r="AH217" s="1">
        <f t="shared" si="62"/>
        <v>251.40291806958476</v>
      </c>
      <c r="AI217" s="1" t="str">
        <f t="shared" si="62"/>
        <v/>
      </c>
      <c r="AJ217" s="1" t="str">
        <f t="shared" si="62"/>
        <v/>
      </c>
      <c r="AK217" s="1">
        <f t="shared" si="62"/>
        <v>170.58823529411765</v>
      </c>
      <c r="AL217" s="1">
        <f t="shared" si="62"/>
        <v>297.38562091503269</v>
      </c>
      <c r="AM217" s="1">
        <f t="shared" si="62"/>
        <v>170.58823529411765</v>
      </c>
      <c r="AN217" s="52" t="str">
        <f t="shared" si="62"/>
        <v/>
      </c>
      <c r="AO217" s="1">
        <f t="shared" si="62"/>
        <v>2222.2222222222222</v>
      </c>
      <c r="AP217" s="1">
        <f t="shared" si="62"/>
        <v>6249.9999999999991</v>
      </c>
      <c r="AQ217" s="1">
        <f t="shared" si="62"/>
        <v>67924.528301886792</v>
      </c>
      <c r="AR217" s="1">
        <f t="shared" si="62"/>
        <v>529100.52910052915</v>
      </c>
      <c r="AS217" s="1" t="str">
        <f t="shared" si="62"/>
        <v/>
      </c>
      <c r="AT217" s="1">
        <f t="shared" si="62"/>
        <v>2366.6666666666665</v>
      </c>
      <c r="AU217" s="1" t="str">
        <f t="shared" si="62"/>
        <v/>
      </c>
      <c r="AV217" s="1" t="str">
        <f t="shared" si="62"/>
        <v/>
      </c>
      <c r="AW217" s="1" t="str">
        <f t="shared" si="60"/>
        <v/>
      </c>
      <c r="AX217" s="1" t="str">
        <f t="shared" si="60"/>
        <v/>
      </c>
      <c r="AY217" s="1" t="str">
        <f t="shared" si="60"/>
        <v/>
      </c>
      <c r="AZ217" s="1">
        <f t="shared" si="60"/>
        <v>4536</v>
      </c>
      <c r="BA217" s="1">
        <f t="shared" si="60"/>
        <v>0</v>
      </c>
      <c r="BB217" s="1">
        <f t="shared" si="60"/>
        <v>0</v>
      </c>
      <c r="BC217" s="1">
        <f t="shared" si="60"/>
        <v>0</v>
      </c>
    </row>
    <row r="218" spans="1:55" x14ac:dyDescent="0.25">
      <c r="A218" s="30" t="s">
        <v>60</v>
      </c>
      <c r="B218" s="31" t="s">
        <v>13</v>
      </c>
      <c r="C218" s="32" t="s">
        <v>61</v>
      </c>
      <c r="D218" s="31" t="s">
        <v>77</v>
      </c>
      <c r="E218" s="31"/>
      <c r="F218" s="51">
        <v>0</v>
      </c>
      <c r="G218" s="51">
        <v>0</v>
      </c>
      <c r="H218" s="51">
        <v>0</v>
      </c>
      <c r="I218" s="51">
        <v>0</v>
      </c>
      <c r="J218" s="51">
        <v>0</v>
      </c>
      <c r="K218" s="51">
        <f>K201*0.1</f>
        <v>5.5172413793103452</v>
      </c>
      <c r="L218" s="52">
        <v>0</v>
      </c>
      <c r="M218" s="73">
        <f>M201*0.4</f>
        <v>5</v>
      </c>
      <c r="N218" s="73">
        <v>0</v>
      </c>
      <c r="O218" s="73">
        <f>O201*0.5</f>
        <v>0.26500000000000001</v>
      </c>
      <c r="P218" s="73">
        <f>P201*0.55</f>
        <v>0.23100000000000001</v>
      </c>
      <c r="Q218" s="73"/>
      <c r="R218" s="73"/>
      <c r="S218" s="51"/>
      <c r="T218" s="51">
        <f>T201</f>
        <v>1.056338028169014</v>
      </c>
      <c r="U218" s="51">
        <f>U201</f>
        <v>4.401408450704225</v>
      </c>
      <c r="V218" s="51"/>
      <c r="W218" s="51"/>
      <c r="X218" s="55">
        <f>X246*0.7</f>
        <v>27.777777777777779</v>
      </c>
      <c r="Y218" s="59">
        <f t="shared" si="47"/>
        <v>5.5172413793103452</v>
      </c>
      <c r="Z218" s="51">
        <f t="shared" si="48"/>
        <v>38.731524256651014</v>
      </c>
      <c r="AA218" s="51">
        <f t="shared" si="49"/>
        <v>44.248765635961362</v>
      </c>
      <c r="AC218" s="30" t="s">
        <v>60</v>
      </c>
      <c r="AD218" s="31" t="s">
        <v>13</v>
      </c>
      <c r="AE218" s="32" t="s">
        <v>61</v>
      </c>
      <c r="AF218" s="31" t="s">
        <v>77</v>
      </c>
      <c r="AG218" s="31"/>
      <c r="AH218" s="1" t="str">
        <f t="shared" ref="AH218:AV225" si="64">IF(F218&gt;0,F263/F218*1000,"")</f>
        <v/>
      </c>
      <c r="AI218" s="1" t="str">
        <f t="shared" si="64"/>
        <v/>
      </c>
      <c r="AJ218" s="1" t="str">
        <f t="shared" si="64"/>
        <v/>
      </c>
      <c r="AK218" s="1" t="str">
        <f t="shared" si="64"/>
        <v/>
      </c>
      <c r="AL218" s="1" t="str">
        <f t="shared" si="64"/>
        <v/>
      </c>
      <c r="AM218" s="1">
        <f t="shared" si="64"/>
        <v>170.58823529411765</v>
      </c>
      <c r="AN218" s="52" t="str">
        <f t="shared" si="64"/>
        <v/>
      </c>
      <c r="AO218" s="1">
        <f t="shared" si="64"/>
        <v>2222.2222222222222</v>
      </c>
      <c r="AP218" s="1" t="str">
        <f t="shared" si="64"/>
        <v/>
      </c>
      <c r="AQ218" s="1">
        <f t="shared" si="64"/>
        <v>67924.528301886792</v>
      </c>
      <c r="AR218" s="1">
        <f t="shared" si="64"/>
        <v>529100.52910052915</v>
      </c>
      <c r="AS218" s="1" t="str">
        <f t="shared" si="64"/>
        <v/>
      </c>
      <c r="AT218" s="1" t="str">
        <f t="shared" si="64"/>
        <v/>
      </c>
      <c r="AU218" s="1" t="str">
        <f t="shared" si="64"/>
        <v/>
      </c>
      <c r="AV218" s="1">
        <f t="shared" si="64"/>
        <v>2366.6666666666665</v>
      </c>
      <c r="AW218" s="1">
        <f t="shared" si="60"/>
        <v>2366.6666666666665</v>
      </c>
      <c r="AX218" s="1" t="str">
        <f t="shared" si="60"/>
        <v/>
      </c>
      <c r="AY218" s="1" t="str">
        <f t="shared" si="60"/>
        <v/>
      </c>
      <c r="AZ218" s="1">
        <f t="shared" si="60"/>
        <v>4536</v>
      </c>
      <c r="BA218" s="1">
        <f t="shared" si="60"/>
        <v>0</v>
      </c>
      <c r="BB218" s="1">
        <f t="shared" si="60"/>
        <v>0</v>
      </c>
      <c r="BC218" s="1">
        <f t="shared" si="60"/>
        <v>0</v>
      </c>
    </row>
    <row r="219" spans="1:55" x14ac:dyDescent="0.25">
      <c r="A219" s="30" t="s">
        <v>60</v>
      </c>
      <c r="B219" s="31" t="s">
        <v>13</v>
      </c>
      <c r="C219" s="32" t="s">
        <v>61</v>
      </c>
      <c r="D219" s="31" t="s">
        <v>78</v>
      </c>
      <c r="E219" s="31"/>
      <c r="F219" s="51">
        <v>0</v>
      </c>
      <c r="G219" s="51">
        <v>0</v>
      </c>
      <c r="H219" s="51">
        <v>0</v>
      </c>
      <c r="I219" s="51">
        <f>I201*0.05</f>
        <v>6.0827586206896562</v>
      </c>
      <c r="J219" s="51">
        <v>0</v>
      </c>
      <c r="K219" s="51">
        <f>K201*0.05</f>
        <v>2.7586206896551726</v>
      </c>
      <c r="L219" s="52">
        <v>0</v>
      </c>
      <c r="M219" s="73">
        <f>M201*0</f>
        <v>0</v>
      </c>
      <c r="N219" s="73">
        <v>0</v>
      </c>
      <c r="O219" s="73">
        <f>O201*0</f>
        <v>0</v>
      </c>
      <c r="P219" s="73">
        <f>(P201)*0.01</f>
        <v>4.1999999999999997E-3</v>
      </c>
      <c r="Q219" s="73">
        <f>Q201</f>
        <v>3.5460992907801421</v>
      </c>
      <c r="R219" s="73"/>
      <c r="S219" s="51"/>
      <c r="T219" s="51"/>
      <c r="U219" s="51"/>
      <c r="V219" s="51"/>
      <c r="W219" s="51"/>
      <c r="X219" s="55">
        <f>X201*0.1</f>
        <v>1.6767270288397051</v>
      </c>
      <c r="Y219" s="59">
        <f t="shared" si="47"/>
        <v>8.8413793103448288</v>
      </c>
      <c r="Z219" s="51">
        <f t="shared" si="48"/>
        <v>5.2270263196198474</v>
      </c>
      <c r="AA219" s="51">
        <f t="shared" si="49"/>
        <v>14.068405629964676</v>
      </c>
      <c r="AC219" s="30" t="s">
        <v>60</v>
      </c>
      <c r="AD219" s="31" t="s">
        <v>13</v>
      </c>
      <c r="AE219" s="32" t="s">
        <v>61</v>
      </c>
      <c r="AF219" s="31" t="s">
        <v>78</v>
      </c>
      <c r="AG219" s="31"/>
      <c r="AH219" s="1" t="str">
        <f t="shared" si="64"/>
        <v/>
      </c>
      <c r="AI219" s="1" t="str">
        <f t="shared" si="64"/>
        <v/>
      </c>
      <c r="AJ219" s="1" t="str">
        <f t="shared" si="64"/>
        <v/>
      </c>
      <c r="AK219" s="1">
        <f t="shared" si="64"/>
        <v>170.58823529411765</v>
      </c>
      <c r="AL219" s="1" t="str">
        <f t="shared" si="64"/>
        <v/>
      </c>
      <c r="AM219" s="1">
        <f t="shared" si="64"/>
        <v>170.58823529411765</v>
      </c>
      <c r="AN219" s="52" t="str">
        <f t="shared" si="64"/>
        <v/>
      </c>
      <c r="AO219" s="1" t="str">
        <f t="shared" si="64"/>
        <v/>
      </c>
      <c r="AP219" s="1" t="str">
        <f t="shared" si="64"/>
        <v/>
      </c>
      <c r="AQ219" s="1" t="str">
        <f t="shared" si="64"/>
        <v/>
      </c>
      <c r="AR219" s="1">
        <f t="shared" si="64"/>
        <v>529100.52910052915</v>
      </c>
      <c r="AS219" s="1">
        <f t="shared" si="64"/>
        <v>5222.2222222222226</v>
      </c>
      <c r="AT219" s="1" t="str">
        <f t="shared" si="64"/>
        <v/>
      </c>
      <c r="AU219" s="1" t="str">
        <f t="shared" si="64"/>
        <v/>
      </c>
      <c r="AV219" s="1" t="str">
        <f t="shared" si="64"/>
        <v/>
      </c>
      <c r="AW219" s="1" t="str">
        <f t="shared" si="60"/>
        <v/>
      </c>
      <c r="AX219" s="1" t="str">
        <f t="shared" si="60"/>
        <v/>
      </c>
      <c r="AY219" s="1" t="str">
        <f t="shared" si="60"/>
        <v/>
      </c>
      <c r="AZ219" s="1">
        <f t="shared" si="60"/>
        <v>2366.6666666666661</v>
      </c>
      <c r="BA219" s="1">
        <f t="shared" si="60"/>
        <v>0</v>
      </c>
      <c r="BB219" s="1">
        <f t="shared" si="60"/>
        <v>0</v>
      </c>
      <c r="BC219" s="1">
        <f t="shared" si="60"/>
        <v>0</v>
      </c>
    </row>
    <row r="220" spans="1:55" ht="15.75" thickBot="1" x14ac:dyDescent="0.3">
      <c r="A220" s="33" t="s">
        <v>60</v>
      </c>
      <c r="B220" s="34" t="s">
        <v>13</v>
      </c>
      <c r="C220" s="35" t="s">
        <v>61</v>
      </c>
      <c r="D220" s="34" t="s">
        <v>79</v>
      </c>
      <c r="E220" s="31"/>
      <c r="F220" s="51">
        <v>0</v>
      </c>
      <c r="G220" s="51">
        <v>0</v>
      </c>
      <c r="H220" s="51">
        <v>0</v>
      </c>
      <c r="I220" s="51">
        <v>0</v>
      </c>
      <c r="J220" s="51">
        <v>0</v>
      </c>
      <c r="K220" s="51">
        <v>0</v>
      </c>
      <c r="L220" s="52">
        <v>0</v>
      </c>
      <c r="M220" s="51">
        <v>0</v>
      </c>
      <c r="N220" s="51">
        <v>0</v>
      </c>
      <c r="O220" s="51">
        <v>0</v>
      </c>
      <c r="P220" s="51">
        <v>0</v>
      </c>
      <c r="Q220" s="51">
        <v>0</v>
      </c>
      <c r="R220" s="51">
        <v>0</v>
      </c>
      <c r="S220" s="51">
        <v>0</v>
      </c>
      <c r="T220" s="51">
        <v>0</v>
      </c>
      <c r="U220" s="51">
        <v>0</v>
      </c>
      <c r="V220" s="51">
        <v>0</v>
      </c>
      <c r="W220" s="51">
        <v>0</v>
      </c>
      <c r="X220" s="55">
        <v>0</v>
      </c>
      <c r="Y220" s="59">
        <f t="shared" si="47"/>
        <v>0</v>
      </c>
      <c r="Z220" s="51">
        <f t="shared" si="48"/>
        <v>0</v>
      </c>
      <c r="AA220" s="51">
        <f t="shared" si="49"/>
        <v>0</v>
      </c>
      <c r="AC220" s="33" t="s">
        <v>60</v>
      </c>
      <c r="AD220" s="34" t="s">
        <v>13</v>
      </c>
      <c r="AE220" s="35" t="s">
        <v>61</v>
      </c>
      <c r="AF220" s="34" t="s">
        <v>79</v>
      </c>
      <c r="AG220" s="31"/>
      <c r="AH220" s="1" t="str">
        <f t="shared" si="64"/>
        <v/>
      </c>
      <c r="AI220" s="1" t="str">
        <f t="shared" si="64"/>
        <v/>
      </c>
      <c r="AJ220" s="1" t="str">
        <f t="shared" si="64"/>
        <v/>
      </c>
      <c r="AK220" s="1" t="str">
        <f t="shared" si="64"/>
        <v/>
      </c>
      <c r="AL220" s="1" t="str">
        <f t="shared" si="64"/>
        <v/>
      </c>
      <c r="AM220" s="1" t="str">
        <f t="shared" si="64"/>
        <v/>
      </c>
      <c r="AN220" s="52" t="str">
        <f t="shared" si="64"/>
        <v/>
      </c>
      <c r="AO220" s="1" t="str">
        <f t="shared" si="64"/>
        <v/>
      </c>
      <c r="AP220" s="1" t="str">
        <f t="shared" si="64"/>
        <v/>
      </c>
      <c r="AQ220" s="1" t="str">
        <f t="shared" si="64"/>
        <v/>
      </c>
      <c r="AR220" s="1" t="str">
        <f t="shared" si="64"/>
        <v/>
      </c>
      <c r="AS220" s="1" t="str">
        <f t="shared" si="64"/>
        <v/>
      </c>
      <c r="AT220" s="1" t="str">
        <f t="shared" si="64"/>
        <v/>
      </c>
      <c r="AU220" s="1" t="str">
        <f t="shared" si="64"/>
        <v/>
      </c>
      <c r="AV220" s="1" t="str">
        <f t="shared" si="64"/>
        <v/>
      </c>
      <c r="AW220" s="1" t="str">
        <f t="shared" si="60"/>
        <v/>
      </c>
      <c r="AX220" s="1" t="str">
        <f t="shared" si="60"/>
        <v/>
      </c>
      <c r="AY220" s="1" t="str">
        <f t="shared" si="60"/>
        <v/>
      </c>
      <c r="AZ220" s="1" t="str">
        <f t="shared" si="60"/>
        <v/>
      </c>
      <c r="BA220" s="1" t="str">
        <f t="shared" si="60"/>
        <v/>
      </c>
      <c r="BB220" s="1" t="str">
        <f t="shared" si="60"/>
        <v/>
      </c>
      <c r="BC220" s="1" t="str">
        <f t="shared" si="60"/>
        <v/>
      </c>
    </row>
    <row r="221" spans="1:55" x14ac:dyDescent="0.25">
      <c r="A221" s="30" t="s">
        <v>60</v>
      </c>
      <c r="B221" s="31" t="s">
        <v>13</v>
      </c>
      <c r="C221" s="32" t="s">
        <v>62</v>
      </c>
      <c r="D221" s="31" t="s">
        <v>75</v>
      </c>
      <c r="E221" s="31"/>
      <c r="F221" s="51"/>
      <c r="G221" s="73">
        <f>G202</f>
        <v>165</v>
      </c>
      <c r="H221" s="51">
        <f>H202*0.4</f>
        <v>480</v>
      </c>
      <c r="I221" s="51">
        <v>0</v>
      </c>
      <c r="J221" s="51">
        <v>0</v>
      </c>
      <c r="K221" s="51">
        <v>0</v>
      </c>
      <c r="L221" s="52">
        <v>0</v>
      </c>
      <c r="M221" s="51">
        <v>0</v>
      </c>
      <c r="N221" s="51">
        <v>0</v>
      </c>
      <c r="O221" s="51">
        <v>0</v>
      </c>
      <c r="P221" s="51">
        <v>0</v>
      </c>
      <c r="Q221" s="51">
        <v>0</v>
      </c>
      <c r="R221" s="51">
        <v>0</v>
      </c>
      <c r="S221" s="51">
        <v>0</v>
      </c>
      <c r="T221" s="51">
        <v>0</v>
      </c>
      <c r="U221" s="51">
        <v>0</v>
      </c>
      <c r="V221" s="51">
        <v>0</v>
      </c>
      <c r="W221" s="51">
        <v>0</v>
      </c>
      <c r="X221" s="55">
        <v>0</v>
      </c>
      <c r="Y221" s="59">
        <f t="shared" si="47"/>
        <v>645</v>
      </c>
      <c r="Z221" s="51">
        <f t="shared" si="48"/>
        <v>0</v>
      </c>
      <c r="AA221" s="51">
        <f t="shared" si="49"/>
        <v>645</v>
      </c>
      <c r="AC221" s="30" t="s">
        <v>60</v>
      </c>
      <c r="AD221" s="31" t="s">
        <v>13</v>
      </c>
      <c r="AE221" s="32" t="s">
        <v>62</v>
      </c>
      <c r="AF221" s="31" t="s">
        <v>75</v>
      </c>
      <c r="AG221" s="31"/>
      <c r="AH221" s="1" t="str">
        <f t="shared" si="64"/>
        <v/>
      </c>
      <c r="AI221" s="1">
        <f t="shared" si="64"/>
        <v>117.17171717171716</v>
      </c>
      <c r="AJ221" s="1">
        <f t="shared" si="64"/>
        <v>40.352941176470594</v>
      </c>
      <c r="AK221" s="1" t="str">
        <f t="shared" si="64"/>
        <v/>
      </c>
      <c r="AL221" s="1" t="str">
        <f t="shared" si="64"/>
        <v/>
      </c>
      <c r="AM221" s="1" t="str">
        <f t="shared" si="64"/>
        <v/>
      </c>
      <c r="AN221" s="52" t="str">
        <f t="shared" si="64"/>
        <v/>
      </c>
      <c r="AO221" s="1" t="str">
        <f t="shared" si="64"/>
        <v/>
      </c>
      <c r="AP221" s="1" t="str">
        <f t="shared" si="64"/>
        <v/>
      </c>
      <c r="AQ221" s="1" t="str">
        <f t="shared" si="64"/>
        <v/>
      </c>
      <c r="AR221" s="1" t="str">
        <f t="shared" si="64"/>
        <v/>
      </c>
      <c r="AS221" s="1" t="str">
        <f t="shared" si="64"/>
        <v/>
      </c>
      <c r="AT221" s="1" t="str">
        <f t="shared" si="64"/>
        <v/>
      </c>
      <c r="AU221" s="1" t="str">
        <f t="shared" si="64"/>
        <v/>
      </c>
      <c r="AV221" s="1" t="str">
        <f t="shared" si="64"/>
        <v/>
      </c>
      <c r="AW221" s="1" t="str">
        <f t="shared" si="60"/>
        <v/>
      </c>
      <c r="AX221" s="1" t="str">
        <f t="shared" si="60"/>
        <v/>
      </c>
      <c r="AY221" s="1" t="str">
        <f t="shared" si="60"/>
        <v/>
      </c>
      <c r="AZ221" s="1" t="str">
        <f t="shared" si="60"/>
        <v/>
      </c>
      <c r="BA221" s="1">
        <f t="shared" si="60"/>
        <v>0</v>
      </c>
      <c r="BB221" s="1" t="str">
        <f t="shared" si="60"/>
        <v/>
      </c>
      <c r="BC221" s="1">
        <f t="shared" si="60"/>
        <v>0</v>
      </c>
    </row>
    <row r="222" spans="1:55" x14ac:dyDescent="0.25">
      <c r="A222" s="30" t="s">
        <v>60</v>
      </c>
      <c r="B222" s="31" t="s">
        <v>13</v>
      </c>
      <c r="C222" s="32" t="s">
        <v>62</v>
      </c>
      <c r="D222" s="31" t="s">
        <v>76</v>
      </c>
      <c r="E222" s="31"/>
      <c r="F222" s="51">
        <f>F202</f>
        <v>41.25</v>
      </c>
      <c r="G222" s="51">
        <f>G202*0</f>
        <v>0</v>
      </c>
      <c r="H222" s="51">
        <f>H202*0.6</f>
        <v>720</v>
      </c>
      <c r="I222" s="51">
        <v>0</v>
      </c>
      <c r="J222" s="51">
        <v>0</v>
      </c>
      <c r="K222" s="51">
        <v>0</v>
      </c>
      <c r="L222" s="52">
        <v>0</v>
      </c>
      <c r="M222" s="51">
        <v>0</v>
      </c>
      <c r="N222" s="51">
        <v>0</v>
      </c>
      <c r="O222" s="51">
        <v>0</v>
      </c>
      <c r="P222" s="51">
        <f>P202</f>
        <v>0.97999999999999987</v>
      </c>
      <c r="Q222" s="51">
        <v>0</v>
      </c>
      <c r="R222" s="51">
        <v>0</v>
      </c>
      <c r="S222" s="51">
        <v>0</v>
      </c>
      <c r="T222" s="51">
        <v>0</v>
      </c>
      <c r="U222" s="51">
        <v>0</v>
      </c>
      <c r="V222" s="51">
        <v>0</v>
      </c>
      <c r="W222" s="51">
        <v>0</v>
      </c>
      <c r="X222" s="55">
        <v>0</v>
      </c>
      <c r="Y222" s="59">
        <f t="shared" si="47"/>
        <v>761.25</v>
      </c>
      <c r="Z222" s="51">
        <f t="shared" si="48"/>
        <v>0.97999999999999987</v>
      </c>
      <c r="AA222" s="51">
        <f t="shared" si="49"/>
        <v>762.23</v>
      </c>
      <c r="AC222" s="30" t="s">
        <v>60</v>
      </c>
      <c r="AD222" s="31" t="s">
        <v>13</v>
      </c>
      <c r="AE222" s="32" t="s">
        <v>62</v>
      </c>
      <c r="AF222" s="31" t="s">
        <v>76</v>
      </c>
      <c r="AG222" s="31"/>
      <c r="AH222" s="1">
        <f t="shared" si="64"/>
        <v>323.23232323232327</v>
      </c>
      <c r="AI222" s="1" t="str">
        <f t="shared" si="64"/>
        <v/>
      </c>
      <c r="AJ222" s="1">
        <f t="shared" si="64"/>
        <v>40.352941176470587</v>
      </c>
      <c r="AK222" s="1" t="str">
        <f t="shared" si="64"/>
        <v/>
      </c>
      <c r="AL222" s="1" t="str">
        <f t="shared" si="64"/>
        <v/>
      </c>
      <c r="AM222" s="1" t="str">
        <f t="shared" si="64"/>
        <v/>
      </c>
      <c r="AN222" s="52" t="str">
        <f t="shared" si="64"/>
        <v/>
      </c>
      <c r="AO222" s="1" t="str">
        <f t="shared" si="64"/>
        <v/>
      </c>
      <c r="AP222" s="1" t="str">
        <f t="shared" si="64"/>
        <v/>
      </c>
      <c r="AQ222" s="1" t="str">
        <f t="shared" si="64"/>
        <v/>
      </c>
      <c r="AR222" s="1">
        <f t="shared" si="64"/>
        <v>283446.71201814059</v>
      </c>
      <c r="AS222" s="1" t="str">
        <f t="shared" si="64"/>
        <v/>
      </c>
      <c r="AT222" s="1" t="str">
        <f t="shared" si="64"/>
        <v/>
      </c>
      <c r="AU222" s="1" t="str">
        <f t="shared" si="64"/>
        <v/>
      </c>
      <c r="AV222" s="1" t="str">
        <f t="shared" si="64"/>
        <v/>
      </c>
      <c r="AW222" s="1" t="str">
        <f t="shared" si="60"/>
        <v/>
      </c>
      <c r="AX222" s="1" t="str">
        <f t="shared" si="60"/>
        <v/>
      </c>
      <c r="AY222" s="1" t="str">
        <f t="shared" si="60"/>
        <v/>
      </c>
      <c r="AZ222" s="1" t="str">
        <f t="shared" si="60"/>
        <v/>
      </c>
      <c r="BA222" s="1">
        <f t="shared" si="60"/>
        <v>0</v>
      </c>
      <c r="BB222" s="1">
        <f t="shared" si="60"/>
        <v>0</v>
      </c>
      <c r="BC222" s="1">
        <f t="shared" si="60"/>
        <v>0</v>
      </c>
    </row>
    <row r="223" spans="1:55" x14ac:dyDescent="0.25">
      <c r="A223" s="30" t="s">
        <v>60</v>
      </c>
      <c r="B223" s="31" t="s">
        <v>13</v>
      </c>
      <c r="C223" s="32" t="s">
        <v>62</v>
      </c>
      <c r="D223" s="31" t="s">
        <v>77</v>
      </c>
      <c r="E223" s="31"/>
      <c r="F223" s="51">
        <v>0</v>
      </c>
      <c r="G223" s="51">
        <v>0</v>
      </c>
      <c r="H223" s="51">
        <v>0</v>
      </c>
      <c r="I223" s="51">
        <v>0</v>
      </c>
      <c r="J223" s="51">
        <v>0</v>
      </c>
      <c r="K223" s="51">
        <v>0</v>
      </c>
      <c r="L223" s="52">
        <v>0</v>
      </c>
      <c r="M223" s="51">
        <v>0</v>
      </c>
      <c r="N223" s="51">
        <v>0</v>
      </c>
      <c r="O223" s="51">
        <v>0</v>
      </c>
      <c r="P223" s="51">
        <v>0</v>
      </c>
      <c r="Q223" s="51">
        <v>0</v>
      </c>
      <c r="R223" s="51">
        <v>0</v>
      </c>
      <c r="S223" s="51">
        <v>0</v>
      </c>
      <c r="T223" s="51">
        <v>0</v>
      </c>
      <c r="U223" s="51">
        <v>0</v>
      </c>
      <c r="V223" s="51">
        <v>0</v>
      </c>
      <c r="W223" s="51">
        <v>0</v>
      </c>
      <c r="X223" s="55">
        <v>0</v>
      </c>
      <c r="Y223" s="59">
        <f t="shared" si="47"/>
        <v>0</v>
      </c>
      <c r="Z223" s="51">
        <f t="shared" si="48"/>
        <v>0</v>
      </c>
      <c r="AA223" s="51">
        <f t="shared" si="49"/>
        <v>0</v>
      </c>
      <c r="AC223" s="30" t="s">
        <v>60</v>
      </c>
      <c r="AD223" s="31" t="s">
        <v>13</v>
      </c>
      <c r="AE223" s="32" t="s">
        <v>62</v>
      </c>
      <c r="AF223" s="31" t="s">
        <v>77</v>
      </c>
      <c r="AG223" s="31"/>
      <c r="AH223" s="1" t="str">
        <f t="shared" si="64"/>
        <v/>
      </c>
      <c r="AI223" s="1" t="str">
        <f t="shared" si="64"/>
        <v/>
      </c>
      <c r="AJ223" s="1" t="str">
        <f t="shared" si="64"/>
        <v/>
      </c>
      <c r="AK223" s="1" t="str">
        <f t="shared" si="64"/>
        <v/>
      </c>
      <c r="AL223" s="1" t="str">
        <f t="shared" si="64"/>
        <v/>
      </c>
      <c r="AM223" s="1" t="str">
        <f t="shared" si="64"/>
        <v/>
      </c>
      <c r="AN223" s="52" t="str">
        <f t="shared" si="64"/>
        <v/>
      </c>
      <c r="AO223" s="1" t="str">
        <f t="shared" si="64"/>
        <v/>
      </c>
      <c r="AP223" s="1" t="str">
        <f t="shared" si="64"/>
        <v/>
      </c>
      <c r="AQ223" s="1" t="str">
        <f t="shared" si="64"/>
        <v/>
      </c>
      <c r="AR223" s="1" t="str">
        <f t="shared" si="64"/>
        <v/>
      </c>
      <c r="AS223" s="1" t="str">
        <f t="shared" si="64"/>
        <v/>
      </c>
      <c r="AT223" s="1" t="str">
        <f t="shared" si="64"/>
        <v/>
      </c>
      <c r="AU223" s="1" t="str">
        <f t="shared" si="64"/>
        <v/>
      </c>
      <c r="AV223" s="1" t="str">
        <f t="shared" si="64"/>
        <v/>
      </c>
      <c r="AW223" s="1" t="str">
        <f t="shared" si="60"/>
        <v/>
      </c>
      <c r="AX223" s="1" t="str">
        <f t="shared" si="60"/>
        <v/>
      </c>
      <c r="AY223" s="1" t="str">
        <f t="shared" si="60"/>
        <v/>
      </c>
      <c r="AZ223" s="1" t="str">
        <f t="shared" si="60"/>
        <v/>
      </c>
      <c r="BA223" s="1" t="str">
        <f t="shared" si="60"/>
        <v/>
      </c>
      <c r="BB223" s="1" t="str">
        <f t="shared" si="60"/>
        <v/>
      </c>
      <c r="BC223" s="1" t="str">
        <f t="shared" si="60"/>
        <v/>
      </c>
    </row>
    <row r="224" spans="1:55" x14ac:dyDescent="0.25">
      <c r="A224" s="30" t="s">
        <v>60</v>
      </c>
      <c r="B224" s="31" t="s">
        <v>13</v>
      </c>
      <c r="C224" s="32" t="s">
        <v>62</v>
      </c>
      <c r="D224" s="31" t="s">
        <v>78</v>
      </c>
      <c r="E224" s="31"/>
      <c r="F224" s="51">
        <v>0</v>
      </c>
      <c r="G224" s="51">
        <v>0</v>
      </c>
      <c r="H224" s="51">
        <v>0</v>
      </c>
      <c r="I224" s="51">
        <v>0</v>
      </c>
      <c r="J224" s="51">
        <v>0</v>
      </c>
      <c r="K224" s="51">
        <v>0</v>
      </c>
      <c r="L224" s="52">
        <v>0</v>
      </c>
      <c r="M224" s="51">
        <v>0</v>
      </c>
      <c r="N224" s="51">
        <v>0</v>
      </c>
      <c r="O224" s="51">
        <v>0</v>
      </c>
      <c r="P224" s="51">
        <v>0</v>
      </c>
      <c r="Q224" s="51">
        <v>0</v>
      </c>
      <c r="R224" s="51">
        <v>0</v>
      </c>
      <c r="S224" s="51">
        <v>0</v>
      </c>
      <c r="T224" s="51">
        <v>0</v>
      </c>
      <c r="U224" s="51">
        <v>0</v>
      </c>
      <c r="V224" s="51">
        <v>0</v>
      </c>
      <c r="W224" s="51">
        <v>0</v>
      </c>
      <c r="X224" s="55">
        <v>0</v>
      </c>
      <c r="Y224" s="59">
        <f t="shared" si="47"/>
        <v>0</v>
      </c>
      <c r="Z224" s="51">
        <f t="shared" si="48"/>
        <v>0</v>
      </c>
      <c r="AA224" s="51">
        <f t="shared" si="49"/>
        <v>0</v>
      </c>
      <c r="AC224" s="30" t="s">
        <v>60</v>
      </c>
      <c r="AD224" s="31" t="s">
        <v>13</v>
      </c>
      <c r="AE224" s="32" t="s">
        <v>62</v>
      </c>
      <c r="AF224" s="31" t="s">
        <v>78</v>
      </c>
      <c r="AG224" s="31"/>
      <c r="AH224" s="1" t="str">
        <f t="shared" si="64"/>
        <v/>
      </c>
      <c r="AI224" s="1" t="str">
        <f t="shared" si="64"/>
        <v/>
      </c>
      <c r="AJ224" s="1" t="str">
        <f t="shared" si="64"/>
        <v/>
      </c>
      <c r="AK224" s="1" t="str">
        <f t="shared" si="64"/>
        <v/>
      </c>
      <c r="AL224" s="1" t="str">
        <f t="shared" si="64"/>
        <v/>
      </c>
      <c r="AM224" s="1" t="str">
        <f t="shared" si="64"/>
        <v/>
      </c>
      <c r="AN224" s="52" t="str">
        <f t="shared" si="64"/>
        <v/>
      </c>
      <c r="AO224" s="1" t="str">
        <f t="shared" si="64"/>
        <v/>
      </c>
      <c r="AP224" s="1" t="str">
        <f t="shared" si="64"/>
        <v/>
      </c>
      <c r="AQ224" s="1" t="str">
        <f t="shared" si="64"/>
        <v/>
      </c>
      <c r="AR224" s="1" t="str">
        <f t="shared" si="64"/>
        <v/>
      </c>
      <c r="AS224" s="1" t="str">
        <f t="shared" si="64"/>
        <v/>
      </c>
      <c r="AT224" s="1" t="str">
        <f t="shared" si="64"/>
        <v/>
      </c>
      <c r="AU224" s="1" t="str">
        <f t="shared" si="64"/>
        <v/>
      </c>
      <c r="AV224" s="1" t="str">
        <f t="shared" si="64"/>
        <v/>
      </c>
      <c r="AW224" s="1" t="str">
        <f t="shared" si="60"/>
        <v/>
      </c>
      <c r="AX224" s="1" t="str">
        <f t="shared" si="60"/>
        <v/>
      </c>
      <c r="AY224" s="1" t="str">
        <f t="shared" si="60"/>
        <v/>
      </c>
      <c r="AZ224" s="1" t="str">
        <f t="shared" si="60"/>
        <v/>
      </c>
      <c r="BA224" s="1" t="str">
        <f t="shared" si="60"/>
        <v/>
      </c>
      <c r="BB224" s="1" t="str">
        <f t="shared" si="60"/>
        <v/>
      </c>
      <c r="BC224" s="1" t="str">
        <f t="shared" si="60"/>
        <v/>
      </c>
    </row>
    <row r="225" spans="1:55" ht="15.75" thickBot="1" x14ac:dyDescent="0.3">
      <c r="A225" s="33" t="s">
        <v>60</v>
      </c>
      <c r="B225" s="34" t="s">
        <v>13</v>
      </c>
      <c r="C225" s="32" t="s">
        <v>62</v>
      </c>
      <c r="D225" s="34" t="s">
        <v>79</v>
      </c>
      <c r="E225" s="31"/>
      <c r="F225" s="51">
        <v>0</v>
      </c>
      <c r="G225" s="51">
        <v>0</v>
      </c>
      <c r="H225" s="51">
        <v>0</v>
      </c>
      <c r="I225" s="51">
        <v>0</v>
      </c>
      <c r="J225" s="51">
        <v>0</v>
      </c>
      <c r="K225" s="51">
        <v>0</v>
      </c>
      <c r="L225" s="52">
        <v>0</v>
      </c>
      <c r="M225" s="51">
        <v>0</v>
      </c>
      <c r="N225" s="51">
        <v>0</v>
      </c>
      <c r="O225" s="51">
        <v>0</v>
      </c>
      <c r="P225" s="51">
        <v>0</v>
      </c>
      <c r="Q225" s="51">
        <v>0</v>
      </c>
      <c r="R225" s="51">
        <v>0</v>
      </c>
      <c r="S225" s="51">
        <v>0</v>
      </c>
      <c r="T225" s="51">
        <v>0</v>
      </c>
      <c r="U225" s="51">
        <v>0</v>
      </c>
      <c r="V225" s="51">
        <v>0</v>
      </c>
      <c r="W225" s="51">
        <v>0</v>
      </c>
      <c r="X225" s="55">
        <v>0</v>
      </c>
      <c r="Y225" s="59">
        <f t="shared" si="47"/>
        <v>0</v>
      </c>
      <c r="Z225" s="51">
        <f t="shared" si="48"/>
        <v>0</v>
      </c>
      <c r="AA225" s="51">
        <f t="shared" si="49"/>
        <v>0</v>
      </c>
      <c r="AC225" s="33" t="s">
        <v>60</v>
      </c>
      <c r="AD225" s="34" t="s">
        <v>13</v>
      </c>
      <c r="AE225" s="32" t="s">
        <v>62</v>
      </c>
      <c r="AF225" s="34" t="s">
        <v>79</v>
      </c>
      <c r="AG225" s="31"/>
      <c r="AH225" s="1" t="str">
        <f t="shared" si="64"/>
        <v/>
      </c>
      <c r="AI225" s="1" t="str">
        <f t="shared" si="64"/>
        <v/>
      </c>
      <c r="AJ225" s="1" t="str">
        <f t="shared" si="64"/>
        <v/>
      </c>
      <c r="AK225" s="1" t="str">
        <f t="shared" si="64"/>
        <v/>
      </c>
      <c r="AL225" s="1" t="str">
        <f t="shared" si="64"/>
        <v/>
      </c>
      <c r="AM225" s="1" t="str">
        <f t="shared" si="64"/>
        <v/>
      </c>
      <c r="AN225" s="52" t="str">
        <f t="shared" si="64"/>
        <v/>
      </c>
      <c r="AO225" s="1" t="str">
        <f t="shared" si="64"/>
        <v/>
      </c>
      <c r="AP225" s="1" t="str">
        <f t="shared" si="64"/>
        <v/>
      </c>
      <c r="AQ225" s="1" t="str">
        <f t="shared" si="64"/>
        <v/>
      </c>
      <c r="AR225" s="1" t="str">
        <f t="shared" si="64"/>
        <v/>
      </c>
      <c r="AS225" s="1" t="str">
        <f t="shared" si="64"/>
        <v/>
      </c>
      <c r="AT225" s="1" t="str">
        <f t="shared" si="64"/>
        <v/>
      </c>
      <c r="AU225" s="1" t="str">
        <f t="shared" si="64"/>
        <v/>
      </c>
      <c r="AV225" s="1" t="str">
        <f t="shared" si="64"/>
        <v/>
      </c>
      <c r="AW225" s="1" t="str">
        <f t="shared" si="60"/>
        <v/>
      </c>
      <c r="AX225" s="1" t="str">
        <f t="shared" si="60"/>
        <v/>
      </c>
      <c r="AY225" s="1" t="str">
        <f t="shared" si="60"/>
        <v/>
      </c>
      <c r="AZ225" s="1" t="str">
        <f t="shared" si="60"/>
        <v/>
      </c>
      <c r="BA225" s="1" t="str">
        <f t="shared" si="60"/>
        <v/>
      </c>
      <c r="BB225" s="1" t="str">
        <f t="shared" si="60"/>
        <v/>
      </c>
      <c r="BC225" s="1" t="str">
        <f t="shared" si="60"/>
        <v/>
      </c>
    </row>
    <row r="227" spans="1:55" x14ac:dyDescent="0.25">
      <c r="D227" s="41" t="s">
        <v>33</v>
      </c>
      <c r="E227" s="41"/>
      <c r="M227" s="24" t="s">
        <v>81</v>
      </c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</row>
    <row r="228" spans="1:55" x14ac:dyDescent="0.25">
      <c r="F228" s="23" t="s">
        <v>44</v>
      </c>
      <c r="G228" s="23"/>
      <c r="H228" s="23"/>
      <c r="I228" s="23"/>
      <c r="J228" s="23"/>
      <c r="K228" s="23"/>
      <c r="L228" s="7" t="s">
        <v>30</v>
      </c>
      <c r="M228" s="24" t="s">
        <v>46</v>
      </c>
      <c r="N228" s="24"/>
      <c r="O228" s="24"/>
      <c r="P228" s="24"/>
      <c r="Q228" s="24"/>
      <c r="R228" s="24" t="s">
        <v>47</v>
      </c>
      <c r="S228" s="24"/>
      <c r="T228" s="24"/>
      <c r="U228" s="24"/>
      <c r="V228" s="24"/>
      <c r="W228" s="24"/>
      <c r="X228" s="24"/>
      <c r="Y228" s="44" t="s">
        <v>85</v>
      </c>
      <c r="Z228" s="44" t="s">
        <v>48</v>
      </c>
      <c r="AA228" s="44" t="s">
        <v>3</v>
      </c>
    </row>
    <row r="229" spans="1:55" ht="63" x14ac:dyDescent="0.25">
      <c r="F229" s="38" t="s">
        <v>36</v>
      </c>
      <c r="G229" s="38" t="s">
        <v>37</v>
      </c>
      <c r="H229" s="38" t="s">
        <v>38</v>
      </c>
      <c r="I229" s="38" t="s">
        <v>80</v>
      </c>
      <c r="J229" s="38" t="s">
        <v>39</v>
      </c>
      <c r="K229" s="38" t="s">
        <v>45</v>
      </c>
      <c r="L229" s="39" t="s">
        <v>16</v>
      </c>
      <c r="M229" s="40" t="s">
        <v>34</v>
      </c>
      <c r="N229" s="40" t="s">
        <v>5</v>
      </c>
      <c r="O229" s="40" t="s">
        <v>7</v>
      </c>
      <c r="P229" s="40" t="s">
        <v>8</v>
      </c>
      <c r="Q229" s="40" t="s">
        <v>40</v>
      </c>
      <c r="R229" s="40" t="s">
        <v>41</v>
      </c>
      <c r="S229" s="40" t="s">
        <v>42</v>
      </c>
      <c r="T229" s="40" t="s">
        <v>31</v>
      </c>
      <c r="U229" s="40" t="s">
        <v>43</v>
      </c>
      <c r="V229" s="40" t="s">
        <v>82</v>
      </c>
      <c r="W229" s="40" t="s">
        <v>87</v>
      </c>
      <c r="X229" s="40" t="s">
        <v>83</v>
      </c>
      <c r="Y229" s="45" t="s">
        <v>3</v>
      </c>
      <c r="Z229" s="45" t="s">
        <v>86</v>
      </c>
      <c r="AA229" s="45" t="s">
        <v>3</v>
      </c>
    </row>
    <row r="230" spans="1:55" x14ac:dyDescent="0.25">
      <c r="A230" s="15" t="s">
        <v>51</v>
      </c>
      <c r="B230" s="2"/>
      <c r="C230" s="2"/>
      <c r="F230" s="1">
        <f t="shared" ref="F230:X230" si="65">F232+F233+F234</f>
        <v>0</v>
      </c>
      <c r="G230" s="1">
        <f t="shared" si="65"/>
        <v>0</v>
      </c>
      <c r="H230" s="1">
        <f t="shared" si="65"/>
        <v>0</v>
      </c>
      <c r="I230" s="1">
        <f t="shared" si="65"/>
        <v>0</v>
      </c>
      <c r="J230" s="1">
        <f t="shared" si="65"/>
        <v>0</v>
      </c>
      <c r="K230" s="1">
        <f t="shared" si="65"/>
        <v>0</v>
      </c>
      <c r="L230" s="52">
        <f t="shared" si="65"/>
        <v>0</v>
      </c>
      <c r="M230" s="1">
        <f t="shared" si="65"/>
        <v>0</v>
      </c>
      <c r="N230" s="1">
        <f t="shared" si="65"/>
        <v>0</v>
      </c>
      <c r="O230" s="1">
        <f t="shared" si="65"/>
        <v>0</v>
      </c>
      <c r="P230" s="1">
        <f t="shared" si="65"/>
        <v>0</v>
      </c>
      <c r="Q230" s="1">
        <f t="shared" si="65"/>
        <v>0</v>
      </c>
      <c r="R230" s="1">
        <f t="shared" si="65"/>
        <v>0</v>
      </c>
      <c r="S230" s="1">
        <f t="shared" si="65"/>
        <v>0</v>
      </c>
      <c r="T230" s="1">
        <f t="shared" si="65"/>
        <v>0</v>
      </c>
      <c r="U230" s="1">
        <f t="shared" si="65"/>
        <v>0</v>
      </c>
      <c r="V230" s="1">
        <f t="shared" si="65"/>
        <v>0</v>
      </c>
      <c r="W230" s="1">
        <f t="shared" si="65"/>
        <v>0</v>
      </c>
      <c r="X230" s="1">
        <f t="shared" si="65"/>
        <v>0</v>
      </c>
      <c r="Y230" s="58">
        <f t="shared" ref="Y230:Y238" si="66">SUM(F230:K230)</f>
        <v>0</v>
      </c>
      <c r="Z230" s="1">
        <f t="shared" ref="Z230:Z238" si="67">SUM(M230:X230)</f>
        <v>0</v>
      </c>
      <c r="AA230" s="1">
        <f t="shared" ref="AA230:AA238" si="68">L230+Y230+Z230</f>
        <v>0</v>
      </c>
    </row>
    <row r="231" spans="1:55" x14ac:dyDescent="0.25">
      <c r="A231" s="30" t="s">
        <v>60</v>
      </c>
      <c r="B231" s="2"/>
      <c r="C231" s="2"/>
      <c r="F231" s="1">
        <f>F235+F236+F237+F238</f>
        <v>44.444444444444443</v>
      </c>
      <c r="G231" s="1">
        <f t="shared" ref="G231:X231" si="69">G235+G236+G237+G238</f>
        <v>19.333333333333332</v>
      </c>
      <c r="H231" s="1">
        <f t="shared" si="69"/>
        <v>64.564705882352939</v>
      </c>
      <c r="I231" s="1">
        <f t="shared" si="69"/>
        <v>20.752941176470589</v>
      </c>
      <c r="J231" s="1">
        <f t="shared" si="69"/>
        <v>160.39549019607844</v>
      </c>
      <c r="K231" s="1">
        <f t="shared" si="69"/>
        <v>36.284780578898228</v>
      </c>
      <c r="L231" s="52">
        <f t="shared" si="69"/>
        <v>6805.5555555555566</v>
      </c>
      <c r="M231" s="1">
        <f t="shared" si="69"/>
        <v>309.02777777777777</v>
      </c>
      <c r="N231" s="1">
        <f t="shared" si="69"/>
        <v>35.28846153846154</v>
      </c>
      <c r="O231" s="1">
        <f t="shared" si="69"/>
        <v>36</v>
      </c>
      <c r="P231" s="1">
        <f t="shared" si="69"/>
        <v>500</v>
      </c>
      <c r="Q231" s="1">
        <f t="shared" si="69"/>
        <v>818.51851851851848</v>
      </c>
      <c r="R231" s="1">
        <f t="shared" si="69"/>
        <v>490.47619047619048</v>
      </c>
      <c r="S231" s="1">
        <f t="shared" si="69"/>
        <v>5.4444444444444446</v>
      </c>
      <c r="T231" s="1">
        <f t="shared" si="69"/>
        <v>516.30952380952385</v>
      </c>
      <c r="U231" s="1">
        <f t="shared" si="69"/>
        <v>605.65476190476193</v>
      </c>
      <c r="V231" s="1">
        <f t="shared" si="69"/>
        <v>121.54761904761905</v>
      </c>
      <c r="W231" s="1">
        <f t="shared" si="69"/>
        <v>203.14484126984129</v>
      </c>
      <c r="X231" s="54">
        <f t="shared" si="69"/>
        <v>257.1825396825397</v>
      </c>
      <c r="Y231" s="58">
        <f t="shared" si="66"/>
        <v>345.77569561157793</v>
      </c>
      <c r="Z231" s="1">
        <f t="shared" si="67"/>
        <v>3898.5946784696789</v>
      </c>
      <c r="AA231" s="1">
        <f t="shared" si="68"/>
        <v>11049.925929636815</v>
      </c>
    </row>
    <row r="232" spans="1:55" x14ac:dyDescent="0.25">
      <c r="A232" s="15" t="s">
        <v>51</v>
      </c>
      <c r="B232" s="16" t="s">
        <v>52</v>
      </c>
      <c r="C232" s="2"/>
      <c r="F232" s="1">
        <f>F239+F240+F241</f>
        <v>0</v>
      </c>
      <c r="G232" s="1">
        <f t="shared" ref="G232:X232" si="70">G239+G240+G241</f>
        <v>0</v>
      </c>
      <c r="H232" s="1">
        <f t="shared" si="70"/>
        <v>0</v>
      </c>
      <c r="I232" s="1">
        <f t="shared" si="70"/>
        <v>0</v>
      </c>
      <c r="J232" s="1">
        <f t="shared" si="70"/>
        <v>0</v>
      </c>
      <c r="K232" s="1">
        <f t="shared" si="70"/>
        <v>0</v>
      </c>
      <c r="L232" s="52">
        <f t="shared" si="70"/>
        <v>0</v>
      </c>
      <c r="M232" s="1">
        <f t="shared" si="70"/>
        <v>0</v>
      </c>
      <c r="N232" s="1">
        <f t="shared" si="70"/>
        <v>0</v>
      </c>
      <c r="O232" s="1">
        <f t="shared" si="70"/>
        <v>0</v>
      </c>
      <c r="P232" s="1">
        <f t="shared" si="70"/>
        <v>0</v>
      </c>
      <c r="Q232" s="1">
        <f t="shared" si="70"/>
        <v>0</v>
      </c>
      <c r="R232" s="1">
        <f t="shared" si="70"/>
        <v>0</v>
      </c>
      <c r="S232" s="1">
        <f t="shared" si="70"/>
        <v>0</v>
      </c>
      <c r="T232" s="1">
        <f t="shared" si="70"/>
        <v>0</v>
      </c>
      <c r="U232" s="1">
        <f t="shared" si="70"/>
        <v>0</v>
      </c>
      <c r="V232" s="1">
        <f t="shared" si="70"/>
        <v>0</v>
      </c>
      <c r="W232" s="1">
        <f t="shared" si="70"/>
        <v>0</v>
      </c>
      <c r="X232" s="54">
        <f t="shared" si="70"/>
        <v>0</v>
      </c>
      <c r="Y232" s="58">
        <f t="shared" si="66"/>
        <v>0</v>
      </c>
      <c r="Z232" s="1">
        <f t="shared" si="67"/>
        <v>0</v>
      </c>
      <c r="AA232" s="1">
        <f t="shared" si="68"/>
        <v>0</v>
      </c>
    </row>
    <row r="233" spans="1:55" x14ac:dyDescent="0.25">
      <c r="A233" s="15" t="s">
        <v>51</v>
      </c>
      <c r="B233" s="16" t="s">
        <v>56</v>
      </c>
      <c r="C233" s="2"/>
      <c r="F233" s="1">
        <f>F242+F243+F244</f>
        <v>0</v>
      </c>
      <c r="G233" s="1">
        <f t="shared" ref="G233:X233" si="71">G242+G243+G244</f>
        <v>0</v>
      </c>
      <c r="H233" s="1">
        <f t="shared" si="71"/>
        <v>0</v>
      </c>
      <c r="I233" s="1">
        <f t="shared" si="71"/>
        <v>0</v>
      </c>
      <c r="J233" s="1">
        <f t="shared" si="71"/>
        <v>0</v>
      </c>
      <c r="K233" s="1">
        <f t="shared" si="71"/>
        <v>0</v>
      </c>
      <c r="L233" s="52">
        <f t="shared" si="71"/>
        <v>0</v>
      </c>
      <c r="M233" s="1">
        <f t="shared" si="71"/>
        <v>0</v>
      </c>
      <c r="N233" s="1">
        <f t="shared" si="71"/>
        <v>0</v>
      </c>
      <c r="O233" s="1">
        <f t="shared" si="71"/>
        <v>0</v>
      </c>
      <c r="P233" s="1">
        <f t="shared" si="71"/>
        <v>0</v>
      </c>
      <c r="Q233" s="1">
        <f t="shared" si="71"/>
        <v>0</v>
      </c>
      <c r="R233" s="1">
        <f t="shared" si="71"/>
        <v>0</v>
      </c>
      <c r="S233" s="1">
        <f t="shared" si="71"/>
        <v>0</v>
      </c>
      <c r="T233" s="1">
        <f t="shared" si="71"/>
        <v>0</v>
      </c>
      <c r="U233" s="1">
        <f t="shared" si="71"/>
        <v>0</v>
      </c>
      <c r="V233" s="1">
        <f t="shared" si="71"/>
        <v>0</v>
      </c>
      <c r="W233" s="1">
        <f t="shared" si="71"/>
        <v>0</v>
      </c>
      <c r="X233" s="54">
        <f t="shared" si="71"/>
        <v>0</v>
      </c>
      <c r="Y233" s="58">
        <f t="shared" si="66"/>
        <v>0</v>
      </c>
      <c r="Z233" s="1">
        <f t="shared" si="67"/>
        <v>0</v>
      </c>
      <c r="AA233" s="1">
        <f t="shared" si="68"/>
        <v>0</v>
      </c>
    </row>
    <row r="234" spans="1:55" x14ac:dyDescent="0.25">
      <c r="A234" s="15" t="s">
        <v>51</v>
      </c>
      <c r="B234" s="16" t="s">
        <v>9</v>
      </c>
      <c r="C234" s="2"/>
      <c r="F234" s="1">
        <f>F245</f>
        <v>0</v>
      </c>
      <c r="G234" s="1">
        <f t="shared" ref="G234:X234" si="72">G245</f>
        <v>0</v>
      </c>
      <c r="H234" s="1">
        <f t="shared" si="72"/>
        <v>0</v>
      </c>
      <c r="I234" s="1">
        <f t="shared" si="72"/>
        <v>0</v>
      </c>
      <c r="J234" s="1">
        <f t="shared" si="72"/>
        <v>0</v>
      </c>
      <c r="K234" s="1">
        <f t="shared" si="72"/>
        <v>0</v>
      </c>
      <c r="L234" s="52">
        <f t="shared" si="72"/>
        <v>0</v>
      </c>
      <c r="M234" s="1">
        <f t="shared" si="72"/>
        <v>0</v>
      </c>
      <c r="N234" s="1">
        <f t="shared" si="72"/>
        <v>0</v>
      </c>
      <c r="O234" s="1">
        <f t="shared" si="72"/>
        <v>0</v>
      </c>
      <c r="P234" s="1">
        <f t="shared" si="72"/>
        <v>0</v>
      </c>
      <c r="Q234" s="1">
        <f t="shared" si="72"/>
        <v>0</v>
      </c>
      <c r="R234" s="1">
        <f t="shared" si="72"/>
        <v>0</v>
      </c>
      <c r="S234" s="1">
        <f t="shared" si="72"/>
        <v>0</v>
      </c>
      <c r="T234" s="1">
        <f t="shared" si="72"/>
        <v>0</v>
      </c>
      <c r="U234" s="1">
        <f t="shared" si="72"/>
        <v>0</v>
      </c>
      <c r="V234" s="1">
        <f t="shared" si="72"/>
        <v>0</v>
      </c>
      <c r="W234" s="1">
        <f t="shared" si="72"/>
        <v>0</v>
      </c>
      <c r="X234" s="54">
        <f t="shared" si="72"/>
        <v>0</v>
      </c>
      <c r="Y234" s="58">
        <f t="shared" si="66"/>
        <v>0</v>
      </c>
      <c r="Z234" s="1">
        <f t="shared" si="67"/>
        <v>0</v>
      </c>
      <c r="AA234" s="1">
        <f t="shared" si="68"/>
        <v>0</v>
      </c>
    </row>
    <row r="235" spans="1:55" x14ac:dyDescent="0.25">
      <c r="A235" s="30" t="s">
        <v>60</v>
      </c>
      <c r="B235" s="32" t="s">
        <v>13</v>
      </c>
      <c r="C235" s="2"/>
      <c r="F235" s="51">
        <f>F246+F247+F248</f>
        <v>44.444444444444443</v>
      </c>
      <c r="G235" s="51">
        <f t="shared" ref="G235:X235" si="73">G246+G247+G248</f>
        <v>19.333333333333332</v>
      </c>
      <c r="H235" s="51">
        <f t="shared" si="73"/>
        <v>64.564705882352939</v>
      </c>
      <c r="I235" s="51">
        <f t="shared" si="73"/>
        <v>20.752941176470589</v>
      </c>
      <c r="J235" s="51">
        <f t="shared" si="73"/>
        <v>16.058823529411764</v>
      </c>
      <c r="K235" s="51">
        <f t="shared" si="73"/>
        <v>9.4117647058823533</v>
      </c>
      <c r="L235" s="52">
        <f t="shared" si="73"/>
        <v>0</v>
      </c>
      <c r="M235" s="51">
        <f t="shared" si="73"/>
        <v>27.777777777777779</v>
      </c>
      <c r="N235" s="51">
        <f t="shared" si="73"/>
        <v>13.75</v>
      </c>
      <c r="O235" s="51">
        <f t="shared" si="73"/>
        <v>36</v>
      </c>
      <c r="P235" s="51">
        <f t="shared" si="73"/>
        <v>500</v>
      </c>
      <c r="Q235" s="51">
        <f t="shared" si="73"/>
        <v>18.518518518518519</v>
      </c>
      <c r="R235" s="51">
        <f t="shared" si="73"/>
        <v>14.285714285714286</v>
      </c>
      <c r="S235" s="51">
        <f t="shared" si="73"/>
        <v>0</v>
      </c>
      <c r="T235" s="51">
        <f t="shared" si="73"/>
        <v>2.5</v>
      </c>
      <c r="U235" s="51">
        <f t="shared" si="73"/>
        <v>10.416666666666666</v>
      </c>
      <c r="V235" s="51">
        <f t="shared" si="73"/>
        <v>0.27777777777777779</v>
      </c>
      <c r="W235" s="51">
        <f t="shared" si="73"/>
        <v>0.76388888888888884</v>
      </c>
      <c r="X235" s="55">
        <f t="shared" si="73"/>
        <v>39.682539682539684</v>
      </c>
      <c r="Y235" s="59">
        <f t="shared" si="66"/>
        <v>174.56601307189541</v>
      </c>
      <c r="Z235" s="51">
        <f t="shared" si="67"/>
        <v>663.97288359788365</v>
      </c>
      <c r="AA235" s="51">
        <f t="shared" si="68"/>
        <v>838.53889666977909</v>
      </c>
    </row>
    <row r="236" spans="1:55" x14ac:dyDescent="0.25">
      <c r="A236" s="30" t="s">
        <v>60</v>
      </c>
      <c r="B236" s="31" t="s">
        <v>23</v>
      </c>
      <c r="C236" s="2"/>
      <c r="F236" s="51">
        <f>F249+F250+F251</f>
        <v>0</v>
      </c>
      <c r="G236" s="51">
        <f t="shared" ref="G236:X236" si="74">G249+G250+G251</f>
        <v>0</v>
      </c>
      <c r="H236" s="51">
        <f t="shared" si="74"/>
        <v>0</v>
      </c>
      <c r="I236" s="51">
        <f t="shared" si="74"/>
        <v>0</v>
      </c>
      <c r="J236" s="51">
        <f t="shared" si="74"/>
        <v>29.753333333333334</v>
      </c>
      <c r="K236" s="51">
        <f t="shared" si="74"/>
        <v>26.873015873015873</v>
      </c>
      <c r="L236" s="52">
        <f t="shared" si="74"/>
        <v>0</v>
      </c>
      <c r="M236" s="51">
        <f t="shared" si="74"/>
        <v>0</v>
      </c>
      <c r="N236" s="51">
        <f t="shared" si="74"/>
        <v>21.53846153846154</v>
      </c>
      <c r="O236" s="51">
        <f t="shared" si="74"/>
        <v>0</v>
      </c>
      <c r="P236" s="51">
        <f t="shared" si="74"/>
        <v>0</v>
      </c>
      <c r="Q236" s="51">
        <f t="shared" si="74"/>
        <v>0</v>
      </c>
      <c r="R236" s="51">
        <f t="shared" si="74"/>
        <v>0</v>
      </c>
      <c r="S236" s="51">
        <f t="shared" si="74"/>
        <v>5.4444444444444446</v>
      </c>
      <c r="T236" s="51">
        <f t="shared" si="74"/>
        <v>18.571428571428573</v>
      </c>
      <c r="U236" s="51">
        <f t="shared" si="74"/>
        <v>0</v>
      </c>
      <c r="V236" s="51">
        <f t="shared" si="74"/>
        <v>2.2222222222222223</v>
      </c>
      <c r="W236" s="51">
        <f t="shared" si="74"/>
        <v>0</v>
      </c>
      <c r="X236" s="55">
        <f t="shared" si="74"/>
        <v>2.2222222222222223</v>
      </c>
      <c r="Y236" s="59">
        <f t="shared" si="66"/>
        <v>56.626349206349204</v>
      </c>
      <c r="Z236" s="51">
        <f t="shared" si="67"/>
        <v>49.998778998779002</v>
      </c>
      <c r="AA236" s="51">
        <f t="shared" si="68"/>
        <v>106.62512820512821</v>
      </c>
    </row>
    <row r="237" spans="1:55" x14ac:dyDescent="0.25">
      <c r="A237" s="30" t="s">
        <v>60</v>
      </c>
      <c r="B237" s="31" t="s">
        <v>65</v>
      </c>
      <c r="C237" s="46"/>
      <c r="F237" s="51">
        <f>F252+F253+F254</f>
        <v>0</v>
      </c>
      <c r="G237" s="51">
        <f t="shared" ref="G237:X237" si="75">G252+G253+G254</f>
        <v>0</v>
      </c>
      <c r="H237" s="51">
        <f t="shared" si="75"/>
        <v>0</v>
      </c>
      <c r="I237" s="51">
        <f t="shared" si="75"/>
        <v>0</v>
      </c>
      <c r="J237" s="51">
        <f t="shared" si="75"/>
        <v>114.58333333333334</v>
      </c>
      <c r="K237" s="51">
        <f t="shared" si="75"/>
        <v>0</v>
      </c>
      <c r="L237" s="52">
        <f t="shared" si="75"/>
        <v>6805.5555555555566</v>
      </c>
      <c r="M237" s="51">
        <f t="shared" si="75"/>
        <v>281.25</v>
      </c>
      <c r="N237" s="51">
        <f t="shared" si="75"/>
        <v>0</v>
      </c>
      <c r="O237" s="51">
        <f t="shared" si="75"/>
        <v>0</v>
      </c>
      <c r="P237" s="51">
        <f t="shared" si="75"/>
        <v>0</v>
      </c>
      <c r="Q237" s="51">
        <f t="shared" si="75"/>
        <v>800</v>
      </c>
      <c r="R237" s="51">
        <f t="shared" si="75"/>
        <v>476.1904761904762</v>
      </c>
      <c r="S237" s="51">
        <f t="shared" si="75"/>
        <v>0</v>
      </c>
      <c r="T237" s="51">
        <f t="shared" si="75"/>
        <v>495.2380952380953</v>
      </c>
      <c r="U237" s="51">
        <f t="shared" si="75"/>
        <v>595.2380952380953</v>
      </c>
      <c r="V237" s="51">
        <f t="shared" si="75"/>
        <v>119.04761904761905</v>
      </c>
      <c r="W237" s="51">
        <f t="shared" si="75"/>
        <v>202.38095238095241</v>
      </c>
      <c r="X237" s="55">
        <f t="shared" si="75"/>
        <v>190.47619047619048</v>
      </c>
      <c r="Y237" s="59">
        <f t="shared" si="66"/>
        <v>114.58333333333334</v>
      </c>
      <c r="Z237" s="51">
        <f t="shared" si="67"/>
        <v>3159.8214285714289</v>
      </c>
      <c r="AA237" s="51">
        <f t="shared" si="68"/>
        <v>10079.960317460318</v>
      </c>
    </row>
    <row r="238" spans="1:55" ht="15.75" thickBot="1" x14ac:dyDescent="0.3">
      <c r="A238" s="48" t="s">
        <v>60</v>
      </c>
      <c r="B238" s="49" t="s">
        <v>9</v>
      </c>
      <c r="C238" s="50"/>
      <c r="D238" s="50"/>
      <c r="E238" s="50"/>
      <c r="F238" s="53">
        <f>F255</f>
        <v>0</v>
      </c>
      <c r="G238" s="53">
        <f t="shared" ref="G238:X238" si="76">G255</f>
        <v>0</v>
      </c>
      <c r="H238" s="53">
        <f t="shared" si="76"/>
        <v>0</v>
      </c>
      <c r="I238" s="53">
        <f t="shared" si="76"/>
        <v>0</v>
      </c>
      <c r="J238" s="53">
        <f t="shared" si="76"/>
        <v>0</v>
      </c>
      <c r="K238" s="53">
        <f t="shared" si="76"/>
        <v>0</v>
      </c>
      <c r="L238" s="62">
        <f t="shared" si="76"/>
        <v>0</v>
      </c>
      <c r="M238" s="53">
        <f t="shared" si="76"/>
        <v>0</v>
      </c>
      <c r="N238" s="53">
        <f t="shared" si="76"/>
        <v>0</v>
      </c>
      <c r="O238" s="53">
        <f t="shared" si="76"/>
        <v>0</v>
      </c>
      <c r="P238" s="53">
        <f t="shared" si="76"/>
        <v>0</v>
      </c>
      <c r="Q238" s="53">
        <f t="shared" si="76"/>
        <v>0</v>
      </c>
      <c r="R238" s="53">
        <f t="shared" si="76"/>
        <v>0</v>
      </c>
      <c r="S238" s="53">
        <f t="shared" si="76"/>
        <v>0</v>
      </c>
      <c r="T238" s="53">
        <f t="shared" si="76"/>
        <v>0</v>
      </c>
      <c r="U238" s="53">
        <f t="shared" si="76"/>
        <v>0</v>
      </c>
      <c r="V238" s="53">
        <f t="shared" si="76"/>
        <v>0</v>
      </c>
      <c r="W238" s="53">
        <f t="shared" si="76"/>
        <v>0</v>
      </c>
      <c r="X238" s="56">
        <f t="shared" si="76"/>
        <v>24.801587301587301</v>
      </c>
      <c r="Y238" s="60">
        <f t="shared" si="66"/>
        <v>0</v>
      </c>
      <c r="Z238" s="53">
        <f t="shared" si="67"/>
        <v>24.801587301587301</v>
      </c>
      <c r="AA238" s="53">
        <f t="shared" si="68"/>
        <v>24.801587301587301</v>
      </c>
    </row>
    <row r="239" spans="1:55" ht="15.75" thickTop="1" x14ac:dyDescent="0.25">
      <c r="A239" s="15" t="s">
        <v>51</v>
      </c>
      <c r="B239" s="16" t="s">
        <v>52</v>
      </c>
      <c r="C239" s="16" t="s">
        <v>53</v>
      </c>
      <c r="D239" s="2"/>
      <c r="E239" s="2"/>
      <c r="F239" s="47">
        <f t="shared" ref="F239:AA250" si="77">IF(F284&gt;0,F14/F284,0)</f>
        <v>0</v>
      </c>
      <c r="G239" s="47">
        <f t="shared" si="77"/>
        <v>0</v>
      </c>
      <c r="H239" s="47">
        <f t="shared" si="77"/>
        <v>0</v>
      </c>
      <c r="I239" s="47">
        <f t="shared" si="77"/>
        <v>0</v>
      </c>
      <c r="J239" s="47">
        <f t="shared" si="77"/>
        <v>0</v>
      </c>
      <c r="K239" s="47">
        <f t="shared" si="77"/>
        <v>0</v>
      </c>
      <c r="L239" s="63">
        <f t="shared" si="77"/>
        <v>0</v>
      </c>
      <c r="M239" s="47">
        <f t="shared" si="77"/>
        <v>0</v>
      </c>
      <c r="N239" s="47">
        <f t="shared" si="77"/>
        <v>0</v>
      </c>
      <c r="O239" s="47">
        <f t="shared" si="77"/>
        <v>0</v>
      </c>
      <c r="P239" s="47">
        <f t="shared" si="77"/>
        <v>0</v>
      </c>
      <c r="Q239" s="47">
        <f t="shared" si="77"/>
        <v>0</v>
      </c>
      <c r="R239" s="47">
        <f t="shared" si="77"/>
        <v>0</v>
      </c>
      <c r="S239" s="47">
        <f t="shared" si="77"/>
        <v>0</v>
      </c>
      <c r="T239" s="47">
        <f t="shared" si="77"/>
        <v>0</v>
      </c>
      <c r="U239" s="47">
        <f t="shared" si="77"/>
        <v>0</v>
      </c>
      <c r="V239" s="47">
        <f t="shared" si="77"/>
        <v>0</v>
      </c>
      <c r="W239" s="47">
        <f t="shared" si="77"/>
        <v>0</v>
      </c>
      <c r="X239" s="57">
        <f t="shared" si="77"/>
        <v>0</v>
      </c>
      <c r="Y239" s="61">
        <f t="shared" si="77"/>
        <v>0</v>
      </c>
      <c r="Z239" s="47">
        <f t="shared" si="77"/>
        <v>0</v>
      </c>
      <c r="AA239" s="47">
        <f t="shared" si="77"/>
        <v>0</v>
      </c>
    </row>
    <row r="240" spans="1:55" x14ac:dyDescent="0.25">
      <c r="A240" s="15" t="s">
        <v>51</v>
      </c>
      <c r="B240" s="16" t="s">
        <v>52</v>
      </c>
      <c r="C240" s="16" t="s">
        <v>54</v>
      </c>
      <c r="D240" s="2"/>
      <c r="E240" s="2"/>
      <c r="F240" s="1">
        <f t="shared" si="77"/>
        <v>0</v>
      </c>
      <c r="G240" s="1">
        <f t="shared" si="77"/>
        <v>0</v>
      </c>
      <c r="H240" s="1">
        <f t="shared" si="77"/>
        <v>0</v>
      </c>
      <c r="I240" s="1">
        <f t="shared" si="77"/>
        <v>0</v>
      </c>
      <c r="J240" s="1">
        <f t="shared" si="77"/>
        <v>0</v>
      </c>
      <c r="K240" s="1">
        <f t="shared" si="77"/>
        <v>0</v>
      </c>
      <c r="L240" s="52">
        <f t="shared" si="77"/>
        <v>0</v>
      </c>
      <c r="M240" s="1">
        <f t="shared" si="77"/>
        <v>0</v>
      </c>
      <c r="N240" s="1">
        <f t="shared" si="77"/>
        <v>0</v>
      </c>
      <c r="O240" s="1">
        <f t="shared" si="77"/>
        <v>0</v>
      </c>
      <c r="P240" s="1">
        <f t="shared" si="77"/>
        <v>0</v>
      </c>
      <c r="Q240" s="1">
        <f t="shared" si="77"/>
        <v>0</v>
      </c>
      <c r="R240" s="1">
        <f t="shared" si="77"/>
        <v>0</v>
      </c>
      <c r="S240" s="1">
        <f t="shared" si="77"/>
        <v>0</v>
      </c>
      <c r="T240" s="1">
        <f t="shared" si="77"/>
        <v>0</v>
      </c>
      <c r="U240" s="1">
        <f t="shared" si="77"/>
        <v>0</v>
      </c>
      <c r="V240" s="1">
        <f t="shared" si="77"/>
        <v>0</v>
      </c>
      <c r="W240" s="1">
        <f t="shared" si="77"/>
        <v>0</v>
      </c>
      <c r="X240" s="54">
        <f t="shared" si="77"/>
        <v>0</v>
      </c>
      <c r="Y240" s="58">
        <f t="shared" si="77"/>
        <v>0</v>
      </c>
      <c r="Z240" s="1">
        <f t="shared" si="77"/>
        <v>0</v>
      </c>
      <c r="AA240" s="1">
        <f t="shared" si="77"/>
        <v>0</v>
      </c>
    </row>
    <row r="241" spans="1:29" x14ac:dyDescent="0.25">
      <c r="A241" s="15" t="s">
        <v>51</v>
      </c>
      <c r="B241" s="16" t="s">
        <v>52</v>
      </c>
      <c r="C241" s="16" t="s">
        <v>55</v>
      </c>
      <c r="D241" s="2"/>
      <c r="E241" s="2"/>
      <c r="F241" s="1">
        <f t="shared" si="77"/>
        <v>0</v>
      </c>
      <c r="G241" s="1">
        <f t="shared" si="77"/>
        <v>0</v>
      </c>
      <c r="H241" s="1">
        <f t="shared" si="77"/>
        <v>0</v>
      </c>
      <c r="I241" s="1">
        <f t="shared" si="77"/>
        <v>0</v>
      </c>
      <c r="J241" s="1">
        <f t="shared" si="77"/>
        <v>0</v>
      </c>
      <c r="K241" s="1">
        <f t="shared" si="77"/>
        <v>0</v>
      </c>
      <c r="L241" s="52">
        <f t="shared" si="77"/>
        <v>0</v>
      </c>
      <c r="M241" s="1">
        <f t="shared" si="77"/>
        <v>0</v>
      </c>
      <c r="N241" s="1">
        <f t="shared" si="77"/>
        <v>0</v>
      </c>
      <c r="O241" s="1">
        <f t="shared" si="77"/>
        <v>0</v>
      </c>
      <c r="P241" s="1">
        <f t="shared" si="77"/>
        <v>0</v>
      </c>
      <c r="Q241" s="1">
        <f t="shared" si="77"/>
        <v>0</v>
      </c>
      <c r="R241" s="1">
        <f t="shared" si="77"/>
        <v>0</v>
      </c>
      <c r="S241" s="1">
        <f t="shared" si="77"/>
        <v>0</v>
      </c>
      <c r="T241" s="1">
        <f t="shared" si="77"/>
        <v>0</v>
      </c>
      <c r="U241" s="1">
        <f t="shared" si="77"/>
        <v>0</v>
      </c>
      <c r="V241" s="1">
        <f t="shared" si="77"/>
        <v>0</v>
      </c>
      <c r="W241" s="1">
        <f t="shared" si="77"/>
        <v>0</v>
      </c>
      <c r="X241" s="54">
        <f t="shared" si="77"/>
        <v>0</v>
      </c>
      <c r="Y241" s="58">
        <f t="shared" si="77"/>
        <v>0</v>
      </c>
      <c r="Z241" s="1">
        <f t="shared" si="77"/>
        <v>0</v>
      </c>
      <c r="AA241" s="1">
        <f t="shared" si="77"/>
        <v>0</v>
      </c>
    </row>
    <row r="242" spans="1:29" x14ac:dyDescent="0.25">
      <c r="A242" s="25" t="s">
        <v>51</v>
      </c>
      <c r="B242" s="26" t="s">
        <v>56</v>
      </c>
      <c r="C242" s="26" t="s">
        <v>57</v>
      </c>
      <c r="D242" s="2"/>
      <c r="E242" s="2"/>
      <c r="F242" s="1">
        <f t="shared" si="77"/>
        <v>0</v>
      </c>
      <c r="G242" s="1">
        <f t="shared" si="77"/>
        <v>0</v>
      </c>
      <c r="H242" s="1">
        <f t="shared" si="77"/>
        <v>0</v>
      </c>
      <c r="I242" s="1">
        <f t="shared" si="77"/>
        <v>0</v>
      </c>
      <c r="J242" s="1">
        <f t="shared" si="77"/>
        <v>0</v>
      </c>
      <c r="K242" s="1">
        <f t="shared" si="77"/>
        <v>0</v>
      </c>
      <c r="L242" s="52">
        <f t="shared" si="77"/>
        <v>0</v>
      </c>
      <c r="M242" s="1">
        <f t="shared" si="77"/>
        <v>0</v>
      </c>
      <c r="N242" s="1">
        <f t="shared" si="77"/>
        <v>0</v>
      </c>
      <c r="O242" s="1">
        <f t="shared" si="77"/>
        <v>0</v>
      </c>
      <c r="P242" s="1">
        <f t="shared" si="77"/>
        <v>0</v>
      </c>
      <c r="Q242" s="1">
        <f t="shared" si="77"/>
        <v>0</v>
      </c>
      <c r="R242" s="1">
        <f t="shared" si="77"/>
        <v>0</v>
      </c>
      <c r="S242" s="1">
        <f t="shared" si="77"/>
        <v>0</v>
      </c>
      <c r="T242" s="1">
        <f t="shared" si="77"/>
        <v>0</v>
      </c>
      <c r="U242" s="1">
        <f t="shared" si="77"/>
        <v>0</v>
      </c>
      <c r="V242" s="1">
        <f t="shared" si="77"/>
        <v>0</v>
      </c>
      <c r="W242" s="1">
        <f t="shared" si="77"/>
        <v>0</v>
      </c>
      <c r="X242" s="54">
        <f t="shared" si="77"/>
        <v>0</v>
      </c>
      <c r="Y242" s="58">
        <f t="shared" si="77"/>
        <v>0</v>
      </c>
      <c r="Z242" s="1">
        <f t="shared" si="77"/>
        <v>0</v>
      </c>
      <c r="AA242" s="1">
        <f t="shared" si="77"/>
        <v>0</v>
      </c>
    </row>
    <row r="243" spans="1:29" x14ac:dyDescent="0.25">
      <c r="A243" s="15" t="s">
        <v>51</v>
      </c>
      <c r="B243" s="16" t="s">
        <v>56</v>
      </c>
      <c r="C243" s="27" t="s">
        <v>58</v>
      </c>
      <c r="D243" s="2"/>
      <c r="E243" s="2"/>
      <c r="F243" s="1">
        <f t="shared" si="77"/>
        <v>0</v>
      </c>
      <c r="G243" s="1">
        <f t="shared" si="77"/>
        <v>0</v>
      </c>
      <c r="H243" s="1">
        <f t="shared" si="77"/>
        <v>0</v>
      </c>
      <c r="I243" s="1">
        <f t="shared" si="77"/>
        <v>0</v>
      </c>
      <c r="J243" s="1">
        <f t="shared" si="77"/>
        <v>0</v>
      </c>
      <c r="K243" s="1">
        <f t="shared" si="77"/>
        <v>0</v>
      </c>
      <c r="L243" s="52">
        <f t="shared" si="77"/>
        <v>0</v>
      </c>
      <c r="M243" s="1">
        <f t="shared" si="77"/>
        <v>0</v>
      </c>
      <c r="N243" s="1">
        <f t="shared" si="77"/>
        <v>0</v>
      </c>
      <c r="O243" s="1">
        <f t="shared" si="77"/>
        <v>0</v>
      </c>
      <c r="P243" s="1">
        <f t="shared" si="77"/>
        <v>0</v>
      </c>
      <c r="Q243" s="1">
        <f t="shared" si="77"/>
        <v>0</v>
      </c>
      <c r="R243" s="1">
        <f t="shared" si="77"/>
        <v>0</v>
      </c>
      <c r="S243" s="1">
        <f t="shared" si="77"/>
        <v>0</v>
      </c>
      <c r="T243" s="1">
        <f t="shared" si="77"/>
        <v>0</v>
      </c>
      <c r="U243" s="1">
        <f t="shared" si="77"/>
        <v>0</v>
      </c>
      <c r="V243" s="1">
        <f t="shared" si="77"/>
        <v>0</v>
      </c>
      <c r="W243" s="1">
        <f t="shared" si="77"/>
        <v>0</v>
      </c>
      <c r="X243" s="54">
        <f t="shared" si="77"/>
        <v>0</v>
      </c>
      <c r="Y243" s="58">
        <f t="shared" si="77"/>
        <v>0</v>
      </c>
      <c r="Z243" s="1">
        <f t="shared" si="77"/>
        <v>0</v>
      </c>
      <c r="AA243" s="1">
        <f t="shared" si="77"/>
        <v>0</v>
      </c>
    </row>
    <row r="244" spans="1:29" x14ac:dyDescent="0.25">
      <c r="A244" s="15" t="s">
        <v>51</v>
      </c>
      <c r="B244" s="16" t="s">
        <v>9</v>
      </c>
      <c r="C244" s="27" t="s">
        <v>59</v>
      </c>
      <c r="D244" s="2"/>
      <c r="E244" s="2"/>
      <c r="F244" s="1">
        <f t="shared" si="77"/>
        <v>0</v>
      </c>
      <c r="G244" s="1">
        <f t="shared" si="77"/>
        <v>0</v>
      </c>
      <c r="H244" s="1">
        <f t="shared" si="77"/>
        <v>0</v>
      </c>
      <c r="I244" s="1">
        <f t="shared" si="77"/>
        <v>0</v>
      </c>
      <c r="J244" s="1">
        <f t="shared" si="77"/>
        <v>0</v>
      </c>
      <c r="K244" s="1">
        <f t="shared" si="77"/>
        <v>0</v>
      </c>
      <c r="L244" s="52">
        <f t="shared" si="77"/>
        <v>0</v>
      </c>
      <c r="M244" s="1">
        <f t="shared" si="77"/>
        <v>0</v>
      </c>
      <c r="N244" s="1">
        <f t="shared" si="77"/>
        <v>0</v>
      </c>
      <c r="O244" s="1">
        <f t="shared" si="77"/>
        <v>0</v>
      </c>
      <c r="P244" s="1">
        <f t="shared" si="77"/>
        <v>0</v>
      </c>
      <c r="Q244" s="1">
        <f t="shared" si="77"/>
        <v>0</v>
      </c>
      <c r="R244" s="1">
        <f t="shared" si="77"/>
        <v>0</v>
      </c>
      <c r="S244" s="1">
        <f t="shared" si="77"/>
        <v>0</v>
      </c>
      <c r="T244" s="1">
        <f t="shared" si="77"/>
        <v>0</v>
      </c>
      <c r="U244" s="1">
        <f t="shared" si="77"/>
        <v>0</v>
      </c>
      <c r="V244" s="1">
        <f t="shared" si="77"/>
        <v>0</v>
      </c>
      <c r="W244" s="1">
        <f t="shared" si="77"/>
        <v>0</v>
      </c>
      <c r="X244" s="54">
        <f t="shared" si="77"/>
        <v>0</v>
      </c>
      <c r="Y244" s="58">
        <f t="shared" si="77"/>
        <v>0</v>
      </c>
      <c r="Z244" s="1">
        <f t="shared" si="77"/>
        <v>0</v>
      </c>
      <c r="AA244" s="1">
        <f t="shared" si="77"/>
        <v>0</v>
      </c>
    </row>
    <row r="245" spans="1:29" x14ac:dyDescent="0.25">
      <c r="A245" s="15" t="s">
        <v>51</v>
      </c>
      <c r="B245" s="16" t="s">
        <v>9</v>
      </c>
      <c r="C245" s="27" t="s">
        <v>9</v>
      </c>
      <c r="D245" s="2"/>
      <c r="E245" s="2"/>
      <c r="F245" s="1">
        <f t="shared" si="77"/>
        <v>0</v>
      </c>
      <c r="G245" s="1">
        <f t="shared" si="77"/>
        <v>0</v>
      </c>
      <c r="H245" s="1">
        <f t="shared" si="77"/>
        <v>0</v>
      </c>
      <c r="I245" s="1">
        <f t="shared" si="77"/>
        <v>0</v>
      </c>
      <c r="J245" s="1">
        <f t="shared" si="77"/>
        <v>0</v>
      </c>
      <c r="K245" s="1">
        <f t="shared" si="77"/>
        <v>0</v>
      </c>
      <c r="L245" s="52">
        <f t="shared" si="77"/>
        <v>0</v>
      </c>
      <c r="M245" s="1">
        <f t="shared" si="77"/>
        <v>0</v>
      </c>
      <c r="N245" s="1">
        <f t="shared" si="77"/>
        <v>0</v>
      </c>
      <c r="O245" s="1">
        <f t="shared" si="77"/>
        <v>0</v>
      </c>
      <c r="P245" s="1">
        <f t="shared" si="77"/>
        <v>0</v>
      </c>
      <c r="Q245" s="1">
        <f t="shared" si="77"/>
        <v>0</v>
      </c>
      <c r="R245" s="1">
        <f t="shared" si="77"/>
        <v>0</v>
      </c>
      <c r="S245" s="1">
        <f t="shared" si="77"/>
        <v>0</v>
      </c>
      <c r="T245" s="1">
        <f t="shared" si="77"/>
        <v>0</v>
      </c>
      <c r="U245" s="1">
        <f t="shared" si="77"/>
        <v>0</v>
      </c>
      <c r="V245" s="1">
        <f t="shared" si="77"/>
        <v>0</v>
      </c>
      <c r="W245" s="1">
        <f t="shared" si="77"/>
        <v>0</v>
      </c>
      <c r="X245" s="54">
        <f t="shared" si="77"/>
        <v>0</v>
      </c>
      <c r="Y245" s="58">
        <f t="shared" si="77"/>
        <v>0</v>
      </c>
      <c r="Z245" s="1">
        <f t="shared" si="77"/>
        <v>0</v>
      </c>
      <c r="AA245" s="1">
        <f t="shared" si="77"/>
        <v>0</v>
      </c>
    </row>
    <row r="246" spans="1:29" x14ac:dyDescent="0.25">
      <c r="A246" s="28" t="s">
        <v>60</v>
      </c>
      <c r="B246" s="29" t="s">
        <v>13</v>
      </c>
      <c r="C246" s="29" t="s">
        <v>61</v>
      </c>
      <c r="D246" s="2"/>
      <c r="E246" s="2"/>
      <c r="F246" s="86">
        <f t="shared" si="77"/>
        <v>31.111111111111111</v>
      </c>
      <c r="G246" s="86">
        <f t="shared" si="77"/>
        <v>0</v>
      </c>
      <c r="H246" s="86">
        <f t="shared" si="77"/>
        <v>16.141176470588235</v>
      </c>
      <c r="I246" s="86">
        <f t="shared" si="77"/>
        <v>20.752941176470589</v>
      </c>
      <c r="J246" s="86">
        <f t="shared" si="77"/>
        <v>16.058823529411764</v>
      </c>
      <c r="K246" s="51">
        <f t="shared" si="77"/>
        <v>9.4117647058823533</v>
      </c>
      <c r="L246" s="52">
        <f t="shared" si="77"/>
        <v>0</v>
      </c>
      <c r="M246" s="85">
        <f t="shared" si="77"/>
        <v>27.777777777777779</v>
      </c>
      <c r="N246" s="85">
        <f t="shared" si="77"/>
        <v>13.75</v>
      </c>
      <c r="O246" s="85">
        <f t="shared" si="77"/>
        <v>36</v>
      </c>
      <c r="P246" s="85">
        <f t="shared" si="77"/>
        <v>222.22222222222223</v>
      </c>
      <c r="Q246" s="85">
        <f t="shared" si="77"/>
        <v>18.518518518518519</v>
      </c>
      <c r="R246" s="85">
        <f t="shared" si="77"/>
        <v>14.285714285714286</v>
      </c>
      <c r="S246" s="85">
        <f t="shared" si="77"/>
        <v>0</v>
      </c>
      <c r="T246" s="85">
        <f t="shared" si="77"/>
        <v>2.5</v>
      </c>
      <c r="U246" s="85">
        <f t="shared" si="77"/>
        <v>10.416666666666666</v>
      </c>
      <c r="V246" s="85">
        <f t="shared" si="77"/>
        <v>0.27777777777777779</v>
      </c>
      <c r="W246" s="85">
        <f t="shared" si="77"/>
        <v>0.76388888888888884</v>
      </c>
      <c r="X246" s="87">
        <f t="shared" si="77"/>
        <v>39.682539682539684</v>
      </c>
      <c r="Y246" s="59">
        <f t="shared" si="77"/>
        <v>0</v>
      </c>
      <c r="Z246" s="51">
        <f t="shared" si="77"/>
        <v>0</v>
      </c>
      <c r="AA246" s="51">
        <f t="shared" si="77"/>
        <v>0</v>
      </c>
    </row>
    <row r="247" spans="1:29" x14ac:dyDescent="0.25">
      <c r="A247" s="36" t="s">
        <v>60</v>
      </c>
      <c r="B247" s="37" t="s">
        <v>13</v>
      </c>
      <c r="C247" s="29" t="s">
        <v>62</v>
      </c>
      <c r="D247" s="2"/>
      <c r="E247" s="2"/>
      <c r="F247" s="86">
        <f t="shared" si="77"/>
        <v>13.333333333333334</v>
      </c>
      <c r="G247" s="86">
        <f t="shared" si="77"/>
        <v>19.333333333333332</v>
      </c>
      <c r="H247" s="86">
        <f t="shared" si="77"/>
        <v>48.423529411764704</v>
      </c>
      <c r="I247" s="51">
        <f t="shared" si="77"/>
        <v>0</v>
      </c>
      <c r="J247" s="51">
        <f t="shared" si="77"/>
        <v>0</v>
      </c>
      <c r="K247" s="51">
        <f t="shared" si="77"/>
        <v>0</v>
      </c>
      <c r="L247" s="52">
        <f t="shared" si="77"/>
        <v>0</v>
      </c>
      <c r="M247" s="51">
        <f t="shared" si="77"/>
        <v>0</v>
      </c>
      <c r="N247" s="51">
        <f t="shared" si="77"/>
        <v>0</v>
      </c>
      <c r="O247" s="51">
        <f t="shared" si="77"/>
        <v>0</v>
      </c>
      <c r="P247" s="85">
        <f>IF(P292&gt;0,P22/P292,0)</f>
        <v>277.77777777777777</v>
      </c>
      <c r="Q247" s="51">
        <f t="shared" si="77"/>
        <v>0</v>
      </c>
      <c r="R247" s="51">
        <f t="shared" si="77"/>
        <v>0</v>
      </c>
      <c r="S247" s="51">
        <f t="shared" si="77"/>
        <v>0</v>
      </c>
      <c r="T247" s="51">
        <f t="shared" si="77"/>
        <v>0</v>
      </c>
      <c r="U247" s="51">
        <f t="shared" si="77"/>
        <v>0</v>
      </c>
      <c r="V247" s="51">
        <f t="shared" si="77"/>
        <v>0</v>
      </c>
      <c r="W247" s="51">
        <f t="shared" si="77"/>
        <v>0</v>
      </c>
      <c r="X247" s="55">
        <f t="shared" si="77"/>
        <v>0</v>
      </c>
      <c r="Y247" s="59">
        <f t="shared" si="77"/>
        <v>0</v>
      </c>
      <c r="Z247" s="51">
        <f t="shared" si="77"/>
        <v>0</v>
      </c>
      <c r="AA247" s="51">
        <f t="shared" si="77"/>
        <v>0</v>
      </c>
    </row>
    <row r="248" spans="1:29" x14ac:dyDescent="0.25">
      <c r="A248" s="30" t="s">
        <v>60</v>
      </c>
      <c r="B248" s="31" t="s">
        <v>13</v>
      </c>
      <c r="C248" s="32" t="s">
        <v>63</v>
      </c>
      <c r="D248" s="2"/>
      <c r="E248" s="2"/>
      <c r="F248" s="51">
        <f t="shared" si="77"/>
        <v>0</v>
      </c>
      <c r="G248" s="51">
        <f t="shared" si="77"/>
        <v>0</v>
      </c>
      <c r="H248" s="51">
        <f t="shared" si="77"/>
        <v>0</v>
      </c>
      <c r="I248" s="51">
        <f t="shared" si="77"/>
        <v>0</v>
      </c>
      <c r="J248" s="51">
        <f t="shared" si="77"/>
        <v>0</v>
      </c>
      <c r="K248" s="51">
        <f t="shared" si="77"/>
        <v>0</v>
      </c>
      <c r="L248" s="52">
        <f t="shared" si="77"/>
        <v>0</v>
      </c>
      <c r="M248" s="51">
        <f t="shared" si="77"/>
        <v>0</v>
      </c>
      <c r="N248" s="51">
        <f t="shared" si="77"/>
        <v>0</v>
      </c>
      <c r="O248" s="51">
        <f t="shared" si="77"/>
        <v>0</v>
      </c>
      <c r="P248" s="51">
        <f t="shared" si="77"/>
        <v>0</v>
      </c>
      <c r="Q248" s="51">
        <f t="shared" si="77"/>
        <v>0</v>
      </c>
      <c r="R248" s="51">
        <f t="shared" si="77"/>
        <v>0</v>
      </c>
      <c r="S248" s="51">
        <f t="shared" si="77"/>
        <v>0</v>
      </c>
      <c r="T248" s="51">
        <f t="shared" si="77"/>
        <v>0</v>
      </c>
      <c r="U248" s="51">
        <f t="shared" si="77"/>
        <v>0</v>
      </c>
      <c r="V248" s="51">
        <f t="shared" si="77"/>
        <v>0</v>
      </c>
      <c r="W248" s="51">
        <f t="shared" si="77"/>
        <v>0</v>
      </c>
      <c r="X248" s="55">
        <f t="shared" si="77"/>
        <v>0</v>
      </c>
      <c r="Y248" s="59">
        <f t="shared" si="77"/>
        <v>0</v>
      </c>
      <c r="Z248" s="51">
        <f t="shared" si="77"/>
        <v>0</v>
      </c>
      <c r="AA248" s="51">
        <f t="shared" si="77"/>
        <v>0</v>
      </c>
    </row>
    <row r="249" spans="1:29" x14ac:dyDescent="0.25">
      <c r="A249" s="30" t="s">
        <v>60</v>
      </c>
      <c r="B249" s="32" t="s">
        <v>23</v>
      </c>
      <c r="C249" s="31" t="s">
        <v>50</v>
      </c>
      <c r="D249" s="2"/>
      <c r="E249" s="2"/>
      <c r="F249" s="51">
        <f t="shared" si="77"/>
        <v>0</v>
      </c>
      <c r="G249" s="51">
        <f t="shared" si="77"/>
        <v>0</v>
      </c>
      <c r="H249" s="51">
        <f t="shared" si="77"/>
        <v>0</v>
      </c>
      <c r="I249" s="51">
        <f t="shared" si="77"/>
        <v>0</v>
      </c>
      <c r="J249" s="86">
        <f t="shared" si="77"/>
        <v>0.42</v>
      </c>
      <c r="K249" s="51">
        <f t="shared" si="77"/>
        <v>21.428571428571427</v>
      </c>
      <c r="L249" s="52">
        <f t="shared" si="77"/>
        <v>0</v>
      </c>
      <c r="M249" s="51">
        <f t="shared" si="77"/>
        <v>0</v>
      </c>
      <c r="N249" s="86">
        <f t="shared" si="77"/>
        <v>21.53846153846154</v>
      </c>
      <c r="O249" s="51">
        <f t="shared" si="77"/>
        <v>0</v>
      </c>
      <c r="P249" s="51">
        <f t="shared" si="77"/>
        <v>0</v>
      </c>
      <c r="Q249" s="51">
        <f t="shared" si="77"/>
        <v>0</v>
      </c>
      <c r="R249" s="51">
        <f t="shared" si="77"/>
        <v>0</v>
      </c>
      <c r="S249" s="51">
        <f t="shared" si="77"/>
        <v>0</v>
      </c>
      <c r="T249" s="51">
        <f t="shared" si="77"/>
        <v>0</v>
      </c>
      <c r="U249" s="51">
        <f t="shared" si="77"/>
        <v>0</v>
      </c>
      <c r="V249" s="51">
        <f t="shared" si="77"/>
        <v>0</v>
      </c>
      <c r="W249" s="51">
        <f t="shared" si="77"/>
        <v>0</v>
      </c>
      <c r="X249" s="55">
        <f t="shared" si="77"/>
        <v>0</v>
      </c>
      <c r="Y249" s="59">
        <f t="shared" si="77"/>
        <v>0</v>
      </c>
      <c r="Z249" s="51">
        <f t="shared" si="77"/>
        <v>0</v>
      </c>
      <c r="AA249" s="51">
        <f t="shared" si="77"/>
        <v>0</v>
      </c>
    </row>
    <row r="250" spans="1:29" x14ac:dyDescent="0.25">
      <c r="A250" s="30" t="s">
        <v>60</v>
      </c>
      <c r="B250" s="32" t="s">
        <v>23</v>
      </c>
      <c r="C250" s="31" t="s">
        <v>49</v>
      </c>
      <c r="D250" s="2"/>
      <c r="E250" s="2"/>
      <c r="F250" s="51">
        <f t="shared" si="77"/>
        <v>0</v>
      </c>
      <c r="G250" s="51">
        <f t="shared" si="77"/>
        <v>0</v>
      </c>
      <c r="H250" s="51">
        <f t="shared" si="77"/>
        <v>0</v>
      </c>
      <c r="I250" s="51">
        <f t="shared" si="77"/>
        <v>0</v>
      </c>
      <c r="J250" s="86">
        <f t="shared" si="77"/>
        <v>29.333333333333332</v>
      </c>
      <c r="K250" s="51">
        <f t="shared" si="77"/>
        <v>5.4444444444444446</v>
      </c>
      <c r="L250" s="52">
        <f t="shared" si="77"/>
        <v>0</v>
      </c>
      <c r="M250" s="51">
        <f t="shared" si="77"/>
        <v>0</v>
      </c>
      <c r="N250" s="51">
        <f t="shared" si="77"/>
        <v>0</v>
      </c>
      <c r="O250" s="51">
        <f t="shared" si="77"/>
        <v>0</v>
      </c>
      <c r="P250" s="51">
        <f t="shared" si="77"/>
        <v>0</v>
      </c>
      <c r="Q250" s="51">
        <f t="shared" si="77"/>
        <v>0</v>
      </c>
      <c r="R250" s="51">
        <f t="shared" si="77"/>
        <v>0</v>
      </c>
      <c r="S250" s="51">
        <f t="shared" si="77"/>
        <v>5.4444444444444446</v>
      </c>
      <c r="T250" s="51">
        <f t="shared" ref="G250:AA265" si="78">IF(T295&gt;0,T25/T295,0)</f>
        <v>18.571428571428573</v>
      </c>
      <c r="U250" s="51">
        <f t="shared" si="78"/>
        <v>0</v>
      </c>
      <c r="V250" s="51">
        <f t="shared" si="78"/>
        <v>2.2222222222222223</v>
      </c>
      <c r="W250" s="51">
        <f t="shared" si="78"/>
        <v>0</v>
      </c>
      <c r="X250" s="95">
        <f t="shared" si="78"/>
        <v>2.2222222222222223</v>
      </c>
      <c r="Y250" s="59">
        <f t="shared" si="78"/>
        <v>0</v>
      </c>
      <c r="Z250" s="51">
        <f t="shared" si="78"/>
        <v>0</v>
      </c>
      <c r="AA250" s="51">
        <f t="shared" si="78"/>
        <v>0</v>
      </c>
      <c r="AC250" s="14">
        <f>28.5*0.26</f>
        <v>7.41</v>
      </c>
    </row>
    <row r="251" spans="1:29" x14ac:dyDescent="0.25">
      <c r="A251" s="30" t="s">
        <v>60</v>
      </c>
      <c r="B251" s="32" t="s">
        <v>23</v>
      </c>
      <c r="C251" s="31" t="s">
        <v>64</v>
      </c>
      <c r="D251" s="2"/>
      <c r="E251" s="2"/>
      <c r="F251" s="51">
        <f t="shared" ref="F251:F260" si="79">IF(F296&gt;0,F26/F296,0)</f>
        <v>0</v>
      </c>
      <c r="G251" s="51">
        <f t="shared" si="78"/>
        <v>0</v>
      </c>
      <c r="H251" s="51">
        <f t="shared" si="78"/>
        <v>0</v>
      </c>
      <c r="I251" s="51">
        <f t="shared" si="78"/>
        <v>0</v>
      </c>
      <c r="J251" s="86">
        <f t="shared" si="78"/>
        <v>0</v>
      </c>
      <c r="K251" s="51">
        <f t="shared" si="78"/>
        <v>0</v>
      </c>
      <c r="L251" s="52">
        <f t="shared" si="78"/>
        <v>0</v>
      </c>
      <c r="M251" s="51">
        <f t="shared" si="78"/>
        <v>0</v>
      </c>
      <c r="N251" s="51">
        <f t="shared" si="78"/>
        <v>0</v>
      </c>
      <c r="O251" s="51">
        <f t="shared" si="78"/>
        <v>0</v>
      </c>
      <c r="P251" s="51">
        <f t="shared" si="78"/>
        <v>0</v>
      </c>
      <c r="Q251" s="51">
        <f t="shared" si="78"/>
        <v>0</v>
      </c>
      <c r="R251" s="51">
        <f t="shared" si="78"/>
        <v>0</v>
      </c>
      <c r="S251" s="51">
        <f t="shared" si="78"/>
        <v>0</v>
      </c>
      <c r="T251" s="51">
        <f t="shared" si="78"/>
        <v>0</v>
      </c>
      <c r="U251" s="51">
        <f t="shared" si="78"/>
        <v>0</v>
      </c>
      <c r="V251" s="51">
        <f t="shared" si="78"/>
        <v>0</v>
      </c>
      <c r="W251" s="51">
        <f t="shared" si="78"/>
        <v>0</v>
      </c>
      <c r="X251" s="55">
        <f t="shared" si="78"/>
        <v>0</v>
      </c>
      <c r="Y251" s="59">
        <f t="shared" si="78"/>
        <v>0</v>
      </c>
      <c r="Z251" s="51">
        <f t="shared" si="78"/>
        <v>0</v>
      </c>
      <c r="AA251" s="51">
        <f t="shared" si="78"/>
        <v>0</v>
      </c>
    </row>
    <row r="252" spans="1:29" x14ac:dyDescent="0.25">
      <c r="A252" s="30" t="s">
        <v>60</v>
      </c>
      <c r="B252" s="32" t="s">
        <v>65</v>
      </c>
      <c r="C252" s="31" t="s">
        <v>66</v>
      </c>
      <c r="D252" s="2"/>
      <c r="E252" s="2"/>
      <c r="F252" s="51">
        <f t="shared" si="79"/>
        <v>0</v>
      </c>
      <c r="G252" s="51">
        <f t="shared" si="78"/>
        <v>0</v>
      </c>
      <c r="H252" s="51">
        <f t="shared" si="78"/>
        <v>0</v>
      </c>
      <c r="I252" s="51">
        <f t="shared" si="78"/>
        <v>0</v>
      </c>
      <c r="J252" s="86">
        <f t="shared" si="78"/>
        <v>114.58333333333334</v>
      </c>
      <c r="K252" s="51">
        <f t="shared" si="78"/>
        <v>0</v>
      </c>
      <c r="L252" s="52">
        <f t="shared" si="78"/>
        <v>0</v>
      </c>
      <c r="M252" s="73">
        <f t="shared" si="78"/>
        <v>281.25</v>
      </c>
      <c r="N252" s="51">
        <f t="shared" si="78"/>
        <v>0</v>
      </c>
      <c r="O252" s="51">
        <f t="shared" si="78"/>
        <v>0</v>
      </c>
      <c r="P252" s="51">
        <f t="shared" si="78"/>
        <v>0</v>
      </c>
      <c r="Q252" s="51">
        <f t="shared" si="78"/>
        <v>0</v>
      </c>
      <c r="R252" s="51">
        <f t="shared" si="78"/>
        <v>0</v>
      </c>
      <c r="S252" s="51">
        <f t="shared" si="78"/>
        <v>0</v>
      </c>
      <c r="T252" s="51">
        <f t="shared" si="78"/>
        <v>0</v>
      </c>
      <c r="U252" s="51">
        <f t="shared" si="78"/>
        <v>0</v>
      </c>
      <c r="V252" s="51">
        <f t="shared" si="78"/>
        <v>0</v>
      </c>
      <c r="W252" s="51">
        <f t="shared" si="78"/>
        <v>0</v>
      </c>
      <c r="X252" s="55">
        <f t="shared" si="78"/>
        <v>0</v>
      </c>
      <c r="Y252" s="59">
        <f t="shared" si="78"/>
        <v>0</v>
      </c>
      <c r="Z252" s="51">
        <f t="shared" si="78"/>
        <v>0</v>
      </c>
      <c r="AA252" s="51">
        <f t="shared" si="78"/>
        <v>0</v>
      </c>
    </row>
    <row r="253" spans="1:29" x14ac:dyDescent="0.25">
      <c r="A253" s="30" t="s">
        <v>60</v>
      </c>
      <c r="B253" s="32" t="s">
        <v>65</v>
      </c>
      <c r="C253" s="31" t="s">
        <v>67</v>
      </c>
      <c r="D253" s="2"/>
      <c r="E253" s="2"/>
      <c r="F253" s="51">
        <f t="shared" si="79"/>
        <v>0</v>
      </c>
      <c r="G253" s="51">
        <f t="shared" si="78"/>
        <v>0</v>
      </c>
      <c r="H253" s="51">
        <f t="shared" si="78"/>
        <v>0</v>
      </c>
      <c r="I253" s="51">
        <f t="shared" si="78"/>
        <v>0</v>
      </c>
      <c r="J253" s="51">
        <f t="shared" si="78"/>
        <v>0</v>
      </c>
      <c r="K253" s="51">
        <f t="shared" si="78"/>
        <v>0</v>
      </c>
      <c r="L253" s="52">
        <f t="shared" si="78"/>
        <v>0</v>
      </c>
      <c r="M253" s="51">
        <f t="shared" si="78"/>
        <v>0</v>
      </c>
      <c r="N253" s="51">
        <f t="shared" si="78"/>
        <v>0</v>
      </c>
      <c r="O253" s="51">
        <f t="shared" si="78"/>
        <v>0</v>
      </c>
      <c r="P253" s="51">
        <f t="shared" si="78"/>
        <v>0</v>
      </c>
      <c r="Q253" s="73">
        <f t="shared" si="78"/>
        <v>800</v>
      </c>
      <c r="R253" s="73">
        <f t="shared" si="78"/>
        <v>476.1904761904762</v>
      </c>
      <c r="S253" s="73">
        <f t="shared" si="78"/>
        <v>0</v>
      </c>
      <c r="T253" s="73">
        <f t="shared" si="78"/>
        <v>495.2380952380953</v>
      </c>
      <c r="U253" s="73">
        <f t="shared" si="78"/>
        <v>595.2380952380953</v>
      </c>
      <c r="V253" s="73">
        <f t="shared" si="78"/>
        <v>119.04761904761905</v>
      </c>
      <c r="W253" s="73">
        <f t="shared" si="78"/>
        <v>202.38095238095241</v>
      </c>
      <c r="X253" s="89">
        <f t="shared" si="78"/>
        <v>190.47619047619048</v>
      </c>
      <c r="Y253" s="59">
        <f t="shared" si="78"/>
        <v>0</v>
      </c>
      <c r="Z253" s="51">
        <f t="shared" si="78"/>
        <v>0</v>
      </c>
      <c r="AA253" s="51">
        <f t="shared" si="78"/>
        <v>0</v>
      </c>
    </row>
    <row r="254" spans="1:29" x14ac:dyDescent="0.25">
      <c r="A254" s="30" t="s">
        <v>60</v>
      </c>
      <c r="B254" s="32" t="s">
        <v>65</v>
      </c>
      <c r="C254" s="31" t="s">
        <v>68</v>
      </c>
      <c r="D254" s="2"/>
      <c r="E254" s="2"/>
      <c r="F254" s="51">
        <f t="shared" si="79"/>
        <v>0</v>
      </c>
      <c r="G254" s="51">
        <f t="shared" si="78"/>
        <v>0</v>
      </c>
      <c r="H254" s="51">
        <f t="shared" si="78"/>
        <v>0</v>
      </c>
      <c r="I254" s="51">
        <f t="shared" si="78"/>
        <v>0</v>
      </c>
      <c r="J254" s="51">
        <f t="shared" si="78"/>
        <v>0</v>
      </c>
      <c r="K254" s="51">
        <f t="shared" si="78"/>
        <v>0</v>
      </c>
      <c r="L254" s="88">
        <f t="shared" si="78"/>
        <v>6805.5555555555566</v>
      </c>
      <c r="M254" s="51">
        <f t="shared" si="78"/>
        <v>0</v>
      </c>
      <c r="N254" s="51">
        <f t="shared" si="78"/>
        <v>0</v>
      </c>
      <c r="O254" s="51">
        <f t="shared" si="78"/>
        <v>0</v>
      </c>
      <c r="P254" s="51">
        <f t="shared" si="78"/>
        <v>0</v>
      </c>
      <c r="Q254" s="51">
        <f t="shared" si="78"/>
        <v>0</v>
      </c>
      <c r="R254" s="51">
        <f t="shared" si="78"/>
        <v>0</v>
      </c>
      <c r="S254" s="51">
        <f t="shared" si="78"/>
        <v>0</v>
      </c>
      <c r="T254" s="51">
        <f t="shared" si="78"/>
        <v>0</v>
      </c>
      <c r="U254" s="51">
        <f t="shared" si="78"/>
        <v>0</v>
      </c>
      <c r="V254" s="51">
        <f t="shared" si="78"/>
        <v>0</v>
      </c>
      <c r="W254" s="51">
        <f t="shared" si="78"/>
        <v>0</v>
      </c>
      <c r="X254" s="55">
        <f t="shared" si="78"/>
        <v>0</v>
      </c>
      <c r="Y254" s="59">
        <f t="shared" si="78"/>
        <v>0</v>
      </c>
      <c r="Z254" s="51">
        <f t="shared" si="78"/>
        <v>0</v>
      </c>
      <c r="AA254" s="51">
        <f t="shared" si="78"/>
        <v>0</v>
      </c>
    </row>
    <row r="255" spans="1:29" x14ac:dyDescent="0.25">
      <c r="A255" s="30" t="s">
        <v>60</v>
      </c>
      <c r="B255" s="32" t="s">
        <v>9</v>
      </c>
      <c r="C255" s="31" t="s">
        <v>69</v>
      </c>
      <c r="D255" s="2"/>
      <c r="E255" s="2"/>
      <c r="F255" s="51">
        <f t="shared" si="79"/>
        <v>0</v>
      </c>
      <c r="G255" s="51">
        <f t="shared" si="78"/>
        <v>0</v>
      </c>
      <c r="H255" s="51">
        <f t="shared" si="78"/>
        <v>0</v>
      </c>
      <c r="I255" s="51">
        <f t="shared" si="78"/>
        <v>0</v>
      </c>
      <c r="J255" s="51">
        <f t="shared" si="78"/>
        <v>0</v>
      </c>
      <c r="K255" s="51">
        <f t="shared" si="78"/>
        <v>0</v>
      </c>
      <c r="L255" s="52">
        <f t="shared" si="78"/>
        <v>0</v>
      </c>
      <c r="M255" s="51">
        <f t="shared" si="78"/>
        <v>0</v>
      </c>
      <c r="N255" s="51">
        <f t="shared" si="78"/>
        <v>0</v>
      </c>
      <c r="O255" s="51">
        <f t="shared" si="78"/>
        <v>0</v>
      </c>
      <c r="P255" s="51">
        <f t="shared" si="78"/>
        <v>0</v>
      </c>
      <c r="Q255" s="51">
        <f t="shared" si="78"/>
        <v>0</v>
      </c>
      <c r="R255" s="51">
        <f t="shared" si="78"/>
        <v>0</v>
      </c>
      <c r="S255" s="51">
        <f t="shared" si="78"/>
        <v>0</v>
      </c>
      <c r="T255" s="51">
        <f t="shared" si="78"/>
        <v>0</v>
      </c>
      <c r="U255" s="51">
        <f t="shared" si="78"/>
        <v>0</v>
      </c>
      <c r="V255" s="51">
        <f t="shared" si="78"/>
        <v>0</v>
      </c>
      <c r="W255" s="51">
        <f t="shared" si="78"/>
        <v>0</v>
      </c>
      <c r="X255" s="89">
        <f t="shared" si="78"/>
        <v>24.801587301587301</v>
      </c>
      <c r="Y255" s="59">
        <f t="shared" si="78"/>
        <v>0</v>
      </c>
      <c r="Z255" s="51">
        <f t="shared" si="78"/>
        <v>0</v>
      </c>
      <c r="AA255" s="51">
        <f t="shared" si="78"/>
        <v>0</v>
      </c>
    </row>
    <row r="256" spans="1:29" x14ac:dyDescent="0.25">
      <c r="A256" s="15" t="s">
        <v>51</v>
      </c>
      <c r="B256" s="16" t="s">
        <v>56</v>
      </c>
      <c r="C256" s="27" t="s">
        <v>57</v>
      </c>
      <c r="D256" s="16" t="s">
        <v>70</v>
      </c>
      <c r="E256" s="16"/>
      <c r="F256" s="1">
        <f t="shared" si="79"/>
        <v>0</v>
      </c>
      <c r="G256" s="1">
        <f t="shared" si="78"/>
        <v>0</v>
      </c>
      <c r="H256" s="1">
        <f t="shared" si="78"/>
        <v>0</v>
      </c>
      <c r="I256" s="1">
        <f t="shared" si="78"/>
        <v>0</v>
      </c>
      <c r="J256" s="1">
        <f t="shared" si="78"/>
        <v>0</v>
      </c>
      <c r="K256" s="1">
        <f t="shared" si="78"/>
        <v>0</v>
      </c>
      <c r="L256" s="52">
        <f t="shared" si="78"/>
        <v>0</v>
      </c>
      <c r="M256" s="1">
        <f t="shared" si="78"/>
        <v>0</v>
      </c>
      <c r="N256" s="1">
        <f t="shared" si="78"/>
        <v>0</v>
      </c>
      <c r="O256" s="1">
        <f t="shared" si="78"/>
        <v>0</v>
      </c>
      <c r="P256" s="1">
        <f t="shared" si="78"/>
        <v>0</v>
      </c>
      <c r="Q256" s="1">
        <f t="shared" si="78"/>
        <v>0</v>
      </c>
      <c r="R256" s="1">
        <f t="shared" si="78"/>
        <v>0</v>
      </c>
      <c r="S256" s="1">
        <f t="shared" si="78"/>
        <v>0</v>
      </c>
      <c r="T256" s="1">
        <f t="shared" si="78"/>
        <v>0</v>
      </c>
      <c r="U256" s="1">
        <f t="shared" si="78"/>
        <v>0</v>
      </c>
      <c r="V256" s="1">
        <f t="shared" si="78"/>
        <v>0</v>
      </c>
      <c r="W256" s="1">
        <f t="shared" si="78"/>
        <v>0</v>
      </c>
      <c r="X256" s="54">
        <f t="shared" si="78"/>
        <v>0</v>
      </c>
      <c r="Y256" s="58">
        <f t="shared" si="78"/>
        <v>0</v>
      </c>
      <c r="Z256" s="1">
        <f t="shared" si="78"/>
        <v>0</v>
      </c>
      <c r="AA256" s="1">
        <f t="shared" si="78"/>
        <v>0</v>
      </c>
    </row>
    <row r="257" spans="1:27" x14ac:dyDescent="0.25">
      <c r="A257" s="15" t="s">
        <v>51</v>
      </c>
      <c r="B257" s="16" t="s">
        <v>56</v>
      </c>
      <c r="C257" s="27" t="s">
        <v>57</v>
      </c>
      <c r="D257" s="16" t="s">
        <v>71</v>
      </c>
      <c r="E257" s="16"/>
      <c r="F257" s="1">
        <f t="shared" si="79"/>
        <v>0</v>
      </c>
      <c r="G257" s="1">
        <f t="shared" si="78"/>
        <v>0</v>
      </c>
      <c r="H257" s="1">
        <f t="shared" si="78"/>
        <v>0</v>
      </c>
      <c r="I257" s="1">
        <f t="shared" si="78"/>
        <v>0</v>
      </c>
      <c r="J257" s="1">
        <f t="shared" si="78"/>
        <v>0</v>
      </c>
      <c r="K257" s="1">
        <f t="shared" si="78"/>
        <v>0</v>
      </c>
      <c r="L257" s="52">
        <f t="shared" si="78"/>
        <v>0</v>
      </c>
      <c r="M257" s="1">
        <f t="shared" si="78"/>
        <v>0</v>
      </c>
      <c r="N257" s="1">
        <f t="shared" si="78"/>
        <v>0</v>
      </c>
      <c r="O257" s="1">
        <f t="shared" si="78"/>
        <v>0</v>
      </c>
      <c r="P257" s="1">
        <f t="shared" si="78"/>
        <v>0</v>
      </c>
      <c r="Q257" s="1">
        <f t="shared" si="78"/>
        <v>0</v>
      </c>
      <c r="R257" s="1">
        <f t="shared" si="78"/>
        <v>0</v>
      </c>
      <c r="S257" s="1">
        <f t="shared" si="78"/>
        <v>0</v>
      </c>
      <c r="T257" s="1">
        <f t="shared" si="78"/>
        <v>0</v>
      </c>
      <c r="U257" s="1">
        <f t="shared" si="78"/>
        <v>0</v>
      </c>
      <c r="V257" s="1">
        <f t="shared" si="78"/>
        <v>0</v>
      </c>
      <c r="W257" s="1">
        <f t="shared" si="78"/>
        <v>0</v>
      </c>
      <c r="X257" s="54">
        <f t="shared" si="78"/>
        <v>0</v>
      </c>
      <c r="Y257" s="58">
        <f t="shared" si="78"/>
        <v>0</v>
      </c>
      <c r="Z257" s="1">
        <f t="shared" si="78"/>
        <v>0</v>
      </c>
      <c r="AA257" s="1">
        <f t="shared" si="78"/>
        <v>0</v>
      </c>
    </row>
    <row r="258" spans="1:27" x14ac:dyDescent="0.25">
      <c r="A258" s="15" t="s">
        <v>51</v>
      </c>
      <c r="B258" s="16" t="s">
        <v>56</v>
      </c>
      <c r="C258" s="27" t="s">
        <v>27</v>
      </c>
      <c r="D258" s="16" t="s">
        <v>72</v>
      </c>
      <c r="E258" s="16"/>
      <c r="F258" s="1">
        <f t="shared" si="79"/>
        <v>0</v>
      </c>
      <c r="G258" s="1">
        <f t="shared" si="78"/>
        <v>0</v>
      </c>
      <c r="H258" s="1">
        <f t="shared" si="78"/>
        <v>0</v>
      </c>
      <c r="I258" s="1">
        <f t="shared" si="78"/>
        <v>0</v>
      </c>
      <c r="J258" s="1">
        <f t="shared" si="78"/>
        <v>0</v>
      </c>
      <c r="K258" s="1">
        <f t="shared" si="78"/>
        <v>0</v>
      </c>
      <c r="L258" s="52">
        <f t="shared" si="78"/>
        <v>0</v>
      </c>
      <c r="M258" s="1">
        <f t="shared" si="78"/>
        <v>0</v>
      </c>
      <c r="N258" s="1">
        <f t="shared" si="78"/>
        <v>0</v>
      </c>
      <c r="O258" s="1">
        <f t="shared" si="78"/>
        <v>0</v>
      </c>
      <c r="P258" s="1">
        <f t="shared" si="78"/>
        <v>0</v>
      </c>
      <c r="Q258" s="1">
        <f t="shared" si="78"/>
        <v>0</v>
      </c>
      <c r="R258" s="1">
        <f t="shared" si="78"/>
        <v>0</v>
      </c>
      <c r="S258" s="1">
        <f t="shared" si="78"/>
        <v>0</v>
      </c>
      <c r="T258" s="1">
        <f t="shared" si="78"/>
        <v>0</v>
      </c>
      <c r="U258" s="1">
        <f t="shared" si="78"/>
        <v>0</v>
      </c>
      <c r="V258" s="1">
        <f t="shared" si="78"/>
        <v>0</v>
      </c>
      <c r="W258" s="1">
        <f t="shared" si="78"/>
        <v>0</v>
      </c>
      <c r="X258" s="54">
        <f t="shared" si="78"/>
        <v>0</v>
      </c>
      <c r="Y258" s="58">
        <f t="shared" si="78"/>
        <v>0</v>
      </c>
      <c r="Z258" s="1">
        <f t="shared" si="78"/>
        <v>0</v>
      </c>
      <c r="AA258" s="1">
        <f t="shared" si="78"/>
        <v>0</v>
      </c>
    </row>
    <row r="259" spans="1:27" x14ac:dyDescent="0.25">
      <c r="A259" s="15" t="s">
        <v>51</v>
      </c>
      <c r="B259" s="16" t="s">
        <v>56</v>
      </c>
      <c r="C259" s="27" t="s">
        <v>57</v>
      </c>
      <c r="D259" s="16" t="s">
        <v>73</v>
      </c>
      <c r="E259" s="16"/>
      <c r="F259" s="1">
        <f t="shared" si="79"/>
        <v>0</v>
      </c>
      <c r="G259" s="1">
        <f t="shared" si="78"/>
        <v>0</v>
      </c>
      <c r="H259" s="1">
        <f t="shared" si="78"/>
        <v>0</v>
      </c>
      <c r="I259" s="1">
        <f t="shared" si="78"/>
        <v>0</v>
      </c>
      <c r="J259" s="1">
        <f t="shared" si="78"/>
        <v>0</v>
      </c>
      <c r="K259" s="1">
        <f t="shared" si="78"/>
        <v>0</v>
      </c>
      <c r="L259" s="52">
        <f t="shared" si="78"/>
        <v>0</v>
      </c>
      <c r="M259" s="1">
        <f t="shared" si="78"/>
        <v>0</v>
      </c>
      <c r="N259" s="1">
        <f t="shared" si="78"/>
        <v>0</v>
      </c>
      <c r="O259" s="1">
        <f t="shared" si="78"/>
        <v>0</v>
      </c>
      <c r="P259" s="1">
        <f t="shared" si="78"/>
        <v>0</v>
      </c>
      <c r="Q259" s="1">
        <f t="shared" si="78"/>
        <v>0</v>
      </c>
      <c r="R259" s="1">
        <f t="shared" si="78"/>
        <v>0</v>
      </c>
      <c r="S259" s="1">
        <f t="shared" si="78"/>
        <v>0</v>
      </c>
      <c r="T259" s="1">
        <f t="shared" si="78"/>
        <v>0</v>
      </c>
      <c r="U259" s="1">
        <f t="shared" si="78"/>
        <v>0</v>
      </c>
      <c r="V259" s="1">
        <f t="shared" si="78"/>
        <v>0</v>
      </c>
      <c r="W259" s="1">
        <f t="shared" si="78"/>
        <v>0</v>
      </c>
      <c r="X259" s="54">
        <f t="shared" si="78"/>
        <v>0</v>
      </c>
      <c r="Y259" s="58">
        <f t="shared" si="78"/>
        <v>0</v>
      </c>
      <c r="Z259" s="1">
        <f t="shared" si="78"/>
        <v>0</v>
      </c>
      <c r="AA259" s="1">
        <f t="shared" si="78"/>
        <v>0</v>
      </c>
    </row>
    <row r="260" spans="1:27" x14ac:dyDescent="0.25">
      <c r="A260" s="15" t="s">
        <v>51</v>
      </c>
      <c r="B260" s="16" t="s">
        <v>56</v>
      </c>
      <c r="C260" s="27" t="s">
        <v>57</v>
      </c>
      <c r="D260" s="16" t="s">
        <v>74</v>
      </c>
      <c r="E260" s="16"/>
      <c r="F260" s="1">
        <f t="shared" si="79"/>
        <v>0</v>
      </c>
      <c r="G260" s="1">
        <f t="shared" si="78"/>
        <v>0</v>
      </c>
      <c r="H260" s="1">
        <f t="shared" si="78"/>
        <v>0</v>
      </c>
      <c r="I260" s="1">
        <f t="shared" si="78"/>
        <v>0</v>
      </c>
      <c r="J260" s="1">
        <f t="shared" si="78"/>
        <v>0</v>
      </c>
      <c r="K260" s="1">
        <f t="shared" si="78"/>
        <v>0</v>
      </c>
      <c r="L260" s="52">
        <f t="shared" si="78"/>
        <v>0</v>
      </c>
      <c r="M260" s="1">
        <f t="shared" si="78"/>
        <v>0</v>
      </c>
      <c r="N260" s="1">
        <f t="shared" si="78"/>
        <v>0</v>
      </c>
      <c r="O260" s="1">
        <f t="shared" si="78"/>
        <v>0</v>
      </c>
      <c r="P260" s="1">
        <f t="shared" si="78"/>
        <v>0</v>
      </c>
      <c r="Q260" s="1">
        <f t="shared" si="78"/>
        <v>0</v>
      </c>
      <c r="R260" s="1">
        <f t="shared" si="78"/>
        <v>0</v>
      </c>
      <c r="S260" s="1">
        <f t="shared" si="78"/>
        <v>0</v>
      </c>
      <c r="T260" s="1">
        <f t="shared" si="78"/>
        <v>0</v>
      </c>
      <c r="U260" s="1">
        <f t="shared" si="78"/>
        <v>0</v>
      </c>
      <c r="V260" s="1">
        <f t="shared" si="78"/>
        <v>0</v>
      </c>
      <c r="W260" s="1">
        <f t="shared" si="78"/>
        <v>0</v>
      </c>
      <c r="X260" s="54">
        <f t="shared" si="78"/>
        <v>0</v>
      </c>
      <c r="Y260" s="58">
        <f t="shared" si="78"/>
        <v>0</v>
      </c>
      <c r="Z260" s="1">
        <f t="shared" si="78"/>
        <v>0</v>
      </c>
      <c r="AA260" s="1">
        <f t="shared" si="78"/>
        <v>0</v>
      </c>
    </row>
    <row r="261" spans="1:27" x14ac:dyDescent="0.25">
      <c r="A261" s="30" t="s">
        <v>60</v>
      </c>
      <c r="B261" s="31" t="s">
        <v>13</v>
      </c>
      <c r="C261" s="32" t="s">
        <v>61</v>
      </c>
      <c r="D261" s="31" t="s">
        <v>75</v>
      </c>
      <c r="E261" s="31"/>
      <c r="F261" s="51">
        <f>F246*0.9</f>
        <v>28</v>
      </c>
      <c r="G261" s="73"/>
      <c r="H261" s="51">
        <f>H246</f>
        <v>16.141176470588235</v>
      </c>
      <c r="I261" s="51">
        <f>I246*0.9</f>
        <v>18.677647058823531</v>
      </c>
      <c r="J261" s="51">
        <f>J246*0.3</f>
        <v>4.8176470588235292</v>
      </c>
      <c r="K261" s="51">
        <f>K246*0.8</f>
        <v>7.5294117647058831</v>
      </c>
      <c r="L261" s="52">
        <v>0</v>
      </c>
      <c r="M261" s="73">
        <f>M246*0.1</f>
        <v>2.7777777777777781</v>
      </c>
      <c r="N261" s="73">
        <v>0</v>
      </c>
      <c r="O261" s="73">
        <v>0</v>
      </c>
      <c r="P261" s="73">
        <v>0</v>
      </c>
      <c r="Q261" s="73"/>
      <c r="R261" s="73"/>
      <c r="S261" s="51"/>
      <c r="T261" s="51"/>
      <c r="U261" s="51"/>
      <c r="V261" s="51"/>
      <c r="W261" s="51">
        <f>W246</f>
        <v>0.76388888888888884</v>
      </c>
      <c r="X261" s="55">
        <f>X291*0.1</f>
        <v>18</v>
      </c>
      <c r="Y261" s="59">
        <f t="shared" si="78"/>
        <v>0</v>
      </c>
      <c r="Z261" s="51">
        <f t="shared" si="78"/>
        <v>0</v>
      </c>
      <c r="AA261" s="51">
        <f t="shared" si="78"/>
        <v>0</v>
      </c>
    </row>
    <row r="262" spans="1:27" x14ac:dyDescent="0.25">
      <c r="A262" s="30" t="s">
        <v>60</v>
      </c>
      <c r="B262" s="31" t="s">
        <v>13</v>
      </c>
      <c r="C262" s="32" t="s">
        <v>61</v>
      </c>
      <c r="D262" s="31" t="s">
        <v>76</v>
      </c>
      <c r="E262" s="31"/>
      <c r="F262" s="51">
        <f>F246*0.1</f>
        <v>3.1111111111111112</v>
      </c>
      <c r="G262" s="51">
        <v>0</v>
      </c>
      <c r="H262" s="51">
        <v>0</v>
      </c>
      <c r="I262" s="51">
        <f>I246*0.05</f>
        <v>1.0376470588235296</v>
      </c>
      <c r="J262" s="51">
        <f>J246*0.7</f>
        <v>11.241176470588234</v>
      </c>
      <c r="K262" s="51">
        <f>K246*0.05</f>
        <v>0.4705882352941177</v>
      </c>
      <c r="L262" s="52">
        <v>0</v>
      </c>
      <c r="M262" s="73">
        <f>M246*0.5</f>
        <v>13.888888888888889</v>
      </c>
      <c r="N262" s="73">
        <f>N246</f>
        <v>13.75</v>
      </c>
      <c r="O262" s="73">
        <f>O246*0.5</f>
        <v>18</v>
      </c>
      <c r="P262" s="73">
        <f>P246*0.44</f>
        <v>97.777777777777786</v>
      </c>
      <c r="Q262" s="73"/>
      <c r="R262" s="73">
        <f>R246</f>
        <v>14.285714285714286</v>
      </c>
      <c r="S262" s="51"/>
      <c r="T262" s="51"/>
      <c r="U262" s="51"/>
      <c r="V262" s="51"/>
      <c r="W262" s="51"/>
      <c r="X262" s="55">
        <f>X291*0.1</f>
        <v>18</v>
      </c>
      <c r="Y262" s="59">
        <f t="shared" si="78"/>
        <v>0</v>
      </c>
      <c r="Z262" s="51">
        <f t="shared" si="78"/>
        <v>0</v>
      </c>
      <c r="AA262" s="51">
        <f t="shared" si="78"/>
        <v>0</v>
      </c>
    </row>
    <row r="263" spans="1:27" x14ac:dyDescent="0.25">
      <c r="A263" s="30" t="s">
        <v>60</v>
      </c>
      <c r="B263" s="31" t="s">
        <v>13</v>
      </c>
      <c r="C263" s="32" t="s">
        <v>61</v>
      </c>
      <c r="D263" s="31" t="s">
        <v>77</v>
      </c>
      <c r="E263" s="31"/>
      <c r="F263" s="51">
        <v>0</v>
      </c>
      <c r="G263" s="51">
        <v>0</v>
      </c>
      <c r="H263" s="51">
        <v>0</v>
      </c>
      <c r="I263" s="51">
        <v>0</v>
      </c>
      <c r="J263" s="51">
        <v>0</v>
      </c>
      <c r="K263" s="51">
        <f>K246*0.1</f>
        <v>0.94117647058823539</v>
      </c>
      <c r="L263" s="52">
        <v>0</v>
      </c>
      <c r="M263" s="73">
        <f>M246*0.4</f>
        <v>11.111111111111112</v>
      </c>
      <c r="N263" s="73">
        <v>0</v>
      </c>
      <c r="O263" s="73">
        <f>O246*0.5</f>
        <v>18</v>
      </c>
      <c r="P263" s="73">
        <f>P246*0.55</f>
        <v>122.22222222222223</v>
      </c>
      <c r="Q263" s="73"/>
      <c r="R263" s="73"/>
      <c r="S263" s="51"/>
      <c r="T263" s="51">
        <f>T246</f>
        <v>2.5</v>
      </c>
      <c r="U263" s="51">
        <f>U246</f>
        <v>10.416666666666666</v>
      </c>
      <c r="V263" s="51"/>
      <c r="W263" s="51"/>
      <c r="X263" s="55">
        <f>X291*0.7</f>
        <v>125.99999999999999</v>
      </c>
      <c r="Y263" s="59">
        <f t="shared" si="78"/>
        <v>0</v>
      </c>
      <c r="Z263" s="51">
        <f t="shared" si="78"/>
        <v>0</v>
      </c>
      <c r="AA263" s="51">
        <f t="shared" si="78"/>
        <v>0</v>
      </c>
    </row>
    <row r="264" spans="1:27" x14ac:dyDescent="0.25">
      <c r="A264" s="30" t="s">
        <v>60</v>
      </c>
      <c r="B264" s="31" t="s">
        <v>13</v>
      </c>
      <c r="C264" s="32" t="s">
        <v>61</v>
      </c>
      <c r="D264" s="31" t="s">
        <v>78</v>
      </c>
      <c r="E264" s="31"/>
      <c r="F264" s="51">
        <v>0</v>
      </c>
      <c r="G264" s="51">
        <v>0</v>
      </c>
      <c r="H264" s="51">
        <v>0</v>
      </c>
      <c r="I264" s="51">
        <f>I246*0.05</f>
        <v>1.0376470588235296</v>
      </c>
      <c r="J264" s="51">
        <v>0</v>
      </c>
      <c r="K264" s="51">
        <f>K246*0.05</f>
        <v>0.4705882352941177</v>
      </c>
      <c r="L264" s="52">
        <v>0</v>
      </c>
      <c r="M264" s="73">
        <f>M246*0</f>
        <v>0</v>
      </c>
      <c r="N264" s="73">
        <v>0</v>
      </c>
      <c r="O264" s="73">
        <f>O246*0</f>
        <v>0</v>
      </c>
      <c r="P264" s="73">
        <f>(P246)*0.01</f>
        <v>2.2222222222222223</v>
      </c>
      <c r="Q264" s="73">
        <f>Q246</f>
        <v>18.518518518518519</v>
      </c>
      <c r="R264" s="73"/>
      <c r="S264" s="51"/>
      <c r="T264" s="51"/>
      <c r="U264" s="51"/>
      <c r="V264" s="51"/>
      <c r="W264" s="51"/>
      <c r="X264" s="55">
        <f>X246*0.1</f>
        <v>3.9682539682539684</v>
      </c>
      <c r="Y264" s="59">
        <f t="shared" si="78"/>
        <v>0</v>
      </c>
      <c r="Z264" s="51">
        <f t="shared" si="78"/>
        <v>0</v>
      </c>
      <c r="AA264" s="51">
        <f t="shared" si="78"/>
        <v>0</v>
      </c>
    </row>
    <row r="265" spans="1:27" ht="15.75" thickBot="1" x14ac:dyDescent="0.3">
      <c r="A265" s="33" t="s">
        <v>60</v>
      </c>
      <c r="B265" s="34" t="s">
        <v>13</v>
      </c>
      <c r="C265" s="35" t="s">
        <v>61</v>
      </c>
      <c r="D265" s="34" t="s">
        <v>79</v>
      </c>
      <c r="E265" s="31"/>
      <c r="F265" s="51">
        <v>0</v>
      </c>
      <c r="G265" s="51">
        <v>0</v>
      </c>
      <c r="H265" s="51">
        <v>0</v>
      </c>
      <c r="I265" s="51">
        <v>0</v>
      </c>
      <c r="J265" s="51">
        <v>0</v>
      </c>
      <c r="K265" s="51">
        <v>0</v>
      </c>
      <c r="L265" s="52">
        <v>0</v>
      </c>
      <c r="M265" s="51">
        <v>0</v>
      </c>
      <c r="N265" s="51">
        <v>0</v>
      </c>
      <c r="O265" s="51">
        <v>0</v>
      </c>
      <c r="P265" s="51">
        <v>0</v>
      </c>
      <c r="Q265" s="51">
        <v>0</v>
      </c>
      <c r="R265" s="51">
        <v>0</v>
      </c>
      <c r="S265" s="51">
        <v>0</v>
      </c>
      <c r="T265" s="51">
        <v>0</v>
      </c>
      <c r="U265" s="51">
        <v>0</v>
      </c>
      <c r="V265" s="51">
        <v>0</v>
      </c>
      <c r="W265" s="51">
        <v>0</v>
      </c>
      <c r="X265" s="55">
        <v>0</v>
      </c>
      <c r="Y265" s="59">
        <f t="shared" si="78"/>
        <v>0</v>
      </c>
      <c r="Z265" s="51">
        <f t="shared" si="78"/>
        <v>0</v>
      </c>
      <c r="AA265" s="51">
        <f t="shared" si="78"/>
        <v>0</v>
      </c>
    </row>
    <row r="266" spans="1:27" x14ac:dyDescent="0.25">
      <c r="A266" s="30" t="s">
        <v>60</v>
      </c>
      <c r="B266" s="31" t="s">
        <v>13</v>
      </c>
      <c r="C266" s="32" t="s">
        <v>62</v>
      </c>
      <c r="D266" s="31" t="s">
        <v>75</v>
      </c>
      <c r="E266" s="31"/>
      <c r="F266" s="51"/>
      <c r="G266" s="73">
        <f>G247</f>
        <v>19.333333333333332</v>
      </c>
      <c r="H266" s="51">
        <f>H247*0.4</f>
        <v>19.369411764705884</v>
      </c>
      <c r="I266" s="51">
        <v>0</v>
      </c>
      <c r="J266" s="51">
        <v>0</v>
      </c>
      <c r="K266" s="51">
        <v>0</v>
      </c>
      <c r="L266" s="52">
        <v>0</v>
      </c>
      <c r="M266" s="51">
        <v>0</v>
      </c>
      <c r="N266" s="51">
        <v>0</v>
      </c>
      <c r="O266" s="51">
        <v>0</v>
      </c>
      <c r="P266" s="51">
        <v>0</v>
      </c>
      <c r="Q266" s="51">
        <v>0</v>
      </c>
      <c r="R266" s="51">
        <v>0</v>
      </c>
      <c r="S266" s="51">
        <v>0</v>
      </c>
      <c r="T266" s="51">
        <v>0</v>
      </c>
      <c r="U266" s="51">
        <v>0</v>
      </c>
      <c r="V266" s="51">
        <v>0</v>
      </c>
      <c r="W266" s="51">
        <v>0</v>
      </c>
      <c r="X266" s="55">
        <v>0</v>
      </c>
      <c r="Y266" s="59">
        <f t="shared" ref="Y266:AA270" si="80">IF(Y311&gt;0,Y41/Y311,0)</f>
        <v>0</v>
      </c>
      <c r="Z266" s="51">
        <f t="shared" si="80"/>
        <v>0</v>
      </c>
      <c r="AA266" s="51">
        <f t="shared" si="80"/>
        <v>0</v>
      </c>
    </row>
    <row r="267" spans="1:27" x14ac:dyDescent="0.25">
      <c r="A267" s="30" t="s">
        <v>60</v>
      </c>
      <c r="B267" s="31" t="s">
        <v>13</v>
      </c>
      <c r="C267" s="32" t="s">
        <v>62</v>
      </c>
      <c r="D267" s="31" t="s">
        <v>76</v>
      </c>
      <c r="E267" s="31"/>
      <c r="F267" s="51">
        <f>F247</f>
        <v>13.333333333333334</v>
      </c>
      <c r="G267" s="51">
        <f>G247*0</f>
        <v>0</v>
      </c>
      <c r="H267" s="51">
        <f>H247*0.6</f>
        <v>29.05411764705882</v>
      </c>
      <c r="I267" s="51">
        <v>0</v>
      </c>
      <c r="J267" s="51">
        <v>0</v>
      </c>
      <c r="K267" s="51">
        <v>0</v>
      </c>
      <c r="L267" s="52">
        <v>0</v>
      </c>
      <c r="M267" s="51">
        <v>0</v>
      </c>
      <c r="N267" s="51">
        <v>0</v>
      </c>
      <c r="O267" s="51">
        <v>0</v>
      </c>
      <c r="P267" s="51">
        <f>P247</f>
        <v>277.77777777777777</v>
      </c>
      <c r="Q267" s="51">
        <v>0</v>
      </c>
      <c r="R267" s="51">
        <v>0</v>
      </c>
      <c r="S267" s="51">
        <v>0</v>
      </c>
      <c r="T267" s="51">
        <v>0</v>
      </c>
      <c r="U267" s="51">
        <v>0</v>
      </c>
      <c r="V267" s="51">
        <v>0</v>
      </c>
      <c r="W267" s="51">
        <v>0</v>
      </c>
      <c r="X267" s="55">
        <v>0</v>
      </c>
      <c r="Y267" s="59">
        <f t="shared" si="80"/>
        <v>0</v>
      </c>
      <c r="Z267" s="51">
        <f t="shared" si="80"/>
        <v>0</v>
      </c>
      <c r="AA267" s="51">
        <f t="shared" si="80"/>
        <v>0</v>
      </c>
    </row>
    <row r="268" spans="1:27" x14ac:dyDescent="0.25">
      <c r="A268" s="30" t="s">
        <v>60</v>
      </c>
      <c r="B268" s="31" t="s">
        <v>13</v>
      </c>
      <c r="C268" s="32" t="s">
        <v>62</v>
      </c>
      <c r="D268" s="31" t="s">
        <v>77</v>
      </c>
      <c r="E268" s="31"/>
      <c r="F268" s="51">
        <v>0</v>
      </c>
      <c r="G268" s="51">
        <v>0</v>
      </c>
      <c r="H268" s="51">
        <v>0</v>
      </c>
      <c r="I268" s="51">
        <v>0</v>
      </c>
      <c r="J268" s="51">
        <v>0</v>
      </c>
      <c r="K268" s="51">
        <v>0</v>
      </c>
      <c r="L268" s="52">
        <v>0</v>
      </c>
      <c r="M268" s="51">
        <v>0</v>
      </c>
      <c r="N268" s="51">
        <v>0</v>
      </c>
      <c r="O268" s="51">
        <v>0</v>
      </c>
      <c r="P268" s="51">
        <v>0</v>
      </c>
      <c r="Q268" s="51">
        <v>0</v>
      </c>
      <c r="R268" s="51">
        <v>0</v>
      </c>
      <c r="S268" s="51">
        <v>0</v>
      </c>
      <c r="T268" s="51">
        <v>0</v>
      </c>
      <c r="U268" s="51">
        <v>0</v>
      </c>
      <c r="V268" s="51">
        <v>0</v>
      </c>
      <c r="W268" s="51">
        <v>0</v>
      </c>
      <c r="X268" s="55">
        <v>0</v>
      </c>
      <c r="Y268" s="59">
        <f t="shared" si="80"/>
        <v>0</v>
      </c>
      <c r="Z268" s="51">
        <f t="shared" si="80"/>
        <v>0</v>
      </c>
      <c r="AA268" s="51">
        <f t="shared" si="80"/>
        <v>0</v>
      </c>
    </row>
    <row r="269" spans="1:27" x14ac:dyDescent="0.25">
      <c r="A269" s="30" t="s">
        <v>60</v>
      </c>
      <c r="B269" s="31" t="s">
        <v>13</v>
      </c>
      <c r="C269" s="32" t="s">
        <v>62</v>
      </c>
      <c r="D269" s="31" t="s">
        <v>78</v>
      </c>
      <c r="E269" s="31"/>
      <c r="F269" s="51">
        <v>0</v>
      </c>
      <c r="G269" s="51">
        <v>0</v>
      </c>
      <c r="H269" s="51">
        <v>0</v>
      </c>
      <c r="I269" s="51">
        <v>0</v>
      </c>
      <c r="J269" s="51">
        <v>0</v>
      </c>
      <c r="K269" s="51">
        <v>0</v>
      </c>
      <c r="L269" s="52">
        <v>0</v>
      </c>
      <c r="M269" s="51">
        <v>0</v>
      </c>
      <c r="N269" s="51">
        <v>0</v>
      </c>
      <c r="O269" s="51">
        <v>0</v>
      </c>
      <c r="P269" s="51">
        <v>0</v>
      </c>
      <c r="Q269" s="51">
        <v>0</v>
      </c>
      <c r="R269" s="51">
        <v>0</v>
      </c>
      <c r="S269" s="51">
        <v>0</v>
      </c>
      <c r="T269" s="51">
        <v>0</v>
      </c>
      <c r="U269" s="51">
        <v>0</v>
      </c>
      <c r="V269" s="51">
        <v>0</v>
      </c>
      <c r="W269" s="51">
        <v>0</v>
      </c>
      <c r="X269" s="55">
        <v>0</v>
      </c>
      <c r="Y269" s="59">
        <f t="shared" si="80"/>
        <v>0</v>
      </c>
      <c r="Z269" s="51">
        <f t="shared" si="80"/>
        <v>0</v>
      </c>
      <c r="AA269" s="51">
        <f t="shared" si="80"/>
        <v>0</v>
      </c>
    </row>
    <row r="270" spans="1:27" ht="15.75" thickBot="1" x14ac:dyDescent="0.3">
      <c r="A270" s="33" t="s">
        <v>60</v>
      </c>
      <c r="B270" s="34" t="s">
        <v>13</v>
      </c>
      <c r="C270" s="32" t="s">
        <v>62</v>
      </c>
      <c r="D270" s="34" t="s">
        <v>79</v>
      </c>
      <c r="E270" s="31"/>
      <c r="F270" s="51">
        <v>0</v>
      </c>
      <c r="G270" s="51">
        <v>0</v>
      </c>
      <c r="H270" s="51">
        <v>0</v>
      </c>
      <c r="I270" s="51">
        <v>0</v>
      </c>
      <c r="J270" s="51">
        <v>0</v>
      </c>
      <c r="K270" s="51">
        <v>0</v>
      </c>
      <c r="L270" s="52">
        <v>0</v>
      </c>
      <c r="M270" s="51">
        <v>0</v>
      </c>
      <c r="N270" s="51">
        <v>0</v>
      </c>
      <c r="O270" s="51">
        <v>0</v>
      </c>
      <c r="P270" s="51">
        <v>0</v>
      </c>
      <c r="Q270" s="51">
        <v>0</v>
      </c>
      <c r="R270" s="51">
        <v>0</v>
      </c>
      <c r="S270" s="51">
        <v>0</v>
      </c>
      <c r="T270" s="51">
        <v>0</v>
      </c>
      <c r="U270" s="51">
        <v>0</v>
      </c>
      <c r="V270" s="51">
        <v>0</v>
      </c>
      <c r="W270" s="51">
        <v>0</v>
      </c>
      <c r="X270" s="55">
        <v>0</v>
      </c>
      <c r="Y270" s="59">
        <f t="shared" si="80"/>
        <v>0</v>
      </c>
      <c r="Z270" s="51">
        <f t="shared" si="80"/>
        <v>0</v>
      </c>
      <c r="AA270" s="51">
        <f t="shared" si="80"/>
        <v>0</v>
      </c>
    </row>
    <row r="272" spans="1:27" x14ac:dyDescent="0.25">
      <c r="D272" s="41" t="s">
        <v>84</v>
      </c>
      <c r="E272" s="41"/>
      <c r="M272" s="24" t="s">
        <v>81</v>
      </c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</row>
    <row r="273" spans="1:27" x14ac:dyDescent="0.25">
      <c r="F273" s="23" t="s">
        <v>44</v>
      </c>
      <c r="G273" s="23"/>
      <c r="H273" s="23"/>
      <c r="I273" s="23"/>
      <c r="J273" s="23"/>
      <c r="K273" s="23"/>
      <c r="L273" s="7" t="s">
        <v>30</v>
      </c>
      <c r="M273" s="24" t="s">
        <v>46</v>
      </c>
      <c r="N273" s="24"/>
      <c r="O273" s="24"/>
      <c r="P273" s="24"/>
      <c r="Q273" s="24"/>
      <c r="R273" s="24" t="s">
        <v>47</v>
      </c>
      <c r="S273" s="24"/>
      <c r="T273" s="24"/>
      <c r="U273" s="24"/>
      <c r="V273" s="24"/>
      <c r="W273" s="24"/>
      <c r="X273" s="24"/>
      <c r="Y273" s="44" t="s">
        <v>85</v>
      </c>
      <c r="Z273" s="44" t="s">
        <v>48</v>
      </c>
      <c r="AA273" s="44" t="s">
        <v>3</v>
      </c>
    </row>
    <row r="274" spans="1:27" ht="63" x14ac:dyDescent="0.25">
      <c r="F274" s="38" t="s">
        <v>36</v>
      </c>
      <c r="G274" s="38" t="s">
        <v>37</v>
      </c>
      <c r="H274" s="38" t="s">
        <v>38</v>
      </c>
      <c r="I274" s="38" t="s">
        <v>80</v>
      </c>
      <c r="J274" s="38" t="s">
        <v>39</v>
      </c>
      <c r="K274" s="38" t="s">
        <v>45</v>
      </c>
      <c r="L274" s="39" t="s">
        <v>16</v>
      </c>
      <c r="M274" s="40" t="s">
        <v>34</v>
      </c>
      <c r="N274" s="40" t="s">
        <v>5</v>
      </c>
      <c r="O274" s="40" t="s">
        <v>7</v>
      </c>
      <c r="P274" s="40" t="s">
        <v>8</v>
      </c>
      <c r="Q274" s="40" t="s">
        <v>40</v>
      </c>
      <c r="R274" s="40" t="s">
        <v>41</v>
      </c>
      <c r="S274" s="40" t="s">
        <v>42</v>
      </c>
      <c r="T274" s="40" t="s">
        <v>31</v>
      </c>
      <c r="U274" s="40" t="s">
        <v>43</v>
      </c>
      <c r="V274" s="40" t="s">
        <v>82</v>
      </c>
      <c r="W274" s="40" t="s">
        <v>87</v>
      </c>
      <c r="X274" s="40" t="s">
        <v>83</v>
      </c>
      <c r="Y274" s="45" t="s">
        <v>3</v>
      </c>
      <c r="Z274" s="45" t="s">
        <v>86</v>
      </c>
      <c r="AA274" s="45" t="s">
        <v>3</v>
      </c>
    </row>
    <row r="275" spans="1:27" x14ac:dyDescent="0.25">
      <c r="A275" s="15" t="s">
        <v>51</v>
      </c>
      <c r="B275" s="2"/>
      <c r="C275" s="2"/>
      <c r="F275" s="1"/>
      <c r="G275" s="1"/>
      <c r="H275" s="1"/>
      <c r="I275" s="1"/>
      <c r="J275" s="1"/>
      <c r="K275" s="1"/>
      <c r="L275" s="5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54"/>
      <c r="Y275" s="58"/>
      <c r="Z275" s="1"/>
      <c r="AA275" s="1"/>
    </row>
    <row r="276" spans="1:27" x14ac:dyDescent="0.25">
      <c r="A276" s="30" t="s">
        <v>60</v>
      </c>
      <c r="B276" s="2"/>
      <c r="C276" s="2"/>
      <c r="F276" s="1"/>
      <c r="G276" s="1"/>
      <c r="H276" s="1"/>
      <c r="I276" s="1"/>
      <c r="J276" s="1"/>
      <c r="K276" s="1"/>
      <c r="L276" s="5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54"/>
      <c r="Y276" s="58"/>
      <c r="Z276" s="1"/>
      <c r="AA276" s="1"/>
    </row>
    <row r="277" spans="1:27" x14ac:dyDescent="0.25">
      <c r="A277" s="15" t="s">
        <v>51</v>
      </c>
      <c r="B277" s="16" t="s">
        <v>52</v>
      </c>
      <c r="C277" s="2"/>
      <c r="F277" s="1"/>
      <c r="G277" s="1"/>
      <c r="H277" s="1"/>
      <c r="I277" s="1"/>
      <c r="J277" s="1"/>
      <c r="K277" s="1"/>
      <c r="L277" s="5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54"/>
      <c r="Y277" s="58"/>
      <c r="Z277" s="1"/>
      <c r="AA277" s="1"/>
    </row>
    <row r="278" spans="1:27" x14ac:dyDescent="0.25">
      <c r="A278" s="15" t="s">
        <v>51</v>
      </c>
      <c r="B278" s="16" t="s">
        <v>56</v>
      </c>
      <c r="C278" s="2"/>
      <c r="F278" s="1"/>
      <c r="G278" s="1"/>
      <c r="H278" s="1"/>
      <c r="I278" s="1"/>
      <c r="J278" s="1"/>
      <c r="K278" s="1"/>
      <c r="L278" s="5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54"/>
      <c r="Y278" s="58"/>
      <c r="Z278" s="1"/>
      <c r="AA278" s="1"/>
    </row>
    <row r="279" spans="1:27" x14ac:dyDescent="0.25">
      <c r="A279" s="15" t="s">
        <v>51</v>
      </c>
      <c r="B279" s="16" t="s">
        <v>9</v>
      </c>
      <c r="C279" s="2"/>
      <c r="F279" s="1"/>
      <c r="G279" s="1"/>
      <c r="H279" s="1"/>
      <c r="I279" s="1"/>
      <c r="J279" s="1"/>
      <c r="K279" s="1"/>
      <c r="L279" s="5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54"/>
      <c r="Y279" s="58"/>
      <c r="Z279" s="1"/>
      <c r="AA279" s="1"/>
    </row>
    <row r="280" spans="1:27" x14ac:dyDescent="0.25">
      <c r="A280" s="30" t="s">
        <v>60</v>
      </c>
      <c r="B280" s="32" t="s">
        <v>13</v>
      </c>
      <c r="C280" s="2"/>
      <c r="F280" s="51"/>
      <c r="G280" s="51"/>
      <c r="H280" s="51"/>
      <c r="I280" s="51"/>
      <c r="J280" s="51"/>
      <c r="K280" s="51"/>
      <c r="L280" s="52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5"/>
      <c r="Y280" s="59"/>
      <c r="Z280" s="51"/>
      <c r="AA280" s="51"/>
    </row>
    <row r="281" spans="1:27" x14ac:dyDescent="0.25">
      <c r="A281" s="30" t="s">
        <v>60</v>
      </c>
      <c r="B281" s="31" t="s">
        <v>23</v>
      </c>
      <c r="C281" s="2"/>
      <c r="F281" s="51"/>
      <c r="G281" s="51"/>
      <c r="H281" s="51"/>
      <c r="I281" s="51"/>
      <c r="J281" s="51"/>
      <c r="K281" s="51"/>
      <c r="L281" s="52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5"/>
      <c r="Y281" s="59"/>
      <c r="Z281" s="51"/>
      <c r="AA281" s="51"/>
    </row>
    <row r="282" spans="1:27" x14ac:dyDescent="0.25">
      <c r="A282" s="30" t="s">
        <v>60</v>
      </c>
      <c r="B282" s="31" t="s">
        <v>65</v>
      </c>
      <c r="C282" s="46"/>
      <c r="F282" s="51"/>
      <c r="G282" s="51"/>
      <c r="H282" s="51"/>
      <c r="I282" s="51"/>
      <c r="J282" s="51"/>
      <c r="K282" s="51"/>
      <c r="L282" s="52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5"/>
      <c r="Y282" s="59"/>
      <c r="Z282" s="51"/>
      <c r="AA282" s="51"/>
    </row>
    <row r="283" spans="1:27" ht="15.75" thickBot="1" x14ac:dyDescent="0.3">
      <c r="A283" s="48" t="s">
        <v>60</v>
      </c>
      <c r="B283" s="49" t="s">
        <v>9</v>
      </c>
      <c r="C283" s="50"/>
      <c r="D283" s="50"/>
      <c r="E283" s="50"/>
      <c r="F283" s="53"/>
      <c r="G283" s="53"/>
      <c r="H283" s="53"/>
      <c r="I283" s="53"/>
      <c r="J283" s="53"/>
      <c r="K283" s="53"/>
      <c r="L283" s="62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6"/>
      <c r="Y283" s="60"/>
      <c r="Z283" s="53"/>
      <c r="AA283" s="53"/>
    </row>
    <row r="284" spans="1:27" ht="15.75" thickTop="1" x14ac:dyDescent="0.25">
      <c r="A284" s="15" t="s">
        <v>51</v>
      </c>
      <c r="B284" s="16" t="s">
        <v>52</v>
      </c>
      <c r="C284" s="16" t="s">
        <v>53</v>
      </c>
      <c r="D284" s="2"/>
      <c r="E284" s="2"/>
      <c r="F284" s="47"/>
      <c r="G284" s="47"/>
      <c r="H284" s="47"/>
      <c r="I284" s="47"/>
      <c r="J284" s="47"/>
      <c r="K284" s="47"/>
      <c r="L284" s="6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57"/>
      <c r="Y284" s="61"/>
      <c r="Z284" s="47"/>
      <c r="AA284" s="47"/>
    </row>
    <row r="285" spans="1:27" x14ac:dyDescent="0.25">
      <c r="A285" s="15" t="s">
        <v>51</v>
      </c>
      <c r="B285" s="16" t="s">
        <v>52</v>
      </c>
      <c r="C285" s="16" t="s">
        <v>54</v>
      </c>
      <c r="D285" s="2"/>
      <c r="E285" s="2"/>
      <c r="F285" s="1"/>
      <c r="G285" s="1"/>
      <c r="H285" s="1"/>
      <c r="I285" s="1"/>
      <c r="J285" s="1"/>
      <c r="K285" s="1"/>
      <c r="L285" s="5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54"/>
      <c r="Y285" s="58"/>
      <c r="Z285" s="1"/>
      <c r="AA285" s="1"/>
    </row>
    <row r="286" spans="1:27" x14ac:dyDescent="0.25">
      <c r="A286" s="15" t="s">
        <v>51</v>
      </c>
      <c r="B286" s="16" t="s">
        <v>52</v>
      </c>
      <c r="C286" s="16" t="s">
        <v>55</v>
      </c>
      <c r="D286" s="2"/>
      <c r="E286" s="2"/>
      <c r="F286" s="1"/>
      <c r="G286" s="1"/>
      <c r="H286" s="1"/>
      <c r="I286" s="1"/>
      <c r="J286" s="1"/>
      <c r="K286" s="1"/>
      <c r="L286" s="5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54"/>
      <c r="Y286" s="58"/>
      <c r="Z286" s="1"/>
      <c r="AA286" s="1"/>
    </row>
    <row r="287" spans="1:27" x14ac:dyDescent="0.25">
      <c r="A287" s="25" t="s">
        <v>51</v>
      </c>
      <c r="B287" s="26" t="s">
        <v>56</v>
      </c>
      <c r="C287" s="26" t="s">
        <v>57</v>
      </c>
      <c r="D287" s="2"/>
      <c r="E287" s="2"/>
      <c r="F287" s="1"/>
      <c r="G287" s="1"/>
      <c r="H287" s="1"/>
      <c r="I287" s="1"/>
      <c r="J287" s="1"/>
      <c r="K287" s="1"/>
      <c r="L287" s="5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54"/>
      <c r="Y287" s="58"/>
      <c r="Z287" s="1"/>
      <c r="AA287" s="1"/>
    </row>
    <row r="288" spans="1:27" x14ac:dyDescent="0.25">
      <c r="A288" s="15" t="s">
        <v>51</v>
      </c>
      <c r="B288" s="16" t="s">
        <v>56</v>
      </c>
      <c r="C288" s="27" t="s">
        <v>58</v>
      </c>
      <c r="D288" s="2"/>
      <c r="E288" s="2"/>
      <c r="F288" s="1"/>
      <c r="G288" s="1"/>
      <c r="H288" s="1"/>
      <c r="I288" s="1"/>
      <c r="J288" s="1"/>
      <c r="K288" s="1"/>
      <c r="L288" s="5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54"/>
      <c r="Y288" s="58"/>
      <c r="Z288" s="1"/>
      <c r="AA288" s="1"/>
    </row>
    <row r="289" spans="1:31" x14ac:dyDescent="0.25">
      <c r="A289" s="15" t="s">
        <v>51</v>
      </c>
      <c r="B289" s="16" t="s">
        <v>9</v>
      </c>
      <c r="C289" s="27" t="s">
        <v>59</v>
      </c>
      <c r="D289" s="2"/>
      <c r="E289" s="2"/>
      <c r="F289" s="1"/>
      <c r="G289" s="1"/>
      <c r="H289" s="1"/>
      <c r="I289" s="1"/>
      <c r="J289" s="1"/>
      <c r="K289" s="1"/>
      <c r="L289" s="5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54"/>
      <c r="Y289" s="58"/>
      <c r="Z289" s="1"/>
      <c r="AA289" s="1"/>
    </row>
    <row r="290" spans="1:31" x14ac:dyDescent="0.25">
      <c r="A290" s="15" t="s">
        <v>51</v>
      </c>
      <c r="B290" s="16" t="s">
        <v>9</v>
      </c>
      <c r="C290" s="27" t="s">
        <v>9</v>
      </c>
      <c r="D290" s="2"/>
      <c r="E290" s="2"/>
      <c r="F290" s="1"/>
      <c r="G290" s="1"/>
      <c r="H290" s="1"/>
      <c r="I290" s="1"/>
      <c r="J290" s="1"/>
      <c r="K290" s="1"/>
      <c r="L290" s="5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54"/>
      <c r="Y290" s="58"/>
      <c r="Z290" s="1"/>
      <c r="AA290" s="1"/>
    </row>
    <row r="291" spans="1:31" x14ac:dyDescent="0.25">
      <c r="A291" s="28" t="s">
        <v>60</v>
      </c>
      <c r="B291" s="29" t="s">
        <v>13</v>
      </c>
      <c r="C291" s="29" t="s">
        <v>61</v>
      </c>
      <c r="D291" s="2"/>
      <c r="E291" s="2"/>
      <c r="F291" s="51">
        <v>180</v>
      </c>
      <c r="G291" s="51"/>
      <c r="H291" s="51">
        <v>170</v>
      </c>
      <c r="I291" s="51">
        <v>170</v>
      </c>
      <c r="J291" s="51">
        <v>170</v>
      </c>
      <c r="K291" s="51">
        <v>170</v>
      </c>
      <c r="L291" s="52"/>
      <c r="M291" s="51">
        <v>180</v>
      </c>
      <c r="N291" s="51">
        <v>160</v>
      </c>
      <c r="O291" s="51">
        <v>180</v>
      </c>
      <c r="P291" s="51">
        <v>180</v>
      </c>
      <c r="Q291" s="51">
        <v>180</v>
      </c>
      <c r="R291" s="51">
        <v>180</v>
      </c>
      <c r="S291" s="51"/>
      <c r="T291" s="51">
        <v>180</v>
      </c>
      <c r="U291" s="51">
        <v>180</v>
      </c>
      <c r="V291" s="51">
        <v>180</v>
      </c>
      <c r="W291" s="51">
        <v>180</v>
      </c>
      <c r="X291" s="55">
        <v>180</v>
      </c>
      <c r="Y291" s="59"/>
      <c r="Z291" s="51"/>
      <c r="AA291" s="51"/>
    </row>
    <row r="292" spans="1:31" x14ac:dyDescent="0.25">
      <c r="A292" s="36" t="s">
        <v>60</v>
      </c>
      <c r="B292" s="37" t="s">
        <v>13</v>
      </c>
      <c r="C292" s="29" t="s">
        <v>62</v>
      </c>
      <c r="D292" s="2"/>
      <c r="E292" s="2"/>
      <c r="F292" s="51">
        <v>180</v>
      </c>
      <c r="G292" s="51">
        <v>180</v>
      </c>
      <c r="H292" s="51">
        <v>170</v>
      </c>
      <c r="I292" s="51"/>
      <c r="J292" s="51"/>
      <c r="K292" s="51"/>
      <c r="L292" s="52"/>
      <c r="M292" s="51"/>
      <c r="N292" s="51"/>
      <c r="O292" s="51"/>
      <c r="P292" s="51">
        <v>180</v>
      </c>
      <c r="Q292" s="51"/>
      <c r="R292" s="51"/>
      <c r="S292" s="51"/>
      <c r="T292" s="51"/>
      <c r="U292" s="51"/>
      <c r="V292" s="51"/>
      <c r="W292" s="51"/>
      <c r="X292" s="55"/>
      <c r="Y292" s="59"/>
      <c r="Z292" s="51"/>
      <c r="AA292" s="51"/>
    </row>
    <row r="293" spans="1:31" x14ac:dyDescent="0.25">
      <c r="A293" s="30" t="s">
        <v>60</v>
      </c>
      <c r="B293" s="31" t="s">
        <v>13</v>
      </c>
      <c r="C293" s="32" t="s">
        <v>63</v>
      </c>
      <c r="D293" s="2"/>
      <c r="E293" s="2"/>
      <c r="F293" s="51"/>
      <c r="G293" s="51"/>
      <c r="H293" s="51"/>
      <c r="I293" s="51"/>
      <c r="J293" s="51"/>
      <c r="K293" s="51"/>
      <c r="L293" s="52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5"/>
      <c r="Y293" s="59"/>
      <c r="Z293" s="51"/>
      <c r="AA293" s="51"/>
    </row>
    <row r="294" spans="1:31" x14ac:dyDescent="0.25">
      <c r="A294" s="30" t="s">
        <v>60</v>
      </c>
      <c r="B294" s="32" t="s">
        <v>23</v>
      </c>
      <c r="C294" s="31" t="s">
        <v>50</v>
      </c>
      <c r="D294" s="2"/>
      <c r="E294" s="2"/>
      <c r="F294" s="51">
        <v>65</v>
      </c>
      <c r="G294" s="51"/>
      <c r="H294" s="51"/>
      <c r="I294" s="51"/>
      <c r="J294" s="51">
        <v>65</v>
      </c>
      <c r="K294" s="51">
        <v>70</v>
      </c>
      <c r="L294" s="52"/>
      <c r="M294" s="51">
        <v>65</v>
      </c>
      <c r="N294" s="51">
        <v>65</v>
      </c>
      <c r="O294" s="51"/>
      <c r="P294" s="51"/>
      <c r="Q294" s="51"/>
      <c r="R294" s="51"/>
      <c r="S294" s="51"/>
      <c r="T294" s="51"/>
      <c r="U294" s="51"/>
      <c r="V294" s="51"/>
      <c r="W294" s="51"/>
      <c r="X294" s="55"/>
      <c r="Y294" s="59"/>
      <c r="Z294" s="51"/>
      <c r="AA294" s="51"/>
      <c r="AB294" t="s">
        <v>13</v>
      </c>
      <c r="AC294" t="s">
        <v>111</v>
      </c>
      <c r="AD294" t="s">
        <v>106</v>
      </c>
    </row>
    <row r="295" spans="1:31" x14ac:dyDescent="0.25">
      <c r="A295" s="30" t="s">
        <v>60</v>
      </c>
      <c r="B295" s="32" t="s">
        <v>23</v>
      </c>
      <c r="C295" s="31" t="s">
        <v>49</v>
      </c>
      <c r="D295" s="2"/>
      <c r="E295" s="2"/>
      <c r="F295" s="51"/>
      <c r="G295" s="51"/>
      <c r="H295" s="51"/>
      <c r="I295" s="51"/>
      <c r="J295" s="51">
        <v>45</v>
      </c>
      <c r="K295" s="51">
        <v>45</v>
      </c>
      <c r="L295" s="52"/>
      <c r="M295" s="51"/>
      <c r="N295" s="51"/>
      <c r="O295" s="51"/>
      <c r="P295" s="51"/>
      <c r="Q295" s="51"/>
      <c r="R295" s="51"/>
      <c r="S295" s="51">
        <v>45</v>
      </c>
      <c r="T295" s="51">
        <v>35</v>
      </c>
      <c r="U295" s="51"/>
      <c r="V295" s="51">
        <v>45</v>
      </c>
      <c r="W295" s="51"/>
      <c r="X295" s="55">
        <v>45</v>
      </c>
      <c r="Y295" s="59"/>
      <c r="Z295" s="51"/>
      <c r="AA295" s="51"/>
      <c r="AB295">
        <v>2.9</v>
      </c>
      <c r="AC295">
        <v>3.2</v>
      </c>
      <c r="AD295">
        <v>1.8</v>
      </c>
      <c r="AE295" t="s">
        <v>107</v>
      </c>
    </row>
    <row r="296" spans="1:31" x14ac:dyDescent="0.25">
      <c r="A296" s="30" t="s">
        <v>60</v>
      </c>
      <c r="B296" s="32" t="s">
        <v>23</v>
      </c>
      <c r="C296" s="31" t="s">
        <v>64</v>
      </c>
      <c r="D296" s="2"/>
      <c r="E296" s="2"/>
      <c r="F296" s="51"/>
      <c r="G296" s="51"/>
      <c r="H296" s="51"/>
      <c r="I296" s="51"/>
      <c r="J296" s="51"/>
      <c r="K296" s="51"/>
      <c r="L296" s="52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5"/>
      <c r="Y296" s="59"/>
      <c r="Z296" s="51"/>
      <c r="AA296" s="51"/>
      <c r="AB296">
        <v>3.6</v>
      </c>
      <c r="AC296">
        <v>1.2</v>
      </c>
      <c r="AD296">
        <v>1.2</v>
      </c>
      <c r="AE296" t="s">
        <v>108</v>
      </c>
    </row>
    <row r="297" spans="1:31" x14ac:dyDescent="0.25">
      <c r="A297" s="30" t="s">
        <v>60</v>
      </c>
      <c r="B297" s="32" t="s">
        <v>65</v>
      </c>
      <c r="C297" s="31" t="s">
        <v>66</v>
      </c>
      <c r="D297" s="2"/>
      <c r="E297" s="2"/>
      <c r="F297" s="51"/>
      <c r="G297" s="51"/>
      <c r="H297" s="51"/>
      <c r="I297" s="51"/>
      <c r="J297" s="51">
        <v>40</v>
      </c>
      <c r="K297" s="51"/>
      <c r="L297" s="52"/>
      <c r="M297" s="51">
        <v>40</v>
      </c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5"/>
      <c r="Y297" s="59"/>
      <c r="Z297" s="51"/>
      <c r="AA297" s="51"/>
      <c r="AB297">
        <v>65.099999999999994</v>
      </c>
      <c r="AC297">
        <v>42.7</v>
      </c>
      <c r="AD297">
        <v>42.2</v>
      </c>
      <c r="AE297" t="s">
        <v>109</v>
      </c>
    </row>
    <row r="298" spans="1:31" x14ac:dyDescent="0.25">
      <c r="A298" s="30" t="s">
        <v>60</v>
      </c>
      <c r="B298" s="32" t="s">
        <v>65</v>
      </c>
      <c r="C298" s="31" t="s">
        <v>67</v>
      </c>
      <c r="D298" s="2"/>
      <c r="E298" s="2"/>
      <c r="F298" s="51"/>
      <c r="G298" s="51"/>
      <c r="H298" s="51"/>
      <c r="I298" s="51"/>
      <c r="J298" s="51"/>
      <c r="K298" s="51"/>
      <c r="L298" s="52"/>
      <c r="M298" s="51"/>
      <c r="N298" s="51"/>
      <c r="O298" s="51"/>
      <c r="P298" s="51"/>
      <c r="Q298" s="51">
        <v>35</v>
      </c>
      <c r="R298" s="51">
        <v>35</v>
      </c>
      <c r="S298" s="51"/>
      <c r="T298" s="51">
        <v>35</v>
      </c>
      <c r="U298" s="51">
        <v>35</v>
      </c>
      <c r="V298" s="51">
        <v>35</v>
      </c>
      <c r="W298" s="51">
        <v>35</v>
      </c>
      <c r="X298" s="55">
        <v>35</v>
      </c>
      <c r="Y298" s="59"/>
      <c r="Z298" s="51"/>
      <c r="AA298" s="51"/>
      <c r="AB298">
        <v>18.2</v>
      </c>
      <c r="AC298">
        <v>22</v>
      </c>
      <c r="AD298">
        <v>22.2</v>
      </c>
      <c r="AE298" t="s">
        <v>110</v>
      </c>
    </row>
    <row r="299" spans="1:31" x14ac:dyDescent="0.25">
      <c r="A299" s="30" t="s">
        <v>60</v>
      </c>
      <c r="B299" s="32" t="s">
        <v>65</v>
      </c>
      <c r="C299" s="31" t="s">
        <v>68</v>
      </c>
      <c r="D299" s="2"/>
      <c r="E299" s="2"/>
      <c r="F299" s="51"/>
      <c r="G299" s="51"/>
      <c r="H299" s="51"/>
      <c r="I299" s="51"/>
      <c r="J299" s="51"/>
      <c r="K299" s="51"/>
      <c r="L299" s="52">
        <v>40</v>
      </c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5"/>
      <c r="Y299" s="59"/>
      <c r="Z299" s="51"/>
      <c r="AA299" s="51"/>
      <c r="AB299">
        <v>47</v>
      </c>
      <c r="AC299">
        <v>58</v>
      </c>
      <c r="AD299">
        <v>49</v>
      </c>
      <c r="AE299" t="s">
        <v>102</v>
      </c>
    </row>
    <row r="300" spans="1:31" x14ac:dyDescent="0.25">
      <c r="A300" s="30" t="s">
        <v>60</v>
      </c>
      <c r="B300" s="32" t="s">
        <v>9</v>
      </c>
      <c r="C300" s="31" t="s">
        <v>69</v>
      </c>
      <c r="D300" s="2"/>
      <c r="E300" s="2"/>
      <c r="F300" s="51"/>
      <c r="G300" s="51"/>
      <c r="H300" s="51"/>
      <c r="I300" s="51"/>
      <c r="J300" s="51"/>
      <c r="K300" s="51"/>
      <c r="L300" s="52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5">
        <v>60</v>
      </c>
      <c r="Y300" s="59"/>
      <c r="Z300" s="51"/>
      <c r="AA300" s="51"/>
      <c r="AB300">
        <f>AB295*AB296</f>
        <v>10.44</v>
      </c>
      <c r="AC300">
        <f>AC295*AC296</f>
        <v>3.84</v>
      </c>
      <c r="AD300">
        <f>AD295*AD296</f>
        <v>2.16</v>
      </c>
      <c r="AE300" t="s">
        <v>91</v>
      </c>
    </row>
    <row r="301" spans="1:31" x14ac:dyDescent="0.25">
      <c r="A301" s="15" t="s">
        <v>51</v>
      </c>
      <c r="B301" s="16" t="s">
        <v>56</v>
      </c>
      <c r="C301" s="27" t="s">
        <v>57</v>
      </c>
      <c r="D301" s="16" t="s">
        <v>70</v>
      </c>
      <c r="E301" s="16"/>
      <c r="F301" s="1"/>
      <c r="G301" s="1"/>
      <c r="H301" s="1"/>
      <c r="I301" s="1"/>
      <c r="J301" s="1"/>
      <c r="K301" s="1"/>
      <c r="L301" s="5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54"/>
      <c r="Y301" s="58"/>
      <c r="Z301" s="1"/>
      <c r="AA301" s="1"/>
      <c r="AB301">
        <f>(AB298/100)^2*AB297/100</f>
        <v>2.1563723999999999E-2</v>
      </c>
      <c r="AC301">
        <f>(AC298/100)^2*AC297/100</f>
        <v>2.0666800000000003E-2</v>
      </c>
      <c r="AD301">
        <f>(AD298/100)^2*AD297/100</f>
        <v>2.0797848000000001E-2</v>
      </c>
      <c r="AE301" t="s">
        <v>112</v>
      </c>
    </row>
    <row r="302" spans="1:31" x14ac:dyDescent="0.25">
      <c r="A302" s="15" t="s">
        <v>51</v>
      </c>
      <c r="B302" s="16" t="s">
        <v>56</v>
      </c>
      <c r="C302" s="27" t="s">
        <v>57</v>
      </c>
      <c r="D302" s="16" t="s">
        <v>71</v>
      </c>
      <c r="E302" s="16"/>
      <c r="F302" s="1"/>
      <c r="G302" s="1"/>
      <c r="H302" s="1"/>
      <c r="I302" s="1"/>
      <c r="J302" s="1"/>
      <c r="K302" s="1"/>
      <c r="L302" s="5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54"/>
      <c r="Y302" s="58"/>
      <c r="Z302" s="1"/>
      <c r="AA302" s="1"/>
      <c r="AB302">
        <f>AB300/AB299</f>
        <v>0.22212765957446806</v>
      </c>
      <c r="AC302">
        <f>AC300/AC299</f>
        <v>6.620689655172414E-2</v>
      </c>
      <c r="AD302">
        <f>AD300/AD299</f>
        <v>4.4081632653061226E-2</v>
      </c>
      <c r="AE302" t="s">
        <v>104</v>
      </c>
    </row>
    <row r="303" spans="1:31" x14ac:dyDescent="0.25">
      <c r="A303" s="15" t="s">
        <v>51</v>
      </c>
      <c r="B303" s="16" t="s">
        <v>56</v>
      </c>
      <c r="C303" s="27" t="s">
        <v>27</v>
      </c>
      <c r="D303" s="16" t="s">
        <v>72</v>
      </c>
      <c r="E303" s="16"/>
      <c r="F303" s="1"/>
      <c r="G303" s="1"/>
      <c r="H303" s="1"/>
      <c r="I303" s="1"/>
      <c r="J303" s="1"/>
      <c r="K303" s="1"/>
      <c r="L303" s="5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54"/>
      <c r="Y303" s="58"/>
      <c r="Z303" s="1"/>
      <c r="AA303" s="1"/>
      <c r="AB303">
        <f>AB300/AB301</f>
        <v>484.14643036610931</v>
      </c>
      <c r="AC303">
        <f>AC300/AC301</f>
        <v>185.8052528693363</v>
      </c>
      <c r="AD303">
        <f>AD300/AD301</f>
        <v>103.85689904070844</v>
      </c>
      <c r="AE303" t="s">
        <v>113</v>
      </c>
    </row>
    <row r="304" spans="1:31" x14ac:dyDescent="0.25">
      <c r="A304" s="15" t="s">
        <v>51</v>
      </c>
      <c r="B304" s="16" t="s">
        <v>56</v>
      </c>
      <c r="C304" s="27" t="s">
        <v>57</v>
      </c>
      <c r="D304" s="16" t="s">
        <v>73</v>
      </c>
      <c r="E304" s="16"/>
      <c r="F304" s="1"/>
      <c r="G304" s="1"/>
      <c r="H304" s="1"/>
      <c r="I304" s="1"/>
      <c r="J304" s="1"/>
      <c r="K304" s="1"/>
      <c r="L304" s="5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54"/>
      <c r="Y304" s="58"/>
      <c r="Z304" s="1"/>
      <c r="AA304" s="1"/>
    </row>
    <row r="305" spans="1:27" x14ac:dyDescent="0.25">
      <c r="A305" s="15" t="s">
        <v>51</v>
      </c>
      <c r="B305" s="16" t="s">
        <v>56</v>
      </c>
      <c r="C305" s="27" t="s">
        <v>57</v>
      </c>
      <c r="D305" s="16" t="s">
        <v>74</v>
      </c>
      <c r="E305" s="16"/>
      <c r="F305" s="1"/>
      <c r="G305" s="1"/>
      <c r="H305" s="1"/>
      <c r="I305" s="1"/>
      <c r="J305" s="1"/>
      <c r="K305" s="1"/>
      <c r="L305" s="5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54"/>
      <c r="Y305" s="58"/>
      <c r="Z305" s="1"/>
      <c r="AA305" s="1"/>
    </row>
    <row r="306" spans="1:27" x14ac:dyDescent="0.25">
      <c r="A306" s="30" t="s">
        <v>60</v>
      </c>
      <c r="B306" s="31" t="s">
        <v>13</v>
      </c>
      <c r="C306" s="32" t="s">
        <v>61</v>
      </c>
      <c r="D306" s="31" t="s">
        <v>75</v>
      </c>
      <c r="E306" s="31"/>
      <c r="F306" s="51"/>
      <c r="G306" s="51"/>
      <c r="H306" s="51"/>
      <c r="I306" s="51"/>
      <c r="J306" s="51"/>
      <c r="K306" s="51"/>
      <c r="L306" s="52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5"/>
      <c r="Y306" s="59"/>
      <c r="Z306" s="51"/>
      <c r="AA306" s="51"/>
    </row>
    <row r="307" spans="1:27" x14ac:dyDescent="0.25">
      <c r="A307" s="30" t="s">
        <v>60</v>
      </c>
      <c r="B307" s="31" t="s">
        <v>13</v>
      </c>
      <c r="C307" s="32" t="s">
        <v>61</v>
      </c>
      <c r="D307" s="31" t="s">
        <v>76</v>
      </c>
      <c r="E307" s="31"/>
      <c r="F307" s="51"/>
      <c r="G307" s="51"/>
      <c r="H307" s="51"/>
      <c r="I307" s="51"/>
      <c r="J307" s="51"/>
      <c r="K307" s="51"/>
      <c r="L307" s="52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5"/>
      <c r="Y307" s="59"/>
      <c r="Z307" s="51"/>
      <c r="AA307" s="51"/>
    </row>
    <row r="308" spans="1:27" x14ac:dyDescent="0.25">
      <c r="A308" s="30" t="s">
        <v>60</v>
      </c>
      <c r="B308" s="31" t="s">
        <v>13</v>
      </c>
      <c r="C308" s="32" t="s">
        <v>61</v>
      </c>
      <c r="D308" s="31" t="s">
        <v>77</v>
      </c>
      <c r="E308" s="31"/>
      <c r="F308" s="51"/>
      <c r="G308" s="51"/>
      <c r="H308" s="51"/>
      <c r="I308" s="51"/>
      <c r="J308" s="51"/>
      <c r="K308" s="51"/>
      <c r="L308" s="52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5"/>
      <c r="Y308" s="59"/>
      <c r="Z308" s="51"/>
      <c r="AA308" s="51"/>
    </row>
    <row r="309" spans="1:27" x14ac:dyDescent="0.25">
      <c r="A309" s="30" t="s">
        <v>60</v>
      </c>
      <c r="B309" s="31" t="s">
        <v>13</v>
      </c>
      <c r="C309" s="32" t="s">
        <v>61</v>
      </c>
      <c r="D309" s="31" t="s">
        <v>78</v>
      </c>
      <c r="E309" s="31"/>
      <c r="F309" s="51"/>
      <c r="G309" s="51"/>
      <c r="H309" s="51"/>
      <c r="I309" s="51"/>
      <c r="J309" s="51"/>
      <c r="K309" s="51"/>
      <c r="L309" s="52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5"/>
      <c r="Y309" s="59"/>
      <c r="Z309" s="51"/>
      <c r="AA309" s="51"/>
    </row>
    <row r="310" spans="1:27" ht="15.75" thickBot="1" x14ac:dyDescent="0.3">
      <c r="A310" s="33" t="s">
        <v>60</v>
      </c>
      <c r="B310" s="34" t="s">
        <v>13</v>
      </c>
      <c r="C310" s="35" t="s">
        <v>61</v>
      </c>
      <c r="D310" s="34" t="s">
        <v>79</v>
      </c>
      <c r="E310" s="31"/>
      <c r="F310" s="51"/>
      <c r="G310" s="51"/>
      <c r="H310" s="51"/>
      <c r="I310" s="51"/>
      <c r="J310" s="51"/>
      <c r="K310" s="51"/>
      <c r="L310" s="52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5"/>
      <c r="Y310" s="59"/>
      <c r="Z310" s="51"/>
      <c r="AA310" s="51"/>
    </row>
    <row r="311" spans="1:27" x14ac:dyDescent="0.25">
      <c r="A311" s="30" t="s">
        <v>60</v>
      </c>
      <c r="B311" s="31" t="s">
        <v>13</v>
      </c>
      <c r="C311" s="32" t="s">
        <v>62</v>
      </c>
      <c r="D311" s="31" t="s">
        <v>75</v>
      </c>
      <c r="E311" s="31"/>
      <c r="F311" s="51"/>
      <c r="G311" s="51"/>
      <c r="H311" s="51"/>
      <c r="I311" s="51"/>
      <c r="J311" s="51"/>
      <c r="K311" s="51"/>
      <c r="L311" s="52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5"/>
      <c r="Y311" s="59"/>
      <c r="Z311" s="51"/>
      <c r="AA311" s="51"/>
    </row>
    <row r="312" spans="1:27" x14ac:dyDescent="0.25">
      <c r="A312" s="30" t="s">
        <v>60</v>
      </c>
      <c r="B312" s="31" t="s">
        <v>13</v>
      </c>
      <c r="C312" s="32" t="s">
        <v>62</v>
      </c>
      <c r="D312" s="31" t="s">
        <v>76</v>
      </c>
      <c r="E312" s="31"/>
      <c r="F312" s="51"/>
      <c r="G312" s="51"/>
      <c r="H312" s="51"/>
      <c r="I312" s="51"/>
      <c r="J312" s="51"/>
      <c r="K312" s="51"/>
      <c r="L312" s="52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5"/>
      <c r="Y312" s="59"/>
      <c r="Z312" s="51"/>
      <c r="AA312" s="51"/>
    </row>
    <row r="313" spans="1:27" x14ac:dyDescent="0.25">
      <c r="A313" s="30" t="s">
        <v>60</v>
      </c>
      <c r="B313" s="31" t="s">
        <v>13</v>
      </c>
      <c r="C313" s="32" t="s">
        <v>62</v>
      </c>
      <c r="D313" s="31" t="s">
        <v>77</v>
      </c>
      <c r="E313" s="31"/>
      <c r="F313" s="51"/>
      <c r="G313" s="51"/>
      <c r="H313" s="51"/>
      <c r="I313" s="51"/>
      <c r="J313" s="51"/>
      <c r="K313" s="51"/>
      <c r="L313" s="52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5"/>
      <c r="Y313" s="59"/>
      <c r="Z313" s="51"/>
      <c r="AA313" s="51"/>
    </row>
    <row r="314" spans="1:27" x14ac:dyDescent="0.25">
      <c r="A314" s="30" t="s">
        <v>60</v>
      </c>
      <c r="B314" s="31" t="s">
        <v>13</v>
      </c>
      <c r="C314" s="32" t="s">
        <v>62</v>
      </c>
      <c r="D314" s="31" t="s">
        <v>78</v>
      </c>
      <c r="E314" s="31"/>
      <c r="F314" s="51"/>
      <c r="G314" s="51"/>
      <c r="H314" s="51"/>
      <c r="I314" s="51"/>
      <c r="J314" s="51"/>
      <c r="K314" s="51"/>
      <c r="L314" s="52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5"/>
      <c r="Y314" s="59"/>
      <c r="Z314" s="51"/>
      <c r="AA314" s="51"/>
    </row>
    <row r="315" spans="1:27" ht="15.75" thickBot="1" x14ac:dyDescent="0.3">
      <c r="A315" s="33" t="s">
        <v>60</v>
      </c>
      <c r="B315" s="34" t="s">
        <v>13</v>
      </c>
      <c r="C315" s="32" t="s">
        <v>62</v>
      </c>
      <c r="D315" s="34" t="s">
        <v>79</v>
      </c>
      <c r="E315" s="31"/>
      <c r="F315" s="51"/>
      <c r="G315" s="51"/>
      <c r="H315" s="51"/>
      <c r="I315" s="51"/>
      <c r="J315" s="51"/>
      <c r="K315" s="51"/>
      <c r="L315" s="52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5"/>
      <c r="Y315" s="59"/>
      <c r="Z315" s="51"/>
      <c r="AA315" s="5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15"/>
  <sheetViews>
    <sheetView topLeftCell="A16" workbookViewId="0"/>
  </sheetViews>
  <sheetFormatPr baseColWidth="10" defaultColWidth="8.85546875" defaultRowHeight="15" x14ac:dyDescent="0.25"/>
  <cols>
    <col min="5" max="5" width="9.140625" customWidth="1"/>
    <col min="25" max="25" width="9.140625" bestFit="1" customWidth="1"/>
    <col min="26" max="26" width="8.85546875" bestFit="1" customWidth="1"/>
    <col min="27" max="27" width="9.42578125" customWidth="1"/>
  </cols>
  <sheetData>
    <row r="1" spans="1:36" ht="18.75" x14ac:dyDescent="0.3">
      <c r="A1" s="42" t="s">
        <v>14</v>
      </c>
      <c r="B1" s="42"/>
      <c r="C1" s="216">
        <v>2019</v>
      </c>
    </row>
    <row r="2" spans="1:36" x14ac:dyDescent="0.25">
      <c r="D2" s="41" t="s">
        <v>1</v>
      </c>
      <c r="E2" s="41"/>
      <c r="M2" s="24" t="s">
        <v>81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36" x14ac:dyDescent="0.25">
      <c r="F3" s="23" t="s">
        <v>44</v>
      </c>
      <c r="G3" s="23"/>
      <c r="H3" s="23"/>
      <c r="I3" s="23"/>
      <c r="J3" s="23"/>
      <c r="K3" s="23"/>
      <c r="L3" s="7" t="s">
        <v>30</v>
      </c>
      <c r="M3" s="24" t="s">
        <v>46</v>
      </c>
      <c r="N3" s="24"/>
      <c r="O3" s="24"/>
      <c r="P3" s="24"/>
      <c r="Q3" s="24"/>
      <c r="R3" s="24" t="s">
        <v>47</v>
      </c>
      <c r="S3" s="24"/>
      <c r="T3" s="24"/>
      <c r="U3" s="24"/>
      <c r="V3" s="24"/>
      <c r="W3" s="24"/>
      <c r="X3" s="24"/>
      <c r="Y3" s="44" t="s">
        <v>85</v>
      </c>
      <c r="Z3" s="44" t="s">
        <v>48</v>
      </c>
      <c r="AA3" s="44" t="s">
        <v>3</v>
      </c>
      <c r="AJ3" t="s">
        <v>442</v>
      </c>
    </row>
    <row r="4" spans="1:36" ht="63" x14ac:dyDescent="0.25">
      <c r="F4" s="38" t="s">
        <v>36</v>
      </c>
      <c r="G4" s="38" t="s">
        <v>37</v>
      </c>
      <c r="H4" s="38" t="s">
        <v>38</v>
      </c>
      <c r="I4" s="38" t="s">
        <v>80</v>
      </c>
      <c r="J4" s="38" t="s">
        <v>39</v>
      </c>
      <c r="K4" s="38" t="s">
        <v>45</v>
      </c>
      <c r="L4" s="39" t="s">
        <v>16</v>
      </c>
      <c r="M4" s="40" t="s">
        <v>34</v>
      </c>
      <c r="N4" s="40" t="s">
        <v>5</v>
      </c>
      <c r="O4" s="40" t="s">
        <v>7</v>
      </c>
      <c r="P4" s="40" t="s">
        <v>8</v>
      </c>
      <c r="Q4" s="40" t="s">
        <v>40</v>
      </c>
      <c r="R4" s="40" t="s">
        <v>41</v>
      </c>
      <c r="S4" s="40" t="s">
        <v>42</v>
      </c>
      <c r="T4" s="40" t="s">
        <v>31</v>
      </c>
      <c r="U4" s="40" t="s">
        <v>43</v>
      </c>
      <c r="V4" s="40" t="s">
        <v>82</v>
      </c>
      <c r="W4" s="40" t="s">
        <v>87</v>
      </c>
      <c r="X4" s="40" t="s">
        <v>83</v>
      </c>
      <c r="Y4" s="45" t="s">
        <v>3</v>
      </c>
      <c r="Z4" s="45" t="s">
        <v>3</v>
      </c>
      <c r="AA4" s="45" t="s">
        <v>3</v>
      </c>
    </row>
    <row r="5" spans="1:36" x14ac:dyDescent="0.25">
      <c r="A5" s="15" t="s">
        <v>51</v>
      </c>
      <c r="B5" s="2"/>
      <c r="C5" s="2"/>
      <c r="D5">
        <f>6000*0.045</f>
        <v>270</v>
      </c>
      <c r="F5" s="1">
        <f t="shared" ref="F5:X5" si="0">F7+F8+F9</f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52">
        <f t="shared" si="0"/>
        <v>0</v>
      </c>
      <c r="M5" s="1">
        <f t="shared" si="0"/>
        <v>0</v>
      </c>
      <c r="N5" s="1">
        <f t="shared" si="0"/>
        <v>0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1">
        <f t="shared" si="0"/>
        <v>0</v>
      </c>
      <c r="V5" s="1">
        <f t="shared" si="0"/>
        <v>0</v>
      </c>
      <c r="W5" s="1">
        <f t="shared" si="0"/>
        <v>0</v>
      </c>
      <c r="X5" s="1">
        <f t="shared" si="0"/>
        <v>0</v>
      </c>
      <c r="Y5" s="58">
        <f t="shared" ref="Y5:Y45" si="1">SUM(F5:K5)</f>
        <v>0</v>
      </c>
      <c r="Z5" s="1">
        <f t="shared" ref="Z5:Z45" si="2">SUM(M5:X5)</f>
        <v>0</v>
      </c>
      <c r="AA5" s="1">
        <f t="shared" ref="AA5:AA12" si="3">L5+Y5+Z5</f>
        <v>0</v>
      </c>
    </row>
    <row r="6" spans="1:36" x14ac:dyDescent="0.25">
      <c r="A6" s="30" t="s">
        <v>60</v>
      </c>
      <c r="B6" s="2"/>
      <c r="C6" s="2"/>
      <c r="F6" s="1">
        <f>F10+F11+F12+F13</f>
        <v>7500</v>
      </c>
      <c r="G6" s="1">
        <f t="shared" ref="G6:X6" si="4">G10+G11+G12+G13</f>
        <v>3480</v>
      </c>
      <c r="H6" s="1">
        <f t="shared" si="4"/>
        <v>10976</v>
      </c>
      <c r="I6" s="1">
        <f t="shared" si="4"/>
        <v>4116</v>
      </c>
      <c r="J6" s="1">
        <f t="shared" si="4"/>
        <v>9467.3333333333339</v>
      </c>
      <c r="K6" s="1">
        <f t="shared" si="4"/>
        <v>3750</v>
      </c>
      <c r="L6" s="52">
        <f t="shared" si="4"/>
        <v>298800</v>
      </c>
      <c r="M6" s="1">
        <f t="shared" si="4"/>
        <v>26250</v>
      </c>
      <c r="N6" s="1">
        <f t="shared" si="4"/>
        <v>4440</v>
      </c>
      <c r="O6" s="1">
        <f t="shared" si="4"/>
        <v>6210</v>
      </c>
      <c r="P6" s="1">
        <f t="shared" si="4"/>
        <v>125600</v>
      </c>
      <c r="Q6" s="1">
        <f t="shared" si="4"/>
        <v>57844</v>
      </c>
      <c r="R6" s="1">
        <f t="shared" si="4"/>
        <v>18660.666666666668</v>
      </c>
      <c r="S6" s="1">
        <f t="shared" si="4"/>
        <v>266</v>
      </c>
      <c r="T6" s="1">
        <f t="shared" si="4"/>
        <v>15308.857142857143</v>
      </c>
      <c r="U6" s="1">
        <f t="shared" si="4"/>
        <v>12041.454545454548</v>
      </c>
      <c r="V6" s="1">
        <f t="shared" si="4"/>
        <v>2910</v>
      </c>
      <c r="W6" s="1">
        <f t="shared" si="4"/>
        <v>4337.5</v>
      </c>
      <c r="X6" s="54">
        <f t="shared" si="4"/>
        <v>12259.523809523811</v>
      </c>
      <c r="Y6" s="58">
        <f t="shared" si="1"/>
        <v>39289.333333333336</v>
      </c>
      <c r="Z6" s="1">
        <f t="shared" si="2"/>
        <v>286128.0021645021</v>
      </c>
      <c r="AA6" s="1">
        <f t="shared" si="3"/>
        <v>624217.33549783542</v>
      </c>
    </row>
    <row r="7" spans="1:36" x14ac:dyDescent="0.25">
      <c r="A7" s="15" t="s">
        <v>51</v>
      </c>
      <c r="B7" s="16" t="s">
        <v>52</v>
      </c>
      <c r="C7" s="2"/>
      <c r="F7" s="1">
        <f>F14+F15+F16</f>
        <v>0</v>
      </c>
      <c r="G7" s="1">
        <f t="shared" ref="G7:X7" si="5">G14+G15+G16</f>
        <v>0</v>
      </c>
      <c r="H7" s="1">
        <f t="shared" si="5"/>
        <v>0</v>
      </c>
      <c r="I7" s="1">
        <f t="shared" si="5"/>
        <v>0</v>
      </c>
      <c r="J7" s="1">
        <f t="shared" si="5"/>
        <v>0</v>
      </c>
      <c r="K7" s="1">
        <f t="shared" si="5"/>
        <v>0</v>
      </c>
      <c r="L7" s="52">
        <f t="shared" si="5"/>
        <v>0</v>
      </c>
      <c r="M7" s="1">
        <f t="shared" si="5"/>
        <v>0</v>
      </c>
      <c r="N7" s="1">
        <f t="shared" si="5"/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  <c r="R7" s="1">
        <f t="shared" si="5"/>
        <v>0</v>
      </c>
      <c r="S7" s="1">
        <f t="shared" si="5"/>
        <v>0</v>
      </c>
      <c r="T7" s="1">
        <f t="shared" si="5"/>
        <v>0</v>
      </c>
      <c r="U7" s="1">
        <f t="shared" si="5"/>
        <v>0</v>
      </c>
      <c r="V7" s="1">
        <f t="shared" si="5"/>
        <v>0</v>
      </c>
      <c r="W7" s="1">
        <f t="shared" si="5"/>
        <v>0</v>
      </c>
      <c r="X7" s="54">
        <f t="shared" si="5"/>
        <v>0</v>
      </c>
      <c r="Y7" s="58">
        <f t="shared" si="1"/>
        <v>0</v>
      </c>
      <c r="Z7" s="1">
        <f t="shared" si="2"/>
        <v>0</v>
      </c>
      <c r="AA7" s="1">
        <f t="shared" si="3"/>
        <v>0</v>
      </c>
    </row>
    <row r="8" spans="1:36" x14ac:dyDescent="0.25">
      <c r="A8" s="15" t="s">
        <v>51</v>
      </c>
      <c r="B8" s="16" t="s">
        <v>56</v>
      </c>
      <c r="C8" s="2"/>
      <c r="F8" s="1">
        <f>F17+F18+F19</f>
        <v>0</v>
      </c>
      <c r="G8" s="1">
        <f t="shared" ref="G8:X8" si="6">G17+G18+G19</f>
        <v>0</v>
      </c>
      <c r="H8" s="1">
        <f t="shared" si="6"/>
        <v>0</v>
      </c>
      <c r="I8" s="1">
        <f t="shared" si="6"/>
        <v>0</v>
      </c>
      <c r="J8" s="1">
        <f t="shared" si="6"/>
        <v>0</v>
      </c>
      <c r="K8" s="1">
        <f t="shared" si="6"/>
        <v>0</v>
      </c>
      <c r="L8" s="52">
        <f t="shared" si="6"/>
        <v>0</v>
      </c>
      <c r="M8" s="1">
        <f t="shared" si="6"/>
        <v>0</v>
      </c>
      <c r="N8" s="1">
        <f t="shared" si="6"/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  <c r="R8" s="1">
        <f t="shared" si="6"/>
        <v>0</v>
      </c>
      <c r="S8" s="1">
        <f t="shared" si="6"/>
        <v>0</v>
      </c>
      <c r="T8" s="1">
        <f t="shared" si="6"/>
        <v>0</v>
      </c>
      <c r="U8" s="1">
        <f t="shared" si="6"/>
        <v>0</v>
      </c>
      <c r="V8" s="1">
        <f t="shared" si="6"/>
        <v>0</v>
      </c>
      <c r="W8" s="1">
        <f t="shared" si="6"/>
        <v>0</v>
      </c>
      <c r="X8" s="54">
        <f t="shared" si="6"/>
        <v>0</v>
      </c>
      <c r="Y8" s="58">
        <f t="shared" si="1"/>
        <v>0</v>
      </c>
      <c r="Z8" s="1">
        <f t="shared" si="2"/>
        <v>0</v>
      </c>
      <c r="AA8" s="1">
        <f t="shared" si="3"/>
        <v>0</v>
      </c>
    </row>
    <row r="9" spans="1:36" x14ac:dyDescent="0.25">
      <c r="A9" s="15" t="s">
        <v>51</v>
      </c>
      <c r="B9" s="16" t="s">
        <v>9</v>
      </c>
      <c r="C9" s="2"/>
      <c r="F9" s="1">
        <f>F20</f>
        <v>0</v>
      </c>
      <c r="G9" s="1">
        <f t="shared" ref="G9:X9" si="7">G20</f>
        <v>0</v>
      </c>
      <c r="H9" s="1">
        <f t="shared" si="7"/>
        <v>0</v>
      </c>
      <c r="I9" s="1">
        <f t="shared" si="7"/>
        <v>0</v>
      </c>
      <c r="J9" s="1">
        <f t="shared" si="7"/>
        <v>0</v>
      </c>
      <c r="K9" s="1">
        <f t="shared" si="7"/>
        <v>0</v>
      </c>
      <c r="L9" s="52">
        <f t="shared" si="7"/>
        <v>0</v>
      </c>
      <c r="M9" s="1">
        <f t="shared" si="7"/>
        <v>0</v>
      </c>
      <c r="N9" s="1">
        <f t="shared" si="7"/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  <c r="R9" s="1">
        <f t="shared" si="7"/>
        <v>0</v>
      </c>
      <c r="S9" s="1">
        <f t="shared" si="7"/>
        <v>0</v>
      </c>
      <c r="T9" s="1">
        <f t="shared" si="7"/>
        <v>0</v>
      </c>
      <c r="U9" s="1">
        <f t="shared" si="7"/>
        <v>0</v>
      </c>
      <c r="V9" s="1">
        <f t="shared" si="7"/>
        <v>0</v>
      </c>
      <c r="W9" s="1">
        <f t="shared" si="7"/>
        <v>0</v>
      </c>
      <c r="X9" s="54">
        <f t="shared" si="7"/>
        <v>0</v>
      </c>
      <c r="Y9" s="58">
        <f t="shared" si="1"/>
        <v>0</v>
      </c>
      <c r="Z9" s="1">
        <f t="shared" si="2"/>
        <v>0</v>
      </c>
      <c r="AA9" s="1">
        <f t="shared" si="3"/>
        <v>0</v>
      </c>
    </row>
    <row r="10" spans="1:36" x14ac:dyDescent="0.25">
      <c r="A10" s="30" t="s">
        <v>60</v>
      </c>
      <c r="B10" s="32" t="s">
        <v>13</v>
      </c>
      <c r="C10" s="2"/>
      <c r="F10" s="51">
        <f>F21+F22+F23</f>
        <v>7500</v>
      </c>
      <c r="G10" s="51">
        <f t="shared" ref="G10:X10" si="8">G21+G22+G23</f>
        <v>3480</v>
      </c>
      <c r="H10" s="215">
        <f>11200*0.98</f>
        <v>10976</v>
      </c>
      <c r="I10" s="51">
        <f t="shared" si="8"/>
        <v>4116</v>
      </c>
      <c r="J10" s="51">
        <f t="shared" si="8"/>
        <v>3900</v>
      </c>
      <c r="K10" s="51">
        <f t="shared" si="8"/>
        <v>3000</v>
      </c>
      <c r="L10" s="52">
        <f t="shared" si="8"/>
        <v>0</v>
      </c>
      <c r="M10" s="51">
        <f t="shared" si="8"/>
        <v>5500</v>
      </c>
      <c r="N10" s="51">
        <f t="shared" si="8"/>
        <v>2200</v>
      </c>
      <c r="O10" s="51">
        <f t="shared" si="8"/>
        <v>6210</v>
      </c>
      <c r="P10" s="51">
        <f t="shared" si="8"/>
        <v>125600</v>
      </c>
      <c r="Q10" s="51">
        <f t="shared" si="8"/>
        <v>4000</v>
      </c>
      <c r="R10" s="51">
        <f t="shared" si="8"/>
        <v>3666.666666666667</v>
      </c>
      <c r="S10" s="51">
        <f t="shared" si="8"/>
        <v>0</v>
      </c>
      <c r="T10" s="51">
        <f t="shared" si="8"/>
        <v>1142.8571428571429</v>
      </c>
      <c r="U10" s="51">
        <f t="shared" si="8"/>
        <v>2045.4545454545455</v>
      </c>
      <c r="V10" s="51">
        <f t="shared" si="8"/>
        <v>50</v>
      </c>
      <c r="W10" s="51">
        <f t="shared" si="8"/>
        <v>137.5</v>
      </c>
      <c r="X10" s="55">
        <f t="shared" si="8"/>
        <v>8571.4285714285725</v>
      </c>
      <c r="Y10" s="59">
        <f t="shared" si="1"/>
        <v>32972</v>
      </c>
      <c r="Z10" s="73">
        <f t="shared" si="2"/>
        <v>159123.90692640693</v>
      </c>
      <c r="AA10" s="73">
        <f t="shared" si="3"/>
        <v>192095.90692640693</v>
      </c>
      <c r="AB10" s="214">
        <v>195000</v>
      </c>
    </row>
    <row r="11" spans="1:36" x14ac:dyDescent="0.25">
      <c r="A11" s="30" t="s">
        <v>60</v>
      </c>
      <c r="B11" s="31" t="s">
        <v>23</v>
      </c>
      <c r="C11" s="2"/>
      <c r="F11" s="51">
        <f>F24+F25+F26</f>
        <v>0</v>
      </c>
      <c r="G11" s="51">
        <f t="shared" ref="G11:X11" si="9">G24+G25+G26</f>
        <v>0</v>
      </c>
      <c r="H11" s="51">
        <f t="shared" si="9"/>
        <v>0</v>
      </c>
      <c r="I11" s="51">
        <f t="shared" si="9"/>
        <v>0</v>
      </c>
      <c r="J11" s="51">
        <f t="shared" si="9"/>
        <v>984</v>
      </c>
      <c r="K11" s="51">
        <f t="shared" si="9"/>
        <v>750</v>
      </c>
      <c r="L11" s="52">
        <f t="shared" si="9"/>
        <v>0</v>
      </c>
      <c r="M11" s="51">
        <f t="shared" si="9"/>
        <v>0</v>
      </c>
      <c r="N11" s="51">
        <f t="shared" si="9"/>
        <v>2240</v>
      </c>
      <c r="O11" s="51">
        <f t="shared" si="9"/>
        <v>0</v>
      </c>
      <c r="P11" s="51">
        <f t="shared" si="9"/>
        <v>0</v>
      </c>
      <c r="Q11" s="51">
        <f t="shared" si="9"/>
        <v>0</v>
      </c>
      <c r="R11" s="51">
        <f t="shared" si="9"/>
        <v>0</v>
      </c>
      <c r="S11" s="51">
        <f t="shared" si="9"/>
        <v>266</v>
      </c>
      <c r="T11" s="51">
        <f t="shared" si="9"/>
        <v>600</v>
      </c>
      <c r="U11" s="51">
        <f t="shared" si="9"/>
        <v>0</v>
      </c>
      <c r="V11" s="51">
        <f t="shared" si="9"/>
        <v>0</v>
      </c>
      <c r="W11" s="51">
        <f t="shared" si="9"/>
        <v>0</v>
      </c>
      <c r="X11" s="55">
        <f t="shared" si="9"/>
        <v>100</v>
      </c>
      <c r="Y11" s="59">
        <f t="shared" si="1"/>
        <v>1734</v>
      </c>
      <c r="Z11" s="73">
        <f t="shared" si="2"/>
        <v>3206</v>
      </c>
      <c r="AA11" s="73">
        <f t="shared" si="3"/>
        <v>4940</v>
      </c>
      <c r="AC11" t="s">
        <v>14</v>
      </c>
    </row>
    <row r="12" spans="1:36" x14ac:dyDescent="0.25">
      <c r="A12" s="30" t="s">
        <v>60</v>
      </c>
      <c r="B12" s="31" t="s">
        <v>65</v>
      </c>
      <c r="C12" s="46"/>
      <c r="F12" s="51">
        <f>F27+F28+F29</f>
        <v>0</v>
      </c>
      <c r="G12" s="51">
        <f t="shared" ref="G12:X12" si="10">G27+G28+G29</f>
        <v>0</v>
      </c>
      <c r="H12" s="51">
        <f t="shared" si="10"/>
        <v>0</v>
      </c>
      <c r="I12" s="51">
        <f t="shared" si="10"/>
        <v>0</v>
      </c>
      <c r="J12" s="51">
        <f t="shared" si="10"/>
        <v>4583.3333333333339</v>
      </c>
      <c r="K12" s="51">
        <f t="shared" si="10"/>
        <v>0</v>
      </c>
      <c r="L12" s="52">
        <f t="shared" si="10"/>
        <v>298800</v>
      </c>
      <c r="M12" s="51">
        <f t="shared" si="10"/>
        <v>20750</v>
      </c>
      <c r="N12" s="51">
        <f t="shared" si="10"/>
        <v>0</v>
      </c>
      <c r="O12" s="51">
        <f t="shared" si="10"/>
        <v>0</v>
      </c>
      <c r="P12" s="51">
        <f t="shared" si="10"/>
        <v>0</v>
      </c>
      <c r="Q12" s="51">
        <f t="shared" si="10"/>
        <v>53844</v>
      </c>
      <c r="R12" s="51">
        <f t="shared" si="10"/>
        <v>14994</v>
      </c>
      <c r="S12" s="51">
        <f t="shared" si="10"/>
        <v>0</v>
      </c>
      <c r="T12" s="51">
        <f t="shared" si="10"/>
        <v>13566</v>
      </c>
      <c r="U12" s="51">
        <f t="shared" si="10"/>
        <v>9996.0000000000018</v>
      </c>
      <c r="V12" s="51">
        <f t="shared" si="10"/>
        <v>2100</v>
      </c>
      <c r="W12" s="51">
        <f t="shared" si="10"/>
        <v>4200</v>
      </c>
      <c r="X12" s="55">
        <f t="shared" si="10"/>
        <v>2100</v>
      </c>
      <c r="Y12" s="59">
        <f t="shared" si="1"/>
        <v>4583.3333333333339</v>
      </c>
      <c r="Z12" s="73">
        <f t="shared" si="2"/>
        <v>121550</v>
      </c>
      <c r="AA12" s="81">
        <f t="shared" si="3"/>
        <v>424933.33333333331</v>
      </c>
      <c r="AB12" s="215">
        <v>420000</v>
      </c>
      <c r="AC12">
        <f>32/330</f>
        <v>9.696969696969697E-2</v>
      </c>
      <c r="AD12" t="s">
        <v>100</v>
      </c>
    </row>
    <row r="13" spans="1:36" ht="15.75" thickBot="1" x14ac:dyDescent="0.3">
      <c r="A13" s="48" t="s">
        <v>60</v>
      </c>
      <c r="B13" s="49" t="s">
        <v>9</v>
      </c>
      <c r="C13" s="50"/>
      <c r="D13" s="50"/>
      <c r="E13" s="50"/>
      <c r="F13" s="53">
        <f>F30</f>
        <v>0</v>
      </c>
      <c r="G13" s="53">
        <f t="shared" ref="G13:X13" si="11">G30</f>
        <v>0</v>
      </c>
      <c r="H13" s="53">
        <f t="shared" si="11"/>
        <v>0</v>
      </c>
      <c r="I13" s="53">
        <f t="shared" si="11"/>
        <v>0</v>
      </c>
      <c r="J13" s="53">
        <f t="shared" si="11"/>
        <v>0</v>
      </c>
      <c r="K13" s="53">
        <f t="shared" si="11"/>
        <v>0</v>
      </c>
      <c r="L13" s="62">
        <f t="shared" si="11"/>
        <v>0</v>
      </c>
      <c r="M13" s="53">
        <f t="shared" si="11"/>
        <v>0</v>
      </c>
      <c r="N13" s="53">
        <f t="shared" si="11"/>
        <v>0</v>
      </c>
      <c r="O13" s="53">
        <f t="shared" si="11"/>
        <v>0</v>
      </c>
      <c r="P13" s="53">
        <f t="shared" si="11"/>
        <v>0</v>
      </c>
      <c r="Q13" s="53">
        <f t="shared" si="11"/>
        <v>0</v>
      </c>
      <c r="R13" s="53">
        <f t="shared" si="11"/>
        <v>0</v>
      </c>
      <c r="S13" s="53">
        <f t="shared" si="11"/>
        <v>0</v>
      </c>
      <c r="T13" s="53">
        <f t="shared" si="11"/>
        <v>0</v>
      </c>
      <c r="U13" s="53">
        <f t="shared" si="11"/>
        <v>0</v>
      </c>
      <c r="V13" s="53">
        <f t="shared" si="11"/>
        <v>760</v>
      </c>
      <c r="W13" s="53">
        <f t="shared" si="11"/>
        <v>0</v>
      </c>
      <c r="X13" s="75">
        <f t="shared" si="11"/>
        <v>1488.0952380952381</v>
      </c>
      <c r="Y13" s="60">
        <f t="shared" si="1"/>
        <v>0</v>
      </c>
      <c r="Z13" s="74">
        <f t="shared" si="2"/>
        <v>2248.0952380952381</v>
      </c>
      <c r="AA13" s="104">
        <v>2200</v>
      </c>
    </row>
    <row r="14" spans="1:36" ht="15.75" thickTop="1" x14ac:dyDescent="0.25">
      <c r="A14" s="15" t="s">
        <v>51</v>
      </c>
      <c r="B14" s="16" t="s">
        <v>52</v>
      </c>
      <c r="C14" s="16" t="s">
        <v>53</v>
      </c>
      <c r="D14" s="2"/>
      <c r="E14" s="2"/>
      <c r="F14" s="47">
        <v>0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63">
        <v>0</v>
      </c>
      <c r="M14" s="47">
        <v>0</v>
      </c>
      <c r="N14" s="47">
        <v>0</v>
      </c>
      <c r="O14" s="47">
        <v>0</v>
      </c>
      <c r="P14" s="47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57">
        <v>0</v>
      </c>
      <c r="Y14" s="61">
        <f t="shared" si="1"/>
        <v>0</v>
      </c>
      <c r="Z14" s="47">
        <f t="shared" si="2"/>
        <v>0</v>
      </c>
      <c r="AA14" s="47">
        <f t="shared" ref="AA14:AA45" si="12">L14+Y14+Z14</f>
        <v>0</v>
      </c>
    </row>
    <row r="15" spans="1:36" x14ac:dyDescent="0.25">
      <c r="A15" s="15" t="s">
        <v>51</v>
      </c>
      <c r="B15" s="16" t="s">
        <v>52</v>
      </c>
      <c r="C15" s="16" t="s">
        <v>54</v>
      </c>
      <c r="D15" s="2"/>
      <c r="E15" s="2"/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52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54">
        <v>0</v>
      </c>
      <c r="Y15" s="58">
        <f t="shared" si="1"/>
        <v>0</v>
      </c>
      <c r="Z15" s="1">
        <f t="shared" si="2"/>
        <v>0</v>
      </c>
      <c r="AA15" s="1">
        <f t="shared" si="12"/>
        <v>0</v>
      </c>
    </row>
    <row r="16" spans="1:36" x14ac:dyDescent="0.25">
      <c r="A16" s="15" t="s">
        <v>51</v>
      </c>
      <c r="B16" s="16" t="s">
        <v>52</v>
      </c>
      <c r="C16" s="16" t="s">
        <v>55</v>
      </c>
      <c r="D16" s="2"/>
      <c r="E16" s="2"/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52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54">
        <v>0</v>
      </c>
      <c r="Y16" s="58">
        <f t="shared" si="1"/>
        <v>0</v>
      </c>
      <c r="Z16" s="1">
        <f t="shared" si="2"/>
        <v>0</v>
      </c>
      <c r="AA16" s="1">
        <f t="shared" si="12"/>
        <v>0</v>
      </c>
      <c r="AH16" s="6" t="s">
        <v>13</v>
      </c>
      <c r="AI16" s="6" t="s">
        <v>1</v>
      </c>
    </row>
    <row r="17" spans="1:35" x14ac:dyDescent="0.25">
      <c r="A17" s="25" t="s">
        <v>51</v>
      </c>
      <c r="B17" s="26" t="s">
        <v>56</v>
      </c>
      <c r="C17" s="26" t="s">
        <v>57</v>
      </c>
      <c r="D17" s="2"/>
      <c r="E17" s="2"/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52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54">
        <v>0</v>
      </c>
      <c r="Y17" s="58">
        <f t="shared" si="1"/>
        <v>0</v>
      </c>
      <c r="Z17" s="1">
        <f t="shared" si="2"/>
        <v>0</v>
      </c>
      <c r="AA17" s="1">
        <f t="shared" si="12"/>
        <v>0</v>
      </c>
      <c r="AH17" s="6" t="s">
        <v>372</v>
      </c>
      <c r="AI17" s="6">
        <f>195000*0.44</f>
        <v>85800</v>
      </c>
    </row>
    <row r="18" spans="1:35" x14ac:dyDescent="0.25">
      <c r="A18" s="15" t="s">
        <v>51</v>
      </c>
      <c r="B18" s="16" t="s">
        <v>56</v>
      </c>
      <c r="C18" s="27" t="s">
        <v>58</v>
      </c>
      <c r="D18" s="2"/>
      <c r="E18" s="2"/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52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54">
        <v>0</v>
      </c>
      <c r="Y18" s="58">
        <f t="shared" si="1"/>
        <v>0</v>
      </c>
      <c r="Z18" s="1">
        <f t="shared" si="2"/>
        <v>0</v>
      </c>
      <c r="AA18" s="1">
        <f t="shared" si="12"/>
        <v>0</v>
      </c>
      <c r="AH18" s="6" t="s">
        <v>373</v>
      </c>
      <c r="AI18" s="6">
        <f>195000*0.23</f>
        <v>44850</v>
      </c>
    </row>
    <row r="19" spans="1:35" x14ac:dyDescent="0.25">
      <c r="A19" s="15" t="s">
        <v>51</v>
      </c>
      <c r="B19" s="16" t="s">
        <v>9</v>
      </c>
      <c r="C19" s="27" t="s">
        <v>59</v>
      </c>
      <c r="D19" s="2"/>
      <c r="E19" s="2"/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52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54">
        <v>0</v>
      </c>
      <c r="Y19" s="58">
        <f t="shared" si="1"/>
        <v>0</v>
      </c>
      <c r="Z19" s="1">
        <f t="shared" si="2"/>
        <v>0</v>
      </c>
      <c r="AA19" s="1">
        <f t="shared" si="12"/>
        <v>0</v>
      </c>
      <c r="AH19" s="6" t="s">
        <v>374</v>
      </c>
      <c r="AI19" s="6">
        <f>195000*0.17</f>
        <v>33150</v>
      </c>
    </row>
    <row r="20" spans="1:35" x14ac:dyDescent="0.25">
      <c r="A20" s="15" t="s">
        <v>51</v>
      </c>
      <c r="B20" s="16" t="s">
        <v>9</v>
      </c>
      <c r="C20" s="27" t="s">
        <v>9</v>
      </c>
      <c r="D20" s="2"/>
      <c r="E20" s="2"/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52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54">
        <v>0</v>
      </c>
      <c r="Y20" s="58">
        <f t="shared" si="1"/>
        <v>0</v>
      </c>
      <c r="Z20" s="1">
        <f t="shared" si="2"/>
        <v>0</v>
      </c>
      <c r="AA20" s="1">
        <f t="shared" si="12"/>
        <v>0</v>
      </c>
      <c r="AH20" s="6" t="s">
        <v>9</v>
      </c>
      <c r="AI20" s="6">
        <f>195000*0.11</f>
        <v>21450</v>
      </c>
    </row>
    <row r="21" spans="1:35" x14ac:dyDescent="0.25">
      <c r="A21" s="28" t="s">
        <v>60</v>
      </c>
      <c r="B21" s="29" t="s">
        <v>13</v>
      </c>
      <c r="C21" s="29" t="s">
        <v>61</v>
      </c>
      <c r="D21" s="2"/>
      <c r="E21" s="2"/>
      <c r="F21" s="215">
        <f>7500*0.7</f>
        <v>5250</v>
      </c>
      <c r="G21" s="51">
        <v>0</v>
      </c>
      <c r="H21" s="215">
        <f>H10*0.18</f>
        <v>1975.6799999999998</v>
      </c>
      <c r="I21" s="215">
        <f>2940*1.4</f>
        <v>4116</v>
      </c>
      <c r="J21" s="215">
        <f>1950*2</f>
        <v>3900</v>
      </c>
      <c r="K21" s="215">
        <f>3000</f>
        <v>3000</v>
      </c>
      <c r="L21" s="52">
        <v>0</v>
      </c>
      <c r="M21" s="103">
        <v>5500</v>
      </c>
      <c r="N21" s="91">
        <v>2200</v>
      </c>
      <c r="O21" s="215">
        <f>0.46*13500</f>
        <v>6210</v>
      </c>
      <c r="P21" s="215">
        <f>0.4*125000</f>
        <v>50000</v>
      </c>
      <c r="Q21" s="69">
        <f>Q66/Q111</f>
        <v>4000</v>
      </c>
      <c r="R21" s="69">
        <f>R66/R111</f>
        <v>3666.666666666667</v>
      </c>
      <c r="S21" s="51">
        <v>0</v>
      </c>
      <c r="T21" s="69">
        <f>T66/T111</f>
        <v>1142.8571428571429</v>
      </c>
      <c r="U21" s="69">
        <f>U66/U111</f>
        <v>2045.4545454545455</v>
      </c>
      <c r="V21" s="77">
        <v>50</v>
      </c>
      <c r="W21" s="69">
        <f>W66/W111</f>
        <v>137.5</v>
      </c>
      <c r="X21" s="69">
        <f>X66/X111</f>
        <v>8571.4285714285725</v>
      </c>
      <c r="Y21" s="59">
        <f t="shared" si="1"/>
        <v>18241.68</v>
      </c>
      <c r="Z21" s="51">
        <f t="shared" si="2"/>
        <v>83523.906926406926</v>
      </c>
      <c r="AA21" s="51">
        <f t="shared" si="12"/>
        <v>101765.58692640692</v>
      </c>
      <c r="AD21" s="99" t="s">
        <v>135</v>
      </c>
      <c r="AE21" s="99" t="s">
        <v>136</v>
      </c>
      <c r="AF21" s="99" t="s">
        <v>137</v>
      </c>
      <c r="AH21" s="6" t="s">
        <v>375</v>
      </c>
      <c r="AI21" s="6">
        <f>195000*0.05</f>
        <v>9750</v>
      </c>
    </row>
    <row r="22" spans="1:35" x14ac:dyDescent="0.25">
      <c r="A22" s="36" t="s">
        <v>60</v>
      </c>
      <c r="B22" s="37" t="s">
        <v>13</v>
      </c>
      <c r="C22" s="29" t="s">
        <v>62</v>
      </c>
      <c r="D22" s="2"/>
      <c r="E22" s="2"/>
      <c r="F22" s="215">
        <f>7500*0.3</f>
        <v>2250</v>
      </c>
      <c r="G22" s="214">
        <f>0.58*10000*0.6</f>
        <v>3480</v>
      </c>
      <c r="H22" s="215">
        <f>H10*0.82</f>
        <v>9000.32</v>
      </c>
      <c r="I22" s="51">
        <v>0</v>
      </c>
      <c r="J22" s="51">
        <v>0</v>
      </c>
      <c r="K22" s="51">
        <v>0</v>
      </c>
      <c r="L22" s="52">
        <v>0</v>
      </c>
      <c r="M22" s="51">
        <v>0</v>
      </c>
      <c r="N22" s="51">
        <v>0</v>
      </c>
      <c r="O22" s="215">
        <v>0</v>
      </c>
      <c r="P22" s="215">
        <f>0.6*126000</f>
        <v>75600</v>
      </c>
      <c r="Q22" s="51">
        <v>0</v>
      </c>
      <c r="R22" s="51">
        <v>0</v>
      </c>
      <c r="S22" s="51">
        <v>0</v>
      </c>
      <c r="T22" s="51">
        <v>0</v>
      </c>
      <c r="U22" s="51">
        <v>0</v>
      </c>
      <c r="V22" s="51">
        <v>0</v>
      </c>
      <c r="W22" s="51">
        <v>0</v>
      </c>
      <c r="X22" s="55">
        <v>0</v>
      </c>
      <c r="Y22" s="59">
        <f t="shared" si="1"/>
        <v>14730.32</v>
      </c>
      <c r="Z22" s="51">
        <f t="shared" si="2"/>
        <v>75600</v>
      </c>
      <c r="AA22" s="51">
        <f t="shared" si="12"/>
        <v>90330.32</v>
      </c>
      <c r="AB22">
        <v>14000</v>
      </c>
      <c r="AD22" s="99" t="s">
        <v>1</v>
      </c>
      <c r="AE22" s="99">
        <v>4000</v>
      </c>
      <c r="AF22" s="99">
        <v>3000</v>
      </c>
      <c r="AG22" s="99">
        <f>SUM(AE22:AF22)</f>
        <v>7000</v>
      </c>
    </row>
    <row r="23" spans="1:35" x14ac:dyDescent="0.25">
      <c r="A23" s="30" t="s">
        <v>60</v>
      </c>
      <c r="B23" s="31" t="s">
        <v>13</v>
      </c>
      <c r="C23" s="32" t="s">
        <v>63</v>
      </c>
      <c r="D23" s="2"/>
      <c r="E23" s="2"/>
      <c r="F23" s="51">
        <v>0</v>
      </c>
      <c r="G23" s="51">
        <v>0</v>
      </c>
      <c r="H23" s="51"/>
      <c r="I23" s="51">
        <v>0</v>
      </c>
      <c r="J23" s="51">
        <v>0</v>
      </c>
      <c r="K23" s="51">
        <v>0</v>
      </c>
      <c r="L23" s="52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55">
        <v>0</v>
      </c>
      <c r="Y23" s="59">
        <f t="shared" si="1"/>
        <v>0</v>
      </c>
      <c r="Z23" s="51">
        <f t="shared" si="2"/>
        <v>0</v>
      </c>
      <c r="AA23" s="51">
        <f t="shared" si="12"/>
        <v>0</v>
      </c>
      <c r="AD23" s="99" t="s">
        <v>18</v>
      </c>
      <c r="AE23" s="99"/>
      <c r="AF23" s="99"/>
      <c r="AG23" s="99">
        <v>2300</v>
      </c>
    </row>
    <row r="24" spans="1:35" x14ac:dyDescent="0.25">
      <c r="A24" s="30" t="s">
        <v>60</v>
      </c>
      <c r="B24" s="32" t="s">
        <v>23</v>
      </c>
      <c r="C24" s="31" t="s">
        <v>50</v>
      </c>
      <c r="D24" s="2"/>
      <c r="E24" s="2"/>
      <c r="F24" s="77">
        <f>F204*F159</f>
        <v>0</v>
      </c>
      <c r="G24" s="51">
        <v>0</v>
      </c>
      <c r="H24" s="51">
        <v>0</v>
      </c>
      <c r="I24" s="51">
        <v>0</v>
      </c>
      <c r="J24" s="77">
        <f>J21*0.01</f>
        <v>39</v>
      </c>
      <c r="K24" s="215">
        <f>2800*0.2</f>
        <v>560</v>
      </c>
      <c r="L24" s="52">
        <v>0</v>
      </c>
      <c r="M24" s="51">
        <v>0</v>
      </c>
      <c r="N24" s="215">
        <f>2800*0.8</f>
        <v>2240</v>
      </c>
      <c r="O24" s="51">
        <v>0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51">
        <v>0</v>
      </c>
      <c r="X24" s="55">
        <v>0</v>
      </c>
      <c r="Y24" s="59">
        <f t="shared" si="1"/>
        <v>599</v>
      </c>
      <c r="Z24" s="51">
        <f t="shared" si="2"/>
        <v>2240</v>
      </c>
      <c r="AA24" s="51">
        <f t="shared" si="12"/>
        <v>2839</v>
      </c>
      <c r="AD24" s="99" t="s">
        <v>35</v>
      </c>
      <c r="AF24" s="99">
        <v>0.04</v>
      </c>
      <c r="AG24" s="99">
        <v>0.15</v>
      </c>
    </row>
    <row r="25" spans="1:35" x14ac:dyDescent="0.25">
      <c r="A25" s="30" t="s">
        <v>60</v>
      </c>
      <c r="B25" s="32" t="s">
        <v>23</v>
      </c>
      <c r="C25" s="31" t="s">
        <v>49</v>
      </c>
      <c r="D25" s="2"/>
      <c r="E25" s="2"/>
      <c r="F25" s="51">
        <v>0</v>
      </c>
      <c r="G25" s="51">
        <v>0</v>
      </c>
      <c r="H25" s="51">
        <v>0</v>
      </c>
      <c r="I25" s="51">
        <v>0</v>
      </c>
      <c r="J25" s="214">
        <f>1500*0.63</f>
        <v>945</v>
      </c>
      <c r="K25" s="215">
        <f>1900*0.1</f>
        <v>190</v>
      </c>
      <c r="L25" s="52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51">
        <v>0</v>
      </c>
      <c r="S25" s="215">
        <f>1900*0.14</f>
        <v>266</v>
      </c>
      <c r="T25" s="77">
        <v>600</v>
      </c>
      <c r="U25" s="51">
        <v>0</v>
      </c>
      <c r="V25" s="77">
        <v>0</v>
      </c>
      <c r="W25" s="51">
        <v>0</v>
      </c>
      <c r="X25" s="77">
        <v>100</v>
      </c>
      <c r="Y25" s="59">
        <f t="shared" si="1"/>
        <v>1135</v>
      </c>
      <c r="Z25" s="51">
        <f t="shared" si="2"/>
        <v>966</v>
      </c>
      <c r="AA25" s="51">
        <f t="shared" si="12"/>
        <v>2101</v>
      </c>
      <c r="AB25" s="214">
        <v>1900</v>
      </c>
      <c r="AC25" t="s">
        <v>129</v>
      </c>
      <c r="AE25" s="99" t="s">
        <v>17</v>
      </c>
      <c r="AF25" s="99">
        <f>AF22/AF24</f>
        <v>75000</v>
      </c>
      <c r="AG25" s="99">
        <f>AG22/AG24</f>
        <v>46666.666666666672</v>
      </c>
    </row>
    <row r="26" spans="1:35" x14ac:dyDescent="0.25">
      <c r="A26" s="30" t="s">
        <v>60</v>
      </c>
      <c r="B26" s="32" t="s">
        <v>23</v>
      </c>
      <c r="C26" s="31" t="s">
        <v>64</v>
      </c>
      <c r="D26" s="2"/>
      <c r="E26" s="2"/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2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  <c r="V26" s="51">
        <v>0</v>
      </c>
      <c r="W26" s="51">
        <v>0</v>
      </c>
      <c r="X26" s="55">
        <v>0</v>
      </c>
      <c r="Y26" s="59">
        <f t="shared" si="1"/>
        <v>0</v>
      </c>
      <c r="Z26" s="51">
        <f t="shared" si="2"/>
        <v>0</v>
      </c>
      <c r="AA26" s="51">
        <f t="shared" si="12"/>
        <v>0</v>
      </c>
    </row>
    <row r="27" spans="1:35" x14ac:dyDescent="0.25">
      <c r="A27" s="30" t="s">
        <v>60</v>
      </c>
      <c r="B27" s="32" t="s">
        <v>65</v>
      </c>
      <c r="C27" s="31" t="s">
        <v>66</v>
      </c>
      <c r="D27" s="2"/>
      <c r="E27" s="2">
        <f>4/18</f>
        <v>0.22222222222222221</v>
      </c>
      <c r="F27" s="51">
        <v>0</v>
      </c>
      <c r="G27" s="51">
        <v>0</v>
      </c>
      <c r="H27" s="51">
        <v>0</v>
      </c>
      <c r="I27" s="51">
        <v>0</v>
      </c>
      <c r="J27" s="81">
        <f>J72/J117</f>
        <v>4583.3333333333339</v>
      </c>
      <c r="K27" s="51">
        <v>0</v>
      </c>
      <c r="L27" s="52">
        <v>0</v>
      </c>
      <c r="M27" s="214">
        <f>415000*0.05</f>
        <v>20750</v>
      </c>
      <c r="N27" s="51">
        <v>0</v>
      </c>
      <c r="O27" s="51">
        <v>0</v>
      </c>
      <c r="P27" s="51">
        <v>0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51">
        <v>0</v>
      </c>
      <c r="X27" s="55">
        <v>0</v>
      </c>
      <c r="Y27" s="108">
        <f t="shared" si="1"/>
        <v>4583.3333333333339</v>
      </c>
      <c r="Z27" s="51">
        <f t="shared" si="2"/>
        <v>20750</v>
      </c>
      <c r="AA27" s="51">
        <f t="shared" si="12"/>
        <v>25333.333333333336</v>
      </c>
    </row>
    <row r="28" spans="1:35" x14ac:dyDescent="0.25">
      <c r="A28" s="30" t="s">
        <v>60</v>
      </c>
      <c r="B28" s="32" t="s">
        <v>65</v>
      </c>
      <c r="C28" s="31" t="s">
        <v>67</v>
      </c>
      <c r="D28" s="2"/>
      <c r="E28" s="2"/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2">
        <v>0</v>
      </c>
      <c r="M28" s="51">
        <v>0</v>
      </c>
      <c r="N28" s="51">
        <v>0</v>
      </c>
      <c r="O28" s="51">
        <v>0</v>
      </c>
      <c r="P28" s="51">
        <v>0</v>
      </c>
      <c r="Q28" s="214">
        <f>420000*0.17*0.46+420000*0.05</f>
        <v>53844</v>
      </c>
      <c r="R28" s="214">
        <f>420000*0.17*0.21</f>
        <v>14994</v>
      </c>
      <c r="S28" s="51">
        <v>0</v>
      </c>
      <c r="T28" s="214">
        <f>420000*0.17*0.19</f>
        <v>13566</v>
      </c>
      <c r="U28" s="214">
        <f>420000*0.17*0.14</f>
        <v>9996.0000000000018</v>
      </c>
      <c r="V28" s="214">
        <f>X28</f>
        <v>2100</v>
      </c>
      <c r="W28" s="214">
        <f>420000*0.01</f>
        <v>4200</v>
      </c>
      <c r="X28" s="214">
        <f>420000*0.005</f>
        <v>2100</v>
      </c>
      <c r="Y28" s="59">
        <f t="shared" si="1"/>
        <v>0</v>
      </c>
      <c r="Z28" s="51">
        <f t="shared" si="2"/>
        <v>100800</v>
      </c>
      <c r="AA28" s="51">
        <f t="shared" si="12"/>
        <v>100800</v>
      </c>
    </row>
    <row r="29" spans="1:35" x14ac:dyDescent="0.25">
      <c r="A29" s="30" t="s">
        <v>60</v>
      </c>
      <c r="B29" s="32" t="s">
        <v>65</v>
      </c>
      <c r="C29" s="31" t="s">
        <v>68</v>
      </c>
      <c r="D29" s="2"/>
      <c r="E29" s="2"/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214">
        <f>415000*0.72</f>
        <v>298800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  <c r="R29" s="51">
        <v>0</v>
      </c>
      <c r="S29" s="51">
        <v>0</v>
      </c>
      <c r="T29" s="51">
        <v>0</v>
      </c>
      <c r="U29" s="51">
        <v>0</v>
      </c>
      <c r="V29" s="51">
        <v>0</v>
      </c>
      <c r="W29" s="51">
        <v>0</v>
      </c>
      <c r="X29" s="55">
        <v>0</v>
      </c>
      <c r="Y29" s="59">
        <f t="shared" si="1"/>
        <v>0</v>
      </c>
      <c r="Z29" s="51">
        <f t="shared" si="2"/>
        <v>0</v>
      </c>
      <c r="AA29" s="51">
        <f t="shared" si="12"/>
        <v>298800</v>
      </c>
    </row>
    <row r="30" spans="1:35" x14ac:dyDescent="0.25">
      <c r="A30" s="30" t="s">
        <v>60</v>
      </c>
      <c r="B30" s="32" t="s">
        <v>9</v>
      </c>
      <c r="C30" s="31" t="s">
        <v>69</v>
      </c>
      <c r="D30" s="2"/>
      <c r="E30" s="2"/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2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  <c r="R30" s="51">
        <v>0</v>
      </c>
      <c r="S30" s="51">
        <v>0</v>
      </c>
      <c r="T30" s="51">
        <v>0</v>
      </c>
      <c r="U30" s="51">
        <v>0</v>
      </c>
      <c r="V30" s="96">
        <v>760</v>
      </c>
      <c r="W30" s="51">
        <v>0</v>
      </c>
      <c r="X30" s="81">
        <f>X75/X120</f>
        <v>1488.0952380952381</v>
      </c>
      <c r="Y30" s="59">
        <f t="shared" si="1"/>
        <v>0</v>
      </c>
      <c r="Z30" s="51">
        <f t="shared" si="2"/>
        <v>2248.0952380952381</v>
      </c>
      <c r="AA30" s="51">
        <f t="shared" si="12"/>
        <v>2248.0952380952381</v>
      </c>
    </row>
    <row r="31" spans="1:35" x14ac:dyDescent="0.25">
      <c r="A31" s="15" t="s">
        <v>51</v>
      </c>
      <c r="B31" s="16" t="s">
        <v>56</v>
      </c>
      <c r="C31" s="27" t="s">
        <v>57</v>
      </c>
      <c r="D31" s="16" t="s">
        <v>70</v>
      </c>
      <c r="E31" s="43"/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52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54">
        <v>0</v>
      </c>
      <c r="Y31" s="58">
        <f t="shared" si="1"/>
        <v>0</v>
      </c>
      <c r="Z31" s="1">
        <f t="shared" si="2"/>
        <v>0</v>
      </c>
      <c r="AA31" s="1">
        <f t="shared" si="12"/>
        <v>0</v>
      </c>
      <c r="AH31">
        <f>52/128*2000</f>
        <v>812.5</v>
      </c>
    </row>
    <row r="32" spans="1:35" x14ac:dyDescent="0.25">
      <c r="A32" s="15" t="s">
        <v>51</v>
      </c>
      <c r="B32" s="16" t="s">
        <v>56</v>
      </c>
      <c r="C32" s="27" t="s">
        <v>57</v>
      </c>
      <c r="D32" s="16" t="s">
        <v>71</v>
      </c>
      <c r="E32" s="43"/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52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54">
        <v>0</v>
      </c>
      <c r="Y32" s="58">
        <f t="shared" si="1"/>
        <v>0</v>
      </c>
      <c r="Z32" s="1">
        <f t="shared" si="2"/>
        <v>0</v>
      </c>
      <c r="AA32" s="1">
        <f t="shared" si="12"/>
        <v>0</v>
      </c>
    </row>
    <row r="33" spans="1:29" x14ac:dyDescent="0.25">
      <c r="A33" s="15" t="s">
        <v>51</v>
      </c>
      <c r="B33" s="16" t="s">
        <v>56</v>
      </c>
      <c r="C33" s="27" t="s">
        <v>27</v>
      </c>
      <c r="D33" s="16" t="s">
        <v>72</v>
      </c>
      <c r="E33" s="43"/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52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54">
        <v>0</v>
      </c>
      <c r="Y33" s="58">
        <f t="shared" si="1"/>
        <v>0</v>
      </c>
      <c r="Z33" s="1">
        <f t="shared" si="2"/>
        <v>0</v>
      </c>
      <c r="AA33" s="1">
        <f t="shared" si="12"/>
        <v>0</v>
      </c>
    </row>
    <row r="34" spans="1:29" x14ac:dyDescent="0.25">
      <c r="A34" s="15" t="s">
        <v>51</v>
      </c>
      <c r="B34" s="16" t="s">
        <v>56</v>
      </c>
      <c r="C34" s="27" t="s">
        <v>57</v>
      </c>
      <c r="D34" s="16" t="s">
        <v>73</v>
      </c>
      <c r="E34" s="43"/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52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54">
        <v>0</v>
      </c>
      <c r="Y34" s="58">
        <f t="shared" si="1"/>
        <v>0</v>
      </c>
      <c r="Z34" s="1">
        <f t="shared" si="2"/>
        <v>0</v>
      </c>
      <c r="AA34" s="1">
        <f t="shared" si="12"/>
        <v>0</v>
      </c>
    </row>
    <row r="35" spans="1:29" x14ac:dyDescent="0.25">
      <c r="A35" s="15" t="s">
        <v>51</v>
      </c>
      <c r="B35" s="16" t="s">
        <v>56</v>
      </c>
      <c r="C35" s="27" t="s">
        <v>57</v>
      </c>
      <c r="D35" s="16" t="s">
        <v>74</v>
      </c>
      <c r="E35" s="43"/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52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54">
        <v>0</v>
      </c>
      <c r="Y35" s="58">
        <f t="shared" si="1"/>
        <v>0</v>
      </c>
      <c r="Z35" s="1">
        <f t="shared" si="2"/>
        <v>0</v>
      </c>
      <c r="AA35" s="1">
        <f t="shared" si="12"/>
        <v>0</v>
      </c>
    </row>
    <row r="36" spans="1:29" x14ac:dyDescent="0.25">
      <c r="A36" s="30" t="s">
        <v>60</v>
      </c>
      <c r="B36" s="31" t="s">
        <v>13</v>
      </c>
      <c r="C36" s="32" t="s">
        <v>61</v>
      </c>
      <c r="D36" s="31" t="s">
        <v>75</v>
      </c>
      <c r="E36" s="72">
        <v>0.1</v>
      </c>
      <c r="F36" s="51">
        <f>F21*0.9</f>
        <v>4725</v>
      </c>
      <c r="G36" s="73"/>
      <c r="H36" s="51">
        <f>H21</f>
        <v>1975.6799999999998</v>
      </c>
      <c r="I36" s="51">
        <f>I21*0.9</f>
        <v>3704.4</v>
      </c>
      <c r="J36" s="51">
        <f>J21*0.3</f>
        <v>1170</v>
      </c>
      <c r="K36" s="51">
        <f>K21*0.8</f>
        <v>2400</v>
      </c>
      <c r="L36" s="52">
        <v>0</v>
      </c>
      <c r="M36" s="73">
        <f>M21*0.1</f>
        <v>550</v>
      </c>
      <c r="N36" s="73">
        <v>0</v>
      </c>
      <c r="O36" s="73">
        <v>0</v>
      </c>
      <c r="P36" s="73">
        <v>0</v>
      </c>
      <c r="Q36" s="73"/>
      <c r="R36" s="73"/>
      <c r="S36" s="51"/>
      <c r="T36" s="51"/>
      <c r="U36" s="51"/>
      <c r="V36" s="51"/>
      <c r="W36" s="51">
        <f>W21</f>
        <v>137.5</v>
      </c>
      <c r="X36" s="55">
        <f>X66*0.1</f>
        <v>300</v>
      </c>
      <c r="Y36" s="108">
        <f t="shared" si="1"/>
        <v>13975.08</v>
      </c>
      <c r="Z36" s="73">
        <f t="shared" si="2"/>
        <v>987.5</v>
      </c>
      <c r="AA36" s="73">
        <f t="shared" si="12"/>
        <v>14962.58</v>
      </c>
      <c r="AB36">
        <f>AA36/AA$10</f>
        <v>7.7891196326906914E-2</v>
      </c>
      <c r="AC36" s="71"/>
    </row>
    <row r="37" spans="1:29" x14ac:dyDescent="0.25">
      <c r="A37" s="30" t="s">
        <v>60</v>
      </c>
      <c r="B37" s="31" t="s">
        <v>13</v>
      </c>
      <c r="C37" s="32" t="s">
        <v>61</v>
      </c>
      <c r="D37" s="31" t="s">
        <v>76</v>
      </c>
      <c r="E37" s="72">
        <v>0.64</v>
      </c>
      <c r="F37" s="51">
        <f>F21*0.1</f>
        <v>525</v>
      </c>
      <c r="G37" s="51">
        <v>0</v>
      </c>
      <c r="H37" s="51">
        <v>0</v>
      </c>
      <c r="I37" s="51">
        <f>I21*0.05</f>
        <v>205.8</v>
      </c>
      <c r="J37" s="51">
        <f>J21*0.7</f>
        <v>2730</v>
      </c>
      <c r="K37" s="51">
        <f>K21*0.05</f>
        <v>150</v>
      </c>
      <c r="L37" s="52">
        <v>0</v>
      </c>
      <c r="M37" s="73">
        <f>M21*0.5</f>
        <v>2750</v>
      </c>
      <c r="N37" s="73">
        <f>N21</f>
        <v>2200</v>
      </c>
      <c r="O37" s="73">
        <f>O21*0.5</f>
        <v>3105</v>
      </c>
      <c r="P37" s="73">
        <f>P21*0.44</f>
        <v>22000</v>
      </c>
      <c r="Q37" s="73"/>
      <c r="R37" s="73">
        <f>R21</f>
        <v>3666.666666666667</v>
      </c>
      <c r="S37" s="51"/>
      <c r="T37" s="51"/>
      <c r="U37" s="51"/>
      <c r="V37" s="51"/>
      <c r="W37" s="51"/>
      <c r="X37" s="55">
        <f>X66*0.1</f>
        <v>300</v>
      </c>
      <c r="Y37" s="108">
        <f t="shared" si="1"/>
        <v>3610.8</v>
      </c>
      <c r="Z37" s="73">
        <f t="shared" si="2"/>
        <v>34021.666666666664</v>
      </c>
      <c r="AA37" s="73">
        <f t="shared" si="12"/>
        <v>37632.466666666667</v>
      </c>
      <c r="AB37">
        <f t="shared" ref="AB37:AB44" si="13">AA37/AA$10</f>
        <v>0.19590457323530525</v>
      </c>
      <c r="AC37" s="71"/>
    </row>
    <row r="38" spans="1:29" x14ac:dyDescent="0.25">
      <c r="A38" s="30" t="s">
        <v>60</v>
      </c>
      <c r="B38" s="31" t="s">
        <v>13</v>
      </c>
      <c r="C38" s="32" t="s">
        <v>61</v>
      </c>
      <c r="D38" s="31" t="s">
        <v>77</v>
      </c>
      <c r="E38" s="72">
        <v>0.21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f>K21*0.1</f>
        <v>300</v>
      </c>
      <c r="L38" s="52">
        <v>0</v>
      </c>
      <c r="M38" s="73">
        <f>M21*0.4</f>
        <v>2200</v>
      </c>
      <c r="N38" s="73">
        <v>0</v>
      </c>
      <c r="O38" s="73">
        <f>O21*0.5</f>
        <v>3105</v>
      </c>
      <c r="P38" s="73">
        <f>P21*0.55</f>
        <v>27500.000000000004</v>
      </c>
      <c r="Q38" s="73"/>
      <c r="R38" s="73"/>
      <c r="S38" s="51"/>
      <c r="T38" s="51">
        <f>T21</f>
        <v>1142.8571428571429</v>
      </c>
      <c r="U38" s="51">
        <f>U21</f>
        <v>2045.4545454545455</v>
      </c>
      <c r="V38" s="51"/>
      <c r="W38" s="51"/>
      <c r="X38" s="55">
        <f>X66*0.7</f>
        <v>2100</v>
      </c>
      <c r="Y38" s="108">
        <f t="shared" si="1"/>
        <v>300</v>
      </c>
      <c r="Z38" s="73">
        <f t="shared" si="2"/>
        <v>38093.311688311689</v>
      </c>
      <c r="AA38" s="73">
        <f t="shared" si="12"/>
        <v>38393.311688311689</v>
      </c>
      <c r="AB38">
        <f t="shared" si="13"/>
        <v>0.19986532926503423</v>
      </c>
      <c r="AC38" s="71"/>
    </row>
    <row r="39" spans="1:29" x14ac:dyDescent="0.25">
      <c r="A39" s="30" t="s">
        <v>60</v>
      </c>
      <c r="B39" s="31" t="s">
        <v>13</v>
      </c>
      <c r="C39" s="32" t="s">
        <v>61</v>
      </c>
      <c r="D39" s="31" t="s">
        <v>78</v>
      </c>
      <c r="E39" s="72">
        <v>0.04</v>
      </c>
      <c r="F39" s="51">
        <v>0</v>
      </c>
      <c r="G39" s="51">
        <v>0</v>
      </c>
      <c r="H39" s="51">
        <v>0</v>
      </c>
      <c r="I39" s="51">
        <f>I21*0.05</f>
        <v>205.8</v>
      </c>
      <c r="J39" s="51">
        <v>0</v>
      </c>
      <c r="K39" s="51">
        <f>K21*0.05</f>
        <v>150</v>
      </c>
      <c r="L39" s="52">
        <v>0</v>
      </c>
      <c r="M39" s="73">
        <f>M21*0</f>
        <v>0</v>
      </c>
      <c r="N39" s="73">
        <v>0</v>
      </c>
      <c r="O39" s="73">
        <f>O21*0</f>
        <v>0</v>
      </c>
      <c r="P39" s="73">
        <f>(P21)*0.01</f>
        <v>500</v>
      </c>
      <c r="Q39" s="73">
        <f>Q21</f>
        <v>4000</v>
      </c>
      <c r="R39" s="73"/>
      <c r="S39" s="51"/>
      <c r="T39" s="51"/>
      <c r="U39" s="51"/>
      <c r="V39" s="51"/>
      <c r="W39" s="51"/>
      <c r="X39" s="55">
        <f>X21*0.1</f>
        <v>857.14285714285734</v>
      </c>
      <c r="Y39" s="108">
        <f t="shared" si="1"/>
        <v>355.8</v>
      </c>
      <c r="Z39" s="73">
        <f t="shared" si="2"/>
        <v>5357.1428571428569</v>
      </c>
      <c r="AA39" s="73">
        <f t="shared" si="12"/>
        <v>5712.9428571428571</v>
      </c>
      <c r="AB39">
        <f t="shared" si="13"/>
        <v>2.9740055103472451E-2</v>
      </c>
      <c r="AC39" s="71"/>
    </row>
    <row r="40" spans="1:29" ht="15.75" thickBot="1" x14ac:dyDescent="0.3">
      <c r="A40" s="33" t="s">
        <v>60</v>
      </c>
      <c r="B40" s="34" t="s">
        <v>13</v>
      </c>
      <c r="C40" s="35" t="s">
        <v>61</v>
      </c>
      <c r="D40" s="34" t="s">
        <v>79</v>
      </c>
      <c r="E40" s="43"/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2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  <c r="V40" s="51">
        <v>0</v>
      </c>
      <c r="W40" s="51">
        <v>0</v>
      </c>
      <c r="X40" s="55">
        <v>0</v>
      </c>
      <c r="Y40" s="108">
        <f t="shared" si="1"/>
        <v>0</v>
      </c>
      <c r="Z40" s="73">
        <f t="shared" si="2"/>
        <v>0</v>
      </c>
      <c r="AA40" s="73">
        <f t="shared" si="12"/>
        <v>0</v>
      </c>
      <c r="AB40">
        <f t="shared" si="13"/>
        <v>0</v>
      </c>
    </row>
    <row r="41" spans="1:29" x14ac:dyDescent="0.25">
      <c r="A41" s="30" t="s">
        <v>60</v>
      </c>
      <c r="B41" s="31" t="s">
        <v>13</v>
      </c>
      <c r="C41" s="32" t="s">
        <v>62</v>
      </c>
      <c r="D41" s="31" t="s">
        <v>75</v>
      </c>
      <c r="E41" s="43"/>
      <c r="F41" s="51"/>
      <c r="G41" s="73">
        <f>G22</f>
        <v>3480</v>
      </c>
      <c r="H41" s="51">
        <f>H22*0.4</f>
        <v>3600.1280000000002</v>
      </c>
      <c r="I41" s="51">
        <v>0</v>
      </c>
      <c r="J41" s="51">
        <v>0</v>
      </c>
      <c r="K41" s="51">
        <v>0</v>
      </c>
      <c r="L41" s="52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  <c r="R41" s="51">
        <v>0</v>
      </c>
      <c r="S41" s="51">
        <v>0</v>
      </c>
      <c r="T41" s="51">
        <v>0</v>
      </c>
      <c r="U41" s="51">
        <v>0</v>
      </c>
      <c r="V41" s="51">
        <v>0</v>
      </c>
      <c r="W41" s="51">
        <v>0</v>
      </c>
      <c r="X41" s="55">
        <v>0</v>
      </c>
      <c r="Y41" s="108">
        <f t="shared" si="1"/>
        <v>7080.1280000000006</v>
      </c>
      <c r="Z41" s="73">
        <f t="shared" si="2"/>
        <v>0</v>
      </c>
      <c r="AA41" s="73">
        <f t="shared" si="12"/>
        <v>7080.1280000000006</v>
      </c>
      <c r="AB41">
        <f t="shared" si="13"/>
        <v>3.6857255905574496E-2</v>
      </c>
    </row>
    <row r="42" spans="1:29" x14ac:dyDescent="0.25">
      <c r="A42" s="30" t="s">
        <v>60</v>
      </c>
      <c r="B42" s="31" t="s">
        <v>13</v>
      </c>
      <c r="C42" s="32" t="s">
        <v>62</v>
      </c>
      <c r="D42" s="31" t="s">
        <v>76</v>
      </c>
      <c r="E42" s="43"/>
      <c r="F42" s="51">
        <f>F22</f>
        <v>2250</v>
      </c>
      <c r="G42" s="51">
        <f>G22*0</f>
        <v>0</v>
      </c>
      <c r="H42" s="51">
        <f>H22*0.6</f>
        <v>5400.192</v>
      </c>
      <c r="I42" s="51">
        <v>0</v>
      </c>
      <c r="J42" s="51">
        <v>0</v>
      </c>
      <c r="K42" s="51">
        <v>0</v>
      </c>
      <c r="L42" s="52">
        <v>0</v>
      </c>
      <c r="M42" s="51">
        <v>0</v>
      </c>
      <c r="N42" s="51">
        <v>0</v>
      </c>
      <c r="O42" s="51">
        <v>0</v>
      </c>
      <c r="P42" s="51">
        <f>P22</f>
        <v>75600</v>
      </c>
      <c r="Q42" s="51">
        <v>0</v>
      </c>
      <c r="R42" s="51">
        <v>0</v>
      </c>
      <c r="S42" s="51">
        <v>0</v>
      </c>
      <c r="T42" s="51">
        <v>0</v>
      </c>
      <c r="U42" s="51">
        <v>0</v>
      </c>
      <c r="V42" s="51">
        <v>0</v>
      </c>
      <c r="W42" s="51">
        <v>0</v>
      </c>
      <c r="X42" s="55">
        <v>0</v>
      </c>
      <c r="Y42" s="108">
        <f t="shared" si="1"/>
        <v>7650.192</v>
      </c>
      <c r="Z42" s="73">
        <f t="shared" si="2"/>
        <v>75600</v>
      </c>
      <c r="AA42" s="73">
        <f t="shared" si="12"/>
        <v>83250.191999999995</v>
      </c>
      <c r="AB42">
        <f t="shared" si="13"/>
        <v>0.43337827094823855</v>
      </c>
    </row>
    <row r="43" spans="1:29" x14ac:dyDescent="0.25">
      <c r="A43" s="30" t="s">
        <v>60</v>
      </c>
      <c r="B43" s="31" t="s">
        <v>13</v>
      </c>
      <c r="C43" s="32" t="s">
        <v>62</v>
      </c>
      <c r="D43" s="31" t="s">
        <v>77</v>
      </c>
      <c r="E43" s="43"/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2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  <c r="R43" s="51">
        <v>0</v>
      </c>
      <c r="S43" s="51">
        <v>0</v>
      </c>
      <c r="T43" s="51">
        <v>0</v>
      </c>
      <c r="U43" s="51">
        <v>0</v>
      </c>
      <c r="V43" s="51">
        <v>0</v>
      </c>
      <c r="W43" s="51">
        <v>0</v>
      </c>
      <c r="X43" s="55">
        <v>0</v>
      </c>
      <c r="Y43" s="59">
        <f t="shared" si="1"/>
        <v>0</v>
      </c>
      <c r="Z43" s="51">
        <f t="shared" si="2"/>
        <v>0</v>
      </c>
      <c r="AA43" s="51">
        <f t="shared" si="12"/>
        <v>0</v>
      </c>
      <c r="AB43">
        <f t="shared" si="13"/>
        <v>0</v>
      </c>
    </row>
    <row r="44" spans="1:29" x14ac:dyDescent="0.25">
      <c r="A44" s="30" t="s">
        <v>60</v>
      </c>
      <c r="B44" s="31" t="s">
        <v>13</v>
      </c>
      <c r="C44" s="32" t="s">
        <v>62</v>
      </c>
      <c r="D44" s="31" t="s">
        <v>78</v>
      </c>
      <c r="E44" s="43"/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2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  <c r="R44" s="51">
        <v>0</v>
      </c>
      <c r="S44" s="51">
        <v>0</v>
      </c>
      <c r="T44" s="51">
        <v>0</v>
      </c>
      <c r="U44" s="51">
        <v>0</v>
      </c>
      <c r="V44" s="51">
        <v>0</v>
      </c>
      <c r="W44" s="51">
        <v>0</v>
      </c>
      <c r="X44" s="55">
        <v>0</v>
      </c>
      <c r="Y44" s="59">
        <f t="shared" si="1"/>
        <v>0</v>
      </c>
      <c r="Z44" s="51">
        <f t="shared" si="2"/>
        <v>0</v>
      </c>
      <c r="AA44" s="51">
        <f t="shared" si="12"/>
        <v>0</v>
      </c>
      <c r="AB44">
        <f t="shared" si="13"/>
        <v>0</v>
      </c>
    </row>
    <row r="45" spans="1:29" ht="15.75" thickBot="1" x14ac:dyDescent="0.3">
      <c r="A45" s="33" t="s">
        <v>60</v>
      </c>
      <c r="B45" s="34" t="s">
        <v>13</v>
      </c>
      <c r="C45" s="32" t="s">
        <v>62</v>
      </c>
      <c r="D45" s="34" t="s">
        <v>79</v>
      </c>
      <c r="E45" s="43"/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2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  <c r="R45" s="51">
        <v>0</v>
      </c>
      <c r="S45" s="51">
        <v>0</v>
      </c>
      <c r="T45" s="51">
        <v>0</v>
      </c>
      <c r="U45" s="51">
        <v>0</v>
      </c>
      <c r="V45" s="51">
        <v>0</v>
      </c>
      <c r="W45" s="51">
        <v>0</v>
      </c>
      <c r="X45" s="55">
        <v>0</v>
      </c>
      <c r="Y45" s="59">
        <f t="shared" si="1"/>
        <v>0</v>
      </c>
      <c r="Z45" s="51">
        <f t="shared" si="2"/>
        <v>0</v>
      </c>
      <c r="AA45" s="51">
        <f t="shared" si="12"/>
        <v>0</v>
      </c>
      <c r="AC45">
        <f>0.8/2.5*2</f>
        <v>0.64</v>
      </c>
    </row>
    <row r="47" spans="1:29" x14ac:dyDescent="0.25">
      <c r="D47" s="41" t="s">
        <v>18</v>
      </c>
      <c r="E47" s="41"/>
      <c r="K47">
        <f>1900/27000</f>
        <v>7.0370370370370375E-2</v>
      </c>
      <c r="M47" s="24" t="s">
        <v>81</v>
      </c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  <row r="48" spans="1:29" x14ac:dyDescent="0.25">
      <c r="F48" s="23" t="s">
        <v>44</v>
      </c>
      <c r="G48" s="23"/>
      <c r="H48" s="23"/>
      <c r="I48" s="23"/>
      <c r="J48" s="23"/>
      <c r="K48" s="23"/>
      <c r="L48" s="7" t="s">
        <v>30</v>
      </c>
      <c r="M48" s="24" t="s">
        <v>46</v>
      </c>
      <c r="N48" s="24"/>
      <c r="O48" s="24"/>
      <c r="P48" s="24"/>
      <c r="Q48" s="24"/>
      <c r="R48" s="24" t="s">
        <v>47</v>
      </c>
      <c r="S48" s="24"/>
      <c r="T48" s="24"/>
      <c r="U48" s="24"/>
      <c r="V48" s="24"/>
      <c r="W48" s="24"/>
      <c r="X48" s="24"/>
      <c r="Y48" s="44" t="s">
        <v>85</v>
      </c>
      <c r="Z48" s="44" t="s">
        <v>48</v>
      </c>
      <c r="AA48" s="44" t="s">
        <v>3</v>
      </c>
    </row>
    <row r="49" spans="1:34" ht="63" x14ac:dyDescent="0.25">
      <c r="F49" s="38" t="s">
        <v>36</v>
      </c>
      <c r="G49" s="38" t="s">
        <v>37</v>
      </c>
      <c r="H49" s="38" t="s">
        <v>38</v>
      </c>
      <c r="I49" s="38" t="s">
        <v>80</v>
      </c>
      <c r="J49" s="38" t="s">
        <v>39</v>
      </c>
      <c r="K49" s="38" t="s">
        <v>45</v>
      </c>
      <c r="L49" s="39" t="s">
        <v>16</v>
      </c>
      <c r="M49" s="40" t="s">
        <v>34</v>
      </c>
      <c r="N49" s="40" t="s">
        <v>5</v>
      </c>
      <c r="O49" s="40" t="s">
        <v>7</v>
      </c>
      <c r="P49" s="40" t="s">
        <v>8</v>
      </c>
      <c r="Q49" s="40" t="s">
        <v>40</v>
      </c>
      <c r="R49" s="40" t="s">
        <v>41</v>
      </c>
      <c r="S49" s="40" t="s">
        <v>42</v>
      </c>
      <c r="T49" s="40" t="s">
        <v>31</v>
      </c>
      <c r="U49" s="40" t="s">
        <v>125</v>
      </c>
      <c r="V49" s="40" t="s">
        <v>82</v>
      </c>
      <c r="W49" s="40" t="s">
        <v>87</v>
      </c>
      <c r="X49" s="40" t="s">
        <v>83</v>
      </c>
      <c r="Y49" s="45" t="s">
        <v>3</v>
      </c>
      <c r="Z49" s="45" t="s">
        <v>3</v>
      </c>
      <c r="AA49" s="45" t="s">
        <v>3</v>
      </c>
      <c r="AG49" s="6">
        <v>2019</v>
      </c>
      <c r="AH49" s="6"/>
    </row>
    <row r="50" spans="1:34" x14ac:dyDescent="0.25">
      <c r="A50" s="15" t="s">
        <v>51</v>
      </c>
      <c r="B50" s="2"/>
      <c r="C50" s="2"/>
      <c r="F50" s="1">
        <f t="shared" ref="F50:X50" si="14">F52+F53+F54</f>
        <v>0</v>
      </c>
      <c r="G50" s="1">
        <f t="shared" si="14"/>
        <v>0</v>
      </c>
      <c r="H50" s="1">
        <f t="shared" si="14"/>
        <v>0</v>
      </c>
      <c r="I50" s="1">
        <f t="shared" si="14"/>
        <v>0</v>
      </c>
      <c r="J50" s="1">
        <f t="shared" si="14"/>
        <v>0</v>
      </c>
      <c r="K50" s="1">
        <f t="shared" si="14"/>
        <v>14000</v>
      </c>
      <c r="L50" s="52">
        <f t="shared" si="14"/>
        <v>0</v>
      </c>
      <c r="M50" s="1">
        <f t="shared" si="14"/>
        <v>0</v>
      </c>
      <c r="N50" s="1">
        <f t="shared" si="14"/>
        <v>0</v>
      </c>
      <c r="O50" s="1">
        <f t="shared" si="14"/>
        <v>0</v>
      </c>
      <c r="P50" s="1">
        <f t="shared" si="14"/>
        <v>0</v>
      </c>
      <c r="Q50" s="1">
        <f t="shared" si="14"/>
        <v>0</v>
      </c>
      <c r="R50" s="1">
        <f t="shared" si="14"/>
        <v>0</v>
      </c>
      <c r="S50" s="1">
        <f t="shared" si="14"/>
        <v>0</v>
      </c>
      <c r="T50" s="1">
        <f t="shared" si="14"/>
        <v>0</v>
      </c>
      <c r="U50" s="1">
        <f t="shared" si="14"/>
        <v>0</v>
      </c>
      <c r="V50" s="1">
        <f t="shared" si="14"/>
        <v>0</v>
      </c>
      <c r="W50" s="1">
        <f t="shared" si="14"/>
        <v>0</v>
      </c>
      <c r="X50" s="1">
        <f t="shared" si="14"/>
        <v>0</v>
      </c>
      <c r="Y50" s="58">
        <f t="shared" ref="Y50:Y90" si="15">SUM(F50:K50)</f>
        <v>14000</v>
      </c>
      <c r="Z50" s="1">
        <f t="shared" ref="Z50:Z90" si="16">SUM(M50:X50)</f>
        <v>0</v>
      </c>
      <c r="AA50" s="1">
        <f t="shared" ref="AA50:AA56" si="17">L50+Y50+Z50</f>
        <v>14000</v>
      </c>
      <c r="AB50" s="44" t="s">
        <v>85</v>
      </c>
      <c r="AC50" s="44" t="s">
        <v>48</v>
      </c>
      <c r="AD50" t="s">
        <v>30</v>
      </c>
      <c r="AG50" s="6" t="s">
        <v>51</v>
      </c>
      <c r="AH50" s="6">
        <v>14400</v>
      </c>
    </row>
    <row r="51" spans="1:34" x14ac:dyDescent="0.25">
      <c r="A51" s="30" t="s">
        <v>60</v>
      </c>
      <c r="B51" s="2"/>
      <c r="C51" s="2"/>
      <c r="F51" s="1">
        <f>F55+F56+F57+F58</f>
        <v>1505.7328400000001</v>
      </c>
      <c r="G51" s="1">
        <f t="shared" ref="G51:X51" si="18">G55+G56+G57+G58</f>
        <v>837.59633363886337</v>
      </c>
      <c r="H51" s="1">
        <f t="shared" si="18"/>
        <v>2879.25</v>
      </c>
      <c r="I51" s="1">
        <f t="shared" si="18"/>
        <v>776</v>
      </c>
      <c r="J51" s="1">
        <f t="shared" si="18"/>
        <v>1861.7</v>
      </c>
      <c r="K51" s="1">
        <f t="shared" si="18"/>
        <v>635.29999999999995</v>
      </c>
      <c r="L51" s="52">
        <f t="shared" si="18"/>
        <v>23904</v>
      </c>
      <c r="M51" s="1">
        <f t="shared" si="18"/>
        <v>3260</v>
      </c>
      <c r="N51" s="1">
        <f t="shared" si="18"/>
        <v>1480</v>
      </c>
      <c r="O51" s="1">
        <f t="shared" si="18"/>
        <v>1800</v>
      </c>
      <c r="P51" s="1">
        <f t="shared" si="18"/>
        <v>16500</v>
      </c>
      <c r="Q51" s="1">
        <f>Q55+Q56+Q57+Q58</f>
        <v>7122.84</v>
      </c>
      <c r="R51" s="1">
        <f t="shared" si="18"/>
        <v>3049.2200000000003</v>
      </c>
      <c r="S51" s="1">
        <f t="shared" si="18"/>
        <v>60</v>
      </c>
      <c r="T51" s="1">
        <f t="shared" si="18"/>
        <v>2267.92</v>
      </c>
      <c r="U51" s="1">
        <f t="shared" si="18"/>
        <v>1899.6000000000004</v>
      </c>
      <c r="V51" s="1">
        <f t="shared" si="18"/>
        <v>1135</v>
      </c>
      <c r="W51" s="1">
        <f t="shared" si="18"/>
        <v>530</v>
      </c>
      <c r="X51" s="54">
        <f t="shared" si="18"/>
        <v>3925</v>
      </c>
      <c r="Y51" s="58">
        <f t="shared" si="15"/>
        <v>8495.5791736388637</v>
      </c>
      <c r="Z51" s="1">
        <f t="shared" si="16"/>
        <v>43029.579999999994</v>
      </c>
      <c r="AA51" s="1">
        <f>L51+Y51+Z51</f>
        <v>75429.159173638851</v>
      </c>
      <c r="AB51" s="220"/>
      <c r="AC51" s="215"/>
      <c r="AD51" s="6"/>
      <c r="AG51" s="6" t="s">
        <v>371</v>
      </c>
      <c r="AH51" s="6">
        <v>86000</v>
      </c>
    </row>
    <row r="52" spans="1:34" x14ac:dyDescent="0.25">
      <c r="A52" s="15" t="s">
        <v>51</v>
      </c>
      <c r="B52" s="16" t="s">
        <v>52</v>
      </c>
      <c r="C52" s="2"/>
      <c r="F52" s="1">
        <f>F59+F60+F61</f>
        <v>0</v>
      </c>
      <c r="G52" s="1">
        <f t="shared" ref="G52:X52" si="19">G59+G60+G61</f>
        <v>0</v>
      </c>
      <c r="H52" s="1">
        <f t="shared" si="19"/>
        <v>0</v>
      </c>
      <c r="I52" s="1">
        <f t="shared" si="19"/>
        <v>0</v>
      </c>
      <c r="J52" s="1">
        <f t="shared" si="19"/>
        <v>0</v>
      </c>
      <c r="K52" s="1">
        <f t="shared" si="19"/>
        <v>14000</v>
      </c>
      <c r="L52" s="52">
        <f t="shared" si="19"/>
        <v>0</v>
      </c>
      <c r="M52" s="1">
        <f t="shared" si="19"/>
        <v>0</v>
      </c>
      <c r="N52" s="1">
        <f t="shared" si="19"/>
        <v>0</v>
      </c>
      <c r="O52" s="1">
        <f t="shared" si="19"/>
        <v>0</v>
      </c>
      <c r="P52" s="1">
        <f t="shared" si="19"/>
        <v>0</v>
      </c>
      <c r="Q52" s="1">
        <f t="shared" si="19"/>
        <v>0</v>
      </c>
      <c r="R52" s="1">
        <f t="shared" si="19"/>
        <v>0</v>
      </c>
      <c r="S52" s="1">
        <f t="shared" si="19"/>
        <v>0</v>
      </c>
      <c r="T52" s="1">
        <f t="shared" si="19"/>
        <v>0</v>
      </c>
      <c r="U52" s="1">
        <f t="shared" si="19"/>
        <v>0</v>
      </c>
      <c r="V52" s="1">
        <f t="shared" si="19"/>
        <v>0</v>
      </c>
      <c r="W52" s="1">
        <f t="shared" si="19"/>
        <v>0</v>
      </c>
      <c r="X52" s="54">
        <f t="shared" si="19"/>
        <v>0</v>
      </c>
      <c r="Y52" s="58">
        <f t="shared" si="15"/>
        <v>14000</v>
      </c>
      <c r="Z52" s="1">
        <f t="shared" si="16"/>
        <v>0</v>
      </c>
      <c r="AA52" s="1">
        <f t="shared" si="17"/>
        <v>14000</v>
      </c>
      <c r="AB52" s="10" t="s">
        <v>88</v>
      </c>
    </row>
    <row r="53" spans="1:34" x14ac:dyDescent="0.25">
      <c r="A53" s="15" t="s">
        <v>51</v>
      </c>
      <c r="B53" s="16" t="s">
        <v>56</v>
      </c>
      <c r="C53" s="2"/>
      <c r="F53" s="1">
        <f>F62+F63+F64</f>
        <v>0</v>
      </c>
      <c r="G53" s="1">
        <f t="shared" ref="G53:X53" si="20">G62+G63+G64</f>
        <v>0</v>
      </c>
      <c r="H53" s="1">
        <f t="shared" si="20"/>
        <v>0</v>
      </c>
      <c r="I53" s="1">
        <f t="shared" si="20"/>
        <v>0</v>
      </c>
      <c r="J53" s="1">
        <f t="shared" si="20"/>
        <v>0</v>
      </c>
      <c r="K53" s="1">
        <f t="shared" si="20"/>
        <v>0</v>
      </c>
      <c r="L53" s="52">
        <f t="shared" si="20"/>
        <v>0</v>
      </c>
      <c r="M53" s="1">
        <f t="shared" si="20"/>
        <v>0</v>
      </c>
      <c r="N53" s="1">
        <f t="shared" si="20"/>
        <v>0</v>
      </c>
      <c r="O53" s="1">
        <f t="shared" si="20"/>
        <v>0</v>
      </c>
      <c r="P53" s="1">
        <f t="shared" si="20"/>
        <v>0</v>
      </c>
      <c r="Q53" s="1">
        <f t="shared" si="20"/>
        <v>0</v>
      </c>
      <c r="R53" s="1">
        <f t="shared" si="20"/>
        <v>0</v>
      </c>
      <c r="S53" s="1">
        <f t="shared" si="20"/>
        <v>0</v>
      </c>
      <c r="T53" s="1">
        <f t="shared" si="20"/>
        <v>0</v>
      </c>
      <c r="U53" s="1">
        <f t="shared" si="20"/>
        <v>0</v>
      </c>
      <c r="V53" s="1">
        <f t="shared" si="20"/>
        <v>0</v>
      </c>
      <c r="W53" s="1">
        <f t="shared" si="20"/>
        <v>0</v>
      </c>
      <c r="X53" s="54">
        <f t="shared" si="20"/>
        <v>0</v>
      </c>
      <c r="Y53" s="58">
        <f t="shared" si="15"/>
        <v>0</v>
      </c>
      <c r="Z53" s="1">
        <f t="shared" si="16"/>
        <v>0</v>
      </c>
      <c r="AA53" s="1">
        <f t="shared" si="17"/>
        <v>0</v>
      </c>
      <c r="AB53" t="s">
        <v>97</v>
      </c>
    </row>
    <row r="54" spans="1:34" x14ac:dyDescent="0.25">
      <c r="A54" s="15" t="s">
        <v>51</v>
      </c>
      <c r="B54" s="16" t="s">
        <v>9</v>
      </c>
      <c r="C54" s="2"/>
      <c r="F54" s="1">
        <f>F65</f>
        <v>0</v>
      </c>
      <c r="G54" s="1">
        <f t="shared" ref="G54:X54" si="21">G65</f>
        <v>0</v>
      </c>
      <c r="H54" s="1">
        <f t="shared" si="21"/>
        <v>0</v>
      </c>
      <c r="I54" s="1">
        <f t="shared" si="21"/>
        <v>0</v>
      </c>
      <c r="J54" s="1">
        <f t="shared" si="21"/>
        <v>0</v>
      </c>
      <c r="K54" s="1">
        <f t="shared" si="21"/>
        <v>0</v>
      </c>
      <c r="L54" s="52">
        <f t="shared" si="21"/>
        <v>0</v>
      </c>
      <c r="M54" s="1">
        <f t="shared" si="21"/>
        <v>0</v>
      </c>
      <c r="N54" s="1">
        <f t="shared" si="21"/>
        <v>0</v>
      </c>
      <c r="O54" s="1">
        <f t="shared" si="21"/>
        <v>0</v>
      </c>
      <c r="P54" s="1">
        <f t="shared" si="21"/>
        <v>0</v>
      </c>
      <c r="Q54" s="1">
        <f t="shared" si="21"/>
        <v>0</v>
      </c>
      <c r="R54" s="1">
        <f t="shared" si="21"/>
        <v>0</v>
      </c>
      <c r="S54" s="1">
        <f t="shared" si="21"/>
        <v>0</v>
      </c>
      <c r="T54" s="1">
        <f t="shared" si="21"/>
        <v>0</v>
      </c>
      <c r="U54" s="1">
        <f t="shared" si="21"/>
        <v>0</v>
      </c>
      <c r="V54" s="1">
        <f t="shared" si="21"/>
        <v>0</v>
      </c>
      <c r="W54" s="1">
        <f t="shared" si="21"/>
        <v>0</v>
      </c>
      <c r="X54" s="54">
        <f t="shared" si="21"/>
        <v>0</v>
      </c>
      <c r="Y54" s="58">
        <f t="shared" si="15"/>
        <v>0</v>
      </c>
      <c r="Z54" s="1">
        <f t="shared" si="16"/>
        <v>0</v>
      </c>
      <c r="AA54" s="1">
        <f t="shared" si="17"/>
        <v>0</v>
      </c>
    </row>
    <row r="55" spans="1:34" x14ac:dyDescent="0.25">
      <c r="A55" s="30" t="s">
        <v>60</v>
      </c>
      <c r="B55" s="32" t="s">
        <v>13</v>
      </c>
      <c r="C55" s="2"/>
      <c r="F55" s="51">
        <f>F66+F67+F68</f>
        <v>1505.7328400000001</v>
      </c>
      <c r="G55" s="51">
        <f t="shared" ref="G55:X55" si="22">G66+G67+G68</f>
        <v>837.59633363886337</v>
      </c>
      <c r="H55" s="51">
        <f t="shared" si="22"/>
        <v>2879.25</v>
      </c>
      <c r="I55" s="51">
        <f t="shared" si="22"/>
        <v>776</v>
      </c>
      <c r="J55" s="51">
        <f t="shared" si="22"/>
        <v>1000</v>
      </c>
      <c r="K55" s="51">
        <f t="shared" si="22"/>
        <v>437</v>
      </c>
      <c r="L55" s="52">
        <f t="shared" si="22"/>
        <v>0</v>
      </c>
      <c r="M55" s="51">
        <f t="shared" si="22"/>
        <v>1600</v>
      </c>
      <c r="N55" s="51">
        <f t="shared" si="22"/>
        <v>630</v>
      </c>
      <c r="O55" s="51">
        <f t="shared" si="22"/>
        <v>1800</v>
      </c>
      <c r="P55" s="51">
        <f t="shared" si="22"/>
        <v>16500</v>
      </c>
      <c r="Q55" s="51">
        <f t="shared" si="22"/>
        <v>1200</v>
      </c>
      <c r="R55" s="51">
        <f t="shared" si="22"/>
        <v>1100</v>
      </c>
      <c r="S55" s="51">
        <f t="shared" si="22"/>
        <v>0</v>
      </c>
      <c r="T55" s="51">
        <f t="shared" si="22"/>
        <v>400</v>
      </c>
      <c r="U55" s="51">
        <f t="shared" si="22"/>
        <v>900</v>
      </c>
      <c r="V55" s="51">
        <f t="shared" si="22"/>
        <v>60</v>
      </c>
      <c r="W55" s="51">
        <f t="shared" si="22"/>
        <v>110</v>
      </c>
      <c r="X55" s="55">
        <f t="shared" si="22"/>
        <v>3000</v>
      </c>
      <c r="Y55" s="59">
        <f t="shared" si="15"/>
        <v>7435.5791736388637</v>
      </c>
      <c r="Z55" s="51">
        <f t="shared" si="16"/>
        <v>27300</v>
      </c>
      <c r="AA55" s="1">
        <f t="shared" si="17"/>
        <v>34735.579173638864</v>
      </c>
      <c r="AB55" s="215">
        <v>34000</v>
      </c>
    </row>
    <row r="56" spans="1:34" x14ac:dyDescent="0.25">
      <c r="A56" s="30" t="s">
        <v>60</v>
      </c>
      <c r="B56" s="31" t="s">
        <v>23</v>
      </c>
      <c r="C56" s="2"/>
      <c r="F56" s="51">
        <f>F69+F70+F71</f>
        <v>0</v>
      </c>
      <c r="G56" s="51">
        <f t="shared" ref="G56:X56" si="23">G69+G70+G71</f>
        <v>0</v>
      </c>
      <c r="H56" s="51">
        <f t="shared" si="23"/>
        <v>0</v>
      </c>
      <c r="I56" s="51">
        <f t="shared" si="23"/>
        <v>0</v>
      </c>
      <c r="J56" s="51">
        <f t="shared" si="23"/>
        <v>311.7</v>
      </c>
      <c r="K56" s="51">
        <f t="shared" si="23"/>
        <v>198.3</v>
      </c>
      <c r="L56" s="52">
        <f t="shared" si="23"/>
        <v>0</v>
      </c>
      <c r="M56" s="51">
        <f t="shared" si="23"/>
        <v>0</v>
      </c>
      <c r="N56" s="51">
        <f t="shared" si="23"/>
        <v>850</v>
      </c>
      <c r="O56" s="51">
        <f t="shared" si="23"/>
        <v>0</v>
      </c>
      <c r="P56" s="51">
        <f t="shared" si="23"/>
        <v>0</v>
      </c>
      <c r="Q56" s="51">
        <f t="shared" si="23"/>
        <v>0</v>
      </c>
      <c r="R56" s="51">
        <f t="shared" si="23"/>
        <v>0</v>
      </c>
      <c r="S56" s="51">
        <f t="shared" si="23"/>
        <v>60</v>
      </c>
      <c r="T56" s="51">
        <f t="shared" si="23"/>
        <v>240</v>
      </c>
      <c r="U56" s="51">
        <f t="shared" si="23"/>
        <v>0</v>
      </c>
      <c r="V56" s="51">
        <f t="shared" si="23"/>
        <v>0</v>
      </c>
      <c r="W56" s="51">
        <f t="shared" si="23"/>
        <v>0</v>
      </c>
      <c r="X56" s="55">
        <f t="shared" si="23"/>
        <v>90</v>
      </c>
      <c r="Y56" s="59">
        <f t="shared" si="15"/>
        <v>510</v>
      </c>
      <c r="Z56" s="51">
        <f t="shared" si="16"/>
        <v>1240</v>
      </c>
      <c r="AA56" s="51">
        <f t="shared" si="17"/>
        <v>1750</v>
      </c>
      <c r="AB56">
        <f>897*3</f>
        <v>2691</v>
      </c>
    </row>
    <row r="57" spans="1:34" x14ac:dyDescent="0.25">
      <c r="A57" s="30" t="s">
        <v>60</v>
      </c>
      <c r="B57" s="31" t="s">
        <v>65</v>
      </c>
      <c r="C57" s="46"/>
      <c r="F57" s="51">
        <f>F72+F73+F74</f>
        <v>0</v>
      </c>
      <c r="G57" s="51">
        <f t="shared" ref="G57:X57" si="24">G72+G73+G74</f>
        <v>0</v>
      </c>
      <c r="H57" s="51">
        <f t="shared" si="24"/>
        <v>0</v>
      </c>
      <c r="I57" s="51">
        <f t="shared" si="24"/>
        <v>0</v>
      </c>
      <c r="J57" s="51">
        <f t="shared" si="24"/>
        <v>550</v>
      </c>
      <c r="K57" s="51">
        <f t="shared" si="24"/>
        <v>0</v>
      </c>
      <c r="L57" s="52">
        <f t="shared" si="24"/>
        <v>23904</v>
      </c>
      <c r="M57" s="51">
        <f t="shared" si="24"/>
        <v>1660</v>
      </c>
      <c r="N57" s="51">
        <f t="shared" si="24"/>
        <v>0</v>
      </c>
      <c r="O57" s="51">
        <f t="shared" si="24"/>
        <v>0</v>
      </c>
      <c r="P57" s="51">
        <f t="shared" si="24"/>
        <v>0</v>
      </c>
      <c r="Q57" s="51">
        <f t="shared" si="24"/>
        <v>5922.84</v>
      </c>
      <c r="R57" s="51">
        <f t="shared" si="24"/>
        <v>1949.22</v>
      </c>
      <c r="S57" s="51">
        <f t="shared" si="24"/>
        <v>0</v>
      </c>
      <c r="T57" s="51">
        <f t="shared" si="24"/>
        <v>1627.9199999999998</v>
      </c>
      <c r="U57" s="51">
        <f t="shared" si="24"/>
        <v>999.60000000000025</v>
      </c>
      <c r="V57" s="51">
        <f t="shared" si="24"/>
        <v>315</v>
      </c>
      <c r="W57" s="51">
        <f t="shared" si="24"/>
        <v>420</v>
      </c>
      <c r="X57" s="55">
        <f t="shared" si="24"/>
        <v>210</v>
      </c>
      <c r="Y57" s="59">
        <f t="shared" si="15"/>
        <v>550</v>
      </c>
      <c r="Z57" s="51">
        <f t="shared" si="16"/>
        <v>13104.58</v>
      </c>
      <c r="AA57" s="1">
        <f>L57+Y57+Z57</f>
        <v>37558.58</v>
      </c>
      <c r="AB57" s="6">
        <v>38000</v>
      </c>
    </row>
    <row r="58" spans="1:34" ht="15.75" thickBot="1" x14ac:dyDescent="0.3">
      <c r="A58" s="48" t="s">
        <v>60</v>
      </c>
      <c r="B58" s="49" t="s">
        <v>9</v>
      </c>
      <c r="C58" s="50"/>
      <c r="D58" s="50"/>
      <c r="E58" s="50"/>
      <c r="F58" s="53">
        <f>F75</f>
        <v>0</v>
      </c>
      <c r="G58" s="53">
        <f t="shared" ref="G58:X58" si="25">G75</f>
        <v>0</v>
      </c>
      <c r="H58" s="53">
        <f t="shared" si="25"/>
        <v>0</v>
      </c>
      <c r="I58" s="53">
        <f t="shared" si="25"/>
        <v>0</v>
      </c>
      <c r="J58" s="53">
        <f t="shared" si="25"/>
        <v>0</v>
      </c>
      <c r="K58" s="53">
        <f t="shared" si="25"/>
        <v>0</v>
      </c>
      <c r="L58" s="62">
        <f t="shared" si="25"/>
        <v>0</v>
      </c>
      <c r="M58" s="53">
        <f t="shared" si="25"/>
        <v>0</v>
      </c>
      <c r="N58" s="53">
        <f t="shared" si="25"/>
        <v>0</v>
      </c>
      <c r="O58" s="53">
        <f t="shared" si="25"/>
        <v>0</v>
      </c>
      <c r="P58" s="53">
        <f t="shared" si="25"/>
        <v>0</v>
      </c>
      <c r="Q58" s="53">
        <f t="shared" si="25"/>
        <v>0</v>
      </c>
      <c r="R58" s="53">
        <f t="shared" si="25"/>
        <v>0</v>
      </c>
      <c r="S58" s="53">
        <f t="shared" si="25"/>
        <v>0</v>
      </c>
      <c r="T58" s="53">
        <f t="shared" si="25"/>
        <v>0</v>
      </c>
      <c r="U58" s="53">
        <f t="shared" si="25"/>
        <v>0</v>
      </c>
      <c r="V58" s="53">
        <f t="shared" si="25"/>
        <v>760</v>
      </c>
      <c r="W58" s="53">
        <f t="shared" si="25"/>
        <v>0</v>
      </c>
      <c r="X58" s="53">
        <f t="shared" si="25"/>
        <v>625</v>
      </c>
      <c r="Y58" s="60">
        <f t="shared" si="15"/>
        <v>0</v>
      </c>
      <c r="Z58" s="53">
        <f t="shared" si="16"/>
        <v>1385</v>
      </c>
      <c r="AA58" s="104">
        <v>1100</v>
      </c>
    </row>
    <row r="59" spans="1:34" ht="15.75" thickTop="1" x14ac:dyDescent="0.25">
      <c r="A59" s="15" t="s">
        <v>51</v>
      </c>
      <c r="B59" s="16" t="s">
        <v>52</v>
      </c>
      <c r="C59" s="16" t="s">
        <v>53</v>
      </c>
      <c r="D59" s="2"/>
      <c r="E59" s="2"/>
      <c r="F59" s="47"/>
      <c r="G59" s="47"/>
      <c r="H59" s="47"/>
      <c r="I59" s="47"/>
      <c r="J59" s="47"/>
      <c r="K59" s="47">
        <v>4000</v>
      </c>
      <c r="L59" s="6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57"/>
      <c r="Y59" s="61">
        <f t="shared" si="15"/>
        <v>4000</v>
      </c>
      <c r="Z59" s="47">
        <f t="shared" si="16"/>
        <v>0</v>
      </c>
      <c r="AA59" s="47">
        <f t="shared" ref="AA59:AA68" si="26">L59+Y59+Z59</f>
        <v>4000</v>
      </c>
    </row>
    <row r="60" spans="1:34" x14ac:dyDescent="0.25">
      <c r="A60" s="15" t="s">
        <v>51</v>
      </c>
      <c r="B60" s="16" t="s">
        <v>52</v>
      </c>
      <c r="C60" s="16" t="s">
        <v>54</v>
      </c>
      <c r="D60" s="2"/>
      <c r="E60" s="2"/>
      <c r="F60" s="1"/>
      <c r="G60" s="1"/>
      <c r="H60" s="1"/>
      <c r="I60" s="1"/>
      <c r="J60" s="1"/>
      <c r="K60" s="1">
        <v>10000</v>
      </c>
      <c r="L60" s="5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54"/>
      <c r="Y60" s="58">
        <f t="shared" si="15"/>
        <v>10000</v>
      </c>
      <c r="Z60" s="1">
        <f t="shared" si="16"/>
        <v>0</v>
      </c>
      <c r="AA60" s="1">
        <f t="shared" si="26"/>
        <v>10000</v>
      </c>
    </row>
    <row r="61" spans="1:34" x14ac:dyDescent="0.25">
      <c r="A61" s="15" t="s">
        <v>51</v>
      </c>
      <c r="B61" s="16" t="s">
        <v>52</v>
      </c>
      <c r="C61" s="16" t="s">
        <v>55</v>
      </c>
      <c r="D61" s="2"/>
      <c r="E61" s="2"/>
      <c r="F61" s="1"/>
      <c r="G61" s="1"/>
      <c r="H61" s="1"/>
      <c r="I61" s="1"/>
      <c r="J61" s="1"/>
      <c r="K61" s="1"/>
      <c r="L61" s="5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54"/>
      <c r="Y61" s="58">
        <f t="shared" si="15"/>
        <v>0</v>
      </c>
      <c r="Z61" s="1">
        <f t="shared" si="16"/>
        <v>0</v>
      </c>
      <c r="AA61" s="1">
        <f t="shared" si="26"/>
        <v>0</v>
      </c>
    </row>
    <row r="62" spans="1:34" x14ac:dyDescent="0.25">
      <c r="A62" s="25" t="s">
        <v>51</v>
      </c>
      <c r="B62" s="26" t="s">
        <v>56</v>
      </c>
      <c r="C62" s="26" t="s">
        <v>57</v>
      </c>
      <c r="D62" s="2"/>
      <c r="E62" s="2"/>
      <c r="F62" s="1"/>
      <c r="G62" s="1"/>
      <c r="H62" s="1"/>
      <c r="I62" s="1"/>
      <c r="J62" s="1"/>
      <c r="K62" s="1"/>
      <c r="L62" s="5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54"/>
      <c r="Y62" s="58">
        <f t="shared" si="15"/>
        <v>0</v>
      </c>
      <c r="Z62" s="1">
        <f t="shared" si="16"/>
        <v>0</v>
      </c>
      <c r="AA62" s="1">
        <f t="shared" si="26"/>
        <v>0</v>
      </c>
    </row>
    <row r="63" spans="1:34" x14ac:dyDescent="0.25">
      <c r="A63" s="15" t="s">
        <v>51</v>
      </c>
      <c r="B63" s="16" t="s">
        <v>56</v>
      </c>
      <c r="C63" s="27" t="s">
        <v>58</v>
      </c>
      <c r="D63" s="2"/>
      <c r="E63" s="2"/>
      <c r="F63" s="1"/>
      <c r="G63" s="1"/>
      <c r="H63" s="1"/>
      <c r="I63" s="1"/>
      <c r="J63" s="1"/>
      <c r="K63" s="1"/>
      <c r="L63" s="5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54"/>
      <c r="Y63" s="58">
        <f t="shared" si="15"/>
        <v>0</v>
      </c>
      <c r="Z63" s="1">
        <f t="shared" si="16"/>
        <v>0</v>
      </c>
      <c r="AA63" s="1">
        <f t="shared" si="26"/>
        <v>0</v>
      </c>
    </row>
    <row r="64" spans="1:34" x14ac:dyDescent="0.25">
      <c r="A64" s="15" t="s">
        <v>51</v>
      </c>
      <c r="B64" s="16" t="s">
        <v>9</v>
      </c>
      <c r="C64" s="27" t="s">
        <v>59</v>
      </c>
      <c r="D64" s="2"/>
      <c r="E64" s="2"/>
      <c r="F64" s="1"/>
      <c r="G64" s="1"/>
      <c r="H64" s="1"/>
      <c r="I64" s="1"/>
      <c r="J64" s="1"/>
      <c r="K64" s="1"/>
      <c r="L64" s="5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54"/>
      <c r="Y64" s="58">
        <f t="shared" si="15"/>
        <v>0</v>
      </c>
      <c r="Z64" s="1">
        <f t="shared" si="16"/>
        <v>0</v>
      </c>
      <c r="AA64" s="1">
        <f t="shared" si="26"/>
        <v>0</v>
      </c>
      <c r="AE64" s="6" t="s">
        <v>370</v>
      </c>
      <c r="AF64" s="6"/>
    </row>
    <row r="65" spans="1:35" x14ac:dyDescent="0.25">
      <c r="A65" s="15" t="s">
        <v>51</v>
      </c>
      <c r="B65" s="16" t="s">
        <v>9</v>
      </c>
      <c r="C65" s="27" t="s">
        <v>9</v>
      </c>
      <c r="D65" s="2"/>
      <c r="E65" s="2"/>
      <c r="F65" s="1"/>
      <c r="G65" s="1"/>
      <c r="H65" s="1"/>
      <c r="I65" s="1"/>
      <c r="J65" s="1"/>
      <c r="K65" s="1"/>
      <c r="L65" s="5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54"/>
      <c r="Y65" s="58">
        <f t="shared" si="15"/>
        <v>0</v>
      </c>
      <c r="Z65" s="1">
        <f t="shared" si="16"/>
        <v>0</v>
      </c>
      <c r="AA65" s="1">
        <f t="shared" si="26"/>
        <v>0</v>
      </c>
      <c r="AE65" s="6"/>
      <c r="AF65" s="6" t="s">
        <v>365</v>
      </c>
    </row>
    <row r="66" spans="1:35" x14ac:dyDescent="0.25">
      <c r="A66" s="28" t="s">
        <v>60</v>
      </c>
      <c r="B66" s="29" t="s">
        <v>13</v>
      </c>
      <c r="C66" s="29" t="s">
        <v>61</v>
      </c>
      <c r="D66" s="2"/>
      <c r="E66" s="2"/>
      <c r="F66" s="103">
        <f>2164*0.65/200*170*0.82</f>
        <v>980.40020000000004</v>
      </c>
      <c r="G66" s="73"/>
      <c r="H66" s="103">
        <f>3300*0.2*0.8</f>
        <v>528</v>
      </c>
      <c r="I66" s="91">
        <f>800*0.97</f>
        <v>776</v>
      </c>
      <c r="J66" s="215">
        <f>J70/0.3</f>
        <v>1000</v>
      </c>
      <c r="K66" s="91">
        <f>230*2*0.95</f>
        <v>437</v>
      </c>
      <c r="L66" s="52"/>
      <c r="M66" s="91">
        <v>1600</v>
      </c>
      <c r="N66" s="91">
        <v>630</v>
      </c>
      <c r="O66" s="215">
        <f>1500*1.2</f>
        <v>1800</v>
      </c>
      <c r="P66" s="215">
        <v>6500</v>
      </c>
      <c r="Q66" s="215">
        <v>1200</v>
      </c>
      <c r="R66" s="215">
        <v>1100</v>
      </c>
      <c r="S66" s="215"/>
      <c r="T66" s="215">
        <v>400</v>
      </c>
      <c r="U66" s="215">
        <f>900</f>
        <v>900</v>
      </c>
      <c r="V66" s="77">
        <f>V21*V111</f>
        <v>60</v>
      </c>
      <c r="W66" s="91">
        <v>110</v>
      </c>
      <c r="X66" s="106">
        <v>3000</v>
      </c>
      <c r="Y66" s="59">
        <f t="shared" si="15"/>
        <v>3721.4002</v>
      </c>
      <c r="Z66" s="51">
        <f t="shared" si="16"/>
        <v>17300</v>
      </c>
      <c r="AA66" s="51">
        <f t="shared" si="26"/>
        <v>21021.4002</v>
      </c>
      <c r="AE66" s="6"/>
      <c r="AF66" s="6" t="s">
        <v>366</v>
      </c>
    </row>
    <row r="67" spans="1:35" x14ac:dyDescent="0.25">
      <c r="A67" s="36" t="s">
        <v>60</v>
      </c>
      <c r="B67" s="37" t="s">
        <v>13</v>
      </c>
      <c r="C67" s="29" t="s">
        <v>62</v>
      </c>
      <c r="D67" s="2"/>
      <c r="E67" s="2"/>
      <c r="F67" s="103">
        <f>2164*0.35/200*170*0.8*1.02</f>
        <v>525.33264000000008</v>
      </c>
      <c r="G67" s="103">
        <f>1280*230/210*5600/5455*0.97*0.6</f>
        <v>837.59633363886337</v>
      </c>
      <c r="H67" s="103">
        <f>3300*0.75*0.95</f>
        <v>2351.25</v>
      </c>
      <c r="I67" s="51"/>
      <c r="J67" s="51"/>
      <c r="K67" s="51"/>
      <c r="L67" s="52"/>
      <c r="M67" s="51"/>
      <c r="N67" s="51"/>
      <c r="O67" s="215"/>
      <c r="P67" s="215">
        <v>10000</v>
      </c>
      <c r="Q67" s="51"/>
      <c r="R67" s="51"/>
      <c r="S67" s="51"/>
      <c r="T67" s="51"/>
      <c r="U67" s="51"/>
      <c r="V67" s="51"/>
      <c r="W67" s="51"/>
      <c r="X67" s="55"/>
      <c r="Y67" s="59">
        <f t="shared" si="15"/>
        <v>3714.1789736388637</v>
      </c>
      <c r="Z67" s="51">
        <f t="shared" si="16"/>
        <v>10000</v>
      </c>
      <c r="AA67" s="51">
        <f t="shared" si="26"/>
        <v>13714.178973638864</v>
      </c>
      <c r="AE67" s="6" t="s">
        <v>367</v>
      </c>
      <c r="AF67" s="6">
        <v>36</v>
      </c>
    </row>
    <row r="68" spans="1:35" x14ac:dyDescent="0.25">
      <c r="A68" s="30" t="s">
        <v>60</v>
      </c>
      <c r="B68" s="31" t="s">
        <v>13</v>
      </c>
      <c r="C68" s="32" t="s">
        <v>63</v>
      </c>
      <c r="D68" s="2"/>
      <c r="E68" s="2"/>
      <c r="F68" s="51"/>
      <c r="G68" s="51"/>
      <c r="H68" s="51"/>
      <c r="I68" s="51"/>
      <c r="J68" s="51"/>
      <c r="K68" s="51"/>
      <c r="L68" s="52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5"/>
      <c r="Y68" s="59">
        <f t="shared" si="15"/>
        <v>0</v>
      </c>
      <c r="Z68" s="51">
        <f t="shared" si="16"/>
        <v>0</v>
      </c>
      <c r="AA68" s="51">
        <f t="shared" si="26"/>
        <v>0</v>
      </c>
      <c r="AE68" s="6" t="s">
        <v>30</v>
      </c>
      <c r="AF68" s="6">
        <v>24</v>
      </c>
    </row>
    <row r="69" spans="1:35" x14ac:dyDescent="0.25">
      <c r="A69" s="30" t="s">
        <v>60</v>
      </c>
      <c r="B69" s="32" t="s">
        <v>23</v>
      </c>
      <c r="C69" s="31" t="s">
        <v>50</v>
      </c>
      <c r="D69" s="2"/>
      <c r="E69" s="2"/>
      <c r="F69" s="77">
        <f>F24*F114</f>
        <v>0</v>
      </c>
      <c r="G69" s="51"/>
      <c r="H69" s="51"/>
      <c r="I69" s="51"/>
      <c r="J69" s="77">
        <f>J24*J114</f>
        <v>11.7</v>
      </c>
      <c r="K69" s="215">
        <f>1000*0.15-J69</f>
        <v>138.30000000000001</v>
      </c>
      <c r="L69" s="52"/>
      <c r="M69" s="51"/>
      <c r="N69" s="215">
        <f>1000*0.85</f>
        <v>850</v>
      </c>
      <c r="O69" s="51"/>
      <c r="P69" s="51"/>
      <c r="Q69" s="51"/>
      <c r="R69" s="51"/>
      <c r="S69" s="51"/>
      <c r="T69" s="51"/>
      <c r="U69" s="51"/>
      <c r="V69" s="51"/>
      <c r="W69" s="51"/>
      <c r="X69" s="55"/>
      <c r="Y69" s="59">
        <f t="shared" si="15"/>
        <v>150</v>
      </c>
      <c r="Z69" s="51">
        <f t="shared" si="16"/>
        <v>850</v>
      </c>
      <c r="AA69" s="215">
        <v>1000</v>
      </c>
      <c r="AE69" s="6" t="s">
        <v>368</v>
      </c>
      <c r="AF69" s="6">
        <v>3.2</v>
      </c>
    </row>
    <row r="70" spans="1:35" x14ac:dyDescent="0.25">
      <c r="A70" s="30" t="s">
        <v>60</v>
      </c>
      <c r="B70" s="32" t="s">
        <v>23</v>
      </c>
      <c r="C70" s="31" t="s">
        <v>49</v>
      </c>
      <c r="D70" s="2"/>
      <c r="E70" s="2"/>
      <c r="F70" s="51"/>
      <c r="G70" s="51"/>
      <c r="H70" s="51"/>
      <c r="I70" s="51"/>
      <c r="J70" s="91">
        <v>300</v>
      </c>
      <c r="K70" s="64">
        <f>600*0.1</f>
        <v>60</v>
      </c>
      <c r="L70" s="52"/>
      <c r="M70" s="51"/>
      <c r="N70" s="51"/>
      <c r="O70" s="51"/>
      <c r="P70" s="51"/>
      <c r="Q70" s="51"/>
      <c r="R70" s="51"/>
      <c r="S70" s="64">
        <v>60</v>
      </c>
      <c r="T70" s="77">
        <f>T25*T115</f>
        <v>240</v>
      </c>
      <c r="U70" s="51"/>
      <c r="V70" s="77">
        <f>V25*V115</f>
        <v>0</v>
      </c>
      <c r="W70" s="51"/>
      <c r="X70" s="77">
        <f>X25*X115</f>
        <v>90</v>
      </c>
      <c r="Y70" s="59">
        <f t="shared" si="15"/>
        <v>360</v>
      </c>
      <c r="Z70" s="51">
        <f t="shared" si="16"/>
        <v>390</v>
      </c>
      <c r="AA70" s="215">
        <v>420</v>
      </c>
      <c r="AE70" s="6" t="s">
        <v>31</v>
      </c>
      <c r="AF70" s="6">
        <v>2.7</v>
      </c>
    </row>
    <row r="71" spans="1:35" x14ac:dyDescent="0.25">
      <c r="A71" s="30" t="s">
        <v>60</v>
      </c>
      <c r="B71" s="32" t="s">
        <v>23</v>
      </c>
      <c r="C71" s="31" t="s">
        <v>64</v>
      </c>
      <c r="D71" s="2"/>
      <c r="E71" s="2"/>
      <c r="F71" s="51"/>
      <c r="G71" s="51"/>
      <c r="H71" s="51"/>
      <c r="I71" s="51"/>
      <c r="J71" s="51"/>
      <c r="K71" s="51"/>
      <c r="L71" s="52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5"/>
      <c r="Y71" s="59">
        <f t="shared" si="15"/>
        <v>0</v>
      </c>
      <c r="Z71" s="51">
        <f t="shared" si="16"/>
        <v>0</v>
      </c>
      <c r="AA71" s="51">
        <f t="shared" ref="AA71:AA90" si="27">L71+Y71+Z71</f>
        <v>0</v>
      </c>
      <c r="AE71" s="6" t="s">
        <v>369</v>
      </c>
      <c r="AF71" s="6">
        <v>2.4</v>
      </c>
    </row>
    <row r="72" spans="1:35" x14ac:dyDescent="0.25">
      <c r="A72" s="30" t="s">
        <v>60</v>
      </c>
      <c r="B72" s="32" t="s">
        <v>65</v>
      </c>
      <c r="C72" s="31" t="s">
        <v>66</v>
      </c>
      <c r="D72" s="2"/>
      <c r="E72" s="2"/>
      <c r="F72" s="51"/>
      <c r="G72" s="51"/>
      <c r="H72" s="51"/>
      <c r="I72" s="51"/>
      <c r="J72" s="91">
        <v>550</v>
      </c>
      <c r="K72" s="51"/>
      <c r="L72" s="52"/>
      <c r="M72" s="215">
        <f>M27*M117</f>
        <v>1660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5"/>
      <c r="Y72" s="59">
        <f t="shared" si="15"/>
        <v>550</v>
      </c>
      <c r="Z72" s="51">
        <f t="shared" si="16"/>
        <v>1660</v>
      </c>
      <c r="AA72" s="51">
        <f t="shared" si="27"/>
        <v>2210</v>
      </c>
    </row>
    <row r="73" spans="1:35" x14ac:dyDescent="0.25">
      <c r="A73" s="30" t="s">
        <v>60</v>
      </c>
      <c r="B73" s="32" t="s">
        <v>65</v>
      </c>
      <c r="C73" s="31" t="s">
        <v>67</v>
      </c>
      <c r="D73" s="2"/>
      <c r="E73" s="2"/>
      <c r="F73" s="51"/>
      <c r="G73" s="51"/>
      <c r="H73" s="51"/>
      <c r="I73" s="51"/>
      <c r="J73" s="51"/>
      <c r="K73" s="51"/>
      <c r="L73" s="52"/>
      <c r="M73" s="51"/>
      <c r="N73" s="51"/>
      <c r="O73" s="51"/>
      <c r="P73" s="51"/>
      <c r="Q73" s="215">
        <f>Q28*Q118</f>
        <v>5922.84</v>
      </c>
      <c r="R73" s="215">
        <f>R28*R118</f>
        <v>1949.22</v>
      </c>
      <c r="S73" s="51"/>
      <c r="T73" s="215">
        <f>T28*T118</f>
        <v>1627.9199999999998</v>
      </c>
      <c r="U73" s="215">
        <f>U28*U118</f>
        <v>999.60000000000025</v>
      </c>
      <c r="V73" s="215">
        <f>V28*V118</f>
        <v>315</v>
      </c>
      <c r="W73" s="215">
        <f>W28*W118</f>
        <v>420</v>
      </c>
      <c r="X73" s="215">
        <f>X28*X118</f>
        <v>210</v>
      </c>
      <c r="Y73" s="59">
        <f t="shared" si="15"/>
        <v>0</v>
      </c>
      <c r="Z73" s="51">
        <f t="shared" si="16"/>
        <v>11444.58</v>
      </c>
      <c r="AA73" s="51">
        <f t="shared" si="27"/>
        <v>11444.58</v>
      </c>
    </row>
    <row r="74" spans="1:35" x14ac:dyDescent="0.25">
      <c r="A74" s="30" t="s">
        <v>60</v>
      </c>
      <c r="B74" s="32" t="s">
        <v>65</v>
      </c>
      <c r="C74" s="31" t="s">
        <v>68</v>
      </c>
      <c r="D74" s="2"/>
      <c r="E74" s="2"/>
      <c r="F74" s="51"/>
      <c r="G74" s="51"/>
      <c r="H74" s="51"/>
      <c r="I74" s="51"/>
      <c r="J74" s="51"/>
      <c r="K74" s="51"/>
      <c r="L74" s="215">
        <f>L29*L119</f>
        <v>23904</v>
      </c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5"/>
      <c r="Y74" s="59">
        <f t="shared" si="15"/>
        <v>0</v>
      </c>
      <c r="Z74" s="51">
        <f t="shared" si="16"/>
        <v>0</v>
      </c>
      <c r="AA74" s="51">
        <f t="shared" si="27"/>
        <v>23904</v>
      </c>
    </row>
    <row r="75" spans="1:35" x14ac:dyDescent="0.25">
      <c r="A75" s="30" t="s">
        <v>60</v>
      </c>
      <c r="B75" s="32" t="s">
        <v>9</v>
      </c>
      <c r="C75" s="31" t="s">
        <v>69</v>
      </c>
      <c r="D75" s="2"/>
      <c r="E75" s="2"/>
      <c r="F75" s="51"/>
      <c r="G75" s="51"/>
      <c r="H75" s="51"/>
      <c r="I75" s="51"/>
      <c r="J75" s="51"/>
      <c r="K75" s="51"/>
      <c r="L75" s="52"/>
      <c r="M75" s="51"/>
      <c r="N75" s="51"/>
      <c r="O75" s="51"/>
      <c r="P75" s="51"/>
      <c r="Q75" s="51"/>
      <c r="R75" s="51"/>
      <c r="S75" s="51"/>
      <c r="T75" s="51"/>
      <c r="U75" s="51"/>
      <c r="V75" s="96">
        <v>760</v>
      </c>
      <c r="W75" s="51"/>
      <c r="X75" s="55">
        <v>625</v>
      </c>
      <c r="Y75" s="59">
        <f t="shared" si="15"/>
        <v>0</v>
      </c>
      <c r="Z75" s="51">
        <f t="shared" si="16"/>
        <v>1385</v>
      </c>
      <c r="AA75" s="51">
        <f t="shared" si="27"/>
        <v>1385</v>
      </c>
    </row>
    <row r="76" spans="1:35" x14ac:dyDescent="0.25">
      <c r="A76" s="15" t="s">
        <v>51</v>
      </c>
      <c r="B76" s="16" t="s">
        <v>56</v>
      </c>
      <c r="C76" s="27" t="s">
        <v>57</v>
      </c>
      <c r="D76" s="16" t="s">
        <v>70</v>
      </c>
      <c r="E76" s="16"/>
      <c r="F76" s="1"/>
      <c r="G76" s="1"/>
      <c r="H76" s="1"/>
      <c r="I76" s="1"/>
      <c r="J76" s="1"/>
      <c r="K76" s="1"/>
      <c r="L76" s="5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54"/>
      <c r="Y76" s="58">
        <f t="shared" si="15"/>
        <v>0</v>
      </c>
      <c r="Z76" s="1">
        <f t="shared" si="16"/>
        <v>0</v>
      </c>
      <c r="AA76" s="1">
        <f t="shared" si="27"/>
        <v>0</v>
      </c>
    </row>
    <row r="77" spans="1:35" x14ac:dyDescent="0.25">
      <c r="A77" s="15" t="s">
        <v>51</v>
      </c>
      <c r="B77" s="16" t="s">
        <v>56</v>
      </c>
      <c r="C77" s="27" t="s">
        <v>57</v>
      </c>
      <c r="D77" s="16" t="s">
        <v>71</v>
      </c>
      <c r="E77" s="16"/>
      <c r="F77" s="1"/>
      <c r="G77" s="1"/>
      <c r="H77" s="1"/>
      <c r="I77" s="1"/>
      <c r="J77" s="1"/>
      <c r="K77" s="1"/>
      <c r="L77" s="5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54"/>
      <c r="Y77" s="58">
        <f t="shared" si="15"/>
        <v>0</v>
      </c>
      <c r="Z77" s="1">
        <f t="shared" si="16"/>
        <v>0</v>
      </c>
      <c r="AA77" s="1">
        <f t="shared" si="27"/>
        <v>0</v>
      </c>
    </row>
    <row r="78" spans="1:35" x14ac:dyDescent="0.25">
      <c r="A78" s="15" t="s">
        <v>51</v>
      </c>
      <c r="B78" s="16" t="s">
        <v>56</v>
      </c>
      <c r="C78" s="27" t="s">
        <v>27</v>
      </c>
      <c r="D78" s="16" t="s">
        <v>72</v>
      </c>
      <c r="E78" s="16"/>
      <c r="F78" s="1"/>
      <c r="G78" s="1"/>
      <c r="H78" s="1"/>
      <c r="I78" s="1"/>
      <c r="J78" s="1"/>
      <c r="K78" s="1"/>
      <c r="L78" s="5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54"/>
      <c r="Y78" s="58">
        <f t="shared" si="15"/>
        <v>0</v>
      </c>
      <c r="Z78" s="1">
        <f t="shared" si="16"/>
        <v>0</v>
      </c>
      <c r="AA78" s="1">
        <f t="shared" si="27"/>
        <v>0</v>
      </c>
      <c r="AH78" t="s">
        <v>1</v>
      </c>
      <c r="AI78" t="s">
        <v>6</v>
      </c>
    </row>
    <row r="79" spans="1:35" x14ac:dyDescent="0.25">
      <c r="A79" s="15" t="s">
        <v>51</v>
      </c>
      <c r="B79" s="16" t="s">
        <v>56</v>
      </c>
      <c r="C79" s="27" t="s">
        <v>57</v>
      </c>
      <c r="D79" s="16" t="s">
        <v>73</v>
      </c>
      <c r="E79" s="16"/>
      <c r="F79" s="1"/>
      <c r="G79" s="1"/>
      <c r="H79" s="1"/>
      <c r="I79" s="1"/>
      <c r="J79" s="1"/>
      <c r="K79" s="1"/>
      <c r="L79" s="5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54"/>
      <c r="Y79" s="58">
        <f t="shared" si="15"/>
        <v>0</v>
      </c>
      <c r="Z79" s="1">
        <f t="shared" si="16"/>
        <v>0</v>
      </c>
      <c r="AA79" s="1">
        <f t="shared" si="27"/>
        <v>0</v>
      </c>
      <c r="AF79" t="s">
        <v>11</v>
      </c>
      <c r="AG79">
        <f>14/180</f>
        <v>7.7777777777777779E-2</v>
      </c>
      <c r="AH79">
        <f>AG79*20000</f>
        <v>1555.5555555555557</v>
      </c>
    </row>
    <row r="80" spans="1:35" x14ac:dyDescent="0.25">
      <c r="A80" s="15" t="s">
        <v>51</v>
      </c>
      <c r="B80" s="16" t="s">
        <v>56</v>
      </c>
      <c r="C80" s="27" t="s">
        <v>57</v>
      </c>
      <c r="D80" s="16" t="s">
        <v>74</v>
      </c>
      <c r="E80" s="16"/>
      <c r="F80" s="1"/>
      <c r="G80" s="1"/>
      <c r="H80" s="1"/>
      <c r="I80" s="1"/>
      <c r="J80" s="1"/>
      <c r="K80" s="1"/>
      <c r="L80" s="5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54"/>
      <c r="Y80" s="58">
        <f t="shared" si="15"/>
        <v>0</v>
      </c>
      <c r="Z80" s="1">
        <f t="shared" si="16"/>
        <v>0</v>
      </c>
      <c r="AA80" s="1">
        <f t="shared" si="27"/>
        <v>0</v>
      </c>
      <c r="AF80" t="s">
        <v>5</v>
      </c>
      <c r="AG80">
        <f>2/180</f>
        <v>1.1111111111111112E-2</v>
      </c>
      <c r="AH80">
        <f>AG80*20000</f>
        <v>222.22222222222223</v>
      </c>
      <c r="AI80">
        <f>AH80/5000</f>
        <v>4.4444444444444446E-2</v>
      </c>
    </row>
    <row r="81" spans="1:36" x14ac:dyDescent="0.25">
      <c r="A81" s="30" t="s">
        <v>60</v>
      </c>
      <c r="B81" s="31" t="s">
        <v>13</v>
      </c>
      <c r="C81" s="32" t="s">
        <v>61</v>
      </c>
      <c r="D81" s="31" t="s">
        <v>75</v>
      </c>
      <c r="E81" s="31"/>
      <c r="F81" s="51">
        <f>F66*0.9</f>
        <v>882.36018000000001</v>
      </c>
      <c r="G81" s="73"/>
      <c r="H81" s="51">
        <f>H66</f>
        <v>528</v>
      </c>
      <c r="I81" s="51">
        <f>I66*0.9</f>
        <v>698.4</v>
      </c>
      <c r="J81" s="51">
        <f>J66*0.3</f>
        <v>300</v>
      </c>
      <c r="K81" s="51">
        <f>K66*0.8</f>
        <v>349.6</v>
      </c>
      <c r="L81" s="52">
        <v>0</v>
      </c>
      <c r="M81" s="73">
        <f>M66*0.1</f>
        <v>160</v>
      </c>
      <c r="N81" s="73">
        <v>0</v>
      </c>
      <c r="O81" s="73">
        <v>0</v>
      </c>
      <c r="P81" s="73">
        <v>0</v>
      </c>
      <c r="Q81" s="73"/>
      <c r="R81" s="73"/>
      <c r="S81" s="51"/>
      <c r="T81" s="51"/>
      <c r="U81" s="51"/>
      <c r="V81" s="51"/>
      <c r="W81" s="51">
        <f>W66</f>
        <v>110</v>
      </c>
      <c r="X81" s="55">
        <f>X111*0.1</f>
        <v>3.4999999999999996E-2</v>
      </c>
      <c r="Y81" s="59">
        <f t="shared" si="15"/>
        <v>2758.3601800000001</v>
      </c>
      <c r="Z81" s="51">
        <f t="shared" si="16"/>
        <v>270.03500000000003</v>
      </c>
      <c r="AA81" s="51">
        <f t="shared" si="27"/>
        <v>3028.39518</v>
      </c>
      <c r="AF81" t="s">
        <v>7</v>
      </c>
      <c r="AG81">
        <f>7/180</f>
        <v>3.888888888888889E-2</v>
      </c>
      <c r="AH81">
        <f>AG81*20000</f>
        <v>777.77777777777783</v>
      </c>
      <c r="AI81">
        <f>AH81/5000</f>
        <v>0.15555555555555556</v>
      </c>
      <c r="AJ81">
        <f>AH81/4777</f>
        <v>0.16281720280045589</v>
      </c>
    </row>
    <row r="82" spans="1:36" x14ac:dyDescent="0.25">
      <c r="A82" s="30" t="s">
        <v>60</v>
      </c>
      <c r="B82" s="31" t="s">
        <v>13</v>
      </c>
      <c r="C82" s="32" t="s">
        <v>61</v>
      </c>
      <c r="D82" s="31" t="s">
        <v>76</v>
      </c>
      <c r="E82" s="31"/>
      <c r="F82" s="51">
        <f>F66*0.1</f>
        <v>98.040020000000013</v>
      </c>
      <c r="G82" s="51">
        <v>0</v>
      </c>
      <c r="H82" s="51">
        <v>0</v>
      </c>
      <c r="I82" s="51">
        <f>I66*0.05</f>
        <v>38.800000000000004</v>
      </c>
      <c r="J82" s="51">
        <f>J66*0.7</f>
        <v>700</v>
      </c>
      <c r="K82" s="51">
        <f>K66*0.05</f>
        <v>21.85</v>
      </c>
      <c r="L82" s="52">
        <v>0</v>
      </c>
      <c r="M82" s="73">
        <f>M66*0.5</f>
        <v>800</v>
      </c>
      <c r="N82" s="73">
        <f>N66</f>
        <v>630</v>
      </c>
      <c r="O82" s="73">
        <f>O66*0.5</f>
        <v>900</v>
      </c>
      <c r="P82" s="73">
        <f>P66*0.44</f>
        <v>2860</v>
      </c>
      <c r="Q82" s="73"/>
      <c r="R82" s="73">
        <f>R66</f>
        <v>1100</v>
      </c>
      <c r="S82" s="51"/>
      <c r="T82" s="51"/>
      <c r="U82" s="51"/>
      <c r="V82" s="51"/>
      <c r="W82" s="51"/>
      <c r="X82" s="55">
        <f>X111*0.1</f>
        <v>3.4999999999999996E-2</v>
      </c>
      <c r="Y82" s="59">
        <f t="shared" si="15"/>
        <v>858.69002</v>
      </c>
      <c r="Z82" s="51">
        <f t="shared" si="16"/>
        <v>6290.0349999999999</v>
      </c>
      <c r="AA82" s="51">
        <f t="shared" si="27"/>
        <v>7148.7250199999999</v>
      </c>
      <c r="AF82" t="s">
        <v>8</v>
      </c>
      <c r="AG82">
        <f>36/180</f>
        <v>0.2</v>
      </c>
      <c r="AH82">
        <f>AG82*20000</f>
        <v>4000</v>
      </c>
      <c r="AI82">
        <f>AH82/5000</f>
        <v>0.8</v>
      </c>
      <c r="AJ82">
        <f>AH82/4777</f>
        <v>0.83734561440234456</v>
      </c>
    </row>
    <row r="83" spans="1:36" x14ac:dyDescent="0.25">
      <c r="A83" s="30" t="s">
        <v>60</v>
      </c>
      <c r="B83" s="31" t="s">
        <v>13</v>
      </c>
      <c r="C83" s="32" t="s">
        <v>61</v>
      </c>
      <c r="D83" s="31" t="s">
        <v>77</v>
      </c>
      <c r="E83" s="31"/>
      <c r="F83" s="51">
        <v>0</v>
      </c>
      <c r="G83" s="51">
        <v>0</v>
      </c>
      <c r="H83" s="51">
        <v>0</v>
      </c>
      <c r="I83" s="51">
        <v>0</v>
      </c>
      <c r="J83" s="51">
        <v>0</v>
      </c>
      <c r="K83" s="51">
        <f>K66*0.1</f>
        <v>43.7</v>
      </c>
      <c r="L83" s="52">
        <v>0</v>
      </c>
      <c r="M83" s="73">
        <f>M66*0.4</f>
        <v>640</v>
      </c>
      <c r="N83" s="73">
        <v>0</v>
      </c>
      <c r="O83" s="73">
        <f>O66*0.5</f>
        <v>900</v>
      </c>
      <c r="P83" s="73">
        <f>P66*0.55</f>
        <v>3575.0000000000005</v>
      </c>
      <c r="Q83" s="73"/>
      <c r="R83" s="73"/>
      <c r="S83" s="51"/>
      <c r="T83" s="51">
        <f>T66</f>
        <v>400</v>
      </c>
      <c r="U83" s="51">
        <f>U66</f>
        <v>900</v>
      </c>
      <c r="V83" s="51"/>
      <c r="W83" s="51"/>
      <c r="X83" s="55">
        <f>X111*0.7</f>
        <v>0.24499999999999997</v>
      </c>
      <c r="Y83" s="59">
        <f t="shared" si="15"/>
        <v>43.7</v>
      </c>
      <c r="Z83" s="51">
        <f t="shared" si="16"/>
        <v>6415.2449999999999</v>
      </c>
      <c r="AA83" s="51">
        <f t="shared" si="27"/>
        <v>6458.9449999999997</v>
      </c>
    </row>
    <row r="84" spans="1:36" x14ac:dyDescent="0.25">
      <c r="A84" s="30" t="s">
        <v>60</v>
      </c>
      <c r="B84" s="31" t="s">
        <v>13</v>
      </c>
      <c r="C84" s="32" t="s">
        <v>61</v>
      </c>
      <c r="D84" s="31" t="s">
        <v>78</v>
      </c>
      <c r="E84" s="31"/>
      <c r="F84" s="51">
        <v>0</v>
      </c>
      <c r="G84" s="51">
        <v>0</v>
      </c>
      <c r="H84" s="51">
        <v>0</v>
      </c>
      <c r="I84" s="51">
        <f>I66*0.05</f>
        <v>38.800000000000004</v>
      </c>
      <c r="J84" s="51">
        <v>0</v>
      </c>
      <c r="K84" s="51">
        <f>K66*0.05</f>
        <v>21.85</v>
      </c>
      <c r="L84" s="52">
        <v>0</v>
      </c>
      <c r="M84" s="73">
        <f>M66*0</f>
        <v>0</v>
      </c>
      <c r="N84" s="73">
        <v>0</v>
      </c>
      <c r="O84" s="73">
        <f>O66*0</f>
        <v>0</v>
      </c>
      <c r="P84" s="73">
        <f>(P66)*0.01</f>
        <v>65</v>
      </c>
      <c r="Q84" s="73">
        <f>Q66</f>
        <v>1200</v>
      </c>
      <c r="R84" s="73"/>
      <c r="S84" s="51"/>
      <c r="T84" s="51"/>
      <c r="U84" s="51"/>
      <c r="V84" s="51"/>
      <c r="W84" s="51"/>
      <c r="X84" s="55">
        <f>X66*0.1</f>
        <v>300</v>
      </c>
      <c r="Y84" s="59">
        <f t="shared" si="15"/>
        <v>60.650000000000006</v>
      </c>
      <c r="Z84" s="51">
        <f t="shared" si="16"/>
        <v>1565</v>
      </c>
      <c r="AA84" s="51">
        <f t="shared" si="27"/>
        <v>1625.65</v>
      </c>
    </row>
    <row r="85" spans="1:36" ht="15.75" thickBot="1" x14ac:dyDescent="0.3">
      <c r="A85" s="33" t="s">
        <v>60</v>
      </c>
      <c r="B85" s="34" t="s">
        <v>13</v>
      </c>
      <c r="C85" s="35" t="s">
        <v>61</v>
      </c>
      <c r="D85" s="34" t="s">
        <v>79</v>
      </c>
      <c r="E85" s="31"/>
      <c r="F85" s="51">
        <v>0</v>
      </c>
      <c r="G85" s="51">
        <v>0</v>
      </c>
      <c r="H85" s="51">
        <v>0</v>
      </c>
      <c r="I85" s="51">
        <v>0</v>
      </c>
      <c r="J85" s="51">
        <v>0</v>
      </c>
      <c r="K85" s="51">
        <v>0</v>
      </c>
      <c r="L85" s="52">
        <v>0</v>
      </c>
      <c r="M85" s="51">
        <v>0</v>
      </c>
      <c r="N85" s="51">
        <v>0</v>
      </c>
      <c r="O85" s="51">
        <v>0</v>
      </c>
      <c r="P85" s="51">
        <v>0</v>
      </c>
      <c r="Q85" s="51">
        <v>0</v>
      </c>
      <c r="R85" s="51">
        <v>0</v>
      </c>
      <c r="S85" s="51">
        <v>0</v>
      </c>
      <c r="T85" s="51">
        <v>0</v>
      </c>
      <c r="U85" s="51">
        <v>0</v>
      </c>
      <c r="V85" s="51">
        <v>0</v>
      </c>
      <c r="W85" s="51">
        <v>0</v>
      </c>
      <c r="X85" s="55">
        <v>0</v>
      </c>
      <c r="Y85" s="59">
        <f t="shared" si="15"/>
        <v>0</v>
      </c>
      <c r="Z85" s="51">
        <f t="shared" si="16"/>
        <v>0</v>
      </c>
      <c r="AA85" s="51">
        <f t="shared" si="27"/>
        <v>0</v>
      </c>
    </row>
    <row r="86" spans="1:36" x14ac:dyDescent="0.25">
      <c r="A86" s="30" t="s">
        <v>60</v>
      </c>
      <c r="B86" s="31" t="s">
        <v>13</v>
      </c>
      <c r="C86" s="32" t="s">
        <v>62</v>
      </c>
      <c r="D86" s="31" t="s">
        <v>75</v>
      </c>
      <c r="E86" s="31"/>
      <c r="F86" s="51"/>
      <c r="G86" s="73">
        <f>G67</f>
        <v>837.59633363886337</v>
      </c>
      <c r="H86" s="51">
        <f>H67*0.4</f>
        <v>940.5</v>
      </c>
      <c r="I86" s="51">
        <v>0</v>
      </c>
      <c r="J86" s="51">
        <v>0</v>
      </c>
      <c r="K86" s="51">
        <v>0</v>
      </c>
      <c r="L86" s="52">
        <v>0</v>
      </c>
      <c r="M86" s="51">
        <v>0</v>
      </c>
      <c r="N86" s="51">
        <v>0</v>
      </c>
      <c r="O86" s="51">
        <v>0</v>
      </c>
      <c r="P86" s="51">
        <v>0</v>
      </c>
      <c r="Q86" s="51">
        <v>0</v>
      </c>
      <c r="R86" s="51">
        <v>0</v>
      </c>
      <c r="S86" s="51">
        <v>0</v>
      </c>
      <c r="T86" s="51">
        <v>0</v>
      </c>
      <c r="U86" s="51">
        <v>0</v>
      </c>
      <c r="V86" s="51">
        <v>0</v>
      </c>
      <c r="W86" s="51">
        <v>0</v>
      </c>
      <c r="X86" s="55">
        <v>0</v>
      </c>
      <c r="Y86" s="59">
        <f t="shared" si="15"/>
        <v>1778.0963336388634</v>
      </c>
      <c r="Z86" s="51">
        <f t="shared" si="16"/>
        <v>0</v>
      </c>
      <c r="AA86" s="51">
        <f t="shared" si="27"/>
        <v>1778.0963336388634</v>
      </c>
    </row>
    <row r="87" spans="1:36" x14ac:dyDescent="0.25">
      <c r="A87" s="30" t="s">
        <v>60</v>
      </c>
      <c r="B87" s="31" t="s">
        <v>13</v>
      </c>
      <c r="C87" s="32" t="s">
        <v>62</v>
      </c>
      <c r="D87" s="31" t="s">
        <v>76</v>
      </c>
      <c r="E87" s="31"/>
      <c r="F87" s="51">
        <f>F67</f>
        <v>525.33264000000008</v>
      </c>
      <c r="G87" s="51">
        <f>G67*0</f>
        <v>0</v>
      </c>
      <c r="H87" s="51">
        <f>H67*0.6</f>
        <v>1410.75</v>
      </c>
      <c r="I87" s="51">
        <v>0</v>
      </c>
      <c r="J87" s="51">
        <v>0</v>
      </c>
      <c r="K87" s="51">
        <v>0</v>
      </c>
      <c r="L87" s="52">
        <v>0</v>
      </c>
      <c r="M87" s="51">
        <v>0</v>
      </c>
      <c r="N87" s="51">
        <v>0</v>
      </c>
      <c r="O87" s="51">
        <v>0</v>
      </c>
      <c r="P87" s="51">
        <f>P67</f>
        <v>10000</v>
      </c>
      <c r="Q87" s="51">
        <v>0</v>
      </c>
      <c r="R87" s="51">
        <v>0</v>
      </c>
      <c r="S87" s="51">
        <v>0</v>
      </c>
      <c r="T87" s="51">
        <v>0</v>
      </c>
      <c r="U87" s="51">
        <v>0</v>
      </c>
      <c r="V87" s="51">
        <v>0</v>
      </c>
      <c r="W87" s="51">
        <v>0</v>
      </c>
      <c r="X87" s="55">
        <v>0</v>
      </c>
      <c r="Y87" s="59">
        <f t="shared" si="15"/>
        <v>1936.0826400000001</v>
      </c>
      <c r="Z87" s="51">
        <f t="shared" si="16"/>
        <v>10000</v>
      </c>
      <c r="AA87" s="51">
        <f t="shared" si="27"/>
        <v>11936.082640000001</v>
      </c>
    </row>
    <row r="88" spans="1:36" x14ac:dyDescent="0.25">
      <c r="A88" s="30" t="s">
        <v>60</v>
      </c>
      <c r="B88" s="31" t="s">
        <v>13</v>
      </c>
      <c r="C88" s="32" t="s">
        <v>62</v>
      </c>
      <c r="D88" s="31" t="s">
        <v>77</v>
      </c>
      <c r="E88" s="31"/>
      <c r="F88" s="51">
        <v>0</v>
      </c>
      <c r="G88" s="51">
        <v>0</v>
      </c>
      <c r="H88" s="51">
        <v>0</v>
      </c>
      <c r="I88" s="51">
        <v>0</v>
      </c>
      <c r="J88" s="51">
        <v>0</v>
      </c>
      <c r="K88" s="51">
        <v>0</v>
      </c>
      <c r="L88" s="52">
        <v>0</v>
      </c>
      <c r="M88" s="51">
        <v>0</v>
      </c>
      <c r="N88" s="51">
        <v>0</v>
      </c>
      <c r="O88" s="51">
        <v>0</v>
      </c>
      <c r="P88" s="51">
        <v>0</v>
      </c>
      <c r="Q88" s="51">
        <v>0</v>
      </c>
      <c r="R88" s="51">
        <v>0</v>
      </c>
      <c r="S88" s="51">
        <v>0</v>
      </c>
      <c r="T88" s="51">
        <v>0</v>
      </c>
      <c r="U88" s="51">
        <v>0</v>
      </c>
      <c r="V88" s="51">
        <v>0</v>
      </c>
      <c r="W88" s="51">
        <v>0</v>
      </c>
      <c r="X88" s="55">
        <v>0</v>
      </c>
      <c r="Y88" s="59">
        <f t="shared" si="15"/>
        <v>0</v>
      </c>
      <c r="Z88" s="51">
        <f t="shared" si="16"/>
        <v>0</v>
      </c>
      <c r="AA88" s="51">
        <f t="shared" si="27"/>
        <v>0</v>
      </c>
    </row>
    <row r="89" spans="1:36" x14ac:dyDescent="0.25">
      <c r="A89" s="30" t="s">
        <v>60</v>
      </c>
      <c r="B89" s="31" t="s">
        <v>13</v>
      </c>
      <c r="C89" s="32" t="s">
        <v>62</v>
      </c>
      <c r="D89" s="31" t="s">
        <v>78</v>
      </c>
      <c r="E89" s="31"/>
      <c r="F89" s="51">
        <v>0</v>
      </c>
      <c r="G89" s="51">
        <v>0</v>
      </c>
      <c r="H89" s="51">
        <v>0</v>
      </c>
      <c r="I89" s="51">
        <v>0</v>
      </c>
      <c r="J89" s="51">
        <v>0</v>
      </c>
      <c r="K89" s="51">
        <v>0</v>
      </c>
      <c r="L89" s="52">
        <v>0</v>
      </c>
      <c r="M89" s="51">
        <v>0</v>
      </c>
      <c r="N89" s="51">
        <v>0</v>
      </c>
      <c r="O89" s="51">
        <v>0</v>
      </c>
      <c r="P89" s="51">
        <v>0</v>
      </c>
      <c r="Q89" s="51">
        <v>0</v>
      </c>
      <c r="R89" s="51">
        <v>0</v>
      </c>
      <c r="S89" s="51">
        <v>0</v>
      </c>
      <c r="T89" s="51">
        <v>0</v>
      </c>
      <c r="U89" s="51">
        <v>0</v>
      </c>
      <c r="V89" s="51">
        <v>0</v>
      </c>
      <c r="W89" s="51">
        <v>0</v>
      </c>
      <c r="X89" s="55">
        <v>0</v>
      </c>
      <c r="Y89" s="59">
        <f t="shared" si="15"/>
        <v>0</v>
      </c>
      <c r="Z89" s="51">
        <f t="shared" si="16"/>
        <v>0</v>
      </c>
      <c r="AA89" s="51">
        <f t="shared" si="27"/>
        <v>0</v>
      </c>
    </row>
    <row r="90" spans="1:36" ht="15.75" thickBot="1" x14ac:dyDescent="0.3">
      <c r="A90" s="33" t="s">
        <v>60</v>
      </c>
      <c r="B90" s="34" t="s">
        <v>13</v>
      </c>
      <c r="C90" s="32" t="s">
        <v>62</v>
      </c>
      <c r="D90" s="34" t="s">
        <v>79</v>
      </c>
      <c r="E90" s="31"/>
      <c r="F90" s="51">
        <v>0</v>
      </c>
      <c r="G90" s="51">
        <v>0</v>
      </c>
      <c r="H90" s="51">
        <v>0</v>
      </c>
      <c r="I90" s="51">
        <v>0</v>
      </c>
      <c r="J90" s="51">
        <v>0</v>
      </c>
      <c r="K90" s="51">
        <v>0</v>
      </c>
      <c r="L90" s="52">
        <v>0</v>
      </c>
      <c r="M90" s="51">
        <v>0</v>
      </c>
      <c r="N90" s="51">
        <v>0</v>
      </c>
      <c r="O90" s="51">
        <v>0</v>
      </c>
      <c r="P90" s="51">
        <v>0</v>
      </c>
      <c r="Q90" s="51">
        <v>0</v>
      </c>
      <c r="R90" s="51">
        <v>0</v>
      </c>
      <c r="S90" s="51">
        <v>0</v>
      </c>
      <c r="T90" s="51">
        <v>0</v>
      </c>
      <c r="U90" s="51">
        <v>0</v>
      </c>
      <c r="V90" s="51">
        <v>0</v>
      </c>
      <c r="W90" s="51">
        <v>0</v>
      </c>
      <c r="X90" s="55">
        <v>0</v>
      </c>
      <c r="Y90" s="59">
        <f t="shared" si="15"/>
        <v>0</v>
      </c>
      <c r="Z90" s="51">
        <f t="shared" si="16"/>
        <v>0</v>
      </c>
      <c r="AA90" s="51">
        <f t="shared" si="27"/>
        <v>0</v>
      </c>
    </row>
    <row r="92" spans="1:36" x14ac:dyDescent="0.25">
      <c r="D92" s="41" t="s">
        <v>19</v>
      </c>
      <c r="E92" s="41"/>
      <c r="M92" s="24" t="s">
        <v>81</v>
      </c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</row>
    <row r="93" spans="1:36" x14ac:dyDescent="0.25">
      <c r="F93" s="23" t="s">
        <v>44</v>
      </c>
      <c r="G93" s="23"/>
      <c r="H93" s="23"/>
      <c r="I93" s="23"/>
      <c r="J93" s="23"/>
      <c r="K93" s="23"/>
      <c r="L93" s="7" t="s">
        <v>30</v>
      </c>
      <c r="M93" s="24" t="s">
        <v>46</v>
      </c>
      <c r="N93" s="24"/>
      <c r="O93" s="24"/>
      <c r="P93" s="24"/>
      <c r="Q93" s="24"/>
      <c r="R93" s="24" t="s">
        <v>47</v>
      </c>
      <c r="S93" s="24"/>
      <c r="T93" s="24"/>
      <c r="U93" s="24"/>
      <c r="V93" s="24"/>
      <c r="W93" s="24"/>
      <c r="X93" s="24"/>
      <c r="Y93" s="44" t="s">
        <v>85</v>
      </c>
      <c r="Z93" s="44" t="s">
        <v>48</v>
      </c>
      <c r="AA93" s="44" t="s">
        <v>3</v>
      </c>
    </row>
    <row r="94" spans="1:36" ht="63" x14ac:dyDescent="0.25">
      <c r="F94" s="38" t="s">
        <v>36</v>
      </c>
      <c r="G94" s="38" t="s">
        <v>37</v>
      </c>
      <c r="H94" s="38" t="s">
        <v>38</v>
      </c>
      <c r="I94" s="38" t="s">
        <v>80</v>
      </c>
      <c r="J94" s="38" t="s">
        <v>39</v>
      </c>
      <c r="K94" s="38" t="s">
        <v>45</v>
      </c>
      <c r="L94" s="39" t="s">
        <v>16</v>
      </c>
      <c r="M94" s="40" t="s">
        <v>34</v>
      </c>
      <c r="N94" s="40" t="s">
        <v>5</v>
      </c>
      <c r="O94" s="40" t="s">
        <v>7</v>
      </c>
      <c r="P94" s="40" t="s">
        <v>8</v>
      </c>
      <c r="Q94" s="40" t="s">
        <v>40</v>
      </c>
      <c r="R94" s="40" t="s">
        <v>41</v>
      </c>
      <c r="S94" s="40" t="s">
        <v>42</v>
      </c>
      <c r="T94" s="40" t="s">
        <v>31</v>
      </c>
      <c r="U94" s="40" t="s">
        <v>43</v>
      </c>
      <c r="V94" s="40" t="s">
        <v>82</v>
      </c>
      <c r="W94" s="40" t="s">
        <v>87</v>
      </c>
      <c r="X94" s="40" t="s">
        <v>83</v>
      </c>
      <c r="Y94" s="45" t="s">
        <v>3</v>
      </c>
      <c r="Z94" s="45" t="s">
        <v>3</v>
      </c>
      <c r="AA94" s="45" t="s">
        <v>3</v>
      </c>
    </row>
    <row r="95" spans="1:36" x14ac:dyDescent="0.25">
      <c r="A95" s="15" t="s">
        <v>51</v>
      </c>
      <c r="B95" s="2"/>
      <c r="C95" s="2"/>
      <c r="F95" s="1">
        <f t="shared" ref="F95:AA106" si="28">IF(F5&gt;0,F50/F5,0)</f>
        <v>0</v>
      </c>
      <c r="G95" s="1">
        <f t="shared" si="28"/>
        <v>0</v>
      </c>
      <c r="H95" s="1">
        <f t="shared" si="28"/>
        <v>0</v>
      </c>
      <c r="I95" s="1">
        <f t="shared" si="28"/>
        <v>0</v>
      </c>
      <c r="J95" s="1">
        <f t="shared" si="28"/>
        <v>0</v>
      </c>
      <c r="K95" s="1">
        <f t="shared" si="28"/>
        <v>0</v>
      </c>
      <c r="L95" s="52">
        <f t="shared" si="28"/>
        <v>0</v>
      </c>
      <c r="M95" s="1">
        <f t="shared" si="28"/>
        <v>0</v>
      </c>
      <c r="N95" s="1">
        <f t="shared" si="28"/>
        <v>0</v>
      </c>
      <c r="O95" s="1">
        <f t="shared" si="28"/>
        <v>0</v>
      </c>
      <c r="P95" s="1">
        <f t="shared" si="28"/>
        <v>0</v>
      </c>
      <c r="Q95" s="1">
        <f t="shared" si="28"/>
        <v>0</v>
      </c>
      <c r="R95" s="1">
        <f t="shared" si="28"/>
        <v>0</v>
      </c>
      <c r="S95" s="1">
        <f t="shared" si="28"/>
        <v>0</v>
      </c>
      <c r="T95" s="1">
        <f t="shared" si="28"/>
        <v>0</v>
      </c>
      <c r="U95" s="1">
        <f t="shared" si="28"/>
        <v>0</v>
      </c>
      <c r="V95" s="1">
        <f t="shared" si="28"/>
        <v>0</v>
      </c>
      <c r="W95" s="1">
        <f t="shared" si="28"/>
        <v>0</v>
      </c>
      <c r="X95" s="54">
        <f t="shared" si="28"/>
        <v>0</v>
      </c>
      <c r="Y95" s="58">
        <f t="shared" si="28"/>
        <v>0</v>
      </c>
      <c r="Z95" s="1">
        <f t="shared" si="28"/>
        <v>0</v>
      </c>
      <c r="AA95" s="1">
        <f t="shared" si="28"/>
        <v>0</v>
      </c>
    </row>
    <row r="96" spans="1:36" x14ac:dyDescent="0.25">
      <c r="A96" s="30" t="s">
        <v>60</v>
      </c>
      <c r="B96" s="2"/>
      <c r="C96" s="2"/>
      <c r="F96" s="1">
        <f t="shared" si="28"/>
        <v>0.20076437866666669</v>
      </c>
      <c r="G96" s="1">
        <f t="shared" si="28"/>
        <v>0.24068860162036304</v>
      </c>
      <c r="H96" s="1">
        <f t="shared" si="28"/>
        <v>0.26232233965014579</v>
      </c>
      <c r="I96" s="1">
        <f t="shared" si="28"/>
        <v>0.18853255587949466</v>
      </c>
      <c r="J96" s="1">
        <f t="shared" si="28"/>
        <v>0.19664460249278218</v>
      </c>
      <c r="K96" s="1">
        <f t="shared" si="28"/>
        <v>0.16941333333333333</v>
      </c>
      <c r="L96" s="52">
        <f t="shared" si="28"/>
        <v>0.08</v>
      </c>
      <c r="M96" s="1">
        <f t="shared" si="28"/>
        <v>0.12419047619047618</v>
      </c>
      <c r="N96" s="1">
        <f t="shared" si="28"/>
        <v>0.33333333333333331</v>
      </c>
      <c r="O96" s="1">
        <f t="shared" si="28"/>
        <v>0.28985507246376813</v>
      </c>
      <c r="P96" s="1">
        <f t="shared" si="28"/>
        <v>0.13136942675159236</v>
      </c>
      <c r="Q96" s="1">
        <f t="shared" si="28"/>
        <v>0.12313878708249776</v>
      </c>
      <c r="R96" s="1">
        <f t="shared" si="28"/>
        <v>0.16340359401236113</v>
      </c>
      <c r="S96" s="1">
        <f t="shared" si="28"/>
        <v>0.22556390977443608</v>
      </c>
      <c r="T96" s="1">
        <f t="shared" si="28"/>
        <v>0.14814430488419403</v>
      </c>
      <c r="U96" s="1">
        <f t="shared" si="28"/>
        <v>0.15775502808479797</v>
      </c>
      <c r="V96" s="1">
        <f t="shared" si="28"/>
        <v>0.39003436426116839</v>
      </c>
      <c r="W96" s="1">
        <f t="shared" si="28"/>
        <v>0.12219020172910663</v>
      </c>
      <c r="X96" s="54">
        <f t="shared" si="28"/>
        <v>0.32015925422412117</v>
      </c>
      <c r="Y96" s="58">
        <f t="shared" si="28"/>
        <v>0.2162311867590575</v>
      </c>
      <c r="Z96" s="1">
        <f t="shared" si="28"/>
        <v>0.15038577026536962</v>
      </c>
      <c r="AA96" s="1">
        <f t="shared" si="28"/>
        <v>0.12083797562828245</v>
      </c>
    </row>
    <row r="97" spans="1:28" x14ac:dyDescent="0.25">
      <c r="A97" s="15" t="s">
        <v>51</v>
      </c>
      <c r="B97" s="16" t="s">
        <v>52</v>
      </c>
      <c r="C97" s="2"/>
      <c r="F97" s="1">
        <f t="shared" si="28"/>
        <v>0</v>
      </c>
      <c r="G97" s="1">
        <f t="shared" si="28"/>
        <v>0</v>
      </c>
      <c r="H97" s="1">
        <f t="shared" si="28"/>
        <v>0</v>
      </c>
      <c r="I97" s="1">
        <f t="shared" si="28"/>
        <v>0</v>
      </c>
      <c r="J97" s="1">
        <f t="shared" si="28"/>
        <v>0</v>
      </c>
      <c r="K97" s="1">
        <f t="shared" si="28"/>
        <v>0</v>
      </c>
      <c r="L97" s="52">
        <f t="shared" si="28"/>
        <v>0</v>
      </c>
      <c r="M97" s="1">
        <f t="shared" si="28"/>
        <v>0</v>
      </c>
      <c r="N97" s="1">
        <f t="shared" si="28"/>
        <v>0</v>
      </c>
      <c r="O97" s="1">
        <f t="shared" si="28"/>
        <v>0</v>
      </c>
      <c r="P97" s="1">
        <f t="shared" si="28"/>
        <v>0</v>
      </c>
      <c r="Q97" s="1">
        <f t="shared" si="28"/>
        <v>0</v>
      </c>
      <c r="R97" s="1">
        <f t="shared" si="28"/>
        <v>0</v>
      </c>
      <c r="S97" s="1">
        <f t="shared" si="28"/>
        <v>0</v>
      </c>
      <c r="T97" s="1">
        <f t="shared" si="28"/>
        <v>0</v>
      </c>
      <c r="U97" s="1">
        <f t="shared" si="28"/>
        <v>0</v>
      </c>
      <c r="V97" s="1">
        <f t="shared" si="28"/>
        <v>0</v>
      </c>
      <c r="W97" s="1">
        <f t="shared" si="28"/>
        <v>0</v>
      </c>
      <c r="X97" s="54">
        <f t="shared" si="28"/>
        <v>0</v>
      </c>
      <c r="Y97" s="58">
        <f t="shared" si="28"/>
        <v>0</v>
      </c>
      <c r="Z97" s="1">
        <f t="shared" si="28"/>
        <v>0</v>
      </c>
      <c r="AA97" s="1">
        <f t="shared" si="28"/>
        <v>0</v>
      </c>
    </row>
    <row r="98" spans="1:28" x14ac:dyDescent="0.25">
      <c r="A98" s="15" t="s">
        <v>51</v>
      </c>
      <c r="B98" s="16" t="s">
        <v>56</v>
      </c>
      <c r="C98" s="2"/>
      <c r="F98" s="1">
        <f t="shared" si="28"/>
        <v>0</v>
      </c>
      <c r="G98" s="1">
        <f t="shared" si="28"/>
        <v>0</v>
      </c>
      <c r="H98" s="1">
        <f t="shared" si="28"/>
        <v>0</v>
      </c>
      <c r="I98" s="1">
        <f t="shared" si="28"/>
        <v>0</v>
      </c>
      <c r="J98" s="1">
        <f t="shared" si="28"/>
        <v>0</v>
      </c>
      <c r="K98" s="1">
        <f t="shared" si="28"/>
        <v>0</v>
      </c>
      <c r="L98" s="52">
        <f t="shared" si="28"/>
        <v>0</v>
      </c>
      <c r="M98" s="1">
        <f t="shared" si="28"/>
        <v>0</v>
      </c>
      <c r="N98" s="1">
        <f t="shared" si="28"/>
        <v>0</v>
      </c>
      <c r="O98" s="1">
        <f t="shared" si="28"/>
        <v>0</v>
      </c>
      <c r="P98" s="1">
        <f t="shared" si="28"/>
        <v>0</v>
      </c>
      <c r="Q98" s="1">
        <f t="shared" si="28"/>
        <v>0</v>
      </c>
      <c r="R98" s="1">
        <f t="shared" si="28"/>
        <v>0</v>
      </c>
      <c r="S98" s="1">
        <f t="shared" si="28"/>
        <v>0</v>
      </c>
      <c r="T98" s="1">
        <f t="shared" si="28"/>
        <v>0</v>
      </c>
      <c r="U98" s="1">
        <f t="shared" si="28"/>
        <v>0</v>
      </c>
      <c r="V98" s="1">
        <f t="shared" si="28"/>
        <v>0</v>
      </c>
      <c r="W98" s="1">
        <f t="shared" si="28"/>
        <v>0</v>
      </c>
      <c r="X98" s="54">
        <f t="shared" si="28"/>
        <v>0</v>
      </c>
      <c r="Y98" s="58">
        <f t="shared" si="28"/>
        <v>0</v>
      </c>
      <c r="Z98" s="1">
        <f t="shared" si="28"/>
        <v>0</v>
      </c>
      <c r="AA98" s="1">
        <f t="shared" si="28"/>
        <v>0</v>
      </c>
    </row>
    <row r="99" spans="1:28" x14ac:dyDescent="0.25">
      <c r="A99" s="15" t="s">
        <v>51</v>
      </c>
      <c r="B99" s="16" t="s">
        <v>9</v>
      </c>
      <c r="C99" s="2"/>
      <c r="F99" s="1">
        <f t="shared" si="28"/>
        <v>0</v>
      </c>
      <c r="G99" s="1">
        <f t="shared" si="28"/>
        <v>0</v>
      </c>
      <c r="H99" s="1">
        <f t="shared" si="28"/>
        <v>0</v>
      </c>
      <c r="I99" s="1">
        <f t="shared" si="28"/>
        <v>0</v>
      </c>
      <c r="J99" s="1">
        <f t="shared" si="28"/>
        <v>0</v>
      </c>
      <c r="K99" s="1">
        <f t="shared" si="28"/>
        <v>0</v>
      </c>
      <c r="L99" s="52">
        <f t="shared" si="28"/>
        <v>0</v>
      </c>
      <c r="M99" s="1">
        <f t="shared" si="28"/>
        <v>0</v>
      </c>
      <c r="N99" s="1">
        <f t="shared" si="28"/>
        <v>0</v>
      </c>
      <c r="O99" s="1">
        <f t="shared" si="28"/>
        <v>0</v>
      </c>
      <c r="P99" s="1">
        <f t="shared" si="28"/>
        <v>0</v>
      </c>
      <c r="Q99" s="1">
        <f t="shared" si="28"/>
        <v>0</v>
      </c>
      <c r="R99" s="1">
        <f t="shared" si="28"/>
        <v>0</v>
      </c>
      <c r="S99" s="1">
        <f t="shared" si="28"/>
        <v>0</v>
      </c>
      <c r="T99" s="1">
        <f t="shared" si="28"/>
        <v>0</v>
      </c>
      <c r="U99" s="1">
        <f t="shared" si="28"/>
        <v>0</v>
      </c>
      <c r="V99" s="1">
        <f t="shared" si="28"/>
        <v>0</v>
      </c>
      <c r="W99" s="1">
        <f t="shared" si="28"/>
        <v>0</v>
      </c>
      <c r="X99" s="54">
        <f t="shared" si="28"/>
        <v>0</v>
      </c>
      <c r="Y99" s="58">
        <f t="shared" si="28"/>
        <v>0</v>
      </c>
      <c r="Z99" s="1">
        <f t="shared" si="28"/>
        <v>0</v>
      </c>
      <c r="AA99" s="1">
        <f t="shared" si="28"/>
        <v>0</v>
      </c>
    </row>
    <row r="100" spans="1:28" x14ac:dyDescent="0.25">
      <c r="A100" s="30" t="s">
        <v>60</v>
      </c>
      <c r="B100" s="32" t="s">
        <v>13</v>
      </c>
      <c r="C100" s="2"/>
      <c r="F100" s="51">
        <f t="shared" si="28"/>
        <v>0.20076437866666669</v>
      </c>
      <c r="G100" s="51">
        <f t="shared" si="28"/>
        <v>0.24068860162036304</v>
      </c>
      <c r="H100" s="51">
        <f t="shared" si="28"/>
        <v>0.26232233965014579</v>
      </c>
      <c r="I100" s="51">
        <f t="shared" si="28"/>
        <v>0.18853255587949466</v>
      </c>
      <c r="J100" s="51">
        <f t="shared" si="28"/>
        <v>0.25641025641025639</v>
      </c>
      <c r="K100" s="51">
        <f t="shared" si="28"/>
        <v>0.14566666666666667</v>
      </c>
      <c r="L100" s="52">
        <f t="shared" si="28"/>
        <v>0</v>
      </c>
      <c r="M100" s="51">
        <f t="shared" si="28"/>
        <v>0.29090909090909089</v>
      </c>
      <c r="N100" s="51">
        <f t="shared" si="28"/>
        <v>0.28636363636363638</v>
      </c>
      <c r="O100" s="51">
        <f t="shared" si="28"/>
        <v>0.28985507246376813</v>
      </c>
      <c r="P100" s="51">
        <f t="shared" si="28"/>
        <v>0.13136942675159236</v>
      </c>
      <c r="Q100" s="51">
        <f t="shared" si="28"/>
        <v>0.3</v>
      </c>
      <c r="R100" s="51">
        <f t="shared" si="28"/>
        <v>0.3</v>
      </c>
      <c r="S100" s="51">
        <f t="shared" si="28"/>
        <v>0</v>
      </c>
      <c r="T100" s="51">
        <f t="shared" si="28"/>
        <v>0.35</v>
      </c>
      <c r="U100" s="51">
        <f t="shared" si="28"/>
        <v>0.44</v>
      </c>
      <c r="V100" s="51">
        <f t="shared" si="28"/>
        <v>1.2</v>
      </c>
      <c r="W100" s="51">
        <f t="shared" si="28"/>
        <v>0.8</v>
      </c>
      <c r="X100" s="55">
        <f t="shared" si="28"/>
        <v>0.35</v>
      </c>
      <c r="Y100" s="59">
        <f t="shared" si="28"/>
        <v>0.22551192447042531</v>
      </c>
      <c r="Z100" s="51">
        <f t="shared" si="28"/>
        <v>0.17156441497270397</v>
      </c>
      <c r="AA100" s="51">
        <f>IF(AA10&gt;0,AB55/AA10,0)</f>
        <v>0.17699492167225406</v>
      </c>
    </row>
    <row r="101" spans="1:28" x14ac:dyDescent="0.25">
      <c r="A101" s="30" t="s">
        <v>60</v>
      </c>
      <c r="B101" s="31" t="s">
        <v>23</v>
      </c>
      <c r="C101" s="2"/>
      <c r="F101" s="51">
        <f t="shared" si="28"/>
        <v>0</v>
      </c>
      <c r="G101" s="51">
        <f t="shared" si="28"/>
        <v>0</v>
      </c>
      <c r="H101" s="51">
        <f t="shared" si="28"/>
        <v>0</v>
      </c>
      <c r="I101" s="51">
        <f t="shared" si="28"/>
        <v>0</v>
      </c>
      <c r="J101" s="51">
        <f t="shared" si="28"/>
        <v>0.31676829268292683</v>
      </c>
      <c r="K101" s="51">
        <f t="shared" si="28"/>
        <v>0.26440000000000002</v>
      </c>
      <c r="L101" s="52">
        <f t="shared" si="28"/>
        <v>0</v>
      </c>
      <c r="M101" s="51">
        <f t="shared" si="28"/>
        <v>0</v>
      </c>
      <c r="N101" s="51">
        <f t="shared" si="28"/>
        <v>0.3794642857142857</v>
      </c>
      <c r="O101" s="51">
        <f t="shared" si="28"/>
        <v>0</v>
      </c>
      <c r="P101" s="51">
        <f t="shared" si="28"/>
        <v>0</v>
      </c>
      <c r="Q101" s="51">
        <f t="shared" si="28"/>
        <v>0</v>
      </c>
      <c r="R101" s="51">
        <f t="shared" si="28"/>
        <v>0</v>
      </c>
      <c r="S101" s="51">
        <f t="shared" si="28"/>
        <v>0.22556390977443608</v>
      </c>
      <c r="T101" s="51">
        <f t="shared" si="28"/>
        <v>0.4</v>
      </c>
      <c r="U101" s="51">
        <f t="shared" si="28"/>
        <v>0</v>
      </c>
      <c r="V101" s="51">
        <f t="shared" si="28"/>
        <v>0</v>
      </c>
      <c r="W101" s="51">
        <f t="shared" si="28"/>
        <v>0</v>
      </c>
      <c r="X101" s="55">
        <f t="shared" si="28"/>
        <v>0.9</v>
      </c>
      <c r="Y101" s="59">
        <f t="shared" si="28"/>
        <v>0.29411764705882354</v>
      </c>
      <c r="Z101" s="51">
        <f t="shared" si="28"/>
        <v>0.38677479725514657</v>
      </c>
      <c r="AA101" s="51">
        <f t="shared" si="28"/>
        <v>0.354251012145749</v>
      </c>
    </row>
    <row r="102" spans="1:28" x14ac:dyDescent="0.25">
      <c r="A102" s="30" t="s">
        <v>60</v>
      </c>
      <c r="B102" s="31" t="s">
        <v>65</v>
      </c>
      <c r="C102" s="46"/>
      <c r="F102" s="51">
        <f t="shared" si="28"/>
        <v>0</v>
      </c>
      <c r="G102" s="51">
        <f t="shared" si="28"/>
        <v>0</v>
      </c>
      <c r="H102" s="51">
        <f t="shared" si="28"/>
        <v>0</v>
      </c>
      <c r="I102" s="51">
        <f t="shared" si="28"/>
        <v>0</v>
      </c>
      <c r="J102" s="51">
        <f t="shared" si="28"/>
        <v>0.11999999999999998</v>
      </c>
      <c r="K102" s="51">
        <f t="shared" si="28"/>
        <v>0</v>
      </c>
      <c r="L102" s="52">
        <f t="shared" si="28"/>
        <v>0.08</v>
      </c>
      <c r="M102" s="51">
        <f t="shared" si="28"/>
        <v>0.08</v>
      </c>
      <c r="N102" s="51">
        <f t="shared" si="28"/>
        <v>0</v>
      </c>
      <c r="O102" s="51">
        <f t="shared" si="28"/>
        <v>0</v>
      </c>
      <c r="P102" s="51">
        <f t="shared" si="28"/>
        <v>0</v>
      </c>
      <c r="Q102" s="51">
        <f t="shared" si="28"/>
        <v>0.11</v>
      </c>
      <c r="R102" s="51">
        <f t="shared" si="28"/>
        <v>0.13</v>
      </c>
      <c r="S102" s="51">
        <f t="shared" si="28"/>
        <v>0</v>
      </c>
      <c r="T102" s="51">
        <f t="shared" si="28"/>
        <v>0.11999999999999998</v>
      </c>
      <c r="U102" s="51">
        <f t="shared" si="28"/>
        <v>0.1</v>
      </c>
      <c r="V102" s="51">
        <f t="shared" si="28"/>
        <v>0.15</v>
      </c>
      <c r="W102" s="51">
        <f t="shared" si="28"/>
        <v>0.1</v>
      </c>
      <c r="X102" s="55">
        <f t="shared" si="28"/>
        <v>0.1</v>
      </c>
      <c r="Y102" s="59">
        <f t="shared" si="28"/>
        <v>0.11999999999999998</v>
      </c>
      <c r="Z102" s="51">
        <f t="shared" si="28"/>
        <v>0.10781225832990539</v>
      </c>
      <c r="AA102" s="51">
        <f>IF(AB12&gt;0,AA57/AB12,0)</f>
        <v>8.9425190476190478E-2</v>
      </c>
    </row>
    <row r="103" spans="1:28" ht="15.75" thickBot="1" x14ac:dyDescent="0.3">
      <c r="A103" s="48" t="s">
        <v>60</v>
      </c>
      <c r="B103" s="49" t="s">
        <v>9</v>
      </c>
      <c r="C103" s="50"/>
      <c r="D103" s="50"/>
      <c r="E103" s="50"/>
      <c r="F103" s="53">
        <f t="shared" si="28"/>
        <v>0</v>
      </c>
      <c r="G103" s="53">
        <f t="shared" si="28"/>
        <v>0</v>
      </c>
      <c r="H103" s="53">
        <f t="shared" si="28"/>
        <v>0</v>
      </c>
      <c r="I103" s="53">
        <f t="shared" si="28"/>
        <v>0</v>
      </c>
      <c r="J103" s="53">
        <f t="shared" si="28"/>
        <v>0</v>
      </c>
      <c r="K103" s="53">
        <f t="shared" si="28"/>
        <v>0</v>
      </c>
      <c r="L103" s="62">
        <f t="shared" si="28"/>
        <v>0</v>
      </c>
      <c r="M103" s="53">
        <f t="shared" si="28"/>
        <v>0</v>
      </c>
      <c r="N103" s="53">
        <f t="shared" si="28"/>
        <v>0</v>
      </c>
      <c r="O103" s="53">
        <f t="shared" si="28"/>
        <v>0</v>
      </c>
      <c r="P103" s="53">
        <f t="shared" si="28"/>
        <v>0</v>
      </c>
      <c r="Q103" s="53">
        <f t="shared" si="28"/>
        <v>0</v>
      </c>
      <c r="R103" s="53">
        <f t="shared" si="28"/>
        <v>0</v>
      </c>
      <c r="S103" s="53">
        <f t="shared" si="28"/>
        <v>0</v>
      </c>
      <c r="T103" s="53">
        <f t="shared" si="28"/>
        <v>0</v>
      </c>
      <c r="U103" s="53">
        <f t="shared" si="28"/>
        <v>0</v>
      </c>
      <c r="V103" s="53">
        <f t="shared" si="28"/>
        <v>1</v>
      </c>
      <c r="W103" s="53">
        <f t="shared" si="28"/>
        <v>0</v>
      </c>
      <c r="X103" s="56">
        <f t="shared" si="28"/>
        <v>0.42</v>
      </c>
      <c r="Y103" s="60">
        <f t="shared" si="28"/>
        <v>0</v>
      </c>
      <c r="Z103" s="53">
        <f t="shared" si="28"/>
        <v>0.61607710230883284</v>
      </c>
      <c r="AA103" s="53">
        <f t="shared" si="28"/>
        <v>0.5</v>
      </c>
    </row>
    <row r="104" spans="1:28" ht="15.75" thickTop="1" x14ac:dyDescent="0.25">
      <c r="A104" s="15" t="s">
        <v>51</v>
      </c>
      <c r="B104" s="16" t="s">
        <v>52</v>
      </c>
      <c r="C104" s="16" t="s">
        <v>53</v>
      </c>
      <c r="D104" s="2"/>
      <c r="E104" s="2"/>
      <c r="F104" s="47">
        <f t="shared" si="28"/>
        <v>0</v>
      </c>
      <c r="G104" s="47">
        <f t="shared" si="28"/>
        <v>0</v>
      </c>
      <c r="H104" s="47">
        <f t="shared" si="28"/>
        <v>0</v>
      </c>
      <c r="I104" s="47">
        <f t="shared" si="28"/>
        <v>0</v>
      </c>
      <c r="J104" s="47">
        <f t="shared" si="28"/>
        <v>0</v>
      </c>
      <c r="K104" s="47">
        <f t="shared" si="28"/>
        <v>0</v>
      </c>
      <c r="L104" s="63">
        <f t="shared" si="28"/>
        <v>0</v>
      </c>
      <c r="M104" s="47">
        <f t="shared" si="28"/>
        <v>0</v>
      </c>
      <c r="N104" s="47">
        <f t="shared" si="28"/>
        <v>0</v>
      </c>
      <c r="O104" s="47">
        <f t="shared" si="28"/>
        <v>0</v>
      </c>
      <c r="P104" s="47">
        <f t="shared" si="28"/>
        <v>0</v>
      </c>
      <c r="Q104" s="47">
        <f t="shared" si="28"/>
        <v>0</v>
      </c>
      <c r="R104" s="47">
        <f t="shared" si="28"/>
        <v>0</v>
      </c>
      <c r="S104" s="47">
        <f t="shared" si="28"/>
        <v>0</v>
      </c>
      <c r="T104" s="47">
        <f t="shared" si="28"/>
        <v>0</v>
      </c>
      <c r="U104" s="47">
        <f t="shared" si="28"/>
        <v>0</v>
      </c>
      <c r="V104" s="47">
        <f t="shared" si="28"/>
        <v>0</v>
      </c>
      <c r="W104" s="47">
        <f t="shared" si="28"/>
        <v>0</v>
      </c>
      <c r="X104" s="57">
        <f t="shared" si="28"/>
        <v>0</v>
      </c>
      <c r="Y104" s="61">
        <f t="shared" si="28"/>
        <v>0</v>
      </c>
      <c r="Z104" s="47">
        <f t="shared" si="28"/>
        <v>0</v>
      </c>
      <c r="AA104" s="47">
        <f t="shared" si="28"/>
        <v>0</v>
      </c>
    </row>
    <row r="105" spans="1:28" x14ac:dyDescent="0.25">
      <c r="A105" s="15" t="s">
        <v>51</v>
      </c>
      <c r="B105" s="16" t="s">
        <v>52</v>
      </c>
      <c r="C105" s="16" t="s">
        <v>54</v>
      </c>
      <c r="D105" s="2"/>
      <c r="E105" s="2"/>
      <c r="F105" s="1">
        <f t="shared" si="28"/>
        <v>0</v>
      </c>
      <c r="G105" s="1">
        <f t="shared" si="28"/>
        <v>0</v>
      </c>
      <c r="H105" s="1">
        <f t="shared" si="28"/>
        <v>0</v>
      </c>
      <c r="I105" s="1">
        <f t="shared" si="28"/>
        <v>0</v>
      </c>
      <c r="J105" s="1">
        <f t="shared" si="28"/>
        <v>0</v>
      </c>
      <c r="K105" s="1">
        <f t="shared" si="28"/>
        <v>0</v>
      </c>
      <c r="L105" s="52">
        <f t="shared" si="28"/>
        <v>0</v>
      </c>
      <c r="M105" s="1">
        <f t="shared" si="28"/>
        <v>0</v>
      </c>
      <c r="N105" s="1">
        <f t="shared" si="28"/>
        <v>0</v>
      </c>
      <c r="O105" s="1">
        <f t="shared" si="28"/>
        <v>0</v>
      </c>
      <c r="P105" s="1">
        <f t="shared" si="28"/>
        <v>0</v>
      </c>
      <c r="Q105" s="1">
        <f t="shared" si="28"/>
        <v>0</v>
      </c>
      <c r="R105" s="1">
        <f t="shared" si="28"/>
        <v>0</v>
      </c>
      <c r="S105" s="1">
        <f t="shared" si="28"/>
        <v>0</v>
      </c>
      <c r="T105" s="1">
        <f t="shared" si="28"/>
        <v>0</v>
      </c>
      <c r="U105" s="1">
        <f t="shared" si="28"/>
        <v>0</v>
      </c>
      <c r="V105" s="1">
        <f t="shared" si="28"/>
        <v>0</v>
      </c>
      <c r="W105" s="1">
        <f t="shared" si="28"/>
        <v>0</v>
      </c>
      <c r="X105" s="54">
        <f t="shared" si="28"/>
        <v>0</v>
      </c>
      <c r="Y105" s="58">
        <f t="shared" si="28"/>
        <v>0</v>
      </c>
      <c r="Z105" s="1">
        <f t="shared" si="28"/>
        <v>0</v>
      </c>
      <c r="AA105" s="1">
        <f t="shared" si="28"/>
        <v>0</v>
      </c>
    </row>
    <row r="106" spans="1:28" x14ac:dyDescent="0.25">
      <c r="A106" s="15" t="s">
        <v>51</v>
      </c>
      <c r="B106" s="16" t="s">
        <v>52</v>
      </c>
      <c r="C106" s="16" t="s">
        <v>55</v>
      </c>
      <c r="D106" s="2"/>
      <c r="E106" s="2"/>
      <c r="F106" s="1">
        <f t="shared" si="28"/>
        <v>0</v>
      </c>
      <c r="G106" s="1">
        <f t="shared" si="28"/>
        <v>0</v>
      </c>
      <c r="H106" s="1">
        <f t="shared" si="28"/>
        <v>0</v>
      </c>
      <c r="I106" s="1">
        <f t="shared" si="28"/>
        <v>0</v>
      </c>
      <c r="J106" s="1">
        <f t="shared" si="28"/>
        <v>0</v>
      </c>
      <c r="K106" s="1">
        <f t="shared" si="28"/>
        <v>0</v>
      </c>
      <c r="L106" s="52">
        <f t="shared" si="28"/>
        <v>0</v>
      </c>
      <c r="M106" s="1">
        <f t="shared" si="28"/>
        <v>0</v>
      </c>
      <c r="N106" s="1">
        <f t="shared" si="28"/>
        <v>0</v>
      </c>
      <c r="O106" s="1">
        <f t="shared" si="28"/>
        <v>0</v>
      </c>
      <c r="P106" s="1">
        <f t="shared" si="28"/>
        <v>0</v>
      </c>
      <c r="Q106" s="1">
        <f t="shared" si="28"/>
        <v>0</v>
      </c>
      <c r="R106" s="1">
        <f t="shared" si="28"/>
        <v>0</v>
      </c>
      <c r="S106" s="1">
        <f t="shared" si="28"/>
        <v>0</v>
      </c>
      <c r="T106" s="1">
        <f t="shared" si="28"/>
        <v>0</v>
      </c>
      <c r="U106" s="1">
        <f t="shared" ref="F106:AA117" si="29">IF(U16&gt;0,U61/U16,0)</f>
        <v>0</v>
      </c>
      <c r="V106" s="1">
        <f t="shared" si="29"/>
        <v>0</v>
      </c>
      <c r="W106" s="1">
        <f t="shared" si="29"/>
        <v>0</v>
      </c>
      <c r="X106" s="54">
        <f t="shared" si="29"/>
        <v>0</v>
      </c>
      <c r="Y106" s="58">
        <f t="shared" si="29"/>
        <v>0</v>
      </c>
      <c r="Z106" s="1">
        <f t="shared" si="29"/>
        <v>0</v>
      </c>
      <c r="AA106" s="1">
        <f t="shared" si="29"/>
        <v>0</v>
      </c>
    </row>
    <row r="107" spans="1:28" x14ac:dyDescent="0.25">
      <c r="A107" s="25" t="s">
        <v>51</v>
      </c>
      <c r="B107" s="26" t="s">
        <v>56</v>
      </c>
      <c r="C107" s="26" t="s">
        <v>57</v>
      </c>
      <c r="D107" s="2"/>
      <c r="E107" s="2"/>
      <c r="F107" s="1">
        <f t="shared" si="29"/>
        <v>0</v>
      </c>
      <c r="G107" s="1">
        <f t="shared" si="29"/>
        <v>0</v>
      </c>
      <c r="H107" s="1">
        <f t="shared" si="29"/>
        <v>0</v>
      </c>
      <c r="I107" s="1">
        <f t="shared" si="29"/>
        <v>0</v>
      </c>
      <c r="J107" s="1">
        <f t="shared" si="29"/>
        <v>0</v>
      </c>
      <c r="K107" s="1">
        <f t="shared" si="29"/>
        <v>0</v>
      </c>
      <c r="L107" s="52">
        <f t="shared" si="29"/>
        <v>0</v>
      </c>
      <c r="M107" s="1">
        <f t="shared" si="29"/>
        <v>0</v>
      </c>
      <c r="N107" s="1">
        <f t="shared" si="29"/>
        <v>0</v>
      </c>
      <c r="O107" s="1">
        <f t="shared" si="29"/>
        <v>0</v>
      </c>
      <c r="P107" s="1">
        <f t="shared" si="29"/>
        <v>0</v>
      </c>
      <c r="Q107" s="1">
        <f t="shared" si="29"/>
        <v>0</v>
      </c>
      <c r="R107" s="1">
        <f t="shared" si="29"/>
        <v>0</v>
      </c>
      <c r="S107" s="1">
        <f t="shared" si="29"/>
        <v>0</v>
      </c>
      <c r="T107" s="1">
        <f t="shared" si="29"/>
        <v>0</v>
      </c>
      <c r="U107" s="1">
        <f t="shared" si="29"/>
        <v>0</v>
      </c>
      <c r="V107" s="1">
        <f t="shared" si="29"/>
        <v>0</v>
      </c>
      <c r="W107" s="1">
        <f t="shared" si="29"/>
        <v>0</v>
      </c>
      <c r="X107" s="54">
        <f t="shared" si="29"/>
        <v>0</v>
      </c>
      <c r="Y107" s="58">
        <f t="shared" si="29"/>
        <v>0</v>
      </c>
      <c r="Z107" s="1">
        <f t="shared" si="29"/>
        <v>0</v>
      </c>
      <c r="AA107" s="1">
        <f t="shared" si="29"/>
        <v>0</v>
      </c>
    </row>
    <row r="108" spans="1:28" x14ac:dyDescent="0.25">
      <c r="A108" s="15" t="s">
        <v>51</v>
      </c>
      <c r="B108" s="16" t="s">
        <v>56</v>
      </c>
      <c r="C108" s="27" t="s">
        <v>58</v>
      </c>
      <c r="D108" s="2"/>
      <c r="E108" s="2"/>
      <c r="F108" s="1">
        <f t="shared" si="29"/>
        <v>0</v>
      </c>
      <c r="G108" s="1">
        <f t="shared" si="29"/>
        <v>0</v>
      </c>
      <c r="H108" s="1">
        <f t="shared" si="29"/>
        <v>0</v>
      </c>
      <c r="I108" s="1">
        <f t="shared" si="29"/>
        <v>0</v>
      </c>
      <c r="J108" s="1">
        <f t="shared" si="29"/>
        <v>0</v>
      </c>
      <c r="K108" s="1">
        <f t="shared" si="29"/>
        <v>0</v>
      </c>
      <c r="L108" s="52">
        <f t="shared" si="29"/>
        <v>0</v>
      </c>
      <c r="M108" s="1">
        <f t="shared" si="29"/>
        <v>0</v>
      </c>
      <c r="N108" s="1">
        <f t="shared" si="29"/>
        <v>0</v>
      </c>
      <c r="O108" s="1">
        <f t="shared" si="29"/>
        <v>0</v>
      </c>
      <c r="P108" s="1">
        <f t="shared" si="29"/>
        <v>0</v>
      </c>
      <c r="Q108" s="1">
        <f t="shared" si="29"/>
        <v>0</v>
      </c>
      <c r="R108" s="1">
        <f t="shared" si="29"/>
        <v>0</v>
      </c>
      <c r="S108" s="1">
        <f t="shared" si="29"/>
        <v>0</v>
      </c>
      <c r="T108" s="1">
        <f t="shared" si="29"/>
        <v>0</v>
      </c>
      <c r="U108" s="1">
        <f t="shared" si="29"/>
        <v>0</v>
      </c>
      <c r="V108" s="1">
        <f t="shared" si="29"/>
        <v>0</v>
      </c>
      <c r="W108" s="1">
        <f t="shared" si="29"/>
        <v>0</v>
      </c>
      <c r="X108" s="54">
        <f t="shared" si="29"/>
        <v>0</v>
      </c>
      <c r="Y108" s="58">
        <f t="shared" si="29"/>
        <v>0</v>
      </c>
      <c r="Z108" s="1">
        <f t="shared" si="29"/>
        <v>0</v>
      </c>
      <c r="AA108" s="1">
        <f t="shared" si="29"/>
        <v>0</v>
      </c>
    </row>
    <row r="109" spans="1:28" x14ac:dyDescent="0.25">
      <c r="A109" s="15" t="s">
        <v>51</v>
      </c>
      <c r="B109" s="16" t="s">
        <v>9</v>
      </c>
      <c r="C109" s="27" t="s">
        <v>59</v>
      </c>
      <c r="D109" s="2"/>
      <c r="E109" s="2"/>
      <c r="F109" s="1">
        <f t="shared" si="29"/>
        <v>0</v>
      </c>
      <c r="G109" s="1">
        <f t="shared" si="29"/>
        <v>0</v>
      </c>
      <c r="H109" s="1">
        <f t="shared" si="29"/>
        <v>0</v>
      </c>
      <c r="I109" s="1">
        <f t="shared" si="29"/>
        <v>0</v>
      </c>
      <c r="J109" s="1">
        <f t="shared" si="29"/>
        <v>0</v>
      </c>
      <c r="K109" s="1">
        <f t="shared" si="29"/>
        <v>0</v>
      </c>
      <c r="L109" s="52">
        <f t="shared" si="29"/>
        <v>0</v>
      </c>
      <c r="M109" s="1">
        <f t="shared" si="29"/>
        <v>0</v>
      </c>
      <c r="N109" s="1">
        <f t="shared" si="29"/>
        <v>0</v>
      </c>
      <c r="O109" s="1">
        <f t="shared" si="29"/>
        <v>0</v>
      </c>
      <c r="P109" s="1">
        <f t="shared" si="29"/>
        <v>0</v>
      </c>
      <c r="Q109" s="1">
        <f t="shared" si="29"/>
        <v>0</v>
      </c>
      <c r="R109" s="1">
        <f t="shared" si="29"/>
        <v>0</v>
      </c>
      <c r="S109" s="1">
        <f t="shared" si="29"/>
        <v>0</v>
      </c>
      <c r="T109" s="1">
        <f t="shared" si="29"/>
        <v>0</v>
      </c>
      <c r="U109" s="1">
        <f t="shared" si="29"/>
        <v>0</v>
      </c>
      <c r="V109" s="1">
        <f t="shared" si="29"/>
        <v>0</v>
      </c>
      <c r="W109" s="1">
        <f t="shared" si="29"/>
        <v>0</v>
      </c>
      <c r="X109" s="54">
        <f t="shared" si="29"/>
        <v>0</v>
      </c>
      <c r="Y109" s="58">
        <f t="shared" si="29"/>
        <v>0</v>
      </c>
      <c r="Z109" s="1">
        <f t="shared" si="29"/>
        <v>0</v>
      </c>
      <c r="AA109" s="1">
        <f t="shared" si="29"/>
        <v>0</v>
      </c>
    </row>
    <row r="110" spans="1:28" x14ac:dyDescent="0.25">
      <c r="A110" s="15" t="s">
        <v>51</v>
      </c>
      <c r="B110" s="16" t="s">
        <v>9</v>
      </c>
      <c r="C110" s="27" t="s">
        <v>9</v>
      </c>
      <c r="D110" s="2"/>
      <c r="E110" s="2"/>
      <c r="F110" s="1">
        <f t="shared" si="29"/>
        <v>0</v>
      </c>
      <c r="G110" s="1">
        <f t="shared" si="29"/>
        <v>0</v>
      </c>
      <c r="H110" s="1">
        <f t="shared" si="29"/>
        <v>0</v>
      </c>
      <c r="I110" s="1">
        <f t="shared" si="29"/>
        <v>0</v>
      </c>
      <c r="J110" s="1">
        <f t="shared" si="29"/>
        <v>0</v>
      </c>
      <c r="K110" s="1">
        <f t="shared" si="29"/>
        <v>0</v>
      </c>
      <c r="L110" s="52">
        <f t="shared" si="29"/>
        <v>0</v>
      </c>
      <c r="M110" s="1">
        <f t="shared" si="29"/>
        <v>0</v>
      </c>
      <c r="N110" s="1">
        <f t="shared" si="29"/>
        <v>0</v>
      </c>
      <c r="O110" s="1">
        <f t="shared" si="29"/>
        <v>0</v>
      </c>
      <c r="P110" s="1">
        <f t="shared" si="29"/>
        <v>0</v>
      </c>
      <c r="Q110" s="1">
        <f t="shared" si="29"/>
        <v>0</v>
      </c>
      <c r="R110" s="1">
        <f t="shared" si="29"/>
        <v>0</v>
      </c>
      <c r="S110" s="1">
        <f t="shared" si="29"/>
        <v>0</v>
      </c>
      <c r="T110" s="1">
        <f t="shared" si="29"/>
        <v>0</v>
      </c>
      <c r="U110" s="1">
        <f t="shared" si="29"/>
        <v>0</v>
      </c>
      <c r="V110" s="1">
        <f t="shared" si="29"/>
        <v>0</v>
      </c>
      <c r="W110" s="1">
        <f t="shared" si="29"/>
        <v>0</v>
      </c>
      <c r="X110" s="54">
        <f t="shared" si="29"/>
        <v>0</v>
      </c>
      <c r="Y110" s="58">
        <f t="shared" si="29"/>
        <v>0</v>
      </c>
      <c r="Z110" s="1">
        <f t="shared" si="29"/>
        <v>0</v>
      </c>
      <c r="AA110" s="1">
        <f t="shared" si="29"/>
        <v>0</v>
      </c>
    </row>
    <row r="111" spans="1:28" x14ac:dyDescent="0.25">
      <c r="A111" s="28" t="s">
        <v>60</v>
      </c>
      <c r="B111" s="29" t="s">
        <v>13</v>
      </c>
      <c r="C111" s="29" t="s">
        <v>61</v>
      </c>
      <c r="D111" s="2"/>
      <c r="F111" s="51">
        <f t="shared" si="29"/>
        <v>0.18674289523809526</v>
      </c>
      <c r="G111" s="51">
        <f t="shared" si="29"/>
        <v>0</v>
      </c>
      <c r="H111" s="51">
        <f t="shared" si="29"/>
        <v>0.26724975704567544</v>
      </c>
      <c r="I111" s="51">
        <f t="shared" si="29"/>
        <v>0.18853255587949466</v>
      </c>
      <c r="J111" s="51">
        <f t="shared" si="29"/>
        <v>0.25641025641025639</v>
      </c>
      <c r="K111" s="51">
        <f t="shared" si="29"/>
        <v>0.14566666666666667</v>
      </c>
      <c r="L111" s="52">
        <f t="shared" si="29"/>
        <v>0</v>
      </c>
      <c r="M111" s="51">
        <f t="shared" si="29"/>
        <v>0.29090909090909089</v>
      </c>
      <c r="N111" s="51">
        <f t="shared" si="29"/>
        <v>0.28636363636363638</v>
      </c>
      <c r="O111" s="51">
        <f t="shared" si="29"/>
        <v>0.28985507246376813</v>
      </c>
      <c r="P111" s="118">
        <f t="shared" si="29"/>
        <v>0.13</v>
      </c>
      <c r="Q111" s="69">
        <v>0.3</v>
      </c>
      <c r="R111" s="69">
        <v>0.3</v>
      </c>
      <c r="S111" s="51">
        <f t="shared" si="29"/>
        <v>0</v>
      </c>
      <c r="T111" s="69">
        <v>0.35</v>
      </c>
      <c r="U111" s="69">
        <v>0.44</v>
      </c>
      <c r="V111" s="77">
        <v>1.2</v>
      </c>
      <c r="W111" s="69">
        <v>0.8</v>
      </c>
      <c r="X111" s="76">
        <v>0.35</v>
      </c>
      <c r="Y111" s="59">
        <f t="shared" si="29"/>
        <v>0.20400534380605295</v>
      </c>
      <c r="Z111" s="51">
        <f>IF(Z21&gt;0,Z66/Z21,0)</f>
        <v>0.2071263263013195</v>
      </c>
      <c r="AA111" s="51">
        <f t="shared" si="29"/>
        <v>0.20656688410004351</v>
      </c>
      <c r="AB111" s="5" t="s">
        <v>133</v>
      </c>
    </row>
    <row r="112" spans="1:28" x14ac:dyDescent="0.25">
      <c r="A112" s="36" t="s">
        <v>60</v>
      </c>
      <c r="B112" s="37" t="s">
        <v>13</v>
      </c>
      <c r="C112" s="29" t="s">
        <v>62</v>
      </c>
      <c r="D112" s="2"/>
      <c r="E112" s="2"/>
      <c r="F112" s="51">
        <f t="shared" si="29"/>
        <v>0.23348117333333337</v>
      </c>
      <c r="G112" s="51">
        <f t="shared" si="29"/>
        <v>0.24068860162036304</v>
      </c>
      <c r="H112" s="51">
        <f t="shared" si="29"/>
        <v>0.26124071144137101</v>
      </c>
      <c r="I112" s="51">
        <f t="shared" si="29"/>
        <v>0</v>
      </c>
      <c r="J112" s="51">
        <f t="shared" si="29"/>
        <v>0</v>
      </c>
      <c r="K112" s="51">
        <f t="shared" si="29"/>
        <v>0</v>
      </c>
      <c r="L112" s="52">
        <f t="shared" si="29"/>
        <v>0</v>
      </c>
      <c r="M112" s="51">
        <f t="shared" si="29"/>
        <v>0</v>
      </c>
      <c r="N112" s="51">
        <f t="shared" si="29"/>
        <v>0</v>
      </c>
      <c r="O112" s="51">
        <f t="shared" si="29"/>
        <v>0</v>
      </c>
      <c r="P112" s="51">
        <f t="shared" si="29"/>
        <v>0.13227513227513227</v>
      </c>
      <c r="Q112" s="51">
        <f t="shared" si="29"/>
        <v>0</v>
      </c>
      <c r="R112" s="51">
        <f t="shared" si="29"/>
        <v>0</v>
      </c>
      <c r="S112" s="51">
        <f t="shared" si="29"/>
        <v>0</v>
      </c>
      <c r="T112" s="51">
        <f t="shared" si="29"/>
        <v>0</v>
      </c>
      <c r="U112" s="51">
        <f t="shared" si="29"/>
        <v>0</v>
      </c>
      <c r="V112" s="51">
        <f t="shared" si="29"/>
        <v>0</v>
      </c>
      <c r="W112" s="51">
        <f t="shared" si="29"/>
        <v>0</v>
      </c>
      <c r="X112" s="55">
        <f t="shared" si="29"/>
        <v>0</v>
      </c>
      <c r="Y112" s="59">
        <f t="shared" si="29"/>
        <v>0.25214516545729243</v>
      </c>
      <c r="Z112" s="51">
        <f t="shared" si="29"/>
        <v>0.13227513227513227</v>
      </c>
      <c r="AA112" s="51">
        <f t="shared" si="29"/>
        <v>0.15182254389931157</v>
      </c>
      <c r="AB112" s="5" t="s">
        <v>134</v>
      </c>
    </row>
    <row r="113" spans="1:27" x14ac:dyDescent="0.25">
      <c r="A113" s="30" t="s">
        <v>60</v>
      </c>
      <c r="B113" s="31" t="s">
        <v>13</v>
      </c>
      <c r="C113" s="32" t="s">
        <v>63</v>
      </c>
      <c r="D113" s="2"/>
      <c r="E113" s="2"/>
      <c r="F113" s="51">
        <f t="shared" si="29"/>
        <v>0</v>
      </c>
      <c r="G113" s="51">
        <f t="shared" si="29"/>
        <v>0</v>
      </c>
      <c r="H113" s="51">
        <f t="shared" si="29"/>
        <v>0</v>
      </c>
      <c r="I113" s="51">
        <f t="shared" si="29"/>
        <v>0</v>
      </c>
      <c r="J113" s="51">
        <f t="shared" si="29"/>
        <v>0</v>
      </c>
      <c r="K113" s="51">
        <f t="shared" si="29"/>
        <v>0</v>
      </c>
      <c r="L113" s="52">
        <f t="shared" si="29"/>
        <v>0</v>
      </c>
      <c r="M113" s="51">
        <f t="shared" si="29"/>
        <v>0</v>
      </c>
      <c r="N113" s="51">
        <f t="shared" si="29"/>
        <v>0</v>
      </c>
      <c r="O113" s="51">
        <f t="shared" si="29"/>
        <v>0</v>
      </c>
      <c r="P113" s="51">
        <f t="shared" si="29"/>
        <v>0</v>
      </c>
      <c r="Q113" s="51">
        <f t="shared" si="29"/>
        <v>0</v>
      </c>
      <c r="R113" s="51">
        <f t="shared" si="29"/>
        <v>0</v>
      </c>
      <c r="S113" s="51">
        <f t="shared" si="29"/>
        <v>0</v>
      </c>
      <c r="T113" s="51">
        <f t="shared" si="29"/>
        <v>0</v>
      </c>
      <c r="U113" s="51">
        <f t="shared" si="29"/>
        <v>0</v>
      </c>
      <c r="V113" s="51">
        <f t="shared" si="29"/>
        <v>0</v>
      </c>
      <c r="W113" s="51">
        <f t="shared" si="29"/>
        <v>0</v>
      </c>
      <c r="X113" s="55">
        <f t="shared" si="29"/>
        <v>0</v>
      </c>
      <c r="Y113" s="59">
        <f t="shared" si="29"/>
        <v>0</v>
      </c>
      <c r="Z113" s="51">
        <f t="shared" si="29"/>
        <v>0</v>
      </c>
      <c r="AA113" s="51">
        <f t="shared" si="29"/>
        <v>0</v>
      </c>
    </row>
    <row r="114" spans="1:27" x14ac:dyDescent="0.25">
      <c r="A114" s="30" t="s">
        <v>60</v>
      </c>
      <c r="B114" s="32" t="s">
        <v>23</v>
      </c>
      <c r="C114" s="31" t="s">
        <v>50</v>
      </c>
      <c r="D114" s="2"/>
      <c r="E114" s="2"/>
      <c r="F114" s="77">
        <v>0.32</v>
      </c>
      <c r="G114" s="51">
        <f t="shared" si="29"/>
        <v>0</v>
      </c>
      <c r="H114" s="51">
        <f t="shared" si="29"/>
        <v>0</v>
      </c>
      <c r="I114" s="51">
        <f t="shared" si="29"/>
        <v>0</v>
      </c>
      <c r="J114" s="77">
        <v>0.3</v>
      </c>
      <c r="K114" s="51">
        <f t="shared" si="29"/>
        <v>0.24696428571428575</v>
      </c>
      <c r="L114" s="52">
        <f t="shared" si="29"/>
        <v>0</v>
      </c>
      <c r="M114" s="51">
        <f t="shared" si="29"/>
        <v>0</v>
      </c>
      <c r="N114" s="51">
        <f t="shared" si="29"/>
        <v>0.3794642857142857</v>
      </c>
      <c r="O114" s="51">
        <f t="shared" si="29"/>
        <v>0</v>
      </c>
      <c r="P114" s="51">
        <f t="shared" si="29"/>
        <v>0</v>
      </c>
      <c r="Q114" s="51">
        <f t="shared" si="29"/>
        <v>0</v>
      </c>
      <c r="R114" s="51">
        <f t="shared" si="29"/>
        <v>0</v>
      </c>
      <c r="S114" s="51">
        <f t="shared" si="29"/>
        <v>0</v>
      </c>
      <c r="T114" s="51">
        <f t="shared" si="29"/>
        <v>0</v>
      </c>
      <c r="U114" s="51">
        <f t="shared" si="29"/>
        <v>0</v>
      </c>
      <c r="V114" s="51">
        <f t="shared" si="29"/>
        <v>0</v>
      </c>
      <c r="W114" s="51">
        <f t="shared" si="29"/>
        <v>0</v>
      </c>
      <c r="X114" s="55">
        <f t="shared" si="29"/>
        <v>0</v>
      </c>
      <c r="Y114" s="59">
        <f t="shared" si="29"/>
        <v>0.25041736227045075</v>
      </c>
      <c r="Z114" s="51">
        <f t="shared" si="29"/>
        <v>0.3794642857142857</v>
      </c>
      <c r="AA114" s="51">
        <f t="shared" si="29"/>
        <v>0.35223670306445931</v>
      </c>
    </row>
    <row r="115" spans="1:27" x14ac:dyDescent="0.25">
      <c r="A115" s="30" t="s">
        <v>60</v>
      </c>
      <c r="B115" s="32" t="s">
        <v>23</v>
      </c>
      <c r="C115" s="31" t="s">
        <v>49</v>
      </c>
      <c r="D115" s="2"/>
      <c r="E115" s="2"/>
      <c r="F115" s="51">
        <f t="shared" ref="F115:AA126" si="30">IF(F25&gt;0,F70/F25,0)</f>
        <v>0</v>
      </c>
      <c r="G115" s="51">
        <f t="shared" si="30"/>
        <v>0</v>
      </c>
      <c r="H115" s="51">
        <f t="shared" si="30"/>
        <v>0</v>
      </c>
      <c r="I115" s="51">
        <f t="shared" si="30"/>
        <v>0</v>
      </c>
      <c r="J115" s="51">
        <f>IF(J25&gt;0,J70/J25,0)</f>
        <v>0.31746031746031744</v>
      </c>
      <c r="K115" s="51">
        <f t="shared" si="30"/>
        <v>0.31578947368421051</v>
      </c>
      <c r="L115" s="52">
        <f t="shared" si="30"/>
        <v>0</v>
      </c>
      <c r="M115" s="51">
        <f t="shared" si="30"/>
        <v>0</v>
      </c>
      <c r="N115" s="51">
        <f t="shared" si="30"/>
        <v>0</v>
      </c>
      <c r="O115" s="51">
        <f t="shared" si="30"/>
        <v>0</v>
      </c>
      <c r="P115" s="51">
        <f t="shared" si="30"/>
        <v>0</v>
      </c>
      <c r="Q115" s="51">
        <f t="shared" si="30"/>
        <v>0</v>
      </c>
      <c r="R115" s="51">
        <f t="shared" si="30"/>
        <v>0</v>
      </c>
      <c r="S115" s="51">
        <f t="shared" si="29"/>
        <v>0.22556390977443608</v>
      </c>
      <c r="T115" s="51">
        <v>0.4</v>
      </c>
      <c r="U115" s="51">
        <f t="shared" si="29"/>
        <v>0</v>
      </c>
      <c r="V115" s="51">
        <v>0.9</v>
      </c>
      <c r="W115" s="51">
        <f t="shared" si="29"/>
        <v>0</v>
      </c>
      <c r="X115" s="51">
        <v>0.9</v>
      </c>
      <c r="Y115" s="59">
        <f t="shared" si="30"/>
        <v>0.31718061674008813</v>
      </c>
      <c r="Z115" s="51">
        <f t="shared" si="30"/>
        <v>0.40372670807453415</v>
      </c>
      <c r="AA115" s="51">
        <f t="shared" si="30"/>
        <v>0.19990480723465018</v>
      </c>
    </row>
    <row r="116" spans="1:27" x14ac:dyDescent="0.25">
      <c r="A116" s="30" t="s">
        <v>60</v>
      </c>
      <c r="B116" s="32" t="s">
        <v>23</v>
      </c>
      <c r="C116" s="31" t="s">
        <v>64</v>
      </c>
      <c r="D116" s="2"/>
      <c r="E116" s="2"/>
      <c r="F116" s="51">
        <f t="shared" si="30"/>
        <v>0</v>
      </c>
      <c r="G116" s="51">
        <f t="shared" si="30"/>
        <v>0</v>
      </c>
      <c r="H116" s="51">
        <f t="shared" si="30"/>
        <v>0</v>
      </c>
      <c r="I116" s="51">
        <f t="shared" si="30"/>
        <v>0</v>
      </c>
      <c r="J116" s="51">
        <f t="shared" si="30"/>
        <v>0</v>
      </c>
      <c r="K116" s="51">
        <f t="shared" si="30"/>
        <v>0</v>
      </c>
      <c r="L116" s="52">
        <f t="shared" si="30"/>
        <v>0</v>
      </c>
      <c r="M116" s="51">
        <f t="shared" si="30"/>
        <v>0</v>
      </c>
      <c r="N116" s="51">
        <f t="shared" si="30"/>
        <v>0</v>
      </c>
      <c r="O116" s="51">
        <f t="shared" si="30"/>
        <v>0</v>
      </c>
      <c r="P116" s="51">
        <f t="shared" si="30"/>
        <v>0</v>
      </c>
      <c r="Q116" s="51">
        <f t="shared" si="30"/>
        <v>0</v>
      </c>
      <c r="R116" s="51">
        <f t="shared" si="30"/>
        <v>0</v>
      </c>
      <c r="S116" s="51">
        <f t="shared" si="30"/>
        <v>0</v>
      </c>
      <c r="T116" s="51">
        <f t="shared" si="30"/>
        <v>0</v>
      </c>
      <c r="U116" s="51">
        <f t="shared" si="30"/>
        <v>0</v>
      </c>
      <c r="V116" s="51">
        <f t="shared" si="30"/>
        <v>0</v>
      </c>
      <c r="W116" s="51">
        <f t="shared" si="29"/>
        <v>0</v>
      </c>
      <c r="X116" s="55">
        <f t="shared" si="30"/>
        <v>0</v>
      </c>
      <c r="Y116" s="59">
        <f t="shared" si="30"/>
        <v>0</v>
      </c>
      <c r="Z116" s="51">
        <f t="shared" si="30"/>
        <v>0</v>
      </c>
      <c r="AA116" s="51">
        <f t="shared" si="30"/>
        <v>0</v>
      </c>
    </row>
    <row r="117" spans="1:27" x14ac:dyDescent="0.25">
      <c r="A117" s="30" t="s">
        <v>60</v>
      </c>
      <c r="B117" s="32" t="s">
        <v>65</v>
      </c>
      <c r="C117" s="31" t="s">
        <v>66</v>
      </c>
      <c r="D117" s="2"/>
      <c r="E117" s="2"/>
      <c r="F117" s="51">
        <f t="shared" si="30"/>
        <v>0</v>
      </c>
      <c r="G117" s="51">
        <f t="shared" si="30"/>
        <v>0</v>
      </c>
      <c r="H117" s="51">
        <f t="shared" si="30"/>
        <v>0</v>
      </c>
      <c r="I117" s="51">
        <f t="shared" si="30"/>
        <v>0</v>
      </c>
      <c r="J117" s="77">
        <v>0.12</v>
      </c>
      <c r="K117" s="51">
        <f t="shared" si="30"/>
        <v>0</v>
      </c>
      <c r="L117" s="52">
        <f t="shared" si="30"/>
        <v>0</v>
      </c>
      <c r="M117" s="215">
        <v>0.08</v>
      </c>
      <c r="N117" s="51">
        <f t="shared" si="30"/>
        <v>0</v>
      </c>
      <c r="O117" s="51">
        <f t="shared" si="30"/>
        <v>0</v>
      </c>
      <c r="P117" s="51">
        <f t="shared" si="30"/>
        <v>0</v>
      </c>
      <c r="Q117" s="51">
        <f t="shared" si="30"/>
        <v>0</v>
      </c>
      <c r="R117" s="51">
        <f t="shared" si="30"/>
        <v>0</v>
      </c>
      <c r="S117" s="51">
        <f t="shared" si="30"/>
        <v>0</v>
      </c>
      <c r="T117" s="51">
        <f t="shared" si="30"/>
        <v>0</v>
      </c>
      <c r="U117" s="51">
        <f t="shared" si="30"/>
        <v>0</v>
      </c>
      <c r="V117" s="51">
        <f t="shared" si="30"/>
        <v>0</v>
      </c>
      <c r="W117" s="51">
        <f t="shared" si="29"/>
        <v>0</v>
      </c>
      <c r="X117" s="55">
        <f t="shared" si="30"/>
        <v>0</v>
      </c>
      <c r="Y117" s="59">
        <f t="shared" si="30"/>
        <v>0.11999999999999998</v>
      </c>
      <c r="Z117" s="51">
        <f t="shared" si="30"/>
        <v>0.08</v>
      </c>
      <c r="AA117" s="51">
        <f t="shared" si="30"/>
        <v>8.7236842105263154E-2</v>
      </c>
    </row>
    <row r="118" spans="1:27" x14ac:dyDescent="0.25">
      <c r="A118" s="30" t="s">
        <v>60</v>
      </c>
      <c r="B118" s="32" t="s">
        <v>65</v>
      </c>
      <c r="C118" s="31" t="s">
        <v>67</v>
      </c>
      <c r="D118" s="2"/>
      <c r="E118" s="2"/>
      <c r="F118" s="51">
        <f t="shared" si="30"/>
        <v>0</v>
      </c>
      <c r="G118" s="51">
        <f t="shared" si="30"/>
        <v>0</v>
      </c>
      <c r="H118" s="51">
        <f t="shared" si="30"/>
        <v>0</v>
      </c>
      <c r="I118" s="51">
        <f t="shared" si="30"/>
        <v>0</v>
      </c>
      <c r="J118" s="51">
        <f t="shared" si="30"/>
        <v>0</v>
      </c>
      <c r="K118" s="51">
        <f t="shared" si="30"/>
        <v>0</v>
      </c>
      <c r="L118" s="52">
        <f t="shared" si="30"/>
        <v>0</v>
      </c>
      <c r="M118" s="51">
        <f t="shared" si="30"/>
        <v>0</v>
      </c>
      <c r="N118" s="51">
        <f t="shared" si="30"/>
        <v>0</v>
      </c>
      <c r="O118" s="51">
        <f t="shared" si="30"/>
        <v>0</v>
      </c>
      <c r="P118" s="51">
        <f t="shared" si="30"/>
        <v>0</v>
      </c>
      <c r="Q118" s="215">
        <v>0.11</v>
      </c>
      <c r="R118" s="215">
        <v>0.13</v>
      </c>
      <c r="S118" s="51">
        <f t="shared" si="30"/>
        <v>0</v>
      </c>
      <c r="T118" s="215">
        <v>0.12</v>
      </c>
      <c r="U118" s="215">
        <v>0.1</v>
      </c>
      <c r="V118" s="215">
        <v>0.15</v>
      </c>
      <c r="W118" s="215">
        <v>0.1</v>
      </c>
      <c r="X118" s="215">
        <v>0.1</v>
      </c>
      <c r="Y118" s="59">
        <f t="shared" si="30"/>
        <v>0</v>
      </c>
      <c r="Z118" s="51">
        <f t="shared" si="30"/>
        <v>0.1135375</v>
      </c>
      <c r="AA118" s="51">
        <f t="shared" si="30"/>
        <v>0.1135375</v>
      </c>
    </row>
    <row r="119" spans="1:27" x14ac:dyDescent="0.25">
      <c r="A119" s="30" t="s">
        <v>60</v>
      </c>
      <c r="B119" s="32" t="s">
        <v>65</v>
      </c>
      <c r="C119" s="31" t="s">
        <v>68</v>
      </c>
      <c r="D119" s="2"/>
      <c r="E119" s="2"/>
      <c r="F119" s="51">
        <f t="shared" si="30"/>
        <v>0</v>
      </c>
      <c r="G119" s="51">
        <f t="shared" si="30"/>
        <v>0</v>
      </c>
      <c r="H119" s="51">
        <f t="shared" si="30"/>
        <v>0</v>
      </c>
      <c r="I119" s="51">
        <f t="shared" si="30"/>
        <v>0</v>
      </c>
      <c r="J119" s="51">
        <f t="shared" si="30"/>
        <v>0</v>
      </c>
      <c r="K119" s="51">
        <f t="shared" si="30"/>
        <v>0</v>
      </c>
      <c r="L119" s="215">
        <v>0.08</v>
      </c>
      <c r="M119" s="51">
        <f t="shared" si="30"/>
        <v>0</v>
      </c>
      <c r="N119" s="51">
        <f t="shared" si="30"/>
        <v>0</v>
      </c>
      <c r="O119" s="51">
        <f t="shared" si="30"/>
        <v>0</v>
      </c>
      <c r="P119" s="51">
        <f t="shared" si="30"/>
        <v>0</v>
      </c>
      <c r="Q119" s="51">
        <f t="shared" si="30"/>
        <v>0</v>
      </c>
      <c r="R119" s="51">
        <f t="shared" si="30"/>
        <v>0</v>
      </c>
      <c r="S119" s="51">
        <f t="shared" si="30"/>
        <v>0</v>
      </c>
      <c r="T119" s="51">
        <f t="shared" si="30"/>
        <v>0</v>
      </c>
      <c r="U119" s="51">
        <f t="shared" si="30"/>
        <v>0</v>
      </c>
      <c r="V119" s="51">
        <f t="shared" si="30"/>
        <v>0</v>
      </c>
      <c r="W119" s="51">
        <f t="shared" si="30"/>
        <v>0</v>
      </c>
      <c r="X119" s="55">
        <f t="shared" si="30"/>
        <v>0</v>
      </c>
      <c r="Y119" s="59">
        <f t="shared" si="30"/>
        <v>0</v>
      </c>
      <c r="Z119" s="51">
        <f t="shared" si="30"/>
        <v>0</v>
      </c>
      <c r="AA119" s="51">
        <f t="shared" si="30"/>
        <v>0.08</v>
      </c>
    </row>
    <row r="120" spans="1:27" x14ac:dyDescent="0.25">
      <c r="A120" s="30" t="s">
        <v>60</v>
      </c>
      <c r="B120" s="32" t="s">
        <v>9</v>
      </c>
      <c r="C120" s="31" t="s">
        <v>69</v>
      </c>
      <c r="D120" s="2"/>
      <c r="E120" s="2"/>
      <c r="F120" s="51">
        <f t="shared" si="30"/>
        <v>0</v>
      </c>
      <c r="G120" s="51">
        <f t="shared" si="30"/>
        <v>0</v>
      </c>
      <c r="H120" s="51">
        <f t="shared" si="30"/>
        <v>0</v>
      </c>
      <c r="I120" s="51">
        <f t="shared" si="30"/>
        <v>0</v>
      </c>
      <c r="J120" s="51">
        <f t="shared" si="30"/>
        <v>0</v>
      </c>
      <c r="K120" s="51">
        <f t="shared" si="30"/>
        <v>0</v>
      </c>
      <c r="L120" s="52">
        <f t="shared" si="30"/>
        <v>0</v>
      </c>
      <c r="M120" s="51">
        <f t="shared" si="30"/>
        <v>0</v>
      </c>
      <c r="N120" s="51">
        <f t="shared" si="30"/>
        <v>0</v>
      </c>
      <c r="O120" s="51">
        <f t="shared" si="30"/>
        <v>0</v>
      </c>
      <c r="P120" s="51">
        <f t="shared" si="30"/>
        <v>0</v>
      </c>
      <c r="Q120" s="51">
        <f t="shared" si="30"/>
        <v>0</v>
      </c>
      <c r="R120" s="51">
        <f t="shared" si="30"/>
        <v>0</v>
      </c>
      <c r="S120" s="51">
        <f t="shared" si="30"/>
        <v>0</v>
      </c>
      <c r="T120" s="51">
        <f t="shared" si="30"/>
        <v>0</v>
      </c>
      <c r="U120" s="51">
        <f t="shared" si="30"/>
        <v>0</v>
      </c>
      <c r="V120" s="51">
        <f t="shared" si="30"/>
        <v>1</v>
      </c>
      <c r="W120" s="51">
        <f t="shared" si="30"/>
        <v>0</v>
      </c>
      <c r="X120" s="79">
        <v>0.42</v>
      </c>
      <c r="Y120" s="59">
        <f t="shared" si="30"/>
        <v>0</v>
      </c>
      <c r="Z120" s="51">
        <f t="shared" si="30"/>
        <v>0.61607710230883284</v>
      </c>
      <c r="AA120" s="51">
        <f t="shared" si="30"/>
        <v>0.61607710230883284</v>
      </c>
    </row>
    <row r="121" spans="1:27" x14ac:dyDescent="0.25">
      <c r="A121" s="15" t="s">
        <v>51</v>
      </c>
      <c r="B121" s="16" t="s">
        <v>56</v>
      </c>
      <c r="C121" s="27" t="s">
        <v>57</v>
      </c>
      <c r="D121" s="16" t="s">
        <v>70</v>
      </c>
      <c r="E121" s="16"/>
      <c r="F121" s="1">
        <f t="shared" si="30"/>
        <v>0</v>
      </c>
      <c r="G121" s="1">
        <f t="shared" si="30"/>
        <v>0</v>
      </c>
      <c r="H121" s="1">
        <f t="shared" si="30"/>
        <v>0</v>
      </c>
      <c r="I121" s="1">
        <f t="shared" si="30"/>
        <v>0</v>
      </c>
      <c r="J121" s="1">
        <f t="shared" si="30"/>
        <v>0</v>
      </c>
      <c r="K121" s="1">
        <f t="shared" si="30"/>
        <v>0</v>
      </c>
      <c r="L121" s="52">
        <f t="shared" si="30"/>
        <v>0</v>
      </c>
      <c r="M121" s="1">
        <f t="shared" si="30"/>
        <v>0</v>
      </c>
      <c r="N121" s="1">
        <f t="shared" si="30"/>
        <v>0</v>
      </c>
      <c r="O121" s="1">
        <f t="shared" si="30"/>
        <v>0</v>
      </c>
      <c r="P121" s="1">
        <f t="shared" si="30"/>
        <v>0</v>
      </c>
      <c r="Q121" s="1">
        <f t="shared" si="30"/>
        <v>0</v>
      </c>
      <c r="R121" s="1">
        <f t="shared" si="30"/>
        <v>0</v>
      </c>
      <c r="S121" s="1">
        <f t="shared" si="30"/>
        <v>0</v>
      </c>
      <c r="T121" s="1">
        <f t="shared" si="30"/>
        <v>0</v>
      </c>
      <c r="U121" s="1">
        <f t="shared" si="30"/>
        <v>0</v>
      </c>
      <c r="V121" s="1">
        <f t="shared" si="30"/>
        <v>0</v>
      </c>
      <c r="W121" s="1">
        <f t="shared" si="30"/>
        <v>0</v>
      </c>
      <c r="X121" s="54">
        <f t="shared" si="30"/>
        <v>0</v>
      </c>
      <c r="Y121" s="58">
        <f t="shared" si="30"/>
        <v>0</v>
      </c>
      <c r="Z121" s="1">
        <f t="shared" si="30"/>
        <v>0</v>
      </c>
      <c r="AA121" s="1">
        <f t="shared" si="30"/>
        <v>0</v>
      </c>
    </row>
    <row r="122" spans="1:27" x14ac:dyDescent="0.25">
      <c r="A122" s="15" t="s">
        <v>51</v>
      </c>
      <c r="B122" s="16" t="s">
        <v>56</v>
      </c>
      <c r="C122" s="27" t="s">
        <v>57</v>
      </c>
      <c r="D122" s="16" t="s">
        <v>71</v>
      </c>
      <c r="E122" s="16"/>
      <c r="F122" s="1">
        <f t="shared" si="30"/>
        <v>0</v>
      </c>
      <c r="G122" s="1">
        <f t="shared" si="30"/>
        <v>0</v>
      </c>
      <c r="H122" s="1">
        <f t="shared" si="30"/>
        <v>0</v>
      </c>
      <c r="I122" s="1">
        <f t="shared" si="30"/>
        <v>0</v>
      </c>
      <c r="J122" s="1">
        <f t="shared" si="30"/>
        <v>0</v>
      </c>
      <c r="K122" s="1">
        <f t="shared" si="30"/>
        <v>0</v>
      </c>
      <c r="L122" s="52">
        <f t="shared" si="30"/>
        <v>0</v>
      </c>
      <c r="M122" s="1">
        <f t="shared" si="30"/>
        <v>0</v>
      </c>
      <c r="N122" s="1">
        <f t="shared" si="30"/>
        <v>0</v>
      </c>
      <c r="O122" s="1">
        <f t="shared" si="30"/>
        <v>0</v>
      </c>
      <c r="P122" s="1">
        <f t="shared" si="30"/>
        <v>0</v>
      </c>
      <c r="Q122" s="1">
        <f t="shared" si="30"/>
        <v>0</v>
      </c>
      <c r="R122" s="1">
        <f t="shared" si="30"/>
        <v>0</v>
      </c>
      <c r="S122" s="1">
        <f t="shared" si="30"/>
        <v>0</v>
      </c>
      <c r="T122" s="1">
        <f t="shared" si="30"/>
        <v>0</v>
      </c>
      <c r="U122" s="1">
        <f t="shared" si="30"/>
        <v>0</v>
      </c>
      <c r="V122" s="1">
        <f t="shared" si="30"/>
        <v>0</v>
      </c>
      <c r="W122" s="1">
        <f t="shared" si="30"/>
        <v>0</v>
      </c>
      <c r="X122" s="54">
        <f t="shared" si="30"/>
        <v>0</v>
      </c>
      <c r="Y122" s="58">
        <f t="shared" si="30"/>
        <v>0</v>
      </c>
      <c r="Z122" s="1">
        <f t="shared" si="30"/>
        <v>0</v>
      </c>
      <c r="AA122" s="1">
        <f t="shared" si="30"/>
        <v>0</v>
      </c>
    </row>
    <row r="123" spans="1:27" x14ac:dyDescent="0.25">
      <c r="A123" s="15" t="s">
        <v>51</v>
      </c>
      <c r="B123" s="16" t="s">
        <v>56</v>
      </c>
      <c r="C123" s="27" t="s">
        <v>27</v>
      </c>
      <c r="D123" s="16" t="s">
        <v>72</v>
      </c>
      <c r="E123" s="16"/>
      <c r="F123" s="1">
        <f t="shared" si="30"/>
        <v>0</v>
      </c>
      <c r="G123" s="1">
        <f t="shared" si="30"/>
        <v>0</v>
      </c>
      <c r="H123" s="1">
        <f t="shared" si="30"/>
        <v>0</v>
      </c>
      <c r="I123" s="1">
        <f t="shared" si="30"/>
        <v>0</v>
      </c>
      <c r="J123" s="1">
        <f t="shared" si="30"/>
        <v>0</v>
      </c>
      <c r="K123" s="1">
        <f t="shared" si="30"/>
        <v>0</v>
      </c>
      <c r="L123" s="52">
        <f t="shared" si="30"/>
        <v>0</v>
      </c>
      <c r="M123" s="1">
        <f t="shared" si="30"/>
        <v>0</v>
      </c>
      <c r="N123" s="1">
        <f t="shared" si="30"/>
        <v>0</v>
      </c>
      <c r="O123" s="1">
        <f t="shared" si="30"/>
        <v>0</v>
      </c>
      <c r="P123" s="1">
        <f t="shared" si="30"/>
        <v>0</v>
      </c>
      <c r="Q123" s="1">
        <f t="shared" si="30"/>
        <v>0</v>
      </c>
      <c r="R123" s="1">
        <f t="shared" si="30"/>
        <v>0</v>
      </c>
      <c r="S123" s="1">
        <f t="shared" si="30"/>
        <v>0</v>
      </c>
      <c r="T123" s="1">
        <f t="shared" si="30"/>
        <v>0</v>
      </c>
      <c r="U123" s="1">
        <f t="shared" si="30"/>
        <v>0</v>
      </c>
      <c r="V123" s="1">
        <f t="shared" si="30"/>
        <v>0</v>
      </c>
      <c r="W123" s="1">
        <f t="shared" si="30"/>
        <v>0</v>
      </c>
      <c r="X123" s="54">
        <f t="shared" si="30"/>
        <v>0</v>
      </c>
      <c r="Y123" s="58">
        <f t="shared" si="30"/>
        <v>0</v>
      </c>
      <c r="Z123" s="1">
        <f t="shared" si="30"/>
        <v>0</v>
      </c>
      <c r="AA123" s="1">
        <f t="shared" si="30"/>
        <v>0</v>
      </c>
    </row>
    <row r="124" spans="1:27" x14ac:dyDescent="0.25">
      <c r="A124" s="15" t="s">
        <v>51</v>
      </c>
      <c r="B124" s="16" t="s">
        <v>56</v>
      </c>
      <c r="C124" s="27" t="s">
        <v>57</v>
      </c>
      <c r="D124" s="16" t="s">
        <v>73</v>
      </c>
      <c r="E124" s="16"/>
      <c r="F124" s="1">
        <f t="shared" si="30"/>
        <v>0</v>
      </c>
      <c r="G124" s="1">
        <f t="shared" si="30"/>
        <v>0</v>
      </c>
      <c r="H124" s="1">
        <f t="shared" si="30"/>
        <v>0</v>
      </c>
      <c r="I124" s="1">
        <f t="shared" si="30"/>
        <v>0</v>
      </c>
      <c r="J124" s="1">
        <f t="shared" si="30"/>
        <v>0</v>
      </c>
      <c r="K124" s="1">
        <f t="shared" si="30"/>
        <v>0</v>
      </c>
      <c r="L124" s="52">
        <f t="shared" si="30"/>
        <v>0</v>
      </c>
      <c r="M124" s="1">
        <f t="shared" si="30"/>
        <v>0</v>
      </c>
      <c r="N124" s="1">
        <f t="shared" si="30"/>
        <v>0</v>
      </c>
      <c r="O124" s="1">
        <f t="shared" si="30"/>
        <v>0</v>
      </c>
      <c r="P124" s="1">
        <f t="shared" si="30"/>
        <v>0</v>
      </c>
      <c r="Q124" s="1">
        <f t="shared" si="30"/>
        <v>0</v>
      </c>
      <c r="R124" s="1">
        <f t="shared" si="30"/>
        <v>0</v>
      </c>
      <c r="S124" s="1">
        <f t="shared" si="30"/>
        <v>0</v>
      </c>
      <c r="T124" s="1">
        <f t="shared" si="30"/>
        <v>0</v>
      </c>
      <c r="U124" s="1">
        <f t="shared" si="30"/>
        <v>0</v>
      </c>
      <c r="V124" s="1">
        <f t="shared" si="30"/>
        <v>0</v>
      </c>
      <c r="W124" s="1">
        <f t="shared" si="30"/>
        <v>0</v>
      </c>
      <c r="X124" s="54">
        <f t="shared" si="30"/>
        <v>0</v>
      </c>
      <c r="Y124" s="58">
        <f t="shared" si="30"/>
        <v>0</v>
      </c>
      <c r="Z124" s="1">
        <f t="shared" si="30"/>
        <v>0</v>
      </c>
      <c r="AA124" s="1">
        <f t="shared" si="30"/>
        <v>0</v>
      </c>
    </row>
    <row r="125" spans="1:27" x14ac:dyDescent="0.25">
      <c r="A125" s="15" t="s">
        <v>51</v>
      </c>
      <c r="B125" s="16" t="s">
        <v>56</v>
      </c>
      <c r="C125" s="27" t="s">
        <v>57</v>
      </c>
      <c r="D125" s="16" t="s">
        <v>74</v>
      </c>
      <c r="E125" s="16"/>
      <c r="F125" s="1">
        <f t="shared" si="30"/>
        <v>0</v>
      </c>
      <c r="G125" s="1">
        <f t="shared" si="30"/>
        <v>0</v>
      </c>
      <c r="H125" s="1">
        <f t="shared" si="30"/>
        <v>0</v>
      </c>
      <c r="I125" s="1">
        <f t="shared" si="30"/>
        <v>0</v>
      </c>
      <c r="J125" s="1">
        <f t="shared" si="30"/>
        <v>0</v>
      </c>
      <c r="K125" s="1">
        <f t="shared" si="30"/>
        <v>0</v>
      </c>
      <c r="L125" s="52">
        <f t="shared" si="30"/>
        <v>0</v>
      </c>
      <c r="M125" s="1">
        <f t="shared" si="30"/>
        <v>0</v>
      </c>
      <c r="N125" s="1">
        <f t="shared" si="30"/>
        <v>0</v>
      </c>
      <c r="O125" s="1">
        <f t="shared" si="30"/>
        <v>0</v>
      </c>
      <c r="P125" s="1">
        <f t="shared" si="30"/>
        <v>0</v>
      </c>
      <c r="Q125" s="1">
        <f t="shared" si="30"/>
        <v>0</v>
      </c>
      <c r="R125" s="1">
        <f t="shared" si="30"/>
        <v>0</v>
      </c>
      <c r="S125" s="1">
        <f t="shared" si="30"/>
        <v>0</v>
      </c>
      <c r="T125" s="1">
        <f t="shared" si="30"/>
        <v>0</v>
      </c>
      <c r="U125" s="1">
        <f t="shared" si="30"/>
        <v>0</v>
      </c>
      <c r="V125" s="1">
        <f t="shared" si="30"/>
        <v>0</v>
      </c>
      <c r="W125" s="1">
        <f t="shared" si="30"/>
        <v>0</v>
      </c>
      <c r="X125" s="54">
        <f t="shared" si="30"/>
        <v>0</v>
      </c>
      <c r="Y125" s="58">
        <f t="shared" si="30"/>
        <v>0</v>
      </c>
      <c r="Z125" s="1">
        <f t="shared" si="30"/>
        <v>0</v>
      </c>
      <c r="AA125" s="1">
        <f t="shared" si="30"/>
        <v>0</v>
      </c>
    </row>
    <row r="126" spans="1:27" x14ac:dyDescent="0.25">
      <c r="A126" s="30" t="s">
        <v>60</v>
      </c>
      <c r="B126" s="31" t="s">
        <v>13</v>
      </c>
      <c r="C126" s="32" t="s">
        <v>61</v>
      </c>
      <c r="D126" s="31" t="s">
        <v>75</v>
      </c>
      <c r="E126" s="31"/>
      <c r="F126" s="51">
        <f>F111*0.9</f>
        <v>0.16806860571428572</v>
      </c>
      <c r="G126" s="73"/>
      <c r="H126" s="51">
        <f>H111</f>
        <v>0.26724975704567544</v>
      </c>
      <c r="I126" s="51">
        <f>I111*0.9</f>
        <v>0.16967930029154521</v>
      </c>
      <c r="J126" s="51">
        <f>J111*0.3</f>
        <v>7.6923076923076913E-2</v>
      </c>
      <c r="K126" s="51">
        <f>K111*0.8</f>
        <v>0.11653333333333334</v>
      </c>
      <c r="L126" s="52">
        <v>0</v>
      </c>
      <c r="M126" s="73">
        <f>M111*0.1</f>
        <v>2.9090909090909091E-2</v>
      </c>
      <c r="N126" s="73">
        <v>0</v>
      </c>
      <c r="O126" s="73">
        <v>0</v>
      </c>
      <c r="P126" s="73">
        <v>0</v>
      </c>
      <c r="Q126" s="73"/>
      <c r="R126" s="73"/>
      <c r="S126" s="51"/>
      <c r="T126" s="51"/>
      <c r="U126" s="51"/>
      <c r="V126" s="51"/>
      <c r="W126" s="51">
        <f>W111</f>
        <v>0.8</v>
      </c>
      <c r="X126" s="55">
        <f>X156*0.1</f>
        <v>42.6</v>
      </c>
      <c r="Y126" s="59">
        <f t="shared" si="30"/>
        <v>0.19737705830664298</v>
      </c>
      <c r="Z126" s="51">
        <f t="shared" si="30"/>
        <v>0.27345316455696206</v>
      </c>
      <c r="AA126" s="51">
        <f t="shared" si="30"/>
        <v>0.20239792736279438</v>
      </c>
    </row>
    <row r="127" spans="1:27" x14ac:dyDescent="0.25">
      <c r="A127" s="30" t="s">
        <v>60</v>
      </c>
      <c r="B127" s="31" t="s">
        <v>13</v>
      </c>
      <c r="C127" s="32" t="s">
        <v>61</v>
      </c>
      <c r="D127" s="31" t="s">
        <v>76</v>
      </c>
      <c r="E127" s="31"/>
      <c r="F127" s="51">
        <f>F111*0.1</f>
        <v>1.8674289523809527E-2</v>
      </c>
      <c r="G127" s="51">
        <v>0</v>
      </c>
      <c r="H127" s="51">
        <v>0</v>
      </c>
      <c r="I127" s="51">
        <f>I111*0.05</f>
        <v>9.4266277939747331E-3</v>
      </c>
      <c r="J127" s="51">
        <f>J111*0.7</f>
        <v>0.17948717948717946</v>
      </c>
      <c r="K127" s="51">
        <f>K111*0.05</f>
        <v>7.2833333333333335E-3</v>
      </c>
      <c r="L127" s="52">
        <v>0</v>
      </c>
      <c r="M127" s="73">
        <f>M111*0.5</f>
        <v>0.14545454545454545</v>
      </c>
      <c r="N127" s="73">
        <f>N111</f>
        <v>0.28636363636363638</v>
      </c>
      <c r="O127" s="73">
        <f>O111*0.5</f>
        <v>0.14492753623188406</v>
      </c>
      <c r="P127" s="73">
        <f>P111*0.44</f>
        <v>5.7200000000000001E-2</v>
      </c>
      <c r="Q127" s="73"/>
      <c r="R127" s="73">
        <f>R111</f>
        <v>0.3</v>
      </c>
      <c r="S127" s="51"/>
      <c r="T127" s="51"/>
      <c r="U127" s="51"/>
      <c r="V127" s="51"/>
      <c r="W127" s="51"/>
      <c r="X127" s="55">
        <f>X156*0.1</f>
        <v>42.6</v>
      </c>
      <c r="Y127" s="59">
        <f t="shared" ref="Y127:AA127" si="31">IF(Y37&gt;0,Y82/Y37,0)</f>
        <v>0.23781157084302645</v>
      </c>
      <c r="Z127" s="51">
        <f t="shared" si="31"/>
        <v>0.18488321167883212</v>
      </c>
      <c r="AA127" s="51">
        <f t="shared" si="31"/>
        <v>0.18996163826624882</v>
      </c>
    </row>
    <row r="128" spans="1:27" x14ac:dyDescent="0.25">
      <c r="A128" s="30" t="s">
        <v>60</v>
      </c>
      <c r="B128" s="31" t="s">
        <v>13</v>
      </c>
      <c r="C128" s="32" t="s">
        <v>61</v>
      </c>
      <c r="D128" s="31" t="s">
        <v>77</v>
      </c>
      <c r="E128" s="31"/>
      <c r="F128" s="51">
        <v>0</v>
      </c>
      <c r="G128" s="51">
        <v>0</v>
      </c>
      <c r="H128" s="51">
        <v>0</v>
      </c>
      <c r="I128" s="51">
        <v>0</v>
      </c>
      <c r="J128" s="51">
        <v>0</v>
      </c>
      <c r="K128" s="51">
        <f>K111*0.1</f>
        <v>1.4566666666666667E-2</v>
      </c>
      <c r="L128" s="52">
        <v>0</v>
      </c>
      <c r="M128" s="73">
        <f>M111*0.4</f>
        <v>0.11636363636363636</v>
      </c>
      <c r="N128" s="73">
        <v>0</v>
      </c>
      <c r="O128" s="73">
        <f>O111*0.5</f>
        <v>0.14492753623188406</v>
      </c>
      <c r="P128" s="73">
        <f>P111*0.55</f>
        <v>7.1500000000000008E-2</v>
      </c>
      <c r="Q128" s="73"/>
      <c r="R128" s="73"/>
      <c r="S128" s="51"/>
      <c r="T128" s="51">
        <f>T111</f>
        <v>0.35</v>
      </c>
      <c r="U128" s="51">
        <f>U111</f>
        <v>0.44</v>
      </c>
      <c r="V128" s="51"/>
      <c r="W128" s="51"/>
      <c r="X128" s="55">
        <f>X156*0.7</f>
        <v>298.2</v>
      </c>
      <c r="Y128" s="59">
        <f t="shared" ref="Y128:AA135" si="32">IF(Y38&gt;0,Y83/Y38,0)</f>
        <v>0.14566666666666667</v>
      </c>
      <c r="Z128" s="51">
        <f t="shared" si="32"/>
        <v>0.16840869737162845</v>
      </c>
      <c r="AA128" s="51">
        <f t="shared" si="32"/>
        <v>0.16823099430535282</v>
      </c>
    </row>
    <row r="129" spans="1:55" x14ac:dyDescent="0.25">
      <c r="A129" s="30" t="s">
        <v>60</v>
      </c>
      <c r="B129" s="31" t="s">
        <v>13</v>
      </c>
      <c r="C129" s="32" t="s">
        <v>61</v>
      </c>
      <c r="D129" s="31" t="s">
        <v>78</v>
      </c>
      <c r="E129" s="31"/>
      <c r="F129" s="51">
        <v>0</v>
      </c>
      <c r="G129" s="51">
        <v>0</v>
      </c>
      <c r="H129" s="51">
        <v>0</v>
      </c>
      <c r="I129" s="51">
        <f>I111*0.05</f>
        <v>9.4266277939747331E-3</v>
      </c>
      <c r="J129" s="51">
        <v>0</v>
      </c>
      <c r="K129" s="51">
        <f>K111*0.05</f>
        <v>7.2833333333333335E-3</v>
      </c>
      <c r="L129" s="52">
        <v>0</v>
      </c>
      <c r="M129" s="73">
        <f>M111*0</f>
        <v>0</v>
      </c>
      <c r="N129" s="73">
        <v>0</v>
      </c>
      <c r="O129" s="73">
        <f>O111*0</f>
        <v>0</v>
      </c>
      <c r="P129" s="73">
        <f>(P111)*0.01</f>
        <v>1.3000000000000002E-3</v>
      </c>
      <c r="Q129" s="73">
        <f>Q111</f>
        <v>0.3</v>
      </c>
      <c r="R129" s="73"/>
      <c r="S129" s="51"/>
      <c r="T129" s="51"/>
      <c r="U129" s="51"/>
      <c r="V129" s="51"/>
      <c r="W129" s="51"/>
      <c r="X129" s="55">
        <f>X111*0.1</f>
        <v>3.4999999999999996E-2</v>
      </c>
      <c r="Y129" s="59">
        <f t="shared" si="32"/>
        <v>0.17046093310848792</v>
      </c>
      <c r="Z129" s="51">
        <f t="shared" si="32"/>
        <v>0.29213333333333336</v>
      </c>
      <c r="AA129" s="51">
        <f t="shared" si="32"/>
        <v>0.28455562057083417</v>
      </c>
    </row>
    <row r="130" spans="1:55" ht="15.75" thickBot="1" x14ac:dyDescent="0.3">
      <c r="A130" s="33" t="s">
        <v>60</v>
      </c>
      <c r="B130" s="34" t="s">
        <v>13</v>
      </c>
      <c r="C130" s="35" t="s">
        <v>61</v>
      </c>
      <c r="D130" s="34" t="s">
        <v>79</v>
      </c>
      <c r="E130" s="31"/>
      <c r="F130" s="51">
        <v>0</v>
      </c>
      <c r="G130" s="51">
        <v>0</v>
      </c>
      <c r="H130" s="51">
        <v>0</v>
      </c>
      <c r="I130" s="51">
        <v>0</v>
      </c>
      <c r="J130" s="51">
        <v>0</v>
      </c>
      <c r="K130" s="51">
        <v>0</v>
      </c>
      <c r="L130" s="52">
        <v>0</v>
      </c>
      <c r="M130" s="51">
        <v>0</v>
      </c>
      <c r="N130" s="51">
        <v>0</v>
      </c>
      <c r="O130" s="51">
        <v>0</v>
      </c>
      <c r="P130" s="51">
        <v>0</v>
      </c>
      <c r="Q130" s="51">
        <v>0</v>
      </c>
      <c r="R130" s="51">
        <v>0</v>
      </c>
      <c r="S130" s="51">
        <v>0</v>
      </c>
      <c r="T130" s="51">
        <v>0</v>
      </c>
      <c r="U130" s="51">
        <v>0</v>
      </c>
      <c r="V130" s="51">
        <v>0</v>
      </c>
      <c r="W130" s="51">
        <v>0</v>
      </c>
      <c r="X130" s="55">
        <v>0</v>
      </c>
      <c r="Y130" s="59">
        <f t="shared" si="32"/>
        <v>0</v>
      </c>
      <c r="Z130" s="51">
        <f t="shared" si="32"/>
        <v>0</v>
      </c>
      <c r="AA130" s="51">
        <f t="shared" si="32"/>
        <v>0</v>
      </c>
    </row>
    <row r="131" spans="1:55" x14ac:dyDescent="0.25">
      <c r="A131" s="30" t="s">
        <v>60</v>
      </c>
      <c r="B131" s="31" t="s">
        <v>13</v>
      </c>
      <c r="C131" s="32" t="s">
        <v>62</v>
      </c>
      <c r="D131" s="31" t="s">
        <v>75</v>
      </c>
      <c r="E131" s="31"/>
      <c r="F131" s="51"/>
      <c r="G131" s="73">
        <f>G112</f>
        <v>0.24068860162036304</v>
      </c>
      <c r="H131" s="51">
        <f>H112*0.4</f>
        <v>0.10449628457654841</v>
      </c>
      <c r="I131" s="51">
        <v>0</v>
      </c>
      <c r="J131" s="51">
        <v>0</v>
      </c>
      <c r="K131" s="51">
        <v>0</v>
      </c>
      <c r="L131" s="52">
        <v>0</v>
      </c>
      <c r="M131" s="51">
        <v>0</v>
      </c>
      <c r="N131" s="51">
        <v>0</v>
      </c>
      <c r="O131" s="51">
        <v>0</v>
      </c>
      <c r="P131" s="51">
        <v>0</v>
      </c>
      <c r="Q131" s="51">
        <v>0</v>
      </c>
      <c r="R131" s="51">
        <v>0</v>
      </c>
      <c r="S131" s="51">
        <v>0</v>
      </c>
      <c r="T131" s="51">
        <v>0</v>
      </c>
      <c r="U131" s="51">
        <v>0</v>
      </c>
      <c r="V131" s="51">
        <v>0</v>
      </c>
      <c r="W131" s="51">
        <v>0</v>
      </c>
      <c r="X131" s="55">
        <v>0</v>
      </c>
      <c r="Y131" s="59">
        <f t="shared" si="32"/>
        <v>0.25113900958271707</v>
      </c>
      <c r="Z131" s="51">
        <f t="shared" si="32"/>
        <v>0</v>
      </c>
      <c r="AA131" s="51">
        <f t="shared" si="32"/>
        <v>0.25113900958271707</v>
      </c>
    </row>
    <row r="132" spans="1:55" x14ac:dyDescent="0.25">
      <c r="A132" s="30" t="s">
        <v>60</v>
      </c>
      <c r="B132" s="31" t="s">
        <v>13</v>
      </c>
      <c r="C132" s="32" t="s">
        <v>62</v>
      </c>
      <c r="D132" s="31" t="s">
        <v>76</v>
      </c>
      <c r="E132" s="31"/>
      <c r="F132" s="51">
        <f>F112</f>
        <v>0.23348117333333337</v>
      </c>
      <c r="G132" s="51">
        <f>G112*0</f>
        <v>0</v>
      </c>
      <c r="H132" s="51">
        <f>H112*0.6</f>
        <v>0.15674442686482259</v>
      </c>
      <c r="I132" s="51">
        <v>0</v>
      </c>
      <c r="J132" s="51">
        <v>0</v>
      </c>
      <c r="K132" s="51">
        <v>0</v>
      </c>
      <c r="L132" s="52">
        <v>0</v>
      </c>
      <c r="M132" s="51">
        <v>0</v>
      </c>
      <c r="N132" s="51">
        <v>0</v>
      </c>
      <c r="O132" s="51">
        <v>0</v>
      </c>
      <c r="P132" s="51">
        <f>P112</f>
        <v>0.13227513227513227</v>
      </c>
      <c r="Q132" s="51">
        <v>0</v>
      </c>
      <c r="R132" s="51">
        <v>0</v>
      </c>
      <c r="S132" s="51">
        <v>0</v>
      </c>
      <c r="T132" s="51">
        <v>0</v>
      </c>
      <c r="U132" s="51">
        <v>0</v>
      </c>
      <c r="V132" s="51">
        <v>0</v>
      </c>
      <c r="W132" s="51">
        <v>0</v>
      </c>
      <c r="X132" s="55">
        <v>0</v>
      </c>
      <c r="Y132" s="59">
        <f t="shared" si="32"/>
        <v>0.25307634631915121</v>
      </c>
      <c r="Z132" s="51">
        <f t="shared" si="32"/>
        <v>0.13227513227513227</v>
      </c>
      <c r="AA132" s="51">
        <f t="shared" si="32"/>
        <v>0.14337603737898888</v>
      </c>
    </row>
    <row r="133" spans="1:55" x14ac:dyDescent="0.25">
      <c r="A133" s="30" t="s">
        <v>60</v>
      </c>
      <c r="B133" s="31" t="s">
        <v>13</v>
      </c>
      <c r="C133" s="32" t="s">
        <v>62</v>
      </c>
      <c r="D133" s="31" t="s">
        <v>77</v>
      </c>
      <c r="E133" s="31"/>
      <c r="F133" s="51">
        <v>0</v>
      </c>
      <c r="G133" s="51">
        <v>0</v>
      </c>
      <c r="H133" s="51">
        <v>0</v>
      </c>
      <c r="I133" s="51">
        <v>0</v>
      </c>
      <c r="J133" s="51">
        <v>0</v>
      </c>
      <c r="K133" s="51">
        <v>0</v>
      </c>
      <c r="L133" s="52">
        <v>0</v>
      </c>
      <c r="M133" s="51">
        <v>0</v>
      </c>
      <c r="N133" s="51">
        <v>0</v>
      </c>
      <c r="O133" s="51">
        <v>0</v>
      </c>
      <c r="P133" s="51">
        <v>0</v>
      </c>
      <c r="Q133" s="51">
        <v>0</v>
      </c>
      <c r="R133" s="51">
        <v>0</v>
      </c>
      <c r="S133" s="51">
        <v>0</v>
      </c>
      <c r="T133" s="51">
        <v>0</v>
      </c>
      <c r="U133" s="51">
        <v>0</v>
      </c>
      <c r="V133" s="51">
        <v>0</v>
      </c>
      <c r="W133" s="51">
        <v>0</v>
      </c>
      <c r="X133" s="55">
        <v>0</v>
      </c>
      <c r="Y133" s="59">
        <f t="shared" si="32"/>
        <v>0</v>
      </c>
      <c r="Z133" s="51">
        <f t="shared" si="32"/>
        <v>0</v>
      </c>
      <c r="AA133" s="51">
        <f t="shared" si="32"/>
        <v>0</v>
      </c>
    </row>
    <row r="134" spans="1:55" x14ac:dyDescent="0.25">
      <c r="A134" s="30" t="s">
        <v>60</v>
      </c>
      <c r="B134" s="31" t="s">
        <v>13</v>
      </c>
      <c r="C134" s="32" t="s">
        <v>62</v>
      </c>
      <c r="D134" s="31" t="s">
        <v>78</v>
      </c>
      <c r="E134" s="31"/>
      <c r="F134" s="51">
        <v>0</v>
      </c>
      <c r="G134" s="51">
        <v>0</v>
      </c>
      <c r="H134" s="51">
        <v>0</v>
      </c>
      <c r="I134" s="51">
        <v>0</v>
      </c>
      <c r="J134" s="51">
        <v>0</v>
      </c>
      <c r="K134" s="51">
        <v>0</v>
      </c>
      <c r="L134" s="52">
        <v>0</v>
      </c>
      <c r="M134" s="51">
        <v>0</v>
      </c>
      <c r="N134" s="51">
        <v>0</v>
      </c>
      <c r="O134" s="51">
        <v>0</v>
      </c>
      <c r="P134" s="51">
        <v>0</v>
      </c>
      <c r="Q134" s="51">
        <v>0</v>
      </c>
      <c r="R134" s="51">
        <v>0</v>
      </c>
      <c r="S134" s="51">
        <v>0</v>
      </c>
      <c r="T134" s="51">
        <v>0</v>
      </c>
      <c r="U134" s="51">
        <v>0</v>
      </c>
      <c r="V134" s="51">
        <v>0</v>
      </c>
      <c r="W134" s="51">
        <v>0</v>
      </c>
      <c r="X134" s="55">
        <v>0</v>
      </c>
      <c r="Y134" s="59">
        <f t="shared" si="32"/>
        <v>0</v>
      </c>
      <c r="Z134" s="51">
        <f t="shared" si="32"/>
        <v>0</v>
      </c>
      <c r="AA134" s="51">
        <f t="shared" si="32"/>
        <v>0</v>
      </c>
    </row>
    <row r="135" spans="1:55" ht="15.75" thickBot="1" x14ac:dyDescent="0.3">
      <c r="A135" s="33" t="s">
        <v>60</v>
      </c>
      <c r="B135" s="34" t="s">
        <v>13</v>
      </c>
      <c r="C135" s="32" t="s">
        <v>62</v>
      </c>
      <c r="D135" s="34" t="s">
        <v>79</v>
      </c>
      <c r="E135" s="31"/>
      <c r="F135" s="51">
        <v>0</v>
      </c>
      <c r="G135" s="51">
        <v>0</v>
      </c>
      <c r="H135" s="51">
        <v>0</v>
      </c>
      <c r="I135" s="51">
        <v>0</v>
      </c>
      <c r="J135" s="51">
        <v>0</v>
      </c>
      <c r="K135" s="51">
        <v>0</v>
      </c>
      <c r="L135" s="52">
        <v>0</v>
      </c>
      <c r="M135" s="51">
        <v>0</v>
      </c>
      <c r="N135" s="51">
        <v>0</v>
      </c>
      <c r="O135" s="51">
        <v>0</v>
      </c>
      <c r="P135" s="51">
        <v>0</v>
      </c>
      <c r="Q135" s="51">
        <v>0</v>
      </c>
      <c r="R135" s="51">
        <v>0</v>
      </c>
      <c r="S135" s="51">
        <v>0</v>
      </c>
      <c r="T135" s="51">
        <v>0</v>
      </c>
      <c r="U135" s="51">
        <v>0</v>
      </c>
      <c r="V135" s="51">
        <v>0</v>
      </c>
      <c r="W135" s="51">
        <v>0</v>
      </c>
      <c r="X135" s="55">
        <v>0</v>
      </c>
      <c r="Y135" s="59">
        <f t="shared" si="32"/>
        <v>0</v>
      </c>
      <c r="Z135" s="51">
        <f t="shared" si="32"/>
        <v>0</v>
      </c>
      <c r="AA135" s="51">
        <f t="shared" si="32"/>
        <v>0</v>
      </c>
    </row>
    <row r="136" spans="1:5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55" x14ac:dyDescent="0.25">
      <c r="D137" s="41" t="s">
        <v>17</v>
      </c>
      <c r="E137" s="41"/>
      <c r="M137" s="24" t="s">
        <v>81</v>
      </c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AF137" s="41" t="s">
        <v>22</v>
      </c>
      <c r="AG137" s="41"/>
      <c r="AO137" s="24" t="s">
        <v>81</v>
      </c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</row>
    <row r="138" spans="1:55" x14ac:dyDescent="0.25">
      <c r="F138" s="23" t="s">
        <v>44</v>
      </c>
      <c r="G138" s="23"/>
      <c r="H138" s="23"/>
      <c r="I138" s="23"/>
      <c r="J138" s="23"/>
      <c r="K138" s="23"/>
      <c r="L138" s="7" t="s">
        <v>30</v>
      </c>
      <c r="M138" s="24" t="s">
        <v>46</v>
      </c>
      <c r="N138" s="8">
        <f>N21/N201</f>
        <v>758.62068965517244</v>
      </c>
      <c r="O138" s="8">
        <f>O21/O201</f>
        <v>12937.5</v>
      </c>
      <c r="P138" s="8">
        <f>P21/P201</f>
        <v>88090.204369274143</v>
      </c>
      <c r="Q138" s="24"/>
      <c r="R138" s="24" t="s">
        <v>47</v>
      </c>
      <c r="S138" s="24"/>
      <c r="T138" s="24"/>
      <c r="U138" s="24"/>
      <c r="V138" s="24"/>
      <c r="W138" s="24"/>
      <c r="X138" s="24"/>
      <c r="Y138" s="44" t="s">
        <v>85</v>
      </c>
      <c r="Z138" s="44" t="s">
        <v>48</v>
      </c>
      <c r="AA138" s="44" t="s">
        <v>3</v>
      </c>
      <c r="AH138" s="23" t="s">
        <v>44</v>
      </c>
      <c r="AI138" s="23"/>
      <c r="AJ138" s="23"/>
      <c r="AK138" s="23"/>
      <c r="AL138" s="23"/>
      <c r="AM138" s="23"/>
      <c r="AN138" s="7" t="s">
        <v>30</v>
      </c>
      <c r="AO138" s="24" t="s">
        <v>46</v>
      </c>
      <c r="AP138" s="24"/>
      <c r="AQ138" s="24"/>
      <c r="AR138" s="24"/>
      <c r="AS138" s="24"/>
      <c r="AT138" s="24" t="s">
        <v>47</v>
      </c>
      <c r="AU138" s="24"/>
      <c r="AV138" s="24"/>
      <c r="AW138" s="24"/>
      <c r="AX138" s="24"/>
      <c r="AY138" s="24"/>
      <c r="AZ138" s="24"/>
      <c r="BA138" s="44" t="s">
        <v>85</v>
      </c>
      <c r="BB138" s="44" t="s">
        <v>48</v>
      </c>
      <c r="BC138" s="44" t="s">
        <v>3</v>
      </c>
    </row>
    <row r="139" spans="1:55" ht="63" x14ac:dyDescent="0.25">
      <c r="F139" s="38" t="s">
        <v>36</v>
      </c>
      <c r="G139" s="38" t="s">
        <v>37</v>
      </c>
      <c r="H139" s="38" t="s">
        <v>38</v>
      </c>
      <c r="I139" s="38" t="s">
        <v>80</v>
      </c>
      <c r="J139" s="38" t="s">
        <v>39</v>
      </c>
      <c r="K139" s="38" t="s">
        <v>45</v>
      </c>
      <c r="L139" s="39" t="s">
        <v>16</v>
      </c>
      <c r="M139" s="40" t="s">
        <v>34</v>
      </c>
      <c r="N139" s="40" t="s">
        <v>5</v>
      </c>
      <c r="O139" s="40" t="s">
        <v>7</v>
      </c>
      <c r="P139" s="40" t="s">
        <v>8</v>
      </c>
      <c r="Q139" s="40" t="s">
        <v>40</v>
      </c>
      <c r="R139" s="40" t="s">
        <v>41</v>
      </c>
      <c r="S139" s="40" t="s">
        <v>42</v>
      </c>
      <c r="T139" s="40" t="s">
        <v>31</v>
      </c>
      <c r="U139" s="40" t="s">
        <v>43</v>
      </c>
      <c r="V139" s="40" t="s">
        <v>82</v>
      </c>
      <c r="W139" s="40" t="s">
        <v>87</v>
      </c>
      <c r="X139" s="40" t="s">
        <v>83</v>
      </c>
      <c r="Y139" s="45" t="s">
        <v>3</v>
      </c>
      <c r="Z139" s="45" t="s">
        <v>3</v>
      </c>
      <c r="AA139" s="45" t="s">
        <v>3</v>
      </c>
      <c r="AH139" s="38" t="s">
        <v>36</v>
      </c>
      <c r="AI139" s="38" t="s">
        <v>37</v>
      </c>
      <c r="AJ139" s="38" t="s">
        <v>38</v>
      </c>
      <c r="AK139" s="38" t="s">
        <v>80</v>
      </c>
      <c r="AL139" s="38" t="s">
        <v>39</v>
      </c>
      <c r="AM139" s="38" t="s">
        <v>45</v>
      </c>
      <c r="AN139" s="39" t="s">
        <v>16</v>
      </c>
      <c r="AO139" s="40" t="s">
        <v>34</v>
      </c>
      <c r="AP139" s="40" t="s">
        <v>5</v>
      </c>
      <c r="AQ139" s="40" t="s">
        <v>7</v>
      </c>
      <c r="AR139" s="40" t="s">
        <v>8</v>
      </c>
      <c r="AS139" s="40" t="s">
        <v>40</v>
      </c>
      <c r="AT139" s="40" t="s">
        <v>41</v>
      </c>
      <c r="AU139" s="40" t="s">
        <v>42</v>
      </c>
      <c r="AV139" s="40" t="s">
        <v>31</v>
      </c>
      <c r="AW139" s="40" t="s">
        <v>43</v>
      </c>
      <c r="AX139" s="40" t="s">
        <v>82</v>
      </c>
      <c r="AY139" s="40" t="s">
        <v>87</v>
      </c>
      <c r="AZ139" s="40" t="s">
        <v>83</v>
      </c>
      <c r="BA139" s="45" t="s">
        <v>3</v>
      </c>
      <c r="BB139" s="45" t="s">
        <v>86</v>
      </c>
      <c r="BC139" s="45" t="s">
        <v>3</v>
      </c>
    </row>
    <row r="140" spans="1:55" x14ac:dyDescent="0.25">
      <c r="A140" s="15" t="s">
        <v>51</v>
      </c>
      <c r="B140" s="2"/>
      <c r="C140" s="2"/>
      <c r="F140" s="1">
        <f t="shared" ref="F140:AA151" si="33">IF(F185&gt;0,F5/F185,0)</f>
        <v>0</v>
      </c>
      <c r="G140" s="1">
        <f t="shared" si="33"/>
        <v>0</v>
      </c>
      <c r="H140" s="1">
        <f t="shared" si="33"/>
        <v>0</v>
      </c>
      <c r="I140" s="1">
        <f t="shared" si="33"/>
        <v>0</v>
      </c>
      <c r="J140" s="1">
        <f t="shared" si="33"/>
        <v>0</v>
      </c>
      <c r="K140" s="1">
        <f t="shared" si="33"/>
        <v>0</v>
      </c>
      <c r="L140" s="52">
        <f t="shared" si="33"/>
        <v>0</v>
      </c>
      <c r="M140" s="1">
        <f t="shared" si="33"/>
        <v>0</v>
      </c>
      <c r="N140" s="1">
        <f t="shared" si="33"/>
        <v>0</v>
      </c>
      <c r="O140" s="1">
        <f t="shared" si="33"/>
        <v>0</v>
      </c>
      <c r="P140" s="1">
        <f t="shared" si="33"/>
        <v>0</v>
      </c>
      <c r="Q140" s="1">
        <f t="shared" si="33"/>
        <v>0</v>
      </c>
      <c r="R140" s="1">
        <f t="shared" si="33"/>
        <v>0</v>
      </c>
      <c r="S140" s="1">
        <f t="shared" si="33"/>
        <v>0</v>
      </c>
      <c r="T140" s="1">
        <f t="shared" si="33"/>
        <v>0</v>
      </c>
      <c r="U140" s="1">
        <f t="shared" si="33"/>
        <v>0</v>
      </c>
      <c r="V140" s="1">
        <f t="shared" si="33"/>
        <v>0</v>
      </c>
      <c r="W140" s="1">
        <f t="shared" si="33"/>
        <v>0</v>
      </c>
      <c r="X140" s="54">
        <f t="shared" si="33"/>
        <v>0</v>
      </c>
      <c r="Y140" s="58">
        <f t="shared" si="33"/>
        <v>0</v>
      </c>
      <c r="Z140" s="1">
        <f t="shared" si="33"/>
        <v>0</v>
      </c>
      <c r="AA140" s="1">
        <f t="shared" si="33"/>
        <v>0</v>
      </c>
      <c r="AC140" s="15" t="s">
        <v>51</v>
      </c>
      <c r="AD140" s="2"/>
      <c r="AE140" s="2"/>
      <c r="AH140" s="1" t="str">
        <f t="shared" ref="AH140:AW155" si="34">IF(F185&gt;0,F50/F185,"")</f>
        <v/>
      </c>
      <c r="AI140" s="1" t="str">
        <f t="shared" si="34"/>
        <v/>
      </c>
      <c r="AJ140" s="1" t="str">
        <f t="shared" si="34"/>
        <v/>
      </c>
      <c r="AK140" s="1" t="str">
        <f t="shared" si="34"/>
        <v/>
      </c>
      <c r="AL140" s="1" t="str">
        <f t="shared" si="34"/>
        <v/>
      </c>
      <c r="AM140" s="1" t="str">
        <f t="shared" si="34"/>
        <v/>
      </c>
      <c r="AN140" s="52" t="str">
        <f t="shared" si="34"/>
        <v/>
      </c>
      <c r="AO140" s="1" t="str">
        <f t="shared" si="34"/>
        <v/>
      </c>
      <c r="AP140" s="1" t="str">
        <f t="shared" si="34"/>
        <v/>
      </c>
      <c r="AQ140" s="1" t="str">
        <f t="shared" si="34"/>
        <v/>
      </c>
      <c r="AR140" s="1" t="str">
        <f t="shared" si="34"/>
        <v/>
      </c>
      <c r="AS140" s="1" t="str">
        <f t="shared" si="34"/>
        <v/>
      </c>
      <c r="AT140" s="1" t="str">
        <f t="shared" si="34"/>
        <v/>
      </c>
      <c r="AU140" s="1" t="str">
        <f t="shared" si="34"/>
        <v/>
      </c>
      <c r="AV140" s="1" t="str">
        <f t="shared" si="34"/>
        <v/>
      </c>
      <c r="AW140" s="1" t="str">
        <f t="shared" si="34"/>
        <v/>
      </c>
      <c r="AX140" s="1" t="str">
        <f t="shared" ref="AX140:BC155" si="35">IF(V185&gt;0,V50/V185,"")</f>
        <v/>
      </c>
      <c r="AY140" s="1" t="str">
        <f t="shared" si="35"/>
        <v/>
      </c>
      <c r="AZ140" s="1" t="str">
        <f t="shared" si="35"/>
        <v/>
      </c>
      <c r="BA140" s="1" t="str">
        <f t="shared" si="35"/>
        <v/>
      </c>
      <c r="BB140" s="1" t="str">
        <f t="shared" si="35"/>
        <v/>
      </c>
      <c r="BC140" s="1" t="str">
        <f t="shared" si="35"/>
        <v/>
      </c>
    </row>
    <row r="141" spans="1:55" x14ac:dyDescent="0.25">
      <c r="A141" s="30" t="s">
        <v>60</v>
      </c>
      <c r="B141" s="2"/>
      <c r="C141" s="2"/>
      <c r="F141" s="1">
        <f t="shared" si="33"/>
        <v>48.387096774193552</v>
      </c>
      <c r="G141" s="1">
        <f t="shared" si="33"/>
        <v>21.75</v>
      </c>
      <c r="H141" s="1">
        <f t="shared" si="33"/>
        <v>7.317333333333333</v>
      </c>
      <c r="I141" s="1">
        <f t="shared" si="33"/>
        <v>28.999999999999996</v>
      </c>
      <c r="J141" s="1">
        <f t="shared" si="33"/>
        <v>57.434549301979587</v>
      </c>
      <c r="K141" s="1">
        <f t="shared" si="33"/>
        <v>10.337876813989515</v>
      </c>
      <c r="L141" s="52">
        <f t="shared" si="33"/>
        <v>750</v>
      </c>
      <c r="M141" s="1">
        <f t="shared" si="33"/>
        <v>316.5829145728643</v>
      </c>
      <c r="N141" s="1">
        <f t="shared" si="33"/>
        <v>1387.5000000000002</v>
      </c>
      <c r="O141" s="1">
        <f t="shared" si="33"/>
        <v>12937.5</v>
      </c>
      <c r="P141" s="1">
        <f t="shared" si="33"/>
        <v>73760.864458538883</v>
      </c>
      <c r="Q141" s="1">
        <f t="shared" si="33"/>
        <v>940.00000000000011</v>
      </c>
      <c r="R141" s="1">
        <f t="shared" si="33"/>
        <v>426</v>
      </c>
      <c r="S141" s="1">
        <f t="shared" si="33"/>
        <v>100</v>
      </c>
      <c r="T141" s="1">
        <f t="shared" si="33"/>
        <v>425.1791111405152</v>
      </c>
      <c r="U141" s="1">
        <f t="shared" si="33"/>
        <v>426</v>
      </c>
      <c r="V141" s="1">
        <f t="shared" si="33"/>
        <v>576.58604651162796</v>
      </c>
      <c r="W141" s="1">
        <f t="shared" si="33"/>
        <v>426</v>
      </c>
      <c r="X141" s="54">
        <f t="shared" si="33"/>
        <v>414.96541756212736</v>
      </c>
      <c r="Y141" s="58">
        <f t="shared" si="33"/>
        <v>15.813704484967683</v>
      </c>
      <c r="Z141" s="1">
        <f t="shared" si="33"/>
        <v>937.06658305893473</v>
      </c>
      <c r="AA141" s="1">
        <f t="shared" si="33"/>
        <v>195.78645140835226</v>
      </c>
      <c r="AC141" s="30" t="s">
        <v>60</v>
      </c>
      <c r="AD141" s="2"/>
      <c r="AE141" s="2"/>
      <c r="AH141" s="1">
        <f t="shared" si="34"/>
        <v>9.7144054193548399</v>
      </c>
      <c r="AI141" s="1">
        <f t="shared" si="34"/>
        <v>5.2349770852428961</v>
      </c>
      <c r="AJ141" s="1">
        <f t="shared" si="34"/>
        <v>1.9195</v>
      </c>
      <c r="AK141" s="1">
        <f t="shared" si="34"/>
        <v>5.4674441205053448</v>
      </c>
      <c r="AL141" s="1">
        <f t="shared" si="34"/>
        <v>11.294194116839877</v>
      </c>
      <c r="AM141" s="1">
        <f t="shared" si="34"/>
        <v>1.7513741706473436</v>
      </c>
      <c r="AN141" s="52">
        <f t="shared" si="34"/>
        <v>60</v>
      </c>
      <c r="AO141" s="1">
        <f t="shared" si="34"/>
        <v>39.316582914572862</v>
      </c>
      <c r="AP141" s="1">
        <f t="shared" si="34"/>
        <v>462.50000000000006</v>
      </c>
      <c r="AQ141" s="1">
        <f t="shared" si="34"/>
        <v>3750</v>
      </c>
      <c r="AR141" s="1">
        <f t="shared" si="34"/>
        <v>9689.9224806201564</v>
      </c>
      <c r="AS141" s="1">
        <f t="shared" si="34"/>
        <v>115.7504598575479</v>
      </c>
      <c r="AT141" s="1">
        <f t="shared" si="34"/>
        <v>69.609931049265839</v>
      </c>
      <c r="AU141" s="1">
        <f t="shared" si="34"/>
        <v>22.556390977443609</v>
      </c>
      <c r="AV141" s="1">
        <f t="shared" si="34"/>
        <v>62.987863871191102</v>
      </c>
      <c r="AW141" s="1">
        <f t="shared" si="34"/>
        <v>67.203641964123932</v>
      </c>
      <c r="AX141" s="1">
        <f t="shared" si="35"/>
        <v>224.88837209302329</v>
      </c>
      <c r="AY141" s="1">
        <f t="shared" si="35"/>
        <v>52.053025936599425</v>
      </c>
      <c r="AZ141" s="1">
        <f t="shared" si="35"/>
        <v>132.8550186154917</v>
      </c>
      <c r="BA141" s="1">
        <f t="shared" si="35"/>
        <v>3.4194160878415927</v>
      </c>
      <c r="BB141" s="1">
        <f t="shared" si="35"/>
        <v>140.92147988325587</v>
      </c>
      <c r="BC141" s="1">
        <f t="shared" si="35"/>
        <v>23.658438443630381</v>
      </c>
    </row>
    <row r="142" spans="1:55" x14ac:dyDescent="0.25">
      <c r="A142" s="15" t="s">
        <v>51</v>
      </c>
      <c r="B142" s="16" t="s">
        <v>52</v>
      </c>
      <c r="C142" s="2"/>
      <c r="F142" s="1">
        <f t="shared" si="33"/>
        <v>0</v>
      </c>
      <c r="G142" s="1">
        <f t="shared" si="33"/>
        <v>0</v>
      </c>
      <c r="H142" s="1">
        <f t="shared" si="33"/>
        <v>0</v>
      </c>
      <c r="I142" s="1">
        <f t="shared" si="33"/>
        <v>0</v>
      </c>
      <c r="J142" s="1">
        <f t="shared" si="33"/>
        <v>0</v>
      </c>
      <c r="K142" s="1">
        <f t="shared" si="33"/>
        <v>0</v>
      </c>
      <c r="L142" s="52">
        <f t="shared" si="33"/>
        <v>0</v>
      </c>
      <c r="M142" s="1">
        <f t="shared" si="33"/>
        <v>0</v>
      </c>
      <c r="N142" s="1">
        <f t="shared" si="33"/>
        <v>0</v>
      </c>
      <c r="O142" s="1">
        <f t="shared" si="33"/>
        <v>0</v>
      </c>
      <c r="P142" s="1">
        <f t="shared" si="33"/>
        <v>0</v>
      </c>
      <c r="Q142" s="1">
        <f t="shared" si="33"/>
        <v>0</v>
      </c>
      <c r="R142" s="1">
        <f t="shared" si="33"/>
        <v>0</v>
      </c>
      <c r="S142" s="1">
        <f t="shared" si="33"/>
        <v>0</v>
      </c>
      <c r="T142" s="1">
        <f t="shared" si="33"/>
        <v>0</v>
      </c>
      <c r="U142" s="1">
        <f t="shared" si="33"/>
        <v>0</v>
      </c>
      <c r="V142" s="1">
        <f t="shared" si="33"/>
        <v>0</v>
      </c>
      <c r="W142" s="1">
        <f t="shared" si="33"/>
        <v>0</v>
      </c>
      <c r="X142" s="54">
        <f t="shared" si="33"/>
        <v>0</v>
      </c>
      <c r="Y142" s="58">
        <f t="shared" si="33"/>
        <v>0</v>
      </c>
      <c r="Z142" s="1">
        <f t="shared" si="33"/>
        <v>0</v>
      </c>
      <c r="AA142" s="1">
        <f t="shared" si="33"/>
        <v>0</v>
      </c>
      <c r="AC142" s="15" t="s">
        <v>51</v>
      </c>
      <c r="AD142" s="16" t="s">
        <v>52</v>
      </c>
      <c r="AE142" s="2"/>
      <c r="AH142" s="1" t="str">
        <f t="shared" si="34"/>
        <v/>
      </c>
      <c r="AI142" s="1" t="str">
        <f t="shared" si="34"/>
        <v/>
      </c>
      <c r="AJ142" s="1" t="str">
        <f t="shared" si="34"/>
        <v/>
      </c>
      <c r="AK142" s="1" t="str">
        <f t="shared" si="34"/>
        <v/>
      </c>
      <c r="AL142" s="1" t="str">
        <f t="shared" si="34"/>
        <v/>
      </c>
      <c r="AM142" s="1" t="str">
        <f t="shared" si="34"/>
        <v/>
      </c>
      <c r="AN142" s="52" t="str">
        <f t="shared" si="34"/>
        <v/>
      </c>
      <c r="AO142" s="1" t="str">
        <f t="shared" si="34"/>
        <v/>
      </c>
      <c r="AP142" s="1" t="str">
        <f t="shared" si="34"/>
        <v/>
      </c>
      <c r="AQ142" s="1" t="str">
        <f t="shared" si="34"/>
        <v/>
      </c>
      <c r="AR142" s="1" t="str">
        <f t="shared" si="34"/>
        <v/>
      </c>
      <c r="AS142" s="1" t="str">
        <f t="shared" si="34"/>
        <v/>
      </c>
      <c r="AT142" s="1" t="str">
        <f t="shared" si="34"/>
        <v/>
      </c>
      <c r="AU142" s="1" t="str">
        <f t="shared" si="34"/>
        <v/>
      </c>
      <c r="AV142" s="1" t="str">
        <f t="shared" si="34"/>
        <v/>
      </c>
      <c r="AW142" s="1" t="str">
        <f t="shared" si="34"/>
        <v/>
      </c>
      <c r="AX142" s="1" t="str">
        <f t="shared" si="35"/>
        <v/>
      </c>
      <c r="AY142" s="1" t="str">
        <f t="shared" si="35"/>
        <v/>
      </c>
      <c r="AZ142" s="1" t="str">
        <f t="shared" si="35"/>
        <v/>
      </c>
      <c r="BA142" s="1" t="str">
        <f t="shared" si="35"/>
        <v/>
      </c>
      <c r="BB142" s="1" t="str">
        <f t="shared" si="35"/>
        <v/>
      </c>
      <c r="BC142" s="1" t="str">
        <f t="shared" si="35"/>
        <v/>
      </c>
    </row>
    <row r="143" spans="1:55" x14ac:dyDescent="0.25">
      <c r="A143" s="15" t="s">
        <v>51</v>
      </c>
      <c r="B143" s="16" t="s">
        <v>56</v>
      </c>
      <c r="C143" s="2"/>
      <c r="F143" s="1">
        <f t="shared" si="33"/>
        <v>0</v>
      </c>
      <c r="G143" s="1">
        <f t="shared" si="33"/>
        <v>0</v>
      </c>
      <c r="H143" s="1">
        <f t="shared" si="33"/>
        <v>0</v>
      </c>
      <c r="I143" s="1">
        <f t="shared" si="33"/>
        <v>0</v>
      </c>
      <c r="J143" s="1">
        <f t="shared" si="33"/>
        <v>0</v>
      </c>
      <c r="K143" s="1">
        <f t="shared" si="33"/>
        <v>0</v>
      </c>
      <c r="L143" s="52">
        <f t="shared" si="33"/>
        <v>0</v>
      </c>
      <c r="M143" s="1">
        <f t="shared" si="33"/>
        <v>0</v>
      </c>
      <c r="N143" s="1">
        <f t="shared" si="33"/>
        <v>0</v>
      </c>
      <c r="O143" s="1">
        <f t="shared" si="33"/>
        <v>0</v>
      </c>
      <c r="P143" s="1">
        <f t="shared" si="33"/>
        <v>0</v>
      </c>
      <c r="Q143" s="1">
        <f t="shared" si="33"/>
        <v>0</v>
      </c>
      <c r="R143" s="1">
        <f t="shared" si="33"/>
        <v>0</v>
      </c>
      <c r="S143" s="1">
        <f t="shared" si="33"/>
        <v>0</v>
      </c>
      <c r="T143" s="1">
        <f t="shared" si="33"/>
        <v>0</v>
      </c>
      <c r="U143" s="1">
        <f t="shared" si="33"/>
        <v>0</v>
      </c>
      <c r="V143" s="1">
        <f t="shared" si="33"/>
        <v>0</v>
      </c>
      <c r="W143" s="1">
        <f t="shared" si="33"/>
        <v>0</v>
      </c>
      <c r="X143" s="54">
        <f t="shared" si="33"/>
        <v>0</v>
      </c>
      <c r="Y143" s="58">
        <f t="shared" si="33"/>
        <v>0</v>
      </c>
      <c r="Z143" s="1">
        <f t="shared" si="33"/>
        <v>0</v>
      </c>
      <c r="AA143" s="1">
        <f t="shared" si="33"/>
        <v>0</v>
      </c>
      <c r="AC143" s="15" t="s">
        <v>51</v>
      </c>
      <c r="AD143" s="16" t="s">
        <v>56</v>
      </c>
      <c r="AE143" s="2"/>
      <c r="AH143" s="1" t="str">
        <f t="shared" si="34"/>
        <v/>
      </c>
      <c r="AI143" s="1" t="str">
        <f t="shared" si="34"/>
        <v/>
      </c>
      <c r="AJ143" s="1" t="str">
        <f t="shared" si="34"/>
        <v/>
      </c>
      <c r="AK143" s="1" t="str">
        <f t="shared" si="34"/>
        <v/>
      </c>
      <c r="AL143" s="1" t="str">
        <f t="shared" si="34"/>
        <v/>
      </c>
      <c r="AM143" s="1" t="str">
        <f t="shared" si="34"/>
        <v/>
      </c>
      <c r="AN143" s="52" t="str">
        <f t="shared" si="34"/>
        <v/>
      </c>
      <c r="AO143" s="1" t="str">
        <f t="shared" si="34"/>
        <v/>
      </c>
      <c r="AP143" s="1" t="str">
        <f t="shared" si="34"/>
        <v/>
      </c>
      <c r="AQ143" s="1" t="str">
        <f t="shared" si="34"/>
        <v/>
      </c>
      <c r="AR143" s="1" t="str">
        <f t="shared" si="34"/>
        <v/>
      </c>
      <c r="AS143" s="1" t="str">
        <f t="shared" si="34"/>
        <v/>
      </c>
      <c r="AT143" s="1" t="str">
        <f t="shared" si="34"/>
        <v/>
      </c>
      <c r="AU143" s="1" t="str">
        <f t="shared" si="34"/>
        <v/>
      </c>
      <c r="AV143" s="1" t="str">
        <f t="shared" si="34"/>
        <v/>
      </c>
      <c r="AW143" s="1" t="str">
        <f t="shared" si="34"/>
        <v/>
      </c>
      <c r="AX143" s="1" t="str">
        <f t="shared" si="35"/>
        <v/>
      </c>
      <c r="AY143" s="1" t="str">
        <f t="shared" si="35"/>
        <v/>
      </c>
      <c r="AZ143" s="1" t="str">
        <f t="shared" si="35"/>
        <v/>
      </c>
      <c r="BA143" s="1" t="str">
        <f t="shared" si="35"/>
        <v/>
      </c>
      <c r="BB143" s="1" t="str">
        <f t="shared" si="35"/>
        <v/>
      </c>
      <c r="BC143" s="1" t="str">
        <f t="shared" si="35"/>
        <v/>
      </c>
    </row>
    <row r="144" spans="1:55" x14ac:dyDescent="0.25">
      <c r="A144" s="15" t="s">
        <v>51</v>
      </c>
      <c r="B144" s="16" t="s">
        <v>9</v>
      </c>
      <c r="C144" s="2"/>
      <c r="F144" s="1">
        <f t="shared" si="33"/>
        <v>0</v>
      </c>
      <c r="G144" s="1">
        <f t="shared" si="33"/>
        <v>0</v>
      </c>
      <c r="H144" s="1">
        <f t="shared" si="33"/>
        <v>0</v>
      </c>
      <c r="I144" s="1">
        <f t="shared" si="33"/>
        <v>0</v>
      </c>
      <c r="J144" s="1">
        <f t="shared" si="33"/>
        <v>0</v>
      </c>
      <c r="K144" s="1">
        <f t="shared" si="33"/>
        <v>0</v>
      </c>
      <c r="L144" s="52">
        <f t="shared" si="33"/>
        <v>0</v>
      </c>
      <c r="M144" s="1">
        <f t="shared" si="33"/>
        <v>0</v>
      </c>
      <c r="N144" s="1">
        <f t="shared" si="33"/>
        <v>0</v>
      </c>
      <c r="O144" s="1">
        <f t="shared" si="33"/>
        <v>0</v>
      </c>
      <c r="P144" s="1">
        <f t="shared" si="33"/>
        <v>0</v>
      </c>
      <c r="Q144" s="1">
        <f t="shared" si="33"/>
        <v>0</v>
      </c>
      <c r="R144" s="1">
        <f t="shared" si="33"/>
        <v>0</v>
      </c>
      <c r="S144" s="1">
        <f t="shared" si="33"/>
        <v>0</v>
      </c>
      <c r="T144" s="1">
        <f t="shared" si="33"/>
        <v>0</v>
      </c>
      <c r="U144" s="1">
        <f t="shared" si="33"/>
        <v>0</v>
      </c>
      <c r="V144" s="1">
        <f t="shared" si="33"/>
        <v>0</v>
      </c>
      <c r="W144" s="1">
        <f t="shared" si="33"/>
        <v>0</v>
      </c>
      <c r="X144" s="54">
        <f t="shared" si="33"/>
        <v>0</v>
      </c>
      <c r="Y144" s="58">
        <f t="shared" si="33"/>
        <v>0</v>
      </c>
      <c r="Z144" s="1">
        <f t="shared" si="33"/>
        <v>0</v>
      </c>
      <c r="AA144" s="1">
        <f t="shared" si="33"/>
        <v>0</v>
      </c>
      <c r="AC144" s="15" t="s">
        <v>51</v>
      </c>
      <c r="AD144" s="16" t="s">
        <v>9</v>
      </c>
      <c r="AE144" s="2"/>
      <c r="AH144" s="1" t="str">
        <f t="shared" si="34"/>
        <v/>
      </c>
      <c r="AI144" s="1" t="str">
        <f t="shared" si="34"/>
        <v/>
      </c>
      <c r="AJ144" s="1" t="str">
        <f t="shared" si="34"/>
        <v/>
      </c>
      <c r="AK144" s="1" t="str">
        <f t="shared" si="34"/>
        <v/>
      </c>
      <c r="AL144" s="1" t="str">
        <f t="shared" si="34"/>
        <v/>
      </c>
      <c r="AM144" s="1" t="str">
        <f t="shared" si="34"/>
        <v/>
      </c>
      <c r="AN144" s="52" t="str">
        <f t="shared" si="34"/>
        <v/>
      </c>
      <c r="AO144" s="1" t="str">
        <f t="shared" si="34"/>
        <v/>
      </c>
      <c r="AP144" s="1" t="str">
        <f t="shared" si="34"/>
        <v/>
      </c>
      <c r="AQ144" s="1" t="str">
        <f t="shared" si="34"/>
        <v/>
      </c>
      <c r="AR144" s="1" t="str">
        <f t="shared" si="34"/>
        <v/>
      </c>
      <c r="AS144" s="1" t="str">
        <f t="shared" si="34"/>
        <v/>
      </c>
      <c r="AT144" s="1" t="str">
        <f t="shared" si="34"/>
        <v/>
      </c>
      <c r="AU144" s="1" t="str">
        <f t="shared" si="34"/>
        <v/>
      </c>
      <c r="AV144" s="1" t="str">
        <f t="shared" si="34"/>
        <v/>
      </c>
      <c r="AW144" s="1" t="str">
        <f t="shared" si="34"/>
        <v/>
      </c>
      <c r="AX144" s="1" t="str">
        <f t="shared" si="35"/>
        <v/>
      </c>
      <c r="AY144" s="1" t="str">
        <f t="shared" si="35"/>
        <v/>
      </c>
      <c r="AZ144" s="1" t="str">
        <f t="shared" si="35"/>
        <v/>
      </c>
      <c r="BA144" s="1" t="str">
        <f t="shared" si="35"/>
        <v/>
      </c>
      <c r="BB144" s="1" t="str">
        <f t="shared" si="35"/>
        <v/>
      </c>
      <c r="BC144" s="1" t="str">
        <f t="shared" si="35"/>
        <v/>
      </c>
    </row>
    <row r="145" spans="1:55" x14ac:dyDescent="0.25">
      <c r="A145" s="30" t="s">
        <v>60</v>
      </c>
      <c r="B145" s="32" t="s">
        <v>13</v>
      </c>
      <c r="C145" s="2"/>
      <c r="F145" s="51">
        <f t="shared" si="33"/>
        <v>48.387096774193552</v>
      </c>
      <c r="G145" s="51">
        <f t="shared" si="33"/>
        <v>21.75</v>
      </c>
      <c r="H145" s="51">
        <f t="shared" si="33"/>
        <v>7.317333333333333</v>
      </c>
      <c r="I145" s="51">
        <f t="shared" si="33"/>
        <v>28.999999999999996</v>
      </c>
      <c r="J145" s="51">
        <f t="shared" si="33"/>
        <v>66.666666666666671</v>
      </c>
      <c r="K145" s="51">
        <f t="shared" si="33"/>
        <v>29</v>
      </c>
      <c r="L145" s="52">
        <f t="shared" si="33"/>
        <v>0</v>
      </c>
      <c r="M145" s="51">
        <f t="shared" si="33"/>
        <v>400</v>
      </c>
      <c r="N145" s="51">
        <f t="shared" si="33"/>
        <v>758.62068965517244</v>
      </c>
      <c r="O145" s="51">
        <f t="shared" si="33"/>
        <v>12937.5</v>
      </c>
      <c r="P145" s="51">
        <f t="shared" si="33"/>
        <v>73760.864458538883</v>
      </c>
      <c r="Q145" s="51">
        <f t="shared" si="33"/>
        <v>940</v>
      </c>
      <c r="R145" s="51">
        <f t="shared" si="33"/>
        <v>426</v>
      </c>
      <c r="S145" s="51">
        <f t="shared" si="33"/>
        <v>0</v>
      </c>
      <c r="T145" s="51">
        <f t="shared" si="33"/>
        <v>426</v>
      </c>
      <c r="U145" s="51">
        <f t="shared" si="33"/>
        <v>426</v>
      </c>
      <c r="V145" s="51">
        <f t="shared" si="33"/>
        <v>426</v>
      </c>
      <c r="W145" s="51">
        <f t="shared" si="33"/>
        <v>426</v>
      </c>
      <c r="X145" s="55">
        <f t="shared" si="33"/>
        <v>426</v>
      </c>
      <c r="Y145" s="59">
        <f t="shared" si="33"/>
        <v>15.561056186175191</v>
      </c>
      <c r="Z145" s="51">
        <f t="shared" si="33"/>
        <v>2663.5858868099558</v>
      </c>
      <c r="AA145" s="51">
        <f t="shared" si="33"/>
        <v>88.173212934428307</v>
      </c>
      <c r="AC145" s="30" t="s">
        <v>60</v>
      </c>
      <c r="AD145" s="32" t="s">
        <v>13</v>
      </c>
      <c r="AE145" s="2"/>
      <c r="AH145" s="1">
        <f t="shared" si="34"/>
        <v>9.7144054193548399</v>
      </c>
      <c r="AI145" s="1">
        <f t="shared" si="34"/>
        <v>5.2349770852428961</v>
      </c>
      <c r="AJ145" s="1">
        <f t="shared" si="34"/>
        <v>1.9195</v>
      </c>
      <c r="AK145" s="1">
        <f t="shared" si="34"/>
        <v>5.4674441205053448</v>
      </c>
      <c r="AL145" s="1">
        <f t="shared" si="34"/>
        <v>17.094017094017094</v>
      </c>
      <c r="AM145" s="1">
        <f t="shared" si="34"/>
        <v>4.2243333333333331</v>
      </c>
      <c r="AN145" s="52" t="str">
        <f t="shared" si="34"/>
        <v/>
      </c>
      <c r="AO145" s="1">
        <f t="shared" si="34"/>
        <v>116.36363636363636</v>
      </c>
      <c r="AP145" s="1">
        <f t="shared" si="34"/>
        <v>217.24137931034483</v>
      </c>
      <c r="AQ145" s="1">
        <f t="shared" si="34"/>
        <v>3750</v>
      </c>
      <c r="AR145" s="1">
        <f t="shared" si="34"/>
        <v>9689.9224806201564</v>
      </c>
      <c r="AS145" s="1">
        <f t="shared" si="34"/>
        <v>282</v>
      </c>
      <c r="AT145" s="1">
        <f t="shared" si="34"/>
        <v>127.79999999999998</v>
      </c>
      <c r="AU145" s="1" t="str">
        <f t="shared" si="34"/>
        <v/>
      </c>
      <c r="AV145" s="1">
        <f t="shared" si="34"/>
        <v>149.1</v>
      </c>
      <c r="AW145" s="1">
        <f t="shared" si="34"/>
        <v>187.44</v>
      </c>
      <c r="AX145" s="1">
        <f t="shared" si="35"/>
        <v>511.2</v>
      </c>
      <c r="AY145" s="1">
        <f t="shared" si="35"/>
        <v>340.8</v>
      </c>
      <c r="AZ145" s="1">
        <f t="shared" si="35"/>
        <v>149.1</v>
      </c>
      <c r="BA145" s="1">
        <f t="shared" si="35"/>
        <v>3.5092037273367844</v>
      </c>
      <c r="BB145" s="1">
        <f t="shared" si="35"/>
        <v>456.97655440010089</v>
      </c>
      <c r="BC145" s="1">
        <f t="shared" si="35"/>
        <v>15.943846320740763</v>
      </c>
    </row>
    <row r="146" spans="1:55" x14ac:dyDescent="0.25">
      <c r="A146" s="30" t="s">
        <v>60</v>
      </c>
      <c r="B146" s="31" t="s">
        <v>23</v>
      </c>
      <c r="C146" s="2"/>
      <c r="F146" s="51">
        <f t="shared" si="33"/>
        <v>0</v>
      </c>
      <c r="G146" s="51">
        <f t="shared" si="33"/>
        <v>0</v>
      </c>
      <c r="H146" s="51">
        <f t="shared" si="33"/>
        <v>0</v>
      </c>
      <c r="I146" s="51">
        <f t="shared" si="33"/>
        <v>0</v>
      </c>
      <c r="J146" s="51">
        <f t="shared" si="33"/>
        <v>40.176930928887373</v>
      </c>
      <c r="K146" s="51">
        <f t="shared" si="33"/>
        <v>2.8924533263213257</v>
      </c>
      <c r="L146" s="52">
        <f t="shared" si="33"/>
        <v>0</v>
      </c>
      <c r="M146" s="51">
        <f t="shared" si="33"/>
        <v>0</v>
      </c>
      <c r="N146" s="51">
        <f t="shared" si="33"/>
        <v>7466.666666666667</v>
      </c>
      <c r="O146" s="51">
        <f t="shared" si="33"/>
        <v>0</v>
      </c>
      <c r="P146" s="51">
        <f t="shared" si="33"/>
        <v>0</v>
      </c>
      <c r="Q146" s="51">
        <f t="shared" si="33"/>
        <v>0</v>
      </c>
      <c r="R146" s="51">
        <f t="shared" si="33"/>
        <v>0</v>
      </c>
      <c r="S146" s="51">
        <f t="shared" si="33"/>
        <v>100</v>
      </c>
      <c r="T146" s="51">
        <f t="shared" si="33"/>
        <v>406</v>
      </c>
      <c r="U146" s="51">
        <f t="shared" si="33"/>
        <v>0</v>
      </c>
      <c r="V146" s="51">
        <f t="shared" si="33"/>
        <v>0</v>
      </c>
      <c r="W146" s="51">
        <f t="shared" si="33"/>
        <v>0</v>
      </c>
      <c r="X146" s="55">
        <f t="shared" si="33"/>
        <v>100</v>
      </c>
      <c r="Y146" s="59">
        <f t="shared" si="33"/>
        <v>6.110213855349321</v>
      </c>
      <c r="Z146" s="51">
        <f t="shared" si="33"/>
        <v>589.57314200818928</v>
      </c>
      <c r="AA146" s="51">
        <f t="shared" si="33"/>
        <v>17.080130660878805</v>
      </c>
      <c r="AC146" s="30" t="s">
        <v>60</v>
      </c>
      <c r="AD146" s="31" t="s">
        <v>23</v>
      </c>
      <c r="AE146" s="2"/>
      <c r="AH146" s="1" t="str">
        <f t="shared" si="34"/>
        <v/>
      </c>
      <c r="AI146" s="1" t="str">
        <f t="shared" si="34"/>
        <v/>
      </c>
      <c r="AJ146" s="1" t="str">
        <f t="shared" si="34"/>
        <v/>
      </c>
      <c r="AK146" s="1" t="str">
        <f t="shared" si="34"/>
        <v/>
      </c>
      <c r="AL146" s="1">
        <f t="shared" si="34"/>
        <v>12.726777815583532</v>
      </c>
      <c r="AM146" s="1">
        <f t="shared" si="34"/>
        <v>0.76476465947935857</v>
      </c>
      <c r="AN146" s="52" t="str">
        <f t="shared" si="34"/>
        <v/>
      </c>
      <c r="AO146" s="1" t="str">
        <f t="shared" si="34"/>
        <v/>
      </c>
      <c r="AP146" s="1">
        <f t="shared" si="34"/>
        <v>2833.3333333333335</v>
      </c>
      <c r="AQ146" s="1" t="str">
        <f t="shared" si="34"/>
        <v/>
      </c>
      <c r="AR146" s="1" t="str">
        <f t="shared" si="34"/>
        <v/>
      </c>
      <c r="AS146" s="1" t="str">
        <f t="shared" si="34"/>
        <v/>
      </c>
      <c r="AT146" s="1" t="str">
        <f t="shared" si="34"/>
        <v/>
      </c>
      <c r="AU146" s="1">
        <f t="shared" si="34"/>
        <v>22.556390977443609</v>
      </c>
      <c r="AV146" s="1">
        <f t="shared" si="34"/>
        <v>162.4</v>
      </c>
      <c r="AW146" s="1" t="str">
        <f t="shared" si="34"/>
        <v/>
      </c>
      <c r="AX146" s="1" t="str">
        <f t="shared" si="35"/>
        <v/>
      </c>
      <c r="AY146" s="1" t="str">
        <f t="shared" si="35"/>
        <v/>
      </c>
      <c r="AZ146" s="1">
        <f t="shared" si="35"/>
        <v>90</v>
      </c>
      <c r="BA146" s="1">
        <f t="shared" si="35"/>
        <v>1.797121722161565</v>
      </c>
      <c r="BB146" s="1">
        <f t="shared" si="35"/>
        <v>228.03203246729714</v>
      </c>
      <c r="BC146" s="1">
        <f t="shared" si="35"/>
        <v>6.0506535741979572</v>
      </c>
    </row>
    <row r="147" spans="1:55" x14ac:dyDescent="0.25">
      <c r="A147" s="30" t="s">
        <v>60</v>
      </c>
      <c r="B147" s="31" t="s">
        <v>65</v>
      </c>
      <c r="C147" s="46"/>
      <c r="F147" s="51">
        <f t="shared" si="33"/>
        <v>0</v>
      </c>
      <c r="G147" s="51">
        <f t="shared" si="33"/>
        <v>0</v>
      </c>
      <c r="H147" s="51">
        <f t="shared" si="33"/>
        <v>0</v>
      </c>
      <c r="I147" s="51">
        <f t="shared" si="33"/>
        <v>0</v>
      </c>
      <c r="J147" s="51">
        <f t="shared" si="33"/>
        <v>56</v>
      </c>
      <c r="K147" s="51">
        <f t="shared" si="33"/>
        <v>0</v>
      </c>
      <c r="L147" s="52">
        <f t="shared" si="33"/>
        <v>750</v>
      </c>
      <c r="M147" s="51">
        <f t="shared" si="33"/>
        <v>300</v>
      </c>
      <c r="N147" s="51">
        <f t="shared" si="33"/>
        <v>0</v>
      </c>
      <c r="O147" s="51">
        <f t="shared" si="33"/>
        <v>0</v>
      </c>
      <c r="P147" s="51">
        <f t="shared" si="33"/>
        <v>0</v>
      </c>
      <c r="Q147" s="51">
        <f t="shared" si="33"/>
        <v>940</v>
      </c>
      <c r="R147" s="51">
        <f t="shared" si="33"/>
        <v>425.99999999999994</v>
      </c>
      <c r="S147" s="51">
        <f t="shared" si="33"/>
        <v>0</v>
      </c>
      <c r="T147" s="51">
        <f t="shared" si="33"/>
        <v>426</v>
      </c>
      <c r="U147" s="51">
        <f t="shared" si="33"/>
        <v>426</v>
      </c>
      <c r="V147" s="51">
        <f t="shared" si="33"/>
        <v>426.00000000000006</v>
      </c>
      <c r="W147" s="51">
        <f t="shared" si="33"/>
        <v>426.00000000000006</v>
      </c>
      <c r="X147" s="55">
        <f t="shared" si="33"/>
        <v>426.00000000000006</v>
      </c>
      <c r="Y147" s="59">
        <f t="shared" si="33"/>
        <v>56</v>
      </c>
      <c r="Z147" s="51">
        <f t="shared" si="33"/>
        <v>513.57808810339418</v>
      </c>
      <c r="AA147" s="51">
        <f>IF(AA192&gt;0,AB12/AA192,0)</f>
        <v>585.84097032750856</v>
      </c>
      <c r="AC147" s="30" t="s">
        <v>60</v>
      </c>
      <c r="AD147" s="31" t="s">
        <v>65</v>
      </c>
      <c r="AE147" s="46"/>
      <c r="AH147" s="1" t="str">
        <f t="shared" si="34"/>
        <v/>
      </c>
      <c r="AI147" s="1" t="str">
        <f t="shared" si="34"/>
        <v/>
      </c>
      <c r="AJ147" s="1" t="str">
        <f t="shared" si="34"/>
        <v/>
      </c>
      <c r="AK147" s="1" t="str">
        <f t="shared" si="34"/>
        <v/>
      </c>
      <c r="AL147" s="1">
        <f t="shared" si="34"/>
        <v>6.72</v>
      </c>
      <c r="AM147" s="1" t="str">
        <f t="shared" si="34"/>
        <v/>
      </c>
      <c r="AN147" s="52">
        <f t="shared" si="34"/>
        <v>60</v>
      </c>
      <c r="AO147" s="1">
        <f t="shared" si="34"/>
        <v>24</v>
      </c>
      <c r="AP147" s="1" t="str">
        <f t="shared" si="34"/>
        <v/>
      </c>
      <c r="AQ147" s="1" t="str">
        <f t="shared" si="34"/>
        <v/>
      </c>
      <c r="AR147" s="1" t="str">
        <f t="shared" si="34"/>
        <v/>
      </c>
      <c r="AS147" s="1">
        <f t="shared" si="34"/>
        <v>103.4</v>
      </c>
      <c r="AT147" s="1">
        <f t="shared" si="34"/>
        <v>55.379999999999995</v>
      </c>
      <c r="AU147" s="1" t="str">
        <f t="shared" si="34"/>
        <v/>
      </c>
      <c r="AV147" s="1">
        <f t="shared" si="34"/>
        <v>51.12</v>
      </c>
      <c r="AW147" s="1">
        <f t="shared" si="34"/>
        <v>42.6</v>
      </c>
      <c r="AX147" s="1">
        <f t="shared" si="35"/>
        <v>63.900000000000006</v>
      </c>
      <c r="AY147" s="1">
        <f t="shared" si="35"/>
        <v>42.6</v>
      </c>
      <c r="AZ147" s="1">
        <f t="shared" si="35"/>
        <v>42.6</v>
      </c>
      <c r="BA147" s="1">
        <f t="shared" si="35"/>
        <v>6.72</v>
      </c>
      <c r="BB147" s="1">
        <f t="shared" si="35"/>
        <v>55.370013507182044</v>
      </c>
      <c r="BC147" s="1">
        <f t="shared" si="35"/>
        <v>52.388940360293709</v>
      </c>
    </row>
    <row r="148" spans="1:55" ht="15.75" thickBot="1" x14ac:dyDescent="0.3">
      <c r="A148" s="48" t="s">
        <v>60</v>
      </c>
      <c r="B148" s="49" t="s">
        <v>9</v>
      </c>
      <c r="C148" s="50"/>
      <c r="D148" s="50"/>
      <c r="E148" s="50"/>
      <c r="F148" s="53">
        <f t="shared" si="33"/>
        <v>0</v>
      </c>
      <c r="G148" s="53">
        <f t="shared" si="33"/>
        <v>0</v>
      </c>
      <c r="H148" s="53">
        <f t="shared" si="33"/>
        <v>0</v>
      </c>
      <c r="I148" s="53">
        <f t="shared" si="33"/>
        <v>0</v>
      </c>
      <c r="J148" s="53">
        <f t="shared" si="33"/>
        <v>0</v>
      </c>
      <c r="K148" s="53">
        <f t="shared" si="33"/>
        <v>0</v>
      </c>
      <c r="L148" s="62">
        <f t="shared" si="33"/>
        <v>0</v>
      </c>
      <c r="M148" s="53">
        <f t="shared" si="33"/>
        <v>0</v>
      </c>
      <c r="N148" s="53">
        <f t="shared" si="33"/>
        <v>0</v>
      </c>
      <c r="O148" s="53">
        <f t="shared" si="33"/>
        <v>0</v>
      </c>
      <c r="P148" s="53">
        <f t="shared" si="33"/>
        <v>0</v>
      </c>
      <c r="Q148" s="53">
        <f t="shared" si="33"/>
        <v>0</v>
      </c>
      <c r="R148" s="53">
        <f t="shared" si="33"/>
        <v>0</v>
      </c>
      <c r="S148" s="53">
        <f t="shared" si="33"/>
        <v>0</v>
      </c>
      <c r="T148" s="53">
        <f t="shared" si="33"/>
        <v>0</v>
      </c>
      <c r="U148" s="53">
        <f t="shared" si="33"/>
        <v>0</v>
      </c>
      <c r="V148" s="53">
        <f t="shared" si="33"/>
        <v>0</v>
      </c>
      <c r="W148" s="53">
        <f t="shared" si="33"/>
        <v>0</v>
      </c>
      <c r="X148" s="56">
        <f t="shared" si="33"/>
        <v>426</v>
      </c>
      <c r="Y148" s="60">
        <f t="shared" si="33"/>
        <v>0</v>
      </c>
      <c r="Z148" s="53">
        <f t="shared" si="33"/>
        <v>643.56672000000003</v>
      </c>
      <c r="AA148" s="53">
        <f t="shared" si="33"/>
        <v>629.79840000000002</v>
      </c>
      <c r="AC148" s="48" t="s">
        <v>60</v>
      </c>
      <c r="AD148" s="49" t="s">
        <v>9</v>
      </c>
      <c r="AE148" s="50"/>
      <c r="AF148" s="50"/>
      <c r="AG148" s="50"/>
      <c r="AH148" s="1" t="str">
        <f t="shared" si="34"/>
        <v/>
      </c>
      <c r="AI148" s="1" t="str">
        <f t="shared" si="34"/>
        <v/>
      </c>
      <c r="AJ148" s="1" t="str">
        <f t="shared" si="34"/>
        <v/>
      </c>
      <c r="AK148" s="1" t="str">
        <f t="shared" si="34"/>
        <v/>
      </c>
      <c r="AL148" s="1" t="str">
        <f t="shared" si="34"/>
        <v/>
      </c>
      <c r="AM148" s="1" t="str">
        <f t="shared" si="34"/>
        <v/>
      </c>
      <c r="AN148" s="52" t="str">
        <f t="shared" si="34"/>
        <v/>
      </c>
      <c r="AO148" s="1" t="str">
        <f t="shared" si="34"/>
        <v/>
      </c>
      <c r="AP148" s="1" t="str">
        <f t="shared" si="34"/>
        <v/>
      </c>
      <c r="AQ148" s="1" t="str">
        <f t="shared" si="34"/>
        <v/>
      </c>
      <c r="AR148" s="1" t="str">
        <f t="shared" si="34"/>
        <v/>
      </c>
      <c r="AS148" s="1" t="str">
        <f t="shared" si="34"/>
        <v/>
      </c>
      <c r="AT148" s="1" t="str">
        <f t="shared" si="34"/>
        <v/>
      </c>
      <c r="AU148" s="1" t="str">
        <f t="shared" si="34"/>
        <v/>
      </c>
      <c r="AV148" s="1" t="str">
        <f t="shared" si="34"/>
        <v/>
      </c>
      <c r="AW148" s="1" t="str">
        <f t="shared" si="34"/>
        <v/>
      </c>
      <c r="AX148" s="1" t="str">
        <f t="shared" si="35"/>
        <v/>
      </c>
      <c r="AY148" s="1" t="str">
        <f t="shared" si="35"/>
        <v/>
      </c>
      <c r="AZ148" s="1">
        <f t="shared" si="35"/>
        <v>178.92000000000002</v>
      </c>
      <c r="BA148" s="1" t="str">
        <f t="shared" si="35"/>
        <v/>
      </c>
      <c r="BB148" s="1">
        <f t="shared" si="35"/>
        <v>396.48671999999999</v>
      </c>
      <c r="BC148" s="1">
        <f t="shared" si="35"/>
        <v>314.89920000000001</v>
      </c>
    </row>
    <row r="149" spans="1:55" ht="15.75" thickTop="1" x14ac:dyDescent="0.25">
      <c r="A149" s="15" t="s">
        <v>51</v>
      </c>
      <c r="B149" s="16" t="s">
        <v>52</v>
      </c>
      <c r="C149" s="16" t="s">
        <v>53</v>
      </c>
      <c r="D149" s="2"/>
      <c r="E149" s="2"/>
      <c r="F149" s="47">
        <f t="shared" si="33"/>
        <v>0</v>
      </c>
      <c r="G149" s="47">
        <f t="shared" si="33"/>
        <v>0</v>
      </c>
      <c r="H149" s="47">
        <f t="shared" si="33"/>
        <v>0</v>
      </c>
      <c r="I149" s="47">
        <f t="shared" si="33"/>
        <v>0</v>
      </c>
      <c r="J149" s="47">
        <f t="shared" si="33"/>
        <v>0</v>
      </c>
      <c r="K149" s="47">
        <f t="shared" si="33"/>
        <v>0</v>
      </c>
      <c r="L149" s="63">
        <f t="shared" si="33"/>
        <v>0</v>
      </c>
      <c r="M149" s="47">
        <f t="shared" si="33"/>
        <v>0</v>
      </c>
      <c r="N149" s="47">
        <f t="shared" si="33"/>
        <v>0</v>
      </c>
      <c r="O149" s="47">
        <f t="shared" si="33"/>
        <v>0</v>
      </c>
      <c r="P149" s="47">
        <f t="shared" si="33"/>
        <v>0</v>
      </c>
      <c r="Q149" s="47">
        <f t="shared" si="33"/>
        <v>0</v>
      </c>
      <c r="R149" s="47">
        <f t="shared" si="33"/>
        <v>0</v>
      </c>
      <c r="S149" s="47">
        <f t="shared" si="33"/>
        <v>0</v>
      </c>
      <c r="T149" s="47">
        <f t="shared" si="33"/>
        <v>0</v>
      </c>
      <c r="U149" s="47">
        <f t="shared" si="33"/>
        <v>0</v>
      </c>
      <c r="V149" s="47">
        <f t="shared" si="33"/>
        <v>0</v>
      </c>
      <c r="W149" s="47">
        <f t="shared" si="33"/>
        <v>0</v>
      </c>
      <c r="X149" s="57">
        <f t="shared" si="33"/>
        <v>0</v>
      </c>
      <c r="Y149" s="61">
        <f t="shared" si="33"/>
        <v>0</v>
      </c>
      <c r="Z149" s="47">
        <f t="shared" si="33"/>
        <v>0</v>
      </c>
      <c r="AA149" s="47">
        <f t="shared" si="33"/>
        <v>0</v>
      </c>
      <c r="AC149" s="15" t="s">
        <v>51</v>
      </c>
      <c r="AD149" s="16" t="s">
        <v>52</v>
      </c>
      <c r="AE149" s="16" t="s">
        <v>53</v>
      </c>
      <c r="AF149" s="2"/>
      <c r="AG149" s="2"/>
      <c r="AH149" s="90" t="str">
        <f t="shared" si="34"/>
        <v/>
      </c>
      <c r="AI149" s="90" t="str">
        <f t="shared" si="34"/>
        <v/>
      </c>
      <c r="AJ149" s="90" t="str">
        <f t="shared" si="34"/>
        <v/>
      </c>
      <c r="AK149" s="90" t="str">
        <f t="shared" si="34"/>
        <v/>
      </c>
      <c r="AL149" s="90" t="str">
        <f t="shared" si="34"/>
        <v/>
      </c>
      <c r="AM149" s="90" t="str">
        <f t="shared" si="34"/>
        <v/>
      </c>
      <c r="AN149" s="90" t="str">
        <f t="shared" si="34"/>
        <v/>
      </c>
      <c r="AO149" s="90" t="str">
        <f t="shared" si="34"/>
        <v/>
      </c>
      <c r="AP149" s="90" t="str">
        <f t="shared" si="34"/>
        <v/>
      </c>
      <c r="AQ149" s="90" t="str">
        <f t="shared" si="34"/>
        <v/>
      </c>
      <c r="AR149" s="90" t="str">
        <f t="shared" si="34"/>
        <v/>
      </c>
      <c r="AS149" s="90" t="str">
        <f t="shared" si="34"/>
        <v/>
      </c>
      <c r="AT149" s="90" t="str">
        <f t="shared" si="34"/>
        <v/>
      </c>
      <c r="AU149" s="90" t="str">
        <f t="shared" si="34"/>
        <v/>
      </c>
      <c r="AV149" s="90" t="str">
        <f t="shared" si="34"/>
        <v/>
      </c>
      <c r="AW149" s="90" t="str">
        <f t="shared" si="34"/>
        <v/>
      </c>
      <c r="AX149" s="90" t="str">
        <f t="shared" si="35"/>
        <v/>
      </c>
      <c r="AY149" s="90" t="str">
        <f t="shared" si="35"/>
        <v/>
      </c>
      <c r="AZ149" s="90" t="str">
        <f t="shared" si="35"/>
        <v/>
      </c>
      <c r="BA149" s="90" t="str">
        <f t="shared" si="35"/>
        <v/>
      </c>
      <c r="BB149" s="90" t="str">
        <f t="shared" si="35"/>
        <v/>
      </c>
      <c r="BC149" s="90" t="str">
        <f t="shared" si="35"/>
        <v/>
      </c>
    </row>
    <row r="150" spans="1:55" x14ac:dyDescent="0.25">
      <c r="A150" s="15" t="s">
        <v>51</v>
      </c>
      <c r="B150" s="16" t="s">
        <v>52</v>
      </c>
      <c r="C150" s="16" t="s">
        <v>54</v>
      </c>
      <c r="D150" s="2"/>
      <c r="E150" s="2"/>
      <c r="F150" s="1">
        <f t="shared" si="33"/>
        <v>0</v>
      </c>
      <c r="G150" s="1">
        <f t="shared" si="33"/>
        <v>0</v>
      </c>
      <c r="H150" s="1">
        <f t="shared" si="33"/>
        <v>0</v>
      </c>
      <c r="I150" s="1">
        <f t="shared" si="33"/>
        <v>0</v>
      </c>
      <c r="J150" s="1">
        <f t="shared" si="33"/>
        <v>0</v>
      </c>
      <c r="K150" s="1">
        <f t="shared" si="33"/>
        <v>0</v>
      </c>
      <c r="L150" s="52">
        <f t="shared" si="33"/>
        <v>0</v>
      </c>
      <c r="M150" s="1">
        <f t="shared" si="33"/>
        <v>0</v>
      </c>
      <c r="N150" s="1">
        <f t="shared" si="33"/>
        <v>0</v>
      </c>
      <c r="O150" s="1">
        <f t="shared" si="33"/>
        <v>0</v>
      </c>
      <c r="P150" s="1">
        <f t="shared" si="33"/>
        <v>0</v>
      </c>
      <c r="Q150" s="1">
        <f t="shared" si="33"/>
        <v>0</v>
      </c>
      <c r="R150" s="1">
        <f t="shared" si="33"/>
        <v>0</v>
      </c>
      <c r="S150" s="1">
        <f t="shared" si="33"/>
        <v>0</v>
      </c>
      <c r="T150" s="1">
        <f t="shared" si="33"/>
        <v>0</v>
      </c>
      <c r="U150" s="1">
        <f t="shared" si="33"/>
        <v>0</v>
      </c>
      <c r="V150" s="1">
        <f t="shared" si="33"/>
        <v>0</v>
      </c>
      <c r="W150" s="1">
        <f t="shared" si="33"/>
        <v>0</v>
      </c>
      <c r="X150" s="54">
        <f t="shared" si="33"/>
        <v>0</v>
      </c>
      <c r="Y150" s="58">
        <f t="shared" si="33"/>
        <v>0</v>
      </c>
      <c r="Z150" s="1">
        <f t="shared" si="33"/>
        <v>0</v>
      </c>
      <c r="AA150" s="1">
        <f t="shared" si="33"/>
        <v>0</v>
      </c>
      <c r="AC150" s="15" t="s">
        <v>51</v>
      </c>
      <c r="AD150" s="16" t="s">
        <v>52</v>
      </c>
      <c r="AE150" s="16" t="s">
        <v>54</v>
      </c>
      <c r="AF150" s="2"/>
      <c r="AG150" s="2"/>
      <c r="AH150" s="90" t="str">
        <f t="shared" si="34"/>
        <v/>
      </c>
      <c r="AI150" s="90" t="str">
        <f t="shared" si="34"/>
        <v/>
      </c>
      <c r="AJ150" s="90" t="str">
        <f t="shared" si="34"/>
        <v/>
      </c>
      <c r="AK150" s="90" t="str">
        <f t="shared" si="34"/>
        <v/>
      </c>
      <c r="AL150" s="90" t="str">
        <f t="shared" si="34"/>
        <v/>
      </c>
      <c r="AM150" s="90" t="str">
        <f t="shared" si="34"/>
        <v/>
      </c>
      <c r="AN150" s="90" t="str">
        <f t="shared" si="34"/>
        <v/>
      </c>
      <c r="AO150" s="90" t="str">
        <f t="shared" si="34"/>
        <v/>
      </c>
      <c r="AP150" s="90" t="str">
        <f t="shared" si="34"/>
        <v/>
      </c>
      <c r="AQ150" s="90" t="str">
        <f t="shared" si="34"/>
        <v/>
      </c>
      <c r="AR150" s="90" t="str">
        <f t="shared" si="34"/>
        <v/>
      </c>
      <c r="AS150" s="90" t="str">
        <f t="shared" si="34"/>
        <v/>
      </c>
      <c r="AT150" s="90" t="str">
        <f t="shared" si="34"/>
        <v/>
      </c>
      <c r="AU150" s="90" t="str">
        <f t="shared" si="34"/>
        <v/>
      </c>
      <c r="AV150" s="90" t="str">
        <f t="shared" si="34"/>
        <v/>
      </c>
      <c r="AW150" s="90" t="str">
        <f t="shared" si="34"/>
        <v/>
      </c>
      <c r="AX150" s="90" t="str">
        <f t="shared" si="35"/>
        <v/>
      </c>
      <c r="AY150" s="90" t="str">
        <f t="shared" si="35"/>
        <v/>
      </c>
      <c r="AZ150" s="90" t="str">
        <f t="shared" si="35"/>
        <v/>
      </c>
      <c r="BA150" s="90" t="str">
        <f t="shared" si="35"/>
        <v/>
      </c>
      <c r="BB150" s="90" t="str">
        <f t="shared" si="35"/>
        <v/>
      </c>
      <c r="BC150" s="90" t="str">
        <f t="shared" si="35"/>
        <v/>
      </c>
    </row>
    <row r="151" spans="1:55" x14ac:dyDescent="0.25">
      <c r="A151" s="15" t="s">
        <v>51</v>
      </c>
      <c r="B151" s="16" t="s">
        <v>52</v>
      </c>
      <c r="C151" s="16" t="s">
        <v>55</v>
      </c>
      <c r="D151" s="2"/>
      <c r="E151" s="2"/>
      <c r="F151" s="1">
        <f t="shared" si="33"/>
        <v>0</v>
      </c>
      <c r="G151" s="1">
        <f t="shared" si="33"/>
        <v>0</v>
      </c>
      <c r="H151" s="1">
        <f t="shared" si="33"/>
        <v>0</v>
      </c>
      <c r="I151" s="1">
        <f t="shared" si="33"/>
        <v>0</v>
      </c>
      <c r="J151" s="1">
        <f t="shared" si="33"/>
        <v>0</v>
      </c>
      <c r="K151" s="1">
        <f t="shared" si="33"/>
        <v>0</v>
      </c>
      <c r="L151" s="52">
        <f t="shared" si="33"/>
        <v>0</v>
      </c>
      <c r="M151" s="1">
        <f t="shared" si="33"/>
        <v>0</v>
      </c>
      <c r="N151" s="1">
        <f t="shared" si="33"/>
        <v>0</v>
      </c>
      <c r="O151" s="1">
        <f t="shared" si="33"/>
        <v>0</v>
      </c>
      <c r="P151" s="1">
        <f t="shared" si="33"/>
        <v>0</v>
      </c>
      <c r="Q151" s="1">
        <f t="shared" si="33"/>
        <v>0</v>
      </c>
      <c r="R151" s="1">
        <f t="shared" si="33"/>
        <v>0</v>
      </c>
      <c r="S151" s="1">
        <f t="shared" si="33"/>
        <v>0</v>
      </c>
      <c r="T151" s="1">
        <f t="shared" ref="G151:AA165" si="36">IF(T196&gt;0,T16/T196,0)</f>
        <v>0</v>
      </c>
      <c r="U151" s="1">
        <f t="shared" si="36"/>
        <v>0</v>
      </c>
      <c r="V151" s="1">
        <f t="shared" si="36"/>
        <v>0</v>
      </c>
      <c r="W151" s="1">
        <f t="shared" si="36"/>
        <v>0</v>
      </c>
      <c r="X151" s="54">
        <f t="shared" si="36"/>
        <v>0</v>
      </c>
      <c r="Y151" s="58">
        <f t="shared" si="36"/>
        <v>0</v>
      </c>
      <c r="Z151" s="1">
        <f t="shared" si="36"/>
        <v>0</v>
      </c>
      <c r="AA151" s="1">
        <f t="shared" si="36"/>
        <v>0</v>
      </c>
      <c r="AC151" s="15" t="s">
        <v>51</v>
      </c>
      <c r="AD151" s="16" t="s">
        <v>52</v>
      </c>
      <c r="AE151" s="16" t="s">
        <v>55</v>
      </c>
      <c r="AF151" s="2"/>
      <c r="AG151" s="2"/>
      <c r="AH151" s="90" t="str">
        <f t="shared" si="34"/>
        <v/>
      </c>
      <c r="AI151" s="90" t="str">
        <f t="shared" si="34"/>
        <v/>
      </c>
      <c r="AJ151" s="90" t="str">
        <f t="shared" si="34"/>
        <v/>
      </c>
      <c r="AK151" s="90" t="str">
        <f t="shared" si="34"/>
        <v/>
      </c>
      <c r="AL151" s="90" t="str">
        <f t="shared" si="34"/>
        <v/>
      </c>
      <c r="AM151" s="90" t="str">
        <f t="shared" si="34"/>
        <v/>
      </c>
      <c r="AN151" s="90" t="str">
        <f t="shared" si="34"/>
        <v/>
      </c>
      <c r="AO151" s="90" t="str">
        <f t="shared" si="34"/>
        <v/>
      </c>
      <c r="AP151" s="90" t="str">
        <f t="shared" si="34"/>
        <v/>
      </c>
      <c r="AQ151" s="90" t="str">
        <f t="shared" si="34"/>
        <v/>
      </c>
      <c r="AR151" s="90" t="str">
        <f t="shared" si="34"/>
        <v/>
      </c>
      <c r="AS151" s="90" t="str">
        <f t="shared" si="34"/>
        <v/>
      </c>
      <c r="AT151" s="90" t="str">
        <f t="shared" si="34"/>
        <v/>
      </c>
      <c r="AU151" s="90" t="str">
        <f t="shared" si="34"/>
        <v/>
      </c>
      <c r="AV151" s="90" t="str">
        <f t="shared" si="34"/>
        <v/>
      </c>
      <c r="AW151" s="90" t="str">
        <f t="shared" si="34"/>
        <v/>
      </c>
      <c r="AX151" s="90" t="str">
        <f t="shared" si="35"/>
        <v/>
      </c>
      <c r="AY151" s="90" t="str">
        <f t="shared" si="35"/>
        <v/>
      </c>
      <c r="AZ151" s="90" t="str">
        <f t="shared" si="35"/>
        <v/>
      </c>
      <c r="BA151" s="90" t="str">
        <f t="shared" si="35"/>
        <v/>
      </c>
      <c r="BB151" s="90" t="str">
        <f t="shared" si="35"/>
        <v/>
      </c>
      <c r="BC151" s="90" t="str">
        <f t="shared" si="35"/>
        <v/>
      </c>
    </row>
    <row r="152" spans="1:55" x14ac:dyDescent="0.25">
      <c r="A152" s="25" t="s">
        <v>51</v>
      </c>
      <c r="B152" s="26" t="s">
        <v>56</v>
      </c>
      <c r="C152" s="26" t="s">
        <v>57</v>
      </c>
      <c r="D152" s="2"/>
      <c r="E152" s="2"/>
      <c r="F152" s="1">
        <f t="shared" ref="F152:F170" si="37">IF(F197&gt;0,F17/F197,0)</f>
        <v>0</v>
      </c>
      <c r="G152" s="1">
        <f t="shared" si="36"/>
        <v>0</v>
      </c>
      <c r="H152" s="1">
        <f t="shared" si="36"/>
        <v>0</v>
      </c>
      <c r="I152" s="1">
        <f t="shared" si="36"/>
        <v>0</v>
      </c>
      <c r="J152" s="1">
        <f t="shared" si="36"/>
        <v>0</v>
      </c>
      <c r="K152" s="1">
        <f t="shared" si="36"/>
        <v>0</v>
      </c>
      <c r="L152" s="52">
        <f t="shared" si="36"/>
        <v>0</v>
      </c>
      <c r="M152" s="1">
        <f t="shared" si="36"/>
        <v>0</v>
      </c>
      <c r="N152" s="1">
        <f t="shared" si="36"/>
        <v>0</v>
      </c>
      <c r="O152" s="1">
        <f t="shared" si="36"/>
        <v>0</v>
      </c>
      <c r="P152" s="1">
        <f t="shared" si="36"/>
        <v>0</v>
      </c>
      <c r="Q152" s="1">
        <f t="shared" si="36"/>
        <v>0</v>
      </c>
      <c r="R152" s="1">
        <f t="shared" si="36"/>
        <v>0</v>
      </c>
      <c r="S152" s="1">
        <f t="shared" si="36"/>
        <v>0</v>
      </c>
      <c r="T152" s="1">
        <f t="shared" si="36"/>
        <v>0</v>
      </c>
      <c r="U152" s="1">
        <f t="shared" si="36"/>
        <v>0</v>
      </c>
      <c r="V152" s="1">
        <f t="shared" si="36"/>
        <v>0</v>
      </c>
      <c r="W152" s="1">
        <f t="shared" si="36"/>
        <v>0</v>
      </c>
      <c r="X152" s="54">
        <f t="shared" si="36"/>
        <v>0</v>
      </c>
      <c r="Y152" s="58">
        <f t="shared" si="36"/>
        <v>0</v>
      </c>
      <c r="Z152" s="1">
        <f t="shared" si="36"/>
        <v>0</v>
      </c>
      <c r="AA152" s="1">
        <f t="shared" si="36"/>
        <v>0</v>
      </c>
      <c r="AC152" s="25" t="s">
        <v>51</v>
      </c>
      <c r="AD152" s="26" t="s">
        <v>56</v>
      </c>
      <c r="AE152" s="26" t="s">
        <v>57</v>
      </c>
      <c r="AF152" s="2"/>
      <c r="AG152" s="2"/>
      <c r="AH152" s="90" t="str">
        <f t="shared" si="34"/>
        <v/>
      </c>
      <c r="AI152" s="90" t="str">
        <f t="shared" si="34"/>
        <v/>
      </c>
      <c r="AJ152" s="90" t="str">
        <f t="shared" si="34"/>
        <v/>
      </c>
      <c r="AK152" s="90" t="str">
        <f t="shared" si="34"/>
        <v/>
      </c>
      <c r="AL152" s="90" t="str">
        <f t="shared" si="34"/>
        <v/>
      </c>
      <c r="AM152" s="90" t="str">
        <f t="shared" si="34"/>
        <v/>
      </c>
      <c r="AN152" s="90" t="str">
        <f t="shared" si="34"/>
        <v/>
      </c>
      <c r="AO152" s="90" t="str">
        <f t="shared" si="34"/>
        <v/>
      </c>
      <c r="AP152" s="90" t="str">
        <f t="shared" si="34"/>
        <v/>
      </c>
      <c r="AQ152" s="90" t="str">
        <f t="shared" si="34"/>
        <v/>
      </c>
      <c r="AR152" s="90" t="str">
        <f t="shared" si="34"/>
        <v/>
      </c>
      <c r="AS152" s="90" t="str">
        <f t="shared" si="34"/>
        <v/>
      </c>
      <c r="AT152" s="90" t="str">
        <f t="shared" si="34"/>
        <v/>
      </c>
      <c r="AU152" s="90" t="str">
        <f t="shared" si="34"/>
        <v/>
      </c>
      <c r="AV152" s="90" t="str">
        <f t="shared" si="34"/>
        <v/>
      </c>
      <c r="AW152" s="90" t="str">
        <f t="shared" si="34"/>
        <v/>
      </c>
      <c r="AX152" s="90" t="str">
        <f t="shared" si="35"/>
        <v/>
      </c>
      <c r="AY152" s="90" t="str">
        <f t="shared" si="35"/>
        <v/>
      </c>
      <c r="AZ152" s="90" t="str">
        <f t="shared" si="35"/>
        <v/>
      </c>
      <c r="BA152" s="90" t="str">
        <f t="shared" si="35"/>
        <v/>
      </c>
      <c r="BB152" s="90" t="str">
        <f t="shared" si="35"/>
        <v/>
      </c>
      <c r="BC152" s="90" t="str">
        <f t="shared" si="35"/>
        <v/>
      </c>
    </row>
    <row r="153" spans="1:55" x14ac:dyDescent="0.25">
      <c r="A153" s="15" t="s">
        <v>51</v>
      </c>
      <c r="B153" s="16" t="s">
        <v>56</v>
      </c>
      <c r="C153" s="27" t="s">
        <v>58</v>
      </c>
      <c r="D153" s="2"/>
      <c r="E153" s="2"/>
      <c r="F153" s="1">
        <f t="shared" si="37"/>
        <v>0</v>
      </c>
      <c r="G153" s="1">
        <f t="shared" si="36"/>
        <v>0</v>
      </c>
      <c r="H153" s="1">
        <f t="shared" si="36"/>
        <v>0</v>
      </c>
      <c r="I153" s="1">
        <f t="shared" si="36"/>
        <v>0</v>
      </c>
      <c r="J153" s="1">
        <f t="shared" si="36"/>
        <v>0</v>
      </c>
      <c r="K153" s="1">
        <f t="shared" si="36"/>
        <v>0</v>
      </c>
      <c r="L153" s="52">
        <f t="shared" si="36"/>
        <v>0</v>
      </c>
      <c r="M153" s="1">
        <f t="shared" si="36"/>
        <v>0</v>
      </c>
      <c r="N153" s="1">
        <f t="shared" si="36"/>
        <v>0</v>
      </c>
      <c r="O153" s="1">
        <f t="shared" si="36"/>
        <v>0</v>
      </c>
      <c r="P153" s="1">
        <f t="shared" si="36"/>
        <v>0</v>
      </c>
      <c r="Q153" s="1">
        <f t="shared" si="36"/>
        <v>0</v>
      </c>
      <c r="R153" s="1">
        <f t="shared" si="36"/>
        <v>0</v>
      </c>
      <c r="S153" s="1">
        <f t="shared" si="36"/>
        <v>0</v>
      </c>
      <c r="T153" s="1">
        <f t="shared" si="36"/>
        <v>0</v>
      </c>
      <c r="U153" s="1">
        <f t="shared" si="36"/>
        <v>0</v>
      </c>
      <c r="V153" s="1">
        <f t="shared" si="36"/>
        <v>0</v>
      </c>
      <c r="W153" s="1">
        <f t="shared" si="36"/>
        <v>0</v>
      </c>
      <c r="X153" s="54">
        <f t="shared" si="36"/>
        <v>0</v>
      </c>
      <c r="Y153" s="58">
        <f t="shared" si="36"/>
        <v>0</v>
      </c>
      <c r="Z153" s="1">
        <f t="shared" si="36"/>
        <v>0</v>
      </c>
      <c r="AA153" s="1">
        <f t="shared" si="36"/>
        <v>0</v>
      </c>
      <c r="AC153" s="15" t="s">
        <v>51</v>
      </c>
      <c r="AD153" s="16" t="s">
        <v>56</v>
      </c>
      <c r="AE153" s="27" t="s">
        <v>58</v>
      </c>
      <c r="AF153" s="2"/>
      <c r="AG153" s="2"/>
      <c r="AH153" s="90" t="str">
        <f t="shared" si="34"/>
        <v/>
      </c>
      <c r="AI153" s="90" t="str">
        <f t="shared" si="34"/>
        <v/>
      </c>
      <c r="AJ153" s="90" t="str">
        <f t="shared" si="34"/>
        <v/>
      </c>
      <c r="AK153" s="90" t="str">
        <f t="shared" si="34"/>
        <v/>
      </c>
      <c r="AL153" s="90" t="str">
        <f t="shared" si="34"/>
        <v/>
      </c>
      <c r="AM153" s="90" t="str">
        <f t="shared" si="34"/>
        <v/>
      </c>
      <c r="AN153" s="90" t="str">
        <f t="shared" si="34"/>
        <v/>
      </c>
      <c r="AO153" s="90" t="str">
        <f t="shared" si="34"/>
        <v/>
      </c>
      <c r="AP153" s="90" t="str">
        <f t="shared" si="34"/>
        <v/>
      </c>
      <c r="AQ153" s="90" t="str">
        <f t="shared" si="34"/>
        <v/>
      </c>
      <c r="AR153" s="90" t="str">
        <f t="shared" si="34"/>
        <v/>
      </c>
      <c r="AS153" s="90" t="str">
        <f t="shared" si="34"/>
        <v/>
      </c>
      <c r="AT153" s="90" t="str">
        <f t="shared" si="34"/>
        <v/>
      </c>
      <c r="AU153" s="90" t="str">
        <f t="shared" si="34"/>
        <v/>
      </c>
      <c r="AV153" s="90" t="str">
        <f t="shared" si="34"/>
        <v/>
      </c>
      <c r="AW153" s="90" t="str">
        <f t="shared" si="34"/>
        <v/>
      </c>
      <c r="AX153" s="90" t="str">
        <f t="shared" si="35"/>
        <v/>
      </c>
      <c r="AY153" s="90" t="str">
        <f t="shared" si="35"/>
        <v/>
      </c>
      <c r="AZ153" s="90" t="str">
        <f t="shared" si="35"/>
        <v/>
      </c>
      <c r="BA153" s="90" t="str">
        <f t="shared" si="35"/>
        <v/>
      </c>
      <c r="BB153" s="90" t="str">
        <f t="shared" si="35"/>
        <v/>
      </c>
      <c r="BC153" s="90" t="str">
        <f t="shared" si="35"/>
        <v/>
      </c>
    </row>
    <row r="154" spans="1:55" x14ac:dyDescent="0.25">
      <c r="A154" s="15" t="s">
        <v>51</v>
      </c>
      <c r="B154" s="16" t="s">
        <v>9</v>
      </c>
      <c r="C154" s="27" t="s">
        <v>59</v>
      </c>
      <c r="D154" s="2"/>
      <c r="E154" s="2"/>
      <c r="F154" s="1">
        <f t="shared" si="37"/>
        <v>0</v>
      </c>
      <c r="G154" s="1">
        <f t="shared" si="36"/>
        <v>0</v>
      </c>
      <c r="H154" s="1">
        <f t="shared" si="36"/>
        <v>0</v>
      </c>
      <c r="I154" s="1">
        <f t="shared" si="36"/>
        <v>0</v>
      </c>
      <c r="J154" s="1">
        <f t="shared" si="36"/>
        <v>0</v>
      </c>
      <c r="K154" s="1">
        <f t="shared" si="36"/>
        <v>0</v>
      </c>
      <c r="L154" s="52">
        <f t="shared" si="36"/>
        <v>0</v>
      </c>
      <c r="M154" s="1">
        <f t="shared" si="36"/>
        <v>0</v>
      </c>
      <c r="N154" s="1">
        <f t="shared" si="36"/>
        <v>0</v>
      </c>
      <c r="O154" s="1">
        <f t="shared" si="36"/>
        <v>0</v>
      </c>
      <c r="P154" s="1">
        <f t="shared" si="36"/>
        <v>0</v>
      </c>
      <c r="Q154" s="1">
        <f t="shared" si="36"/>
        <v>0</v>
      </c>
      <c r="R154" s="1">
        <f t="shared" si="36"/>
        <v>0</v>
      </c>
      <c r="S154" s="1">
        <f t="shared" si="36"/>
        <v>0</v>
      </c>
      <c r="T154" s="1">
        <f t="shared" si="36"/>
        <v>0</v>
      </c>
      <c r="U154" s="1">
        <f t="shared" si="36"/>
        <v>0</v>
      </c>
      <c r="V154" s="1">
        <f t="shared" si="36"/>
        <v>0</v>
      </c>
      <c r="W154" s="1">
        <f t="shared" si="36"/>
        <v>0</v>
      </c>
      <c r="X154" s="54">
        <f t="shared" si="36"/>
        <v>0</v>
      </c>
      <c r="Y154" s="58">
        <f t="shared" si="36"/>
        <v>0</v>
      </c>
      <c r="Z154" s="1">
        <f t="shared" si="36"/>
        <v>0</v>
      </c>
      <c r="AA154" s="1">
        <f t="shared" si="36"/>
        <v>0</v>
      </c>
      <c r="AC154" s="15" t="s">
        <v>51</v>
      </c>
      <c r="AD154" s="16" t="s">
        <v>9</v>
      </c>
      <c r="AE154" s="27" t="s">
        <v>59</v>
      </c>
      <c r="AF154" s="2"/>
      <c r="AG154" s="2"/>
      <c r="AH154" s="90" t="str">
        <f t="shared" si="34"/>
        <v/>
      </c>
      <c r="AI154" s="90" t="str">
        <f t="shared" si="34"/>
        <v/>
      </c>
      <c r="AJ154" s="90" t="str">
        <f t="shared" si="34"/>
        <v/>
      </c>
      <c r="AK154" s="90" t="str">
        <f t="shared" si="34"/>
        <v/>
      </c>
      <c r="AL154" s="90" t="str">
        <f t="shared" si="34"/>
        <v/>
      </c>
      <c r="AM154" s="90" t="str">
        <f t="shared" si="34"/>
        <v/>
      </c>
      <c r="AN154" s="90" t="str">
        <f t="shared" si="34"/>
        <v/>
      </c>
      <c r="AO154" s="90" t="str">
        <f t="shared" si="34"/>
        <v/>
      </c>
      <c r="AP154" s="90" t="str">
        <f t="shared" si="34"/>
        <v/>
      </c>
      <c r="AQ154" s="90" t="str">
        <f t="shared" si="34"/>
        <v/>
      </c>
      <c r="AR154" s="90" t="str">
        <f t="shared" si="34"/>
        <v/>
      </c>
      <c r="AS154" s="90" t="str">
        <f t="shared" si="34"/>
        <v/>
      </c>
      <c r="AT154" s="90" t="str">
        <f t="shared" si="34"/>
        <v/>
      </c>
      <c r="AU154" s="90" t="str">
        <f t="shared" si="34"/>
        <v/>
      </c>
      <c r="AV154" s="90" t="str">
        <f t="shared" si="34"/>
        <v/>
      </c>
      <c r="AW154" s="90" t="str">
        <f t="shared" si="34"/>
        <v/>
      </c>
      <c r="AX154" s="90" t="str">
        <f t="shared" si="35"/>
        <v/>
      </c>
      <c r="AY154" s="90" t="str">
        <f t="shared" si="35"/>
        <v/>
      </c>
      <c r="AZ154" s="90" t="str">
        <f t="shared" si="35"/>
        <v/>
      </c>
      <c r="BA154" s="90" t="str">
        <f t="shared" si="35"/>
        <v/>
      </c>
      <c r="BB154" s="90" t="str">
        <f t="shared" si="35"/>
        <v/>
      </c>
      <c r="BC154" s="90" t="str">
        <f t="shared" si="35"/>
        <v/>
      </c>
    </row>
    <row r="155" spans="1:55" x14ac:dyDescent="0.25">
      <c r="A155" s="15" t="s">
        <v>51</v>
      </c>
      <c r="B155" s="16" t="s">
        <v>9</v>
      </c>
      <c r="C155" s="27" t="s">
        <v>9</v>
      </c>
      <c r="D155" s="2"/>
      <c r="E155" s="2"/>
      <c r="F155" s="1">
        <f t="shared" si="37"/>
        <v>0</v>
      </c>
      <c r="G155" s="1">
        <f t="shared" si="36"/>
        <v>0</v>
      </c>
      <c r="H155" s="1">
        <f t="shared" si="36"/>
        <v>0</v>
      </c>
      <c r="I155" s="1">
        <f t="shared" si="36"/>
        <v>0</v>
      </c>
      <c r="J155" s="1">
        <f t="shared" si="36"/>
        <v>0</v>
      </c>
      <c r="K155" s="1">
        <f t="shared" si="36"/>
        <v>0</v>
      </c>
      <c r="L155" s="52">
        <f t="shared" si="36"/>
        <v>0</v>
      </c>
      <c r="M155" s="1">
        <f t="shared" si="36"/>
        <v>0</v>
      </c>
      <c r="N155" s="1">
        <f t="shared" si="36"/>
        <v>0</v>
      </c>
      <c r="O155" s="1">
        <f t="shared" si="36"/>
        <v>0</v>
      </c>
      <c r="P155" s="1">
        <f t="shared" si="36"/>
        <v>0</v>
      </c>
      <c r="Q155" s="1">
        <f t="shared" si="36"/>
        <v>0</v>
      </c>
      <c r="R155" s="1">
        <f t="shared" si="36"/>
        <v>0</v>
      </c>
      <c r="S155" s="1">
        <f t="shared" si="36"/>
        <v>0</v>
      </c>
      <c r="T155" s="1">
        <f t="shared" si="36"/>
        <v>0</v>
      </c>
      <c r="U155" s="1">
        <f t="shared" si="36"/>
        <v>0</v>
      </c>
      <c r="V155" s="1">
        <f t="shared" si="36"/>
        <v>0</v>
      </c>
      <c r="W155" s="1">
        <f t="shared" si="36"/>
        <v>0</v>
      </c>
      <c r="X155" s="54">
        <f t="shared" si="36"/>
        <v>0</v>
      </c>
      <c r="Y155" s="58">
        <f t="shared" si="36"/>
        <v>0</v>
      </c>
      <c r="Z155" s="1">
        <f t="shared" si="36"/>
        <v>0</v>
      </c>
      <c r="AA155" s="1">
        <f t="shared" si="36"/>
        <v>0</v>
      </c>
      <c r="AC155" s="15" t="s">
        <v>51</v>
      </c>
      <c r="AD155" s="16" t="s">
        <v>9</v>
      </c>
      <c r="AE155" s="27" t="s">
        <v>9</v>
      </c>
      <c r="AF155" s="2"/>
      <c r="AG155" s="2"/>
      <c r="AH155" s="90" t="str">
        <f t="shared" si="34"/>
        <v/>
      </c>
      <c r="AI155" s="90" t="str">
        <f t="shared" si="34"/>
        <v/>
      </c>
      <c r="AJ155" s="90" t="str">
        <f t="shared" si="34"/>
        <v/>
      </c>
      <c r="AK155" s="90" t="str">
        <f t="shared" si="34"/>
        <v/>
      </c>
      <c r="AL155" s="90" t="str">
        <f t="shared" si="34"/>
        <v/>
      </c>
      <c r="AM155" s="90" t="str">
        <f t="shared" si="34"/>
        <v/>
      </c>
      <c r="AN155" s="90" t="str">
        <f t="shared" si="34"/>
        <v/>
      </c>
      <c r="AO155" s="90" t="str">
        <f t="shared" si="34"/>
        <v/>
      </c>
      <c r="AP155" s="90" t="str">
        <f t="shared" si="34"/>
        <v/>
      </c>
      <c r="AQ155" s="90" t="str">
        <f t="shared" si="34"/>
        <v/>
      </c>
      <c r="AR155" s="90" t="str">
        <f t="shared" si="34"/>
        <v/>
      </c>
      <c r="AS155" s="90" t="str">
        <f t="shared" si="34"/>
        <v/>
      </c>
      <c r="AT155" s="90" t="str">
        <f t="shared" si="34"/>
        <v/>
      </c>
      <c r="AU155" s="90" t="str">
        <f t="shared" si="34"/>
        <v/>
      </c>
      <c r="AV155" s="90" t="str">
        <f t="shared" si="34"/>
        <v/>
      </c>
      <c r="AW155" s="90" t="str">
        <f t="shared" ref="AW155:BC180" si="38">IF(U200&gt;0,U65/U200,"")</f>
        <v/>
      </c>
      <c r="AX155" s="90" t="str">
        <f t="shared" si="35"/>
        <v/>
      </c>
      <c r="AY155" s="90" t="str">
        <f t="shared" si="35"/>
        <v/>
      </c>
      <c r="AZ155" s="90" t="str">
        <f t="shared" si="35"/>
        <v/>
      </c>
      <c r="BA155" s="90" t="str">
        <f t="shared" si="35"/>
        <v/>
      </c>
      <c r="BB155" s="90" t="str">
        <f t="shared" si="35"/>
        <v/>
      </c>
      <c r="BC155" s="90" t="str">
        <f t="shared" si="35"/>
        <v/>
      </c>
    </row>
    <row r="156" spans="1:55" x14ac:dyDescent="0.25">
      <c r="A156" s="28" t="s">
        <v>60</v>
      </c>
      <c r="B156" s="29" t="s">
        <v>13</v>
      </c>
      <c r="C156" s="29" t="s">
        <v>61</v>
      </c>
      <c r="D156" s="2"/>
      <c r="E156" s="2"/>
      <c r="F156" s="51">
        <f t="shared" si="37"/>
        <v>52.5</v>
      </c>
      <c r="G156" s="51">
        <f t="shared" si="36"/>
        <v>0</v>
      </c>
      <c r="H156" s="51">
        <f t="shared" si="36"/>
        <v>7.9027199999999995</v>
      </c>
      <c r="I156" s="91">
        <v>29</v>
      </c>
      <c r="J156" s="51">
        <f>IF(J201&gt;0,J21/J201,0)</f>
        <v>66.666666666666671</v>
      </c>
      <c r="K156" s="91">
        <v>29</v>
      </c>
      <c r="L156" s="52">
        <f t="shared" si="36"/>
        <v>0</v>
      </c>
      <c r="M156" s="64">
        <v>400</v>
      </c>
      <c r="N156" s="51">
        <f t="shared" si="36"/>
        <v>758.62068965517244</v>
      </c>
      <c r="O156" s="51">
        <f t="shared" si="36"/>
        <v>12937.5</v>
      </c>
      <c r="P156" s="51">
        <f t="shared" si="36"/>
        <v>88090.204369274143</v>
      </c>
      <c r="Q156" s="77">
        <v>940</v>
      </c>
      <c r="R156" s="77">
        <v>426</v>
      </c>
      <c r="S156" s="51">
        <f t="shared" si="36"/>
        <v>0</v>
      </c>
      <c r="T156" s="77">
        <v>426</v>
      </c>
      <c r="U156" s="77">
        <v>426</v>
      </c>
      <c r="V156" s="77">
        <v>426</v>
      </c>
      <c r="W156" s="77">
        <v>426</v>
      </c>
      <c r="X156" s="79">
        <v>426</v>
      </c>
      <c r="Y156" s="59">
        <f t="shared" si="36"/>
        <v>27.897625313117999</v>
      </c>
      <c r="Z156" s="51">
        <f t="shared" si="36"/>
        <v>1425.1941616673907</v>
      </c>
      <c r="AA156" s="51">
        <f t="shared" si="36"/>
        <v>142.83198247630702</v>
      </c>
      <c r="AC156" s="28" t="s">
        <v>60</v>
      </c>
      <c r="AD156" s="29" t="s">
        <v>13</v>
      </c>
      <c r="AE156" s="29" t="s">
        <v>61</v>
      </c>
      <c r="AF156" s="2"/>
      <c r="AG156" s="2"/>
      <c r="AH156" s="1">
        <f t="shared" ref="AH156:AV172" si="39">IF(F201&gt;0,F66/F201,"")</f>
        <v>9.8040020000000005</v>
      </c>
      <c r="AI156" s="1" t="str">
        <f t="shared" si="39"/>
        <v/>
      </c>
      <c r="AJ156" s="1">
        <f t="shared" si="39"/>
        <v>2.1120000000000001</v>
      </c>
      <c r="AK156" s="1">
        <f t="shared" si="39"/>
        <v>5.4674441205053448</v>
      </c>
      <c r="AL156" s="1">
        <f t="shared" si="39"/>
        <v>17.094017094017094</v>
      </c>
      <c r="AM156" s="1">
        <f t="shared" si="39"/>
        <v>4.2243333333333331</v>
      </c>
      <c r="AN156" s="52" t="str">
        <f t="shared" si="39"/>
        <v/>
      </c>
      <c r="AO156" s="1">
        <f t="shared" si="39"/>
        <v>116.36363636363636</v>
      </c>
      <c r="AP156" s="1">
        <f t="shared" si="39"/>
        <v>217.24137931034483</v>
      </c>
      <c r="AQ156" s="1">
        <f t="shared" si="39"/>
        <v>3750</v>
      </c>
      <c r="AR156" s="1">
        <f t="shared" si="39"/>
        <v>11451.726568005637</v>
      </c>
      <c r="AS156" s="1">
        <f t="shared" si="39"/>
        <v>282</v>
      </c>
      <c r="AT156" s="1">
        <f t="shared" si="39"/>
        <v>127.79999999999998</v>
      </c>
      <c r="AU156" s="1" t="str">
        <f t="shared" si="39"/>
        <v/>
      </c>
      <c r="AV156" s="1">
        <f t="shared" si="39"/>
        <v>149.1</v>
      </c>
      <c r="AW156" s="1">
        <f t="shared" si="38"/>
        <v>187.44</v>
      </c>
      <c r="AX156" s="1">
        <f t="shared" si="38"/>
        <v>511.2</v>
      </c>
      <c r="AY156" s="1">
        <f t="shared" si="38"/>
        <v>340.8</v>
      </c>
      <c r="AZ156" s="1">
        <f t="shared" si="38"/>
        <v>149.1</v>
      </c>
      <c r="BA156" s="1">
        <f t="shared" si="38"/>
        <v>5.6912646433750824</v>
      </c>
      <c r="BB156" s="1">
        <f t="shared" si="38"/>
        <v>295.1952309722555</v>
      </c>
      <c r="BC156" s="1">
        <f t="shared" si="38"/>
        <v>29.50435756996276</v>
      </c>
    </row>
    <row r="157" spans="1:55" x14ac:dyDescent="0.25">
      <c r="A157" s="36" t="s">
        <v>60</v>
      </c>
      <c r="B157" s="37" t="s">
        <v>13</v>
      </c>
      <c r="C157" s="29" t="s">
        <v>62</v>
      </c>
      <c r="D157" s="2"/>
      <c r="E157" s="2"/>
      <c r="F157" s="51">
        <f t="shared" si="37"/>
        <v>40.909090909090907</v>
      </c>
      <c r="G157" s="51">
        <f t="shared" si="36"/>
        <v>21.75</v>
      </c>
      <c r="H157" s="51">
        <f t="shared" si="36"/>
        <v>7.2002559999999995</v>
      </c>
      <c r="I157" s="77">
        <v>20</v>
      </c>
      <c r="J157" s="51">
        <f t="shared" si="36"/>
        <v>0</v>
      </c>
      <c r="K157" s="51">
        <f t="shared" si="36"/>
        <v>0</v>
      </c>
      <c r="L157" s="52">
        <f t="shared" si="36"/>
        <v>0</v>
      </c>
      <c r="M157" s="51">
        <f t="shared" si="36"/>
        <v>0</v>
      </c>
      <c r="N157" s="51">
        <f t="shared" si="36"/>
        <v>0</v>
      </c>
      <c r="O157" s="51">
        <f t="shared" si="36"/>
        <v>0</v>
      </c>
      <c r="P157" s="51">
        <f t="shared" si="36"/>
        <v>66596.194503171253</v>
      </c>
      <c r="Q157" s="51">
        <f t="shared" si="36"/>
        <v>0</v>
      </c>
      <c r="R157" s="51">
        <f t="shared" si="36"/>
        <v>0</v>
      </c>
      <c r="S157" s="51">
        <f t="shared" si="36"/>
        <v>0</v>
      </c>
      <c r="T157" s="51">
        <f t="shared" si="36"/>
        <v>0</v>
      </c>
      <c r="U157" s="51">
        <f t="shared" si="36"/>
        <v>0</v>
      </c>
      <c r="V157" s="51">
        <f t="shared" si="36"/>
        <v>0</v>
      </c>
      <c r="W157" s="51">
        <f t="shared" si="36"/>
        <v>0</v>
      </c>
      <c r="X157" s="55">
        <f t="shared" si="36"/>
        <v>0</v>
      </c>
      <c r="Y157" s="59">
        <f t="shared" si="36"/>
        <v>10.054825938566553</v>
      </c>
      <c r="Z157" s="51">
        <f t="shared" si="36"/>
        <v>66596.194503171253</v>
      </c>
      <c r="AA157" s="51">
        <f t="shared" si="36"/>
        <v>61.611180196751306</v>
      </c>
      <c r="AB157" s="14">
        <f>0.74*55</f>
        <v>40.700000000000003</v>
      </c>
      <c r="AC157" s="36" t="s">
        <v>60</v>
      </c>
      <c r="AD157" s="37" t="s">
        <v>13</v>
      </c>
      <c r="AE157" s="29" t="s">
        <v>62</v>
      </c>
      <c r="AF157" s="2"/>
      <c r="AG157" s="2"/>
      <c r="AH157" s="1">
        <f t="shared" si="39"/>
        <v>9.5515025454545466</v>
      </c>
      <c r="AI157" s="1">
        <f t="shared" si="39"/>
        <v>5.2349770852428961</v>
      </c>
      <c r="AJ157" s="1">
        <f t="shared" si="39"/>
        <v>1.881</v>
      </c>
      <c r="AK157" s="1" t="str">
        <f t="shared" si="39"/>
        <v/>
      </c>
      <c r="AL157" s="1" t="str">
        <f t="shared" si="39"/>
        <v/>
      </c>
      <c r="AM157" s="1" t="str">
        <f t="shared" si="39"/>
        <v/>
      </c>
      <c r="AN157" s="52" t="str">
        <f t="shared" si="39"/>
        <v/>
      </c>
      <c r="AO157" s="1" t="str">
        <f t="shared" si="39"/>
        <v/>
      </c>
      <c r="AP157" s="1" t="str">
        <f t="shared" si="39"/>
        <v/>
      </c>
      <c r="AQ157" s="1" t="str">
        <f t="shared" si="39"/>
        <v/>
      </c>
      <c r="AR157" s="1">
        <f t="shared" si="39"/>
        <v>8809.0204369274143</v>
      </c>
      <c r="AS157" s="1" t="str">
        <f t="shared" si="39"/>
        <v/>
      </c>
      <c r="AT157" s="1" t="str">
        <f t="shared" si="39"/>
        <v/>
      </c>
      <c r="AU157" s="1" t="str">
        <f t="shared" si="39"/>
        <v/>
      </c>
      <c r="AV157" s="1" t="str">
        <f t="shared" si="39"/>
        <v/>
      </c>
      <c r="AW157" s="1" t="str">
        <f t="shared" si="38"/>
        <v/>
      </c>
      <c r="AX157" s="1" t="str">
        <f t="shared" si="38"/>
        <v/>
      </c>
      <c r="AY157" s="1" t="str">
        <f t="shared" si="38"/>
        <v/>
      </c>
      <c r="AZ157" s="1" t="str">
        <f t="shared" si="38"/>
        <v/>
      </c>
      <c r="BA157" s="1">
        <f t="shared" si="38"/>
        <v>2.5352757499241392</v>
      </c>
      <c r="BB157" s="1">
        <f t="shared" si="38"/>
        <v>8809.0204369274143</v>
      </c>
      <c r="BC157" s="1">
        <f t="shared" si="38"/>
        <v>9.3539661101096705</v>
      </c>
    </row>
    <row r="158" spans="1:55" x14ac:dyDescent="0.25">
      <c r="A158" s="30" t="s">
        <v>60</v>
      </c>
      <c r="B158" s="31" t="s">
        <v>13</v>
      </c>
      <c r="C158" s="32" t="s">
        <v>63</v>
      </c>
      <c r="D158" s="2"/>
      <c r="E158" s="2"/>
      <c r="F158" s="51">
        <f t="shared" si="37"/>
        <v>0</v>
      </c>
      <c r="G158" s="51">
        <f t="shared" si="36"/>
        <v>0</v>
      </c>
      <c r="H158" s="51">
        <f t="shared" si="36"/>
        <v>0</v>
      </c>
      <c r="I158" s="51">
        <f t="shared" si="36"/>
        <v>0</v>
      </c>
      <c r="J158" s="51">
        <f t="shared" si="36"/>
        <v>0</v>
      </c>
      <c r="K158" s="51">
        <f t="shared" si="36"/>
        <v>0</v>
      </c>
      <c r="L158" s="52">
        <f t="shared" si="36"/>
        <v>0</v>
      </c>
      <c r="M158" s="51">
        <f t="shared" si="36"/>
        <v>0</v>
      </c>
      <c r="N158" s="51">
        <f t="shared" si="36"/>
        <v>0</v>
      </c>
      <c r="O158" s="51">
        <f t="shared" si="36"/>
        <v>0</v>
      </c>
      <c r="P158" s="51">
        <f t="shared" si="36"/>
        <v>0</v>
      </c>
      <c r="Q158" s="51">
        <f t="shared" si="36"/>
        <v>0</v>
      </c>
      <c r="R158" s="51">
        <f t="shared" si="36"/>
        <v>0</v>
      </c>
      <c r="S158" s="51">
        <f t="shared" si="36"/>
        <v>0</v>
      </c>
      <c r="T158" s="51">
        <f t="shared" si="36"/>
        <v>0</v>
      </c>
      <c r="U158" s="51">
        <f t="shared" si="36"/>
        <v>0</v>
      </c>
      <c r="V158" s="51">
        <f t="shared" si="36"/>
        <v>0</v>
      </c>
      <c r="W158" s="51">
        <f t="shared" si="36"/>
        <v>0</v>
      </c>
      <c r="X158" s="55">
        <f t="shared" si="36"/>
        <v>0</v>
      </c>
      <c r="Y158" s="59">
        <f t="shared" si="36"/>
        <v>0</v>
      </c>
      <c r="Z158" s="51">
        <f t="shared" si="36"/>
        <v>0</v>
      </c>
      <c r="AA158" s="51">
        <f t="shared" si="36"/>
        <v>0</v>
      </c>
      <c r="AB158" s="14">
        <f>0.75*70</f>
        <v>52.5</v>
      </c>
      <c r="AC158" s="30" t="s">
        <v>60</v>
      </c>
      <c r="AD158" s="31" t="s">
        <v>13</v>
      </c>
      <c r="AE158" s="32" t="s">
        <v>63</v>
      </c>
      <c r="AF158" s="2"/>
      <c r="AG158" s="2"/>
      <c r="AH158" s="1" t="str">
        <f t="shared" si="39"/>
        <v/>
      </c>
      <c r="AI158" s="1" t="str">
        <f t="shared" si="39"/>
        <v/>
      </c>
      <c r="AJ158" s="1" t="str">
        <f t="shared" si="39"/>
        <v/>
      </c>
      <c r="AK158" s="1" t="str">
        <f t="shared" si="39"/>
        <v/>
      </c>
      <c r="AL158" s="1" t="str">
        <f t="shared" si="39"/>
        <v/>
      </c>
      <c r="AM158" s="1" t="str">
        <f t="shared" si="39"/>
        <v/>
      </c>
      <c r="AN158" s="52" t="str">
        <f t="shared" si="39"/>
        <v/>
      </c>
      <c r="AO158" s="1" t="str">
        <f t="shared" si="39"/>
        <v/>
      </c>
      <c r="AP158" s="1" t="str">
        <f t="shared" si="39"/>
        <v/>
      </c>
      <c r="AQ158" s="1" t="str">
        <f t="shared" si="39"/>
        <v/>
      </c>
      <c r="AR158" s="1" t="str">
        <f t="shared" si="39"/>
        <v/>
      </c>
      <c r="AS158" s="1" t="str">
        <f t="shared" si="39"/>
        <v/>
      </c>
      <c r="AT158" s="1" t="str">
        <f t="shared" si="39"/>
        <v/>
      </c>
      <c r="AU158" s="1" t="str">
        <f t="shared" si="39"/>
        <v/>
      </c>
      <c r="AV158" s="1" t="str">
        <f t="shared" si="39"/>
        <v/>
      </c>
      <c r="AW158" s="1" t="str">
        <f t="shared" si="38"/>
        <v/>
      </c>
      <c r="AX158" s="1" t="str">
        <f t="shared" si="38"/>
        <v/>
      </c>
      <c r="AY158" s="1" t="str">
        <f t="shared" si="38"/>
        <v/>
      </c>
      <c r="AZ158" s="1" t="str">
        <f t="shared" si="38"/>
        <v/>
      </c>
      <c r="BA158" s="1" t="str">
        <f t="shared" si="38"/>
        <v/>
      </c>
      <c r="BB158" s="1" t="str">
        <f t="shared" si="38"/>
        <v/>
      </c>
      <c r="BC158" s="1" t="str">
        <f t="shared" si="38"/>
        <v/>
      </c>
    </row>
    <row r="159" spans="1:55" ht="15.75" thickBot="1" x14ac:dyDescent="0.3">
      <c r="A159" s="30" t="s">
        <v>60</v>
      </c>
      <c r="B159" s="32" t="s">
        <v>23</v>
      </c>
      <c r="C159" s="31" t="s">
        <v>50</v>
      </c>
      <c r="D159" s="2"/>
      <c r="E159" s="2"/>
      <c r="F159" s="77">
        <v>40</v>
      </c>
      <c r="G159" s="51">
        <f t="shared" si="36"/>
        <v>0</v>
      </c>
      <c r="H159" s="51">
        <f t="shared" si="36"/>
        <v>0</v>
      </c>
      <c r="I159" s="51">
        <f t="shared" si="36"/>
        <v>0</v>
      </c>
      <c r="J159" s="77">
        <v>45</v>
      </c>
      <c r="K159" s="77">
        <v>2.2000000000000002</v>
      </c>
      <c r="L159" s="52">
        <f t="shared" si="36"/>
        <v>0</v>
      </c>
      <c r="M159" s="51">
        <f t="shared" si="36"/>
        <v>0</v>
      </c>
      <c r="N159" s="53">
        <f t="shared" si="36"/>
        <v>7466.666666666667</v>
      </c>
      <c r="O159" s="53">
        <f t="shared" si="36"/>
        <v>0</v>
      </c>
      <c r="P159" s="53">
        <f t="shared" si="36"/>
        <v>0</v>
      </c>
      <c r="Q159" s="51">
        <f t="shared" si="36"/>
        <v>0</v>
      </c>
      <c r="R159" s="51">
        <f t="shared" si="36"/>
        <v>0</v>
      </c>
      <c r="S159" s="51">
        <f t="shared" si="36"/>
        <v>0</v>
      </c>
      <c r="T159" s="51">
        <f t="shared" si="36"/>
        <v>0</v>
      </c>
      <c r="U159" s="51">
        <f t="shared" si="36"/>
        <v>0</v>
      </c>
      <c r="V159" s="77">
        <v>426</v>
      </c>
      <c r="W159" s="51">
        <f t="shared" si="36"/>
        <v>0</v>
      </c>
      <c r="X159" s="55">
        <f t="shared" si="36"/>
        <v>0</v>
      </c>
      <c r="Y159" s="59">
        <f t="shared" si="36"/>
        <v>2.3452293382056331</v>
      </c>
      <c r="Z159" s="51">
        <f t="shared" si="36"/>
        <v>7466.666666666667</v>
      </c>
      <c r="AA159" s="51">
        <f t="shared" si="36"/>
        <v>11.102328612905136</v>
      </c>
      <c r="AC159" s="30" t="s">
        <v>60</v>
      </c>
      <c r="AD159" s="32" t="s">
        <v>23</v>
      </c>
      <c r="AE159" s="31" t="s">
        <v>50</v>
      </c>
      <c r="AF159" s="2"/>
      <c r="AG159" s="2"/>
      <c r="AH159" s="1" t="str">
        <f t="shared" si="39"/>
        <v/>
      </c>
      <c r="AI159" s="1" t="str">
        <f t="shared" si="39"/>
        <v/>
      </c>
      <c r="AJ159" s="1" t="str">
        <f t="shared" si="39"/>
        <v/>
      </c>
      <c r="AK159" s="1" t="str">
        <f t="shared" si="39"/>
        <v/>
      </c>
      <c r="AL159" s="1">
        <f t="shared" si="39"/>
        <v>13.499999999999998</v>
      </c>
      <c r="AM159" s="1">
        <f t="shared" si="39"/>
        <v>0.54332142857142862</v>
      </c>
      <c r="AN159" s="52" t="str">
        <f t="shared" si="39"/>
        <v/>
      </c>
      <c r="AO159" s="1" t="str">
        <f t="shared" si="39"/>
        <v/>
      </c>
      <c r="AP159" s="1">
        <f t="shared" si="39"/>
        <v>2833.3333333333335</v>
      </c>
      <c r="AQ159" s="1" t="str">
        <f t="shared" si="39"/>
        <v/>
      </c>
      <c r="AR159" s="1" t="str">
        <f t="shared" si="39"/>
        <v/>
      </c>
      <c r="AS159" s="1" t="str">
        <f t="shared" si="39"/>
        <v/>
      </c>
      <c r="AT159" s="1" t="str">
        <f t="shared" si="39"/>
        <v/>
      </c>
      <c r="AU159" s="1" t="str">
        <f t="shared" si="39"/>
        <v/>
      </c>
      <c r="AV159" s="1" t="str">
        <f t="shared" si="39"/>
        <v/>
      </c>
      <c r="AW159" s="1" t="str">
        <f t="shared" si="38"/>
        <v/>
      </c>
      <c r="AX159" s="1" t="str">
        <f t="shared" si="38"/>
        <v/>
      </c>
      <c r="AY159" s="1" t="str">
        <f t="shared" si="38"/>
        <v/>
      </c>
      <c r="AZ159" s="1" t="str">
        <f t="shared" si="38"/>
        <v/>
      </c>
      <c r="BA159" s="1">
        <f t="shared" si="38"/>
        <v>0.58728614479272956</v>
      </c>
      <c r="BB159" s="1">
        <f t="shared" si="38"/>
        <v>2833.3333333333335</v>
      </c>
      <c r="BC159" s="1">
        <f t="shared" si="38"/>
        <v>3.9106476269479171</v>
      </c>
    </row>
    <row r="160" spans="1:55" ht="15.75" thickTop="1" x14ac:dyDescent="0.25">
      <c r="A160" s="30" t="s">
        <v>60</v>
      </c>
      <c r="B160" s="32" t="s">
        <v>23</v>
      </c>
      <c r="C160" s="31" t="s">
        <v>49</v>
      </c>
      <c r="D160" s="2"/>
      <c r="E160" s="2"/>
      <c r="F160" s="51">
        <f t="shared" si="37"/>
        <v>0</v>
      </c>
      <c r="G160" s="51">
        <f t="shared" si="36"/>
        <v>0</v>
      </c>
      <c r="H160" s="51">
        <f t="shared" si="36"/>
        <v>0</v>
      </c>
      <c r="I160" s="51">
        <f t="shared" si="36"/>
        <v>0</v>
      </c>
      <c r="J160" s="77">
        <v>40</v>
      </c>
      <c r="K160" s="77">
        <v>40</v>
      </c>
      <c r="L160" s="52">
        <f t="shared" si="36"/>
        <v>0</v>
      </c>
      <c r="M160" s="51">
        <f t="shared" si="36"/>
        <v>0</v>
      </c>
      <c r="N160" s="51">
        <f t="shared" si="36"/>
        <v>0</v>
      </c>
      <c r="O160" s="51">
        <f t="shared" si="36"/>
        <v>0</v>
      </c>
      <c r="P160" s="51">
        <f t="shared" si="36"/>
        <v>0</v>
      </c>
      <c r="Q160" s="51">
        <f t="shared" si="36"/>
        <v>0</v>
      </c>
      <c r="R160" s="51">
        <f t="shared" si="36"/>
        <v>0</v>
      </c>
      <c r="S160" s="77">
        <v>100</v>
      </c>
      <c r="T160" s="77">
        <v>406</v>
      </c>
      <c r="U160" s="51">
        <f t="shared" si="36"/>
        <v>0</v>
      </c>
      <c r="V160" s="77">
        <v>406</v>
      </c>
      <c r="W160" s="51">
        <f t="shared" si="36"/>
        <v>0</v>
      </c>
      <c r="X160" s="77">
        <v>100</v>
      </c>
      <c r="Y160" s="59">
        <f t="shared" si="36"/>
        <v>40</v>
      </c>
      <c r="Z160" s="51">
        <f t="shared" si="36"/>
        <v>188.01702813093254</v>
      </c>
      <c r="AA160" s="51">
        <f t="shared" si="36"/>
        <v>62.692402954239277</v>
      </c>
      <c r="AC160" s="30" t="s">
        <v>60</v>
      </c>
      <c r="AD160" s="32" t="s">
        <v>23</v>
      </c>
      <c r="AE160" s="31" t="s">
        <v>49</v>
      </c>
      <c r="AF160" s="2"/>
      <c r="AG160" s="2"/>
      <c r="AH160" s="1" t="str">
        <f t="shared" si="39"/>
        <v/>
      </c>
      <c r="AI160" s="1" t="str">
        <f t="shared" si="39"/>
        <v/>
      </c>
      <c r="AJ160" s="1" t="str">
        <f t="shared" si="39"/>
        <v/>
      </c>
      <c r="AK160" s="1" t="str">
        <f t="shared" si="39"/>
        <v/>
      </c>
      <c r="AL160" s="1">
        <f t="shared" si="39"/>
        <v>12.698412698412698</v>
      </c>
      <c r="AM160" s="1">
        <f t="shared" si="39"/>
        <v>12.631578947368421</v>
      </c>
      <c r="AN160" s="52" t="str">
        <f t="shared" si="39"/>
        <v/>
      </c>
      <c r="AO160" s="1" t="str">
        <f t="shared" si="39"/>
        <v/>
      </c>
      <c r="AP160" s="1" t="str">
        <f t="shared" si="39"/>
        <v/>
      </c>
      <c r="AQ160" s="1" t="str">
        <f t="shared" si="39"/>
        <v/>
      </c>
      <c r="AR160" s="1" t="str">
        <f t="shared" si="39"/>
        <v/>
      </c>
      <c r="AS160" s="1" t="str">
        <f t="shared" si="39"/>
        <v/>
      </c>
      <c r="AT160" s="1" t="str">
        <f t="shared" si="39"/>
        <v/>
      </c>
      <c r="AU160" s="1">
        <f t="shared" si="39"/>
        <v>22.556390977443609</v>
      </c>
      <c r="AV160" s="1">
        <f t="shared" si="39"/>
        <v>162.4</v>
      </c>
      <c r="AW160" s="1" t="str">
        <f t="shared" si="38"/>
        <v/>
      </c>
      <c r="AX160" s="1" t="str">
        <f t="shared" si="38"/>
        <v/>
      </c>
      <c r="AY160" s="1" t="str">
        <f t="shared" si="38"/>
        <v/>
      </c>
      <c r="AZ160" s="1">
        <f t="shared" si="38"/>
        <v>90</v>
      </c>
      <c r="BA160" s="1">
        <f t="shared" si="38"/>
        <v>12.687224669603523</v>
      </c>
      <c r="BB160" s="1">
        <f t="shared" si="38"/>
        <v>75.90749582925848</v>
      </c>
      <c r="BC160" s="1">
        <f t="shared" si="38"/>
        <v>12.532512727644216</v>
      </c>
    </row>
    <row r="161" spans="1:55" x14ac:dyDescent="0.25">
      <c r="A161" s="30" t="s">
        <v>60</v>
      </c>
      <c r="B161" s="32" t="s">
        <v>23</v>
      </c>
      <c r="C161" s="31" t="s">
        <v>64</v>
      </c>
      <c r="D161" s="2"/>
      <c r="E161" s="2"/>
      <c r="F161" s="51">
        <f t="shared" si="37"/>
        <v>0</v>
      </c>
      <c r="G161" s="51">
        <f t="shared" si="36"/>
        <v>0</v>
      </c>
      <c r="H161" s="51">
        <f t="shared" si="36"/>
        <v>0</v>
      </c>
      <c r="I161" s="51">
        <f t="shared" si="36"/>
        <v>0</v>
      </c>
      <c r="J161" s="51">
        <f t="shared" si="36"/>
        <v>0</v>
      </c>
      <c r="K161" s="51">
        <f t="shared" si="36"/>
        <v>0</v>
      </c>
      <c r="L161" s="52">
        <f t="shared" si="36"/>
        <v>0</v>
      </c>
      <c r="M161" s="51">
        <f t="shared" si="36"/>
        <v>0</v>
      </c>
      <c r="N161" s="51">
        <f t="shared" si="36"/>
        <v>0</v>
      </c>
      <c r="O161" s="51">
        <f t="shared" si="36"/>
        <v>0</v>
      </c>
      <c r="P161" s="51">
        <f t="shared" si="36"/>
        <v>0</v>
      </c>
      <c r="Q161" s="51">
        <f t="shared" si="36"/>
        <v>0</v>
      </c>
      <c r="R161" s="51">
        <f t="shared" si="36"/>
        <v>0</v>
      </c>
      <c r="S161" s="51">
        <f t="shared" si="36"/>
        <v>0</v>
      </c>
      <c r="T161" s="51">
        <f t="shared" si="36"/>
        <v>0</v>
      </c>
      <c r="U161" s="51">
        <f t="shared" si="36"/>
        <v>0</v>
      </c>
      <c r="V161" s="51">
        <f t="shared" si="36"/>
        <v>0</v>
      </c>
      <c r="W161" s="51">
        <f t="shared" si="36"/>
        <v>0</v>
      </c>
      <c r="X161" s="55">
        <f t="shared" si="36"/>
        <v>0</v>
      </c>
      <c r="Y161" s="59">
        <f t="shared" si="36"/>
        <v>0</v>
      </c>
      <c r="Z161" s="51">
        <f t="shared" si="36"/>
        <v>0</v>
      </c>
      <c r="AA161" s="51">
        <f t="shared" si="36"/>
        <v>0</v>
      </c>
      <c r="AC161" s="30" t="s">
        <v>60</v>
      </c>
      <c r="AD161" s="32" t="s">
        <v>23</v>
      </c>
      <c r="AE161" s="31" t="s">
        <v>64</v>
      </c>
      <c r="AF161" s="2"/>
      <c r="AG161" s="2"/>
      <c r="AH161" s="1" t="str">
        <f t="shared" si="39"/>
        <v/>
      </c>
      <c r="AI161" s="1" t="str">
        <f t="shared" si="39"/>
        <v/>
      </c>
      <c r="AJ161" s="1" t="str">
        <f t="shared" si="39"/>
        <v/>
      </c>
      <c r="AK161" s="1" t="str">
        <f t="shared" si="39"/>
        <v/>
      </c>
      <c r="AL161" s="1" t="str">
        <f t="shared" si="39"/>
        <v/>
      </c>
      <c r="AM161" s="1" t="str">
        <f t="shared" si="39"/>
        <v/>
      </c>
      <c r="AN161" s="52" t="str">
        <f t="shared" si="39"/>
        <v/>
      </c>
      <c r="AO161" s="1" t="str">
        <f t="shared" si="39"/>
        <v/>
      </c>
      <c r="AP161" s="1" t="str">
        <f t="shared" si="39"/>
        <v/>
      </c>
      <c r="AQ161" s="1" t="str">
        <f t="shared" si="39"/>
        <v/>
      </c>
      <c r="AR161" s="1" t="str">
        <f t="shared" si="39"/>
        <v/>
      </c>
      <c r="AS161" s="1" t="str">
        <f t="shared" si="39"/>
        <v/>
      </c>
      <c r="AT161" s="1" t="str">
        <f t="shared" si="39"/>
        <v/>
      </c>
      <c r="AU161" s="1" t="str">
        <f t="shared" si="39"/>
        <v/>
      </c>
      <c r="AV161" s="1" t="str">
        <f t="shared" si="39"/>
        <v/>
      </c>
      <c r="AW161" s="1" t="str">
        <f t="shared" si="38"/>
        <v/>
      </c>
      <c r="AX161" s="1" t="str">
        <f t="shared" si="38"/>
        <v/>
      </c>
      <c r="AY161" s="1" t="str">
        <f t="shared" si="38"/>
        <v/>
      </c>
      <c r="AZ161" s="1" t="str">
        <f t="shared" si="38"/>
        <v/>
      </c>
      <c r="BA161" s="1" t="str">
        <f t="shared" si="38"/>
        <v/>
      </c>
      <c r="BB161" s="1" t="str">
        <f t="shared" si="38"/>
        <v/>
      </c>
      <c r="BC161" s="1" t="str">
        <f t="shared" si="38"/>
        <v/>
      </c>
    </row>
    <row r="162" spans="1:55" x14ac:dyDescent="0.25">
      <c r="A162" s="30" t="s">
        <v>60</v>
      </c>
      <c r="B162" s="32" t="s">
        <v>65</v>
      </c>
      <c r="C162" s="31" t="s">
        <v>66</v>
      </c>
      <c r="D162" s="2"/>
      <c r="E162" s="2"/>
      <c r="F162" s="51">
        <f t="shared" si="37"/>
        <v>0</v>
      </c>
      <c r="G162" s="51">
        <f t="shared" si="36"/>
        <v>0</v>
      </c>
      <c r="H162" s="51">
        <f t="shared" si="36"/>
        <v>0</v>
      </c>
      <c r="I162" s="51">
        <f t="shared" si="36"/>
        <v>0</v>
      </c>
      <c r="J162" s="77">
        <v>56</v>
      </c>
      <c r="K162" s="51">
        <f t="shared" si="36"/>
        <v>0</v>
      </c>
      <c r="L162" s="52">
        <f t="shared" si="36"/>
        <v>0</v>
      </c>
      <c r="M162" s="77">
        <f>300</f>
        <v>300</v>
      </c>
      <c r="N162" s="51">
        <f t="shared" si="36"/>
        <v>0</v>
      </c>
      <c r="O162" s="51">
        <f t="shared" si="36"/>
        <v>0</v>
      </c>
      <c r="P162" s="51">
        <f t="shared" si="36"/>
        <v>0</v>
      </c>
      <c r="Q162" s="51">
        <f t="shared" si="36"/>
        <v>0</v>
      </c>
      <c r="R162" s="51">
        <f t="shared" si="36"/>
        <v>0</v>
      </c>
      <c r="S162" s="51">
        <f t="shared" si="36"/>
        <v>0</v>
      </c>
      <c r="T162" s="51">
        <f t="shared" si="36"/>
        <v>0</v>
      </c>
      <c r="U162" s="51">
        <f t="shared" si="36"/>
        <v>0</v>
      </c>
      <c r="V162" s="51">
        <f t="shared" si="36"/>
        <v>0</v>
      </c>
      <c r="W162" s="51">
        <f t="shared" si="36"/>
        <v>0</v>
      </c>
      <c r="X162" s="55">
        <f t="shared" si="36"/>
        <v>0</v>
      </c>
      <c r="Y162" s="59">
        <f t="shared" si="36"/>
        <v>56</v>
      </c>
      <c r="Z162" s="51">
        <f t="shared" si="36"/>
        <v>300</v>
      </c>
      <c r="AA162" s="51">
        <f t="shared" si="36"/>
        <v>167.75719353567206</v>
      </c>
      <c r="AC162" s="30" t="s">
        <v>60</v>
      </c>
      <c r="AD162" s="32" t="s">
        <v>65</v>
      </c>
      <c r="AE162" s="31" t="s">
        <v>66</v>
      </c>
      <c r="AF162" s="2"/>
      <c r="AG162" s="2"/>
      <c r="AH162" s="1" t="str">
        <f t="shared" si="39"/>
        <v/>
      </c>
      <c r="AI162" s="1" t="str">
        <f t="shared" si="39"/>
        <v/>
      </c>
      <c r="AJ162" s="1" t="str">
        <f t="shared" si="39"/>
        <v/>
      </c>
      <c r="AK162" s="1" t="str">
        <f t="shared" si="39"/>
        <v/>
      </c>
      <c r="AL162" s="1">
        <f t="shared" si="39"/>
        <v>6.72</v>
      </c>
      <c r="AM162" s="1" t="str">
        <f t="shared" si="39"/>
        <v/>
      </c>
      <c r="AN162" s="52" t="str">
        <f t="shared" si="39"/>
        <v/>
      </c>
      <c r="AO162" s="1">
        <f t="shared" si="39"/>
        <v>24</v>
      </c>
      <c r="AP162" s="1" t="str">
        <f t="shared" si="39"/>
        <v/>
      </c>
      <c r="AQ162" s="1" t="str">
        <f t="shared" si="39"/>
        <v/>
      </c>
      <c r="AR162" s="1" t="str">
        <f t="shared" si="39"/>
        <v/>
      </c>
      <c r="AS162" s="1" t="str">
        <f t="shared" si="39"/>
        <v/>
      </c>
      <c r="AT162" s="1" t="str">
        <f t="shared" si="39"/>
        <v/>
      </c>
      <c r="AU162" s="1" t="str">
        <f t="shared" si="39"/>
        <v/>
      </c>
      <c r="AV162" s="1" t="str">
        <f t="shared" si="39"/>
        <v/>
      </c>
      <c r="AW162" s="1" t="str">
        <f t="shared" si="38"/>
        <v/>
      </c>
      <c r="AX162" s="1" t="str">
        <f t="shared" si="38"/>
        <v/>
      </c>
      <c r="AY162" s="1" t="str">
        <f t="shared" si="38"/>
        <v/>
      </c>
      <c r="AZ162" s="1" t="str">
        <f t="shared" si="38"/>
        <v/>
      </c>
      <c r="BA162" s="1">
        <f t="shared" si="38"/>
        <v>6.72</v>
      </c>
      <c r="BB162" s="1">
        <f t="shared" si="38"/>
        <v>24</v>
      </c>
      <c r="BC162" s="1">
        <f t="shared" si="38"/>
        <v>14.634607804493497</v>
      </c>
    </row>
    <row r="163" spans="1:55" x14ac:dyDescent="0.25">
      <c r="A163" s="30" t="s">
        <v>60</v>
      </c>
      <c r="B163" s="32" t="s">
        <v>65</v>
      </c>
      <c r="C163" s="31" t="s">
        <v>67</v>
      </c>
      <c r="D163" s="2"/>
      <c r="E163" s="2"/>
      <c r="F163" s="51">
        <f t="shared" si="37"/>
        <v>0</v>
      </c>
      <c r="G163" s="51">
        <f t="shared" si="36"/>
        <v>0</v>
      </c>
      <c r="H163" s="51">
        <f t="shared" si="36"/>
        <v>0</v>
      </c>
      <c r="I163" s="51">
        <f t="shared" si="36"/>
        <v>0</v>
      </c>
      <c r="J163" s="51">
        <f t="shared" si="36"/>
        <v>0</v>
      </c>
      <c r="K163" s="51">
        <f t="shared" si="36"/>
        <v>0</v>
      </c>
      <c r="L163" s="52">
        <f t="shared" si="36"/>
        <v>0</v>
      </c>
      <c r="M163" s="51">
        <f t="shared" si="36"/>
        <v>0</v>
      </c>
      <c r="N163" s="51">
        <f t="shared" si="36"/>
        <v>0</v>
      </c>
      <c r="O163" s="51">
        <f t="shared" si="36"/>
        <v>0</v>
      </c>
      <c r="P163" s="51">
        <f t="shared" si="36"/>
        <v>0</v>
      </c>
      <c r="Q163" s="77">
        <v>940</v>
      </c>
      <c r="R163" s="77">
        <v>426</v>
      </c>
      <c r="S163" s="51">
        <f t="shared" si="36"/>
        <v>0</v>
      </c>
      <c r="T163" s="77">
        <v>426</v>
      </c>
      <c r="U163" s="77">
        <v>426</v>
      </c>
      <c r="V163" s="77">
        <v>426</v>
      </c>
      <c r="W163" s="77">
        <v>426</v>
      </c>
      <c r="X163" s="79">
        <v>426</v>
      </c>
      <c r="Y163" s="59">
        <f t="shared" si="36"/>
        <v>0</v>
      </c>
      <c r="Z163" s="51">
        <f t="shared" si="36"/>
        <v>601.76875893834381</v>
      </c>
      <c r="AA163" s="51">
        <f t="shared" si="36"/>
        <v>601.76875893834381</v>
      </c>
      <c r="AC163" s="30" t="s">
        <v>60</v>
      </c>
      <c r="AD163" s="32" t="s">
        <v>65</v>
      </c>
      <c r="AE163" s="31" t="s">
        <v>67</v>
      </c>
      <c r="AF163" s="2"/>
      <c r="AG163" s="2"/>
      <c r="AH163" s="1" t="str">
        <f t="shared" si="39"/>
        <v/>
      </c>
      <c r="AI163" s="1" t="str">
        <f t="shared" si="39"/>
        <v/>
      </c>
      <c r="AJ163" s="1" t="str">
        <f t="shared" si="39"/>
        <v/>
      </c>
      <c r="AK163" s="1" t="str">
        <f t="shared" si="39"/>
        <v/>
      </c>
      <c r="AL163" s="1" t="str">
        <f t="shared" si="39"/>
        <v/>
      </c>
      <c r="AM163" s="1" t="str">
        <f t="shared" si="39"/>
        <v/>
      </c>
      <c r="AN163" s="52" t="str">
        <f t="shared" si="39"/>
        <v/>
      </c>
      <c r="AO163" s="1" t="str">
        <f t="shared" si="39"/>
        <v/>
      </c>
      <c r="AP163" s="1" t="str">
        <f t="shared" si="39"/>
        <v/>
      </c>
      <c r="AQ163" s="1" t="str">
        <f t="shared" si="39"/>
        <v/>
      </c>
      <c r="AR163" s="1" t="str">
        <f t="shared" si="39"/>
        <v/>
      </c>
      <c r="AS163" s="1">
        <f t="shared" si="39"/>
        <v>103.4</v>
      </c>
      <c r="AT163" s="1">
        <f t="shared" si="39"/>
        <v>55.379999999999995</v>
      </c>
      <c r="AU163" s="1" t="str">
        <f t="shared" si="39"/>
        <v/>
      </c>
      <c r="AV163" s="1">
        <f t="shared" si="39"/>
        <v>51.12</v>
      </c>
      <c r="AW163" s="1">
        <f t="shared" si="38"/>
        <v>42.6</v>
      </c>
      <c r="AX163" s="1">
        <f t="shared" si="38"/>
        <v>63.900000000000006</v>
      </c>
      <c r="AY163" s="1">
        <f t="shared" si="38"/>
        <v>42.6</v>
      </c>
      <c r="AZ163" s="1">
        <f t="shared" si="38"/>
        <v>42.6</v>
      </c>
      <c r="BA163" s="1" t="str">
        <f t="shared" si="38"/>
        <v/>
      </c>
      <c r="BB163" s="1">
        <f t="shared" si="38"/>
        <v>68.323320467962205</v>
      </c>
      <c r="BC163" s="1">
        <f t="shared" si="38"/>
        <v>68.323320467962205</v>
      </c>
    </row>
    <row r="164" spans="1:55" x14ac:dyDescent="0.25">
      <c r="A164" s="30" t="s">
        <v>60</v>
      </c>
      <c r="B164" s="32" t="s">
        <v>65</v>
      </c>
      <c r="C164" s="31" t="s">
        <v>68</v>
      </c>
      <c r="D164" s="2"/>
      <c r="E164" s="2"/>
      <c r="F164" s="51">
        <f t="shared" si="37"/>
        <v>0</v>
      </c>
      <c r="G164" s="51">
        <f t="shared" si="36"/>
        <v>0</v>
      </c>
      <c r="H164" s="51">
        <f t="shared" si="36"/>
        <v>0</v>
      </c>
      <c r="I164" s="51">
        <f t="shared" si="36"/>
        <v>0</v>
      </c>
      <c r="J164" s="51">
        <f t="shared" si="36"/>
        <v>0</v>
      </c>
      <c r="K164" s="51">
        <f t="shared" si="36"/>
        <v>0</v>
      </c>
      <c r="L164" s="77">
        <v>750</v>
      </c>
      <c r="M164" s="51">
        <f t="shared" si="36"/>
        <v>0</v>
      </c>
      <c r="N164" s="51">
        <f t="shared" si="36"/>
        <v>0</v>
      </c>
      <c r="O164" s="51">
        <f t="shared" si="36"/>
        <v>0</v>
      </c>
      <c r="P164" s="51">
        <f t="shared" si="36"/>
        <v>0</v>
      </c>
      <c r="Q164" s="51">
        <f t="shared" si="36"/>
        <v>0</v>
      </c>
      <c r="R164" s="51">
        <f t="shared" si="36"/>
        <v>0</v>
      </c>
      <c r="S164" s="51">
        <f t="shared" si="36"/>
        <v>0</v>
      </c>
      <c r="T164" s="51">
        <f t="shared" si="36"/>
        <v>0</v>
      </c>
      <c r="U164" s="51">
        <f t="shared" si="36"/>
        <v>0</v>
      </c>
      <c r="V164" s="51">
        <f t="shared" si="36"/>
        <v>0</v>
      </c>
      <c r="W164" s="51">
        <f t="shared" si="36"/>
        <v>0</v>
      </c>
      <c r="X164" s="55">
        <f t="shared" si="36"/>
        <v>0</v>
      </c>
      <c r="Y164" s="59">
        <f t="shared" si="36"/>
        <v>0</v>
      </c>
      <c r="Z164" s="51">
        <f t="shared" si="36"/>
        <v>0</v>
      </c>
      <c r="AA164" s="51">
        <f t="shared" si="36"/>
        <v>750</v>
      </c>
      <c r="AC164" s="30" t="s">
        <v>60</v>
      </c>
      <c r="AD164" s="32" t="s">
        <v>65</v>
      </c>
      <c r="AE164" s="31" t="s">
        <v>68</v>
      </c>
      <c r="AF164" s="2"/>
      <c r="AG164" s="2"/>
      <c r="AH164" s="1" t="str">
        <f t="shared" si="39"/>
        <v/>
      </c>
      <c r="AI164" s="1" t="str">
        <f t="shared" si="39"/>
        <v/>
      </c>
      <c r="AJ164" s="1" t="str">
        <f t="shared" si="39"/>
        <v/>
      </c>
      <c r="AK164" s="1" t="str">
        <f t="shared" si="39"/>
        <v/>
      </c>
      <c r="AL164" s="1" t="str">
        <f t="shared" si="39"/>
        <v/>
      </c>
      <c r="AM164" s="1" t="str">
        <f t="shared" si="39"/>
        <v/>
      </c>
      <c r="AN164" s="52">
        <f t="shared" si="39"/>
        <v>60</v>
      </c>
      <c r="AO164" s="1" t="str">
        <f t="shared" si="39"/>
        <v/>
      </c>
      <c r="AP164" s="1" t="str">
        <f t="shared" si="39"/>
        <v/>
      </c>
      <c r="AQ164" s="1" t="str">
        <f t="shared" si="39"/>
        <v/>
      </c>
      <c r="AR164" s="1" t="str">
        <f t="shared" si="39"/>
        <v/>
      </c>
      <c r="AS164" s="1" t="str">
        <f t="shared" si="39"/>
        <v/>
      </c>
      <c r="AT164" s="1" t="str">
        <f t="shared" si="39"/>
        <v/>
      </c>
      <c r="AU164" s="1" t="str">
        <f t="shared" si="39"/>
        <v/>
      </c>
      <c r="AV164" s="1" t="str">
        <f t="shared" si="39"/>
        <v/>
      </c>
      <c r="AW164" s="1" t="str">
        <f t="shared" si="38"/>
        <v/>
      </c>
      <c r="AX164" s="1" t="str">
        <f t="shared" si="38"/>
        <v/>
      </c>
      <c r="AY164" s="1" t="str">
        <f t="shared" si="38"/>
        <v/>
      </c>
      <c r="AZ164" s="1" t="str">
        <f t="shared" si="38"/>
        <v/>
      </c>
      <c r="BA164" s="1" t="str">
        <f t="shared" si="38"/>
        <v/>
      </c>
      <c r="BB164" s="1" t="str">
        <f t="shared" si="38"/>
        <v/>
      </c>
      <c r="BC164" s="1">
        <f t="shared" si="38"/>
        <v>60</v>
      </c>
    </row>
    <row r="165" spans="1:55" x14ac:dyDescent="0.25">
      <c r="A165" s="30" t="s">
        <v>60</v>
      </c>
      <c r="B165" s="32" t="s">
        <v>9</v>
      </c>
      <c r="C165" s="31" t="s">
        <v>69</v>
      </c>
      <c r="D165" s="2"/>
      <c r="E165" s="2"/>
      <c r="F165" s="51">
        <f t="shared" si="37"/>
        <v>0</v>
      </c>
      <c r="G165" s="51">
        <f t="shared" si="36"/>
        <v>0</v>
      </c>
      <c r="H165" s="51">
        <f t="shared" si="36"/>
        <v>0</v>
      </c>
      <c r="I165" s="51">
        <f t="shared" si="36"/>
        <v>0</v>
      </c>
      <c r="J165" s="51">
        <f t="shared" si="36"/>
        <v>0</v>
      </c>
      <c r="K165" s="51">
        <f t="shared" si="36"/>
        <v>0</v>
      </c>
      <c r="L165" s="52">
        <f t="shared" ref="G165:AA178" si="40">IF(L210&gt;0,L30/L210,0)</f>
        <v>0</v>
      </c>
      <c r="M165" s="51">
        <f t="shared" si="40"/>
        <v>0</v>
      </c>
      <c r="N165" s="51">
        <f t="shared" si="40"/>
        <v>0</v>
      </c>
      <c r="O165" s="51">
        <f t="shared" si="40"/>
        <v>0</v>
      </c>
      <c r="P165" s="51">
        <f t="shared" si="40"/>
        <v>0</v>
      </c>
      <c r="Q165" s="51">
        <f t="shared" si="40"/>
        <v>0</v>
      </c>
      <c r="R165" s="51">
        <f t="shared" si="40"/>
        <v>0</v>
      </c>
      <c r="S165" s="51">
        <f t="shared" si="40"/>
        <v>0</v>
      </c>
      <c r="T165" s="51">
        <f t="shared" si="40"/>
        <v>0</v>
      </c>
      <c r="U165" s="51">
        <f t="shared" si="40"/>
        <v>0</v>
      </c>
      <c r="V165" s="51">
        <f t="shared" si="40"/>
        <v>0</v>
      </c>
      <c r="W165" s="51">
        <f t="shared" si="40"/>
        <v>0</v>
      </c>
      <c r="X165" s="79">
        <v>426</v>
      </c>
      <c r="Y165" s="59">
        <f t="shared" si="40"/>
        <v>0</v>
      </c>
      <c r="Z165" s="51">
        <f t="shared" si="40"/>
        <v>643.56672000000003</v>
      </c>
      <c r="AA165" s="51">
        <f t="shared" si="40"/>
        <v>643.56672000000003</v>
      </c>
      <c r="AC165" s="30" t="s">
        <v>60</v>
      </c>
      <c r="AD165" s="32" t="s">
        <v>9</v>
      </c>
      <c r="AE165" s="31" t="s">
        <v>69</v>
      </c>
      <c r="AF165" s="2"/>
      <c r="AG165" s="2"/>
      <c r="AH165" s="1" t="str">
        <f t="shared" si="39"/>
        <v/>
      </c>
      <c r="AI165" s="1" t="str">
        <f t="shared" si="39"/>
        <v/>
      </c>
      <c r="AJ165" s="1" t="str">
        <f t="shared" si="39"/>
        <v/>
      </c>
      <c r="AK165" s="1" t="str">
        <f t="shared" si="39"/>
        <v/>
      </c>
      <c r="AL165" s="1" t="str">
        <f t="shared" si="39"/>
        <v/>
      </c>
      <c r="AM165" s="1" t="str">
        <f t="shared" si="39"/>
        <v/>
      </c>
      <c r="AN165" s="52" t="str">
        <f t="shared" si="39"/>
        <v/>
      </c>
      <c r="AO165" s="1" t="str">
        <f t="shared" si="39"/>
        <v/>
      </c>
      <c r="AP165" s="1" t="str">
        <f t="shared" si="39"/>
        <v/>
      </c>
      <c r="AQ165" s="1" t="str">
        <f t="shared" si="39"/>
        <v/>
      </c>
      <c r="AR165" s="1" t="str">
        <f t="shared" si="39"/>
        <v/>
      </c>
      <c r="AS165" s="1" t="str">
        <f t="shared" si="39"/>
        <v/>
      </c>
      <c r="AT165" s="1" t="str">
        <f t="shared" si="39"/>
        <v/>
      </c>
      <c r="AU165" s="1" t="str">
        <f t="shared" si="39"/>
        <v/>
      </c>
      <c r="AV165" s="1" t="str">
        <f t="shared" si="39"/>
        <v/>
      </c>
      <c r="AW165" s="1" t="str">
        <f t="shared" si="38"/>
        <v/>
      </c>
      <c r="AX165" s="1" t="str">
        <f t="shared" si="38"/>
        <v/>
      </c>
      <c r="AY165" s="1" t="str">
        <f t="shared" si="38"/>
        <v/>
      </c>
      <c r="AZ165" s="1">
        <f t="shared" si="38"/>
        <v>178.92000000000002</v>
      </c>
      <c r="BA165" s="1" t="str">
        <f t="shared" si="38"/>
        <v/>
      </c>
      <c r="BB165" s="1">
        <f t="shared" si="38"/>
        <v>396.48671999999999</v>
      </c>
      <c r="BC165" s="1">
        <f t="shared" si="38"/>
        <v>396.48671999999999</v>
      </c>
    </row>
    <row r="166" spans="1:55" x14ac:dyDescent="0.25">
      <c r="A166" s="15" t="s">
        <v>51</v>
      </c>
      <c r="B166" s="16" t="s">
        <v>56</v>
      </c>
      <c r="C166" s="27" t="s">
        <v>57</v>
      </c>
      <c r="D166" s="16" t="s">
        <v>70</v>
      </c>
      <c r="E166" s="16"/>
      <c r="F166" s="1">
        <f t="shared" si="37"/>
        <v>0</v>
      </c>
      <c r="G166" s="1">
        <f t="shared" si="40"/>
        <v>0</v>
      </c>
      <c r="H166" s="1">
        <f t="shared" si="40"/>
        <v>0</v>
      </c>
      <c r="I166" s="1">
        <f t="shared" si="40"/>
        <v>0</v>
      </c>
      <c r="J166" s="1">
        <f t="shared" si="40"/>
        <v>0</v>
      </c>
      <c r="K166" s="1">
        <f t="shared" si="40"/>
        <v>0</v>
      </c>
      <c r="L166" s="52">
        <f t="shared" si="40"/>
        <v>0</v>
      </c>
      <c r="M166" s="1">
        <f t="shared" si="40"/>
        <v>0</v>
      </c>
      <c r="N166" s="1">
        <f t="shared" si="40"/>
        <v>0</v>
      </c>
      <c r="O166" s="1">
        <f t="shared" si="40"/>
        <v>0</v>
      </c>
      <c r="P166" s="1">
        <f t="shared" si="40"/>
        <v>0</v>
      </c>
      <c r="Q166" s="1">
        <f t="shared" si="40"/>
        <v>0</v>
      </c>
      <c r="R166" s="1">
        <f t="shared" si="40"/>
        <v>0</v>
      </c>
      <c r="S166" s="1">
        <f t="shared" si="40"/>
        <v>0</v>
      </c>
      <c r="T166" s="1">
        <f t="shared" si="40"/>
        <v>0</v>
      </c>
      <c r="U166" s="1">
        <f t="shared" si="40"/>
        <v>0</v>
      </c>
      <c r="V166" s="1">
        <f t="shared" si="40"/>
        <v>0</v>
      </c>
      <c r="W166" s="1">
        <f t="shared" si="40"/>
        <v>0</v>
      </c>
      <c r="X166" s="54">
        <f t="shared" si="40"/>
        <v>0</v>
      </c>
      <c r="Y166" s="58">
        <f t="shared" si="40"/>
        <v>0</v>
      </c>
      <c r="Z166" s="1">
        <f t="shared" si="40"/>
        <v>0</v>
      </c>
      <c r="AA166" s="1">
        <f t="shared" si="40"/>
        <v>0</v>
      </c>
      <c r="AC166" s="15" t="s">
        <v>51</v>
      </c>
      <c r="AD166" s="16" t="s">
        <v>56</v>
      </c>
      <c r="AE166" s="27" t="s">
        <v>57</v>
      </c>
      <c r="AF166" s="16" t="s">
        <v>70</v>
      </c>
      <c r="AG166" s="16"/>
      <c r="AH166" s="90" t="str">
        <f t="shared" si="39"/>
        <v/>
      </c>
      <c r="AI166" s="90" t="str">
        <f t="shared" si="39"/>
        <v/>
      </c>
      <c r="AJ166" s="90" t="str">
        <f t="shared" si="39"/>
        <v/>
      </c>
      <c r="AK166" s="90" t="str">
        <f t="shared" si="39"/>
        <v/>
      </c>
      <c r="AL166" s="90" t="str">
        <f t="shared" si="39"/>
        <v/>
      </c>
      <c r="AM166" s="90" t="str">
        <f t="shared" si="39"/>
        <v/>
      </c>
      <c r="AN166" s="90" t="str">
        <f t="shared" si="39"/>
        <v/>
      </c>
      <c r="AO166" s="90" t="str">
        <f t="shared" si="39"/>
        <v/>
      </c>
      <c r="AP166" s="90" t="str">
        <f t="shared" si="39"/>
        <v/>
      </c>
      <c r="AQ166" s="90" t="str">
        <f t="shared" si="39"/>
        <v/>
      </c>
      <c r="AR166" s="90" t="str">
        <f t="shared" si="39"/>
        <v/>
      </c>
      <c r="AS166" s="90" t="str">
        <f t="shared" si="39"/>
        <v/>
      </c>
      <c r="AT166" s="90" t="str">
        <f t="shared" si="39"/>
        <v/>
      </c>
      <c r="AU166" s="90" t="str">
        <f t="shared" si="39"/>
        <v/>
      </c>
      <c r="AV166" s="90" t="str">
        <f t="shared" si="39"/>
        <v/>
      </c>
      <c r="AW166" s="90" t="str">
        <f t="shared" si="38"/>
        <v/>
      </c>
      <c r="AX166" s="90" t="str">
        <f t="shared" si="38"/>
        <v/>
      </c>
      <c r="AY166" s="90" t="str">
        <f t="shared" si="38"/>
        <v/>
      </c>
      <c r="AZ166" s="90" t="str">
        <f t="shared" si="38"/>
        <v/>
      </c>
      <c r="BA166" s="90" t="str">
        <f t="shared" si="38"/>
        <v/>
      </c>
      <c r="BB166" s="90" t="str">
        <f t="shared" si="38"/>
        <v/>
      </c>
      <c r="BC166" s="90" t="str">
        <f t="shared" si="38"/>
        <v/>
      </c>
    </row>
    <row r="167" spans="1:55" x14ac:dyDescent="0.25">
      <c r="A167" s="15" t="s">
        <v>51</v>
      </c>
      <c r="B167" s="16" t="s">
        <v>56</v>
      </c>
      <c r="C167" s="27" t="s">
        <v>57</v>
      </c>
      <c r="D167" s="16" t="s">
        <v>71</v>
      </c>
      <c r="E167" s="16"/>
      <c r="F167" s="1">
        <f t="shared" si="37"/>
        <v>0</v>
      </c>
      <c r="G167" s="1">
        <f t="shared" si="40"/>
        <v>0</v>
      </c>
      <c r="H167" s="1">
        <f t="shared" si="40"/>
        <v>0</v>
      </c>
      <c r="I167" s="1">
        <f t="shared" si="40"/>
        <v>0</v>
      </c>
      <c r="J167" s="1">
        <f t="shared" si="40"/>
        <v>0</v>
      </c>
      <c r="K167" s="1">
        <f t="shared" si="40"/>
        <v>0</v>
      </c>
      <c r="L167" s="52">
        <f t="shared" si="40"/>
        <v>0</v>
      </c>
      <c r="M167" s="1">
        <f t="shared" si="40"/>
        <v>0</v>
      </c>
      <c r="N167" s="1">
        <f t="shared" si="40"/>
        <v>0</v>
      </c>
      <c r="O167" s="1">
        <f t="shared" si="40"/>
        <v>0</v>
      </c>
      <c r="P167" s="1">
        <f t="shared" si="40"/>
        <v>0</v>
      </c>
      <c r="Q167" s="1">
        <f t="shared" si="40"/>
        <v>0</v>
      </c>
      <c r="R167" s="1">
        <f t="shared" si="40"/>
        <v>0</v>
      </c>
      <c r="S167" s="1">
        <f t="shared" si="40"/>
        <v>0</v>
      </c>
      <c r="T167" s="1">
        <f t="shared" si="40"/>
        <v>0</v>
      </c>
      <c r="U167" s="1">
        <f t="shared" si="40"/>
        <v>0</v>
      </c>
      <c r="V167" s="1">
        <f t="shared" si="40"/>
        <v>0</v>
      </c>
      <c r="W167" s="1">
        <f t="shared" si="40"/>
        <v>0</v>
      </c>
      <c r="X167" s="54">
        <f t="shared" si="40"/>
        <v>0</v>
      </c>
      <c r="Y167" s="58">
        <f t="shared" si="40"/>
        <v>0</v>
      </c>
      <c r="Z167" s="1">
        <f t="shared" si="40"/>
        <v>0</v>
      </c>
      <c r="AA167" s="1">
        <f t="shared" si="40"/>
        <v>0</v>
      </c>
      <c r="AC167" s="15" t="s">
        <v>51</v>
      </c>
      <c r="AD167" s="16" t="s">
        <v>56</v>
      </c>
      <c r="AE167" s="27" t="s">
        <v>57</v>
      </c>
      <c r="AF167" s="16" t="s">
        <v>71</v>
      </c>
      <c r="AG167" s="16"/>
      <c r="AH167" s="90" t="str">
        <f t="shared" si="39"/>
        <v/>
      </c>
      <c r="AI167" s="90" t="str">
        <f t="shared" si="39"/>
        <v/>
      </c>
      <c r="AJ167" s="90" t="str">
        <f t="shared" si="39"/>
        <v/>
      </c>
      <c r="AK167" s="90" t="str">
        <f t="shared" si="39"/>
        <v/>
      </c>
      <c r="AL167" s="90" t="str">
        <f t="shared" si="39"/>
        <v/>
      </c>
      <c r="AM167" s="90" t="str">
        <f t="shared" si="39"/>
        <v/>
      </c>
      <c r="AN167" s="90" t="str">
        <f t="shared" si="39"/>
        <v/>
      </c>
      <c r="AO167" s="90" t="str">
        <f t="shared" si="39"/>
        <v/>
      </c>
      <c r="AP167" s="90" t="str">
        <f t="shared" si="39"/>
        <v/>
      </c>
      <c r="AQ167" s="90" t="str">
        <f t="shared" si="39"/>
        <v/>
      </c>
      <c r="AR167" s="90" t="str">
        <f t="shared" si="39"/>
        <v/>
      </c>
      <c r="AS167" s="90" t="str">
        <f t="shared" si="39"/>
        <v/>
      </c>
      <c r="AT167" s="90" t="str">
        <f t="shared" si="39"/>
        <v/>
      </c>
      <c r="AU167" s="90" t="str">
        <f t="shared" si="39"/>
        <v/>
      </c>
      <c r="AV167" s="90" t="str">
        <f t="shared" si="39"/>
        <v/>
      </c>
      <c r="AW167" s="90" t="str">
        <f t="shared" si="38"/>
        <v/>
      </c>
      <c r="AX167" s="90" t="str">
        <f t="shared" si="38"/>
        <v/>
      </c>
      <c r="AY167" s="90" t="str">
        <f t="shared" si="38"/>
        <v/>
      </c>
      <c r="AZ167" s="90" t="str">
        <f t="shared" si="38"/>
        <v/>
      </c>
      <c r="BA167" s="90" t="str">
        <f t="shared" si="38"/>
        <v/>
      </c>
      <c r="BB167" s="90" t="str">
        <f t="shared" si="38"/>
        <v/>
      </c>
      <c r="BC167" s="90" t="str">
        <f t="shared" si="38"/>
        <v/>
      </c>
    </row>
    <row r="168" spans="1:55" x14ac:dyDescent="0.25">
      <c r="A168" s="15" t="s">
        <v>51</v>
      </c>
      <c r="B168" s="16" t="s">
        <v>56</v>
      </c>
      <c r="C168" s="27" t="s">
        <v>27</v>
      </c>
      <c r="D168" s="16" t="s">
        <v>72</v>
      </c>
      <c r="E168" s="16"/>
      <c r="F168" s="1">
        <f t="shared" si="37"/>
        <v>0</v>
      </c>
      <c r="G168" s="1">
        <f t="shared" si="40"/>
        <v>0</v>
      </c>
      <c r="H168" s="1">
        <f t="shared" si="40"/>
        <v>0</v>
      </c>
      <c r="I168" s="1">
        <f t="shared" si="40"/>
        <v>0</v>
      </c>
      <c r="J168" s="1">
        <f t="shared" si="40"/>
        <v>0</v>
      </c>
      <c r="K168" s="1">
        <f t="shared" si="40"/>
        <v>0</v>
      </c>
      <c r="L168" s="52">
        <f t="shared" si="40"/>
        <v>0</v>
      </c>
      <c r="M168" s="1">
        <f t="shared" si="40"/>
        <v>0</v>
      </c>
      <c r="N168" s="1">
        <f t="shared" si="40"/>
        <v>0</v>
      </c>
      <c r="O168" s="1">
        <f t="shared" si="40"/>
        <v>0</v>
      </c>
      <c r="P168" s="1">
        <f t="shared" si="40"/>
        <v>0</v>
      </c>
      <c r="Q168" s="1">
        <f t="shared" si="40"/>
        <v>0</v>
      </c>
      <c r="R168" s="1">
        <f t="shared" si="40"/>
        <v>0</v>
      </c>
      <c r="S168" s="1">
        <f t="shared" si="40"/>
        <v>0</v>
      </c>
      <c r="T168" s="1">
        <f t="shared" si="40"/>
        <v>0</v>
      </c>
      <c r="U168" s="1">
        <f t="shared" si="40"/>
        <v>0</v>
      </c>
      <c r="V168" s="1">
        <f t="shared" si="40"/>
        <v>0</v>
      </c>
      <c r="W168" s="1">
        <f t="shared" si="40"/>
        <v>0</v>
      </c>
      <c r="X168" s="54">
        <f t="shared" si="40"/>
        <v>0</v>
      </c>
      <c r="Y168" s="58">
        <f t="shared" si="40"/>
        <v>0</v>
      </c>
      <c r="Z168" s="1">
        <f t="shared" si="40"/>
        <v>0</v>
      </c>
      <c r="AA168" s="1">
        <f t="shared" si="40"/>
        <v>0</v>
      </c>
      <c r="AC168" s="15" t="s">
        <v>51</v>
      </c>
      <c r="AD168" s="16" t="s">
        <v>56</v>
      </c>
      <c r="AE168" s="27" t="s">
        <v>27</v>
      </c>
      <c r="AF168" s="16" t="s">
        <v>72</v>
      </c>
      <c r="AG168" s="16"/>
      <c r="AH168" s="90" t="str">
        <f t="shared" si="39"/>
        <v/>
      </c>
      <c r="AI168" s="90" t="str">
        <f t="shared" si="39"/>
        <v/>
      </c>
      <c r="AJ168" s="90" t="str">
        <f t="shared" si="39"/>
        <v/>
      </c>
      <c r="AK168" s="90" t="str">
        <f t="shared" si="39"/>
        <v/>
      </c>
      <c r="AL168" s="90" t="str">
        <f t="shared" si="39"/>
        <v/>
      </c>
      <c r="AM168" s="90" t="str">
        <f t="shared" si="39"/>
        <v/>
      </c>
      <c r="AN168" s="90" t="str">
        <f t="shared" si="39"/>
        <v/>
      </c>
      <c r="AO168" s="90" t="str">
        <f t="shared" si="39"/>
        <v/>
      </c>
      <c r="AP168" s="90" t="str">
        <f t="shared" si="39"/>
        <v/>
      </c>
      <c r="AQ168" s="90" t="str">
        <f t="shared" si="39"/>
        <v/>
      </c>
      <c r="AR168" s="90" t="str">
        <f t="shared" si="39"/>
        <v/>
      </c>
      <c r="AS168" s="90" t="str">
        <f t="shared" si="39"/>
        <v/>
      </c>
      <c r="AT168" s="90" t="str">
        <f t="shared" si="39"/>
        <v/>
      </c>
      <c r="AU168" s="90" t="str">
        <f t="shared" si="39"/>
        <v/>
      </c>
      <c r="AV168" s="90" t="str">
        <f t="shared" si="39"/>
        <v/>
      </c>
      <c r="AW168" s="90" t="str">
        <f t="shared" si="38"/>
        <v/>
      </c>
      <c r="AX168" s="90" t="str">
        <f t="shared" si="38"/>
        <v/>
      </c>
      <c r="AY168" s="90" t="str">
        <f t="shared" si="38"/>
        <v/>
      </c>
      <c r="AZ168" s="90" t="str">
        <f t="shared" si="38"/>
        <v/>
      </c>
      <c r="BA168" s="90" t="str">
        <f t="shared" si="38"/>
        <v/>
      </c>
      <c r="BB168" s="90" t="str">
        <f t="shared" si="38"/>
        <v/>
      </c>
      <c r="BC168" s="90" t="str">
        <f t="shared" si="38"/>
        <v/>
      </c>
    </row>
    <row r="169" spans="1:55" x14ac:dyDescent="0.25">
      <c r="A169" s="15" t="s">
        <v>51</v>
      </c>
      <c r="B169" s="16" t="s">
        <v>56</v>
      </c>
      <c r="C169" s="27" t="s">
        <v>57</v>
      </c>
      <c r="D169" s="16" t="s">
        <v>73</v>
      </c>
      <c r="E169" s="16"/>
      <c r="F169" s="1">
        <f t="shared" si="37"/>
        <v>0</v>
      </c>
      <c r="G169" s="1">
        <f t="shared" si="40"/>
        <v>0</v>
      </c>
      <c r="H169" s="1">
        <f t="shared" si="40"/>
        <v>0</v>
      </c>
      <c r="I169" s="1">
        <f t="shared" si="40"/>
        <v>0</v>
      </c>
      <c r="J169" s="1">
        <f t="shared" si="40"/>
        <v>0</v>
      </c>
      <c r="K169" s="1">
        <f t="shared" si="40"/>
        <v>0</v>
      </c>
      <c r="L169" s="52">
        <f t="shared" si="40"/>
        <v>0</v>
      </c>
      <c r="M169" s="1">
        <f t="shared" si="40"/>
        <v>0</v>
      </c>
      <c r="N169" s="1">
        <f t="shared" si="40"/>
        <v>0</v>
      </c>
      <c r="O169" s="1">
        <f t="shared" si="40"/>
        <v>0</v>
      </c>
      <c r="P169" s="1">
        <f t="shared" si="40"/>
        <v>0</v>
      </c>
      <c r="Q169" s="1">
        <f t="shared" si="40"/>
        <v>0</v>
      </c>
      <c r="R169" s="1">
        <f t="shared" si="40"/>
        <v>0</v>
      </c>
      <c r="S169" s="1">
        <f t="shared" si="40"/>
        <v>0</v>
      </c>
      <c r="T169" s="1">
        <f t="shared" si="40"/>
        <v>0</v>
      </c>
      <c r="U169" s="1">
        <f t="shared" si="40"/>
        <v>0</v>
      </c>
      <c r="V169" s="1">
        <f t="shared" si="40"/>
        <v>0</v>
      </c>
      <c r="W169" s="1">
        <f t="shared" si="40"/>
        <v>0</v>
      </c>
      <c r="X169" s="54">
        <f t="shared" si="40"/>
        <v>0</v>
      </c>
      <c r="Y169" s="58">
        <f t="shared" si="40"/>
        <v>0</v>
      </c>
      <c r="Z169" s="1">
        <f t="shared" si="40"/>
        <v>0</v>
      </c>
      <c r="AA169" s="1">
        <f t="shared" si="40"/>
        <v>0</v>
      </c>
      <c r="AC169" s="15" t="s">
        <v>51</v>
      </c>
      <c r="AD169" s="16" t="s">
        <v>56</v>
      </c>
      <c r="AE169" s="27" t="s">
        <v>57</v>
      </c>
      <c r="AF169" s="16" t="s">
        <v>73</v>
      </c>
      <c r="AG169" s="16"/>
      <c r="AH169" s="90" t="str">
        <f t="shared" si="39"/>
        <v/>
      </c>
      <c r="AI169" s="90" t="str">
        <f t="shared" si="39"/>
        <v/>
      </c>
      <c r="AJ169" s="90" t="str">
        <f t="shared" si="39"/>
        <v/>
      </c>
      <c r="AK169" s="90" t="str">
        <f t="shared" si="39"/>
        <v/>
      </c>
      <c r="AL169" s="90" t="str">
        <f t="shared" si="39"/>
        <v/>
      </c>
      <c r="AM169" s="90" t="str">
        <f t="shared" si="39"/>
        <v/>
      </c>
      <c r="AN169" s="90" t="str">
        <f t="shared" si="39"/>
        <v/>
      </c>
      <c r="AO169" s="90" t="str">
        <f t="shared" si="39"/>
        <v/>
      </c>
      <c r="AP169" s="90" t="str">
        <f t="shared" si="39"/>
        <v/>
      </c>
      <c r="AQ169" s="90" t="str">
        <f t="shared" si="39"/>
        <v/>
      </c>
      <c r="AR169" s="90" t="str">
        <f t="shared" si="39"/>
        <v/>
      </c>
      <c r="AS169" s="90" t="str">
        <f t="shared" si="39"/>
        <v/>
      </c>
      <c r="AT169" s="90" t="str">
        <f t="shared" si="39"/>
        <v/>
      </c>
      <c r="AU169" s="90" t="str">
        <f t="shared" si="39"/>
        <v/>
      </c>
      <c r="AV169" s="90" t="str">
        <f t="shared" si="39"/>
        <v/>
      </c>
      <c r="AW169" s="90" t="str">
        <f t="shared" si="38"/>
        <v/>
      </c>
      <c r="AX169" s="90" t="str">
        <f t="shared" si="38"/>
        <v/>
      </c>
      <c r="AY169" s="90" t="str">
        <f t="shared" si="38"/>
        <v/>
      </c>
      <c r="AZ169" s="90" t="str">
        <f t="shared" si="38"/>
        <v/>
      </c>
      <c r="BA169" s="90" t="str">
        <f t="shared" si="38"/>
        <v/>
      </c>
      <c r="BB169" s="90" t="str">
        <f t="shared" si="38"/>
        <v/>
      </c>
      <c r="BC169" s="90" t="str">
        <f t="shared" si="38"/>
        <v/>
      </c>
    </row>
    <row r="170" spans="1:55" x14ac:dyDescent="0.25">
      <c r="A170" s="15" t="s">
        <v>51</v>
      </c>
      <c r="B170" s="16" t="s">
        <v>56</v>
      </c>
      <c r="C170" s="27" t="s">
        <v>57</v>
      </c>
      <c r="D170" s="16" t="s">
        <v>74</v>
      </c>
      <c r="E170" s="16"/>
      <c r="F170" s="1">
        <f t="shared" si="37"/>
        <v>0</v>
      </c>
      <c r="G170" s="1">
        <f t="shared" si="40"/>
        <v>0</v>
      </c>
      <c r="H170" s="1">
        <f t="shared" si="40"/>
        <v>0</v>
      </c>
      <c r="I170" s="1">
        <f t="shared" si="40"/>
        <v>0</v>
      </c>
      <c r="J170" s="1">
        <f t="shared" si="40"/>
        <v>0</v>
      </c>
      <c r="K170" s="1">
        <f t="shared" si="40"/>
        <v>0</v>
      </c>
      <c r="L170" s="52">
        <f t="shared" si="40"/>
        <v>0</v>
      </c>
      <c r="M170" s="1">
        <f t="shared" si="40"/>
        <v>0</v>
      </c>
      <c r="N170" s="1">
        <f t="shared" si="40"/>
        <v>0</v>
      </c>
      <c r="O170" s="1">
        <f t="shared" si="40"/>
        <v>0</v>
      </c>
      <c r="P170" s="1">
        <f t="shared" si="40"/>
        <v>0</v>
      </c>
      <c r="Q170" s="1">
        <f t="shared" si="40"/>
        <v>0</v>
      </c>
      <c r="R170" s="1">
        <f t="shared" si="40"/>
        <v>0</v>
      </c>
      <c r="S170" s="1">
        <f t="shared" si="40"/>
        <v>0</v>
      </c>
      <c r="T170" s="1">
        <f t="shared" si="40"/>
        <v>0</v>
      </c>
      <c r="U170" s="1">
        <f t="shared" si="40"/>
        <v>0</v>
      </c>
      <c r="V170" s="1">
        <f t="shared" si="40"/>
        <v>0</v>
      </c>
      <c r="W170" s="1">
        <f t="shared" si="40"/>
        <v>0</v>
      </c>
      <c r="X170" s="54">
        <f t="shared" si="40"/>
        <v>0</v>
      </c>
      <c r="Y170" s="58">
        <f t="shared" si="40"/>
        <v>0</v>
      </c>
      <c r="Z170" s="1">
        <f t="shared" si="40"/>
        <v>0</v>
      </c>
      <c r="AA170" s="1">
        <f t="shared" si="40"/>
        <v>0</v>
      </c>
      <c r="AC170" s="15" t="s">
        <v>51</v>
      </c>
      <c r="AD170" s="16" t="s">
        <v>56</v>
      </c>
      <c r="AE170" s="27" t="s">
        <v>57</v>
      </c>
      <c r="AF170" s="16" t="s">
        <v>74</v>
      </c>
      <c r="AG170" s="16"/>
      <c r="AH170" s="90" t="str">
        <f t="shared" si="39"/>
        <v/>
      </c>
      <c r="AI170" s="90" t="str">
        <f t="shared" si="39"/>
        <v/>
      </c>
      <c r="AJ170" s="90" t="str">
        <f t="shared" si="39"/>
        <v/>
      </c>
      <c r="AK170" s="90" t="str">
        <f t="shared" si="39"/>
        <v/>
      </c>
      <c r="AL170" s="90" t="str">
        <f t="shared" si="39"/>
        <v/>
      </c>
      <c r="AM170" s="90" t="str">
        <f t="shared" si="39"/>
        <v/>
      </c>
      <c r="AN170" s="90" t="str">
        <f t="shared" si="39"/>
        <v/>
      </c>
      <c r="AO170" s="90" t="str">
        <f t="shared" si="39"/>
        <v/>
      </c>
      <c r="AP170" s="90" t="str">
        <f t="shared" si="39"/>
        <v/>
      </c>
      <c r="AQ170" s="90" t="str">
        <f t="shared" si="39"/>
        <v/>
      </c>
      <c r="AR170" s="90" t="str">
        <f t="shared" si="39"/>
        <v/>
      </c>
      <c r="AS170" s="90" t="str">
        <f t="shared" si="39"/>
        <v/>
      </c>
      <c r="AT170" s="90" t="str">
        <f t="shared" si="39"/>
        <v/>
      </c>
      <c r="AU170" s="90" t="str">
        <f t="shared" si="39"/>
        <v/>
      </c>
      <c r="AV170" s="90" t="str">
        <f t="shared" si="39"/>
        <v/>
      </c>
      <c r="AW170" s="90" t="str">
        <f t="shared" si="38"/>
        <v/>
      </c>
      <c r="AX170" s="90" t="str">
        <f t="shared" si="38"/>
        <v/>
      </c>
      <c r="AY170" s="90" t="str">
        <f t="shared" si="38"/>
        <v/>
      </c>
      <c r="AZ170" s="90" t="str">
        <f t="shared" si="38"/>
        <v/>
      </c>
      <c r="BA170" s="90" t="str">
        <f t="shared" si="38"/>
        <v/>
      </c>
      <c r="BB170" s="90" t="str">
        <f t="shared" si="38"/>
        <v/>
      </c>
      <c r="BC170" s="90" t="str">
        <f t="shared" si="38"/>
        <v/>
      </c>
    </row>
    <row r="171" spans="1:55" x14ac:dyDescent="0.25">
      <c r="A171" s="30" t="s">
        <v>60</v>
      </c>
      <c r="B171" s="31" t="s">
        <v>13</v>
      </c>
      <c r="C171" s="32" t="s">
        <v>61</v>
      </c>
      <c r="D171" s="31" t="s">
        <v>75</v>
      </c>
      <c r="E171" s="31"/>
      <c r="F171" s="51">
        <f>F156*0.9</f>
        <v>47.25</v>
      </c>
      <c r="G171" s="73"/>
      <c r="H171" s="51">
        <f>H156</f>
        <v>7.9027199999999995</v>
      </c>
      <c r="I171" s="51">
        <f>I156*0.9</f>
        <v>26.1</v>
      </c>
      <c r="J171" s="51">
        <f>J156*0.3</f>
        <v>20</v>
      </c>
      <c r="K171" s="51">
        <f>K156*0.8</f>
        <v>23.200000000000003</v>
      </c>
      <c r="L171" s="52">
        <v>0</v>
      </c>
      <c r="M171" s="73">
        <f>M156*0.1</f>
        <v>40</v>
      </c>
      <c r="N171" s="73">
        <v>0</v>
      </c>
      <c r="O171" s="73">
        <v>0</v>
      </c>
      <c r="P171" s="73">
        <v>0</v>
      </c>
      <c r="Q171" s="73"/>
      <c r="R171" s="73"/>
      <c r="S171" s="51"/>
      <c r="T171" s="51"/>
      <c r="U171" s="51"/>
      <c r="V171" s="51"/>
      <c r="W171" s="51">
        <f>W156</f>
        <v>426</v>
      </c>
      <c r="X171" s="55">
        <f>X201*0.1</f>
        <v>2.0120724346076462</v>
      </c>
      <c r="Y171" s="59">
        <f t="shared" si="40"/>
        <v>24.601997772159272</v>
      </c>
      <c r="Z171" s="51">
        <f t="shared" si="40"/>
        <v>152.87147473751151</v>
      </c>
      <c r="AA171" s="51">
        <f t="shared" si="40"/>
        <v>26.044243406622577</v>
      </c>
      <c r="AC171" s="30" t="s">
        <v>60</v>
      </c>
      <c r="AD171" s="31" t="s">
        <v>13</v>
      </c>
      <c r="AE171" s="32" t="s">
        <v>61</v>
      </c>
      <c r="AF171" s="31" t="s">
        <v>75</v>
      </c>
      <c r="AG171" s="31"/>
      <c r="AH171" s="1">
        <f t="shared" si="39"/>
        <v>9.8040020000000005</v>
      </c>
      <c r="AI171" s="1" t="str">
        <f t="shared" si="39"/>
        <v/>
      </c>
      <c r="AJ171" s="1">
        <f t="shared" si="39"/>
        <v>2.1120000000000001</v>
      </c>
      <c r="AK171" s="1">
        <f t="shared" si="39"/>
        <v>5.4674441205053439</v>
      </c>
      <c r="AL171" s="1">
        <f t="shared" si="39"/>
        <v>17.094017094017094</v>
      </c>
      <c r="AM171" s="1">
        <f t="shared" si="39"/>
        <v>4.2243333333333339</v>
      </c>
      <c r="AN171" s="52" t="str">
        <f t="shared" si="39"/>
        <v/>
      </c>
      <c r="AO171" s="1">
        <f t="shared" si="39"/>
        <v>116.36363636363636</v>
      </c>
      <c r="AP171" s="1" t="str">
        <f t="shared" si="39"/>
        <v/>
      </c>
      <c r="AQ171" s="1" t="str">
        <f t="shared" si="39"/>
        <v/>
      </c>
      <c r="AR171" s="1" t="str">
        <f t="shared" si="39"/>
        <v/>
      </c>
      <c r="AS171" s="1" t="str">
        <f t="shared" si="39"/>
        <v/>
      </c>
      <c r="AT171" s="1" t="str">
        <f t="shared" si="39"/>
        <v/>
      </c>
      <c r="AU171" s="1" t="str">
        <f t="shared" si="39"/>
        <v/>
      </c>
      <c r="AV171" s="1" t="str">
        <f t="shared" si="39"/>
        <v/>
      </c>
      <c r="AW171" s="1" t="str">
        <f t="shared" si="38"/>
        <v/>
      </c>
      <c r="AX171" s="1" t="str">
        <f t="shared" si="38"/>
        <v/>
      </c>
      <c r="AY171" s="1">
        <f t="shared" si="38"/>
        <v>340.8</v>
      </c>
      <c r="AZ171" s="1">
        <f t="shared" si="38"/>
        <v>7.349999999999998E-3</v>
      </c>
      <c r="BA171" s="1">
        <f t="shared" si="38"/>
        <v>4.8558699487353811</v>
      </c>
      <c r="BB171" s="1">
        <f t="shared" si="38"/>
        <v>41.803188537462198</v>
      </c>
      <c r="BC171" s="1">
        <f t="shared" si="38"/>
        <v>5.2713008852325327</v>
      </c>
    </row>
    <row r="172" spans="1:55" x14ac:dyDescent="0.25">
      <c r="A172" s="30" t="s">
        <v>60</v>
      </c>
      <c r="B172" s="31" t="s">
        <v>13</v>
      </c>
      <c r="C172" s="32" t="s">
        <v>61</v>
      </c>
      <c r="D172" s="31" t="s">
        <v>76</v>
      </c>
      <c r="E172" s="31"/>
      <c r="F172" s="51">
        <f>F156*0.1</f>
        <v>5.25</v>
      </c>
      <c r="G172" s="51">
        <v>0</v>
      </c>
      <c r="H172" s="51">
        <v>0</v>
      </c>
      <c r="I172" s="51">
        <f>I156*0.05</f>
        <v>1.4500000000000002</v>
      </c>
      <c r="J172" s="51">
        <f>J156*0.7</f>
        <v>46.666666666666664</v>
      </c>
      <c r="K172" s="51">
        <f>K156*0.05</f>
        <v>1.4500000000000002</v>
      </c>
      <c r="L172" s="52">
        <v>0</v>
      </c>
      <c r="M172" s="73">
        <f>M156*0.5</f>
        <v>200</v>
      </c>
      <c r="N172" s="73">
        <f>N156</f>
        <v>758.62068965517244</v>
      </c>
      <c r="O172" s="73">
        <f>O156*0.5</f>
        <v>6468.75</v>
      </c>
      <c r="P172" s="73">
        <f>P156*0.44</f>
        <v>38759.689922480626</v>
      </c>
      <c r="Q172" s="73"/>
      <c r="R172" s="73">
        <f>R156</f>
        <v>426</v>
      </c>
      <c r="S172" s="51"/>
      <c r="T172" s="51"/>
      <c r="U172" s="51"/>
      <c r="V172" s="51"/>
      <c r="W172" s="51"/>
      <c r="X172" s="55">
        <f>X201*0.1</f>
        <v>2.0120724346076462</v>
      </c>
      <c r="Y172" s="59">
        <f t="shared" si="40"/>
        <v>57.115771674802964</v>
      </c>
      <c r="Z172" s="51">
        <f t="shared" si="40"/>
        <v>1439.5314454129978</v>
      </c>
      <c r="AA172" s="51">
        <f t="shared" si="40"/>
        <v>433.29013022163747</v>
      </c>
      <c r="AC172" s="30" t="s">
        <v>60</v>
      </c>
      <c r="AD172" s="31" t="s">
        <v>13</v>
      </c>
      <c r="AE172" s="32" t="s">
        <v>61</v>
      </c>
      <c r="AF172" s="31" t="s">
        <v>76</v>
      </c>
      <c r="AG172" s="31"/>
      <c r="AH172" s="1">
        <f t="shared" si="39"/>
        <v>9.8040020000000005</v>
      </c>
      <c r="AI172" s="1" t="str">
        <f t="shared" si="39"/>
        <v/>
      </c>
      <c r="AJ172" s="1" t="str">
        <f t="shared" si="39"/>
        <v/>
      </c>
      <c r="AK172" s="1">
        <f t="shared" si="39"/>
        <v>5.4674441205053448</v>
      </c>
      <c r="AL172" s="1">
        <f t="shared" si="39"/>
        <v>17.094017094017097</v>
      </c>
      <c r="AM172" s="1">
        <f t="shared" si="39"/>
        <v>4.2243333333333339</v>
      </c>
      <c r="AN172" s="52" t="str">
        <f t="shared" si="39"/>
        <v/>
      </c>
      <c r="AO172" s="1">
        <f t="shared" si="39"/>
        <v>116.36363636363636</v>
      </c>
      <c r="AP172" s="1">
        <f t="shared" si="39"/>
        <v>217.24137931034483</v>
      </c>
      <c r="AQ172" s="1">
        <f t="shared" si="39"/>
        <v>3750</v>
      </c>
      <c r="AR172" s="1">
        <f t="shared" si="39"/>
        <v>11451.726568005639</v>
      </c>
      <c r="AS172" s="1" t="str">
        <f t="shared" si="39"/>
        <v/>
      </c>
      <c r="AT172" s="1">
        <f t="shared" si="39"/>
        <v>127.79999999999998</v>
      </c>
      <c r="AU172" s="1" t="str">
        <f t="shared" si="39"/>
        <v/>
      </c>
      <c r="AV172" s="1" t="str">
        <f t="shared" si="39"/>
        <v/>
      </c>
      <c r="AW172" s="1" t="str">
        <f t="shared" si="38"/>
        <v/>
      </c>
      <c r="AX172" s="1" t="str">
        <f t="shared" si="38"/>
        <v/>
      </c>
      <c r="AY172" s="1" t="str">
        <f t="shared" si="38"/>
        <v/>
      </c>
      <c r="AZ172" s="1">
        <f t="shared" si="38"/>
        <v>7.349999999999998E-3</v>
      </c>
      <c r="BA172" s="1">
        <f t="shared" si="38"/>
        <v>13.582791381896531</v>
      </c>
      <c r="BB172" s="1">
        <f t="shared" si="38"/>
        <v>266.14519694062642</v>
      </c>
      <c r="BC172" s="1">
        <f t="shared" si="38"/>
        <v>82.308502981498549</v>
      </c>
    </row>
    <row r="173" spans="1:55" x14ac:dyDescent="0.25">
      <c r="A173" s="30" t="s">
        <v>60</v>
      </c>
      <c r="B173" s="31" t="s">
        <v>13</v>
      </c>
      <c r="C173" s="32" t="s">
        <v>61</v>
      </c>
      <c r="D173" s="31" t="s">
        <v>77</v>
      </c>
      <c r="E173" s="31"/>
      <c r="F173" s="51">
        <v>0</v>
      </c>
      <c r="G173" s="51">
        <v>0</v>
      </c>
      <c r="H173" s="51">
        <v>0</v>
      </c>
      <c r="I173" s="51">
        <v>0</v>
      </c>
      <c r="J173" s="51">
        <v>0</v>
      </c>
      <c r="K173" s="51">
        <f>K156*0.1</f>
        <v>2.9000000000000004</v>
      </c>
      <c r="L173" s="52">
        <v>0</v>
      </c>
      <c r="M173" s="73">
        <f>M156*0.4</f>
        <v>160</v>
      </c>
      <c r="N173" s="73">
        <v>0</v>
      </c>
      <c r="O173" s="73">
        <f>O156*0.5</f>
        <v>6468.75</v>
      </c>
      <c r="P173" s="73">
        <f>P156*0.55</f>
        <v>48449.612403100786</v>
      </c>
      <c r="Q173" s="73"/>
      <c r="R173" s="73"/>
      <c r="S173" s="51"/>
      <c r="T173" s="51">
        <f>T156</f>
        <v>426</v>
      </c>
      <c r="U173" s="51">
        <f>U156</f>
        <v>426</v>
      </c>
      <c r="V173" s="51"/>
      <c r="W173" s="51"/>
      <c r="X173" s="55">
        <f>X201*0.7</f>
        <v>14.084507042253522</v>
      </c>
      <c r="Y173" s="59">
        <f t="shared" si="40"/>
        <v>29</v>
      </c>
      <c r="Z173" s="51">
        <f t="shared" si="40"/>
        <v>812.74725014331318</v>
      </c>
      <c r="AA173" s="51">
        <f t="shared" si="40"/>
        <v>671.03998639502254</v>
      </c>
      <c r="AC173" s="30" t="s">
        <v>60</v>
      </c>
      <c r="AD173" s="31" t="s">
        <v>13</v>
      </c>
      <c r="AE173" s="32" t="s">
        <v>61</v>
      </c>
      <c r="AF173" s="31" t="s">
        <v>77</v>
      </c>
      <c r="AG173" s="31"/>
      <c r="AH173" s="1" t="str">
        <f t="shared" ref="AH173:AV180" si="41">IF(F218&gt;0,F83/F218,"")</f>
        <v/>
      </c>
      <c r="AI173" s="1" t="str">
        <f t="shared" si="41"/>
        <v/>
      </c>
      <c r="AJ173" s="1" t="str">
        <f t="shared" si="41"/>
        <v/>
      </c>
      <c r="AK173" s="1" t="str">
        <f t="shared" si="41"/>
        <v/>
      </c>
      <c r="AL173" s="1" t="str">
        <f t="shared" si="41"/>
        <v/>
      </c>
      <c r="AM173" s="1">
        <f t="shared" si="41"/>
        <v>4.2243333333333339</v>
      </c>
      <c r="AN173" s="52" t="str">
        <f t="shared" si="41"/>
        <v/>
      </c>
      <c r="AO173" s="1">
        <f t="shared" si="41"/>
        <v>116.36363636363636</v>
      </c>
      <c r="AP173" s="1" t="str">
        <f t="shared" si="41"/>
        <v/>
      </c>
      <c r="AQ173" s="1">
        <f t="shared" si="41"/>
        <v>3750</v>
      </c>
      <c r="AR173" s="1">
        <f t="shared" si="41"/>
        <v>11451.726568005639</v>
      </c>
      <c r="AS173" s="1" t="str">
        <f t="shared" si="41"/>
        <v/>
      </c>
      <c r="AT173" s="1" t="str">
        <f t="shared" si="41"/>
        <v/>
      </c>
      <c r="AU173" s="1" t="str">
        <f t="shared" si="41"/>
        <v/>
      </c>
      <c r="AV173" s="1">
        <f t="shared" si="41"/>
        <v>149.1</v>
      </c>
      <c r="AW173" s="1">
        <f t="shared" si="38"/>
        <v>187.44</v>
      </c>
      <c r="AX173" s="1" t="str">
        <f t="shared" si="38"/>
        <v/>
      </c>
      <c r="AY173" s="1" t="str">
        <f t="shared" si="38"/>
        <v/>
      </c>
      <c r="AZ173" s="1">
        <f t="shared" si="38"/>
        <v>7.3499999999999989E-3</v>
      </c>
      <c r="BA173" s="1">
        <f t="shared" si="38"/>
        <v>4.2243333333333339</v>
      </c>
      <c r="BB173" s="1">
        <f t="shared" si="38"/>
        <v>136.87370568900843</v>
      </c>
      <c r="BC173" s="1">
        <f t="shared" si="38"/>
        <v>112.88972412988507</v>
      </c>
    </row>
    <row r="174" spans="1:55" x14ac:dyDescent="0.25">
      <c r="A174" s="30" t="s">
        <v>60</v>
      </c>
      <c r="B174" s="31" t="s">
        <v>13</v>
      </c>
      <c r="C174" s="32" t="s">
        <v>61</v>
      </c>
      <c r="D174" s="31" t="s">
        <v>78</v>
      </c>
      <c r="E174" s="31"/>
      <c r="F174" s="51">
        <v>0</v>
      </c>
      <c r="G174" s="51">
        <v>0</v>
      </c>
      <c r="H174" s="51">
        <v>0</v>
      </c>
      <c r="I174" s="51">
        <f>I156*0.05</f>
        <v>1.4500000000000002</v>
      </c>
      <c r="J174" s="51">
        <v>0</v>
      </c>
      <c r="K174" s="51">
        <f>K156*0.05</f>
        <v>1.4500000000000002</v>
      </c>
      <c r="L174" s="52">
        <v>0</v>
      </c>
      <c r="M174" s="73">
        <f>M156*0</f>
        <v>0</v>
      </c>
      <c r="N174" s="73">
        <v>0</v>
      </c>
      <c r="O174" s="73">
        <f>O156*0</f>
        <v>0</v>
      </c>
      <c r="P174" s="73">
        <f>(P156)*0.01</f>
        <v>880.90204369274147</v>
      </c>
      <c r="Q174" s="73">
        <f>Q156</f>
        <v>940</v>
      </c>
      <c r="R174" s="73"/>
      <c r="S174" s="51"/>
      <c r="T174" s="51"/>
      <c r="U174" s="51"/>
      <c r="V174" s="51"/>
      <c r="W174" s="51"/>
      <c r="X174" s="55">
        <f>X156*0.1</f>
        <v>42.6</v>
      </c>
      <c r="Y174" s="59">
        <f t="shared" si="40"/>
        <v>29</v>
      </c>
      <c r="Z174" s="51">
        <f t="shared" si="40"/>
        <v>853.99093598103229</v>
      </c>
      <c r="AA174" s="51">
        <f t="shared" si="40"/>
        <v>308.10768301890971</v>
      </c>
      <c r="AC174" s="30" t="s">
        <v>60</v>
      </c>
      <c r="AD174" s="31" t="s">
        <v>13</v>
      </c>
      <c r="AE174" s="32" t="s">
        <v>61</v>
      </c>
      <c r="AF174" s="31" t="s">
        <v>78</v>
      </c>
      <c r="AG174" s="31"/>
      <c r="AH174" s="1" t="str">
        <f t="shared" si="41"/>
        <v/>
      </c>
      <c r="AI174" s="1" t="str">
        <f t="shared" si="41"/>
        <v/>
      </c>
      <c r="AJ174" s="1" t="str">
        <f t="shared" si="41"/>
        <v/>
      </c>
      <c r="AK174" s="1">
        <f t="shared" si="41"/>
        <v>5.4674441205053448</v>
      </c>
      <c r="AL174" s="1" t="str">
        <f t="shared" si="41"/>
        <v/>
      </c>
      <c r="AM174" s="1">
        <f t="shared" si="41"/>
        <v>4.2243333333333339</v>
      </c>
      <c r="AN174" s="52" t="str">
        <f t="shared" si="41"/>
        <v/>
      </c>
      <c r="AO174" s="1" t="str">
        <f t="shared" si="41"/>
        <v/>
      </c>
      <c r="AP174" s="1" t="str">
        <f t="shared" si="41"/>
        <v/>
      </c>
      <c r="AQ174" s="1" t="str">
        <f t="shared" si="41"/>
        <v/>
      </c>
      <c r="AR174" s="1">
        <f t="shared" si="41"/>
        <v>11451.726568005639</v>
      </c>
      <c r="AS174" s="1">
        <f t="shared" si="41"/>
        <v>282</v>
      </c>
      <c r="AT174" s="1" t="str">
        <f t="shared" si="41"/>
        <v/>
      </c>
      <c r="AU174" s="1" t="str">
        <f t="shared" si="41"/>
        <v/>
      </c>
      <c r="AV174" s="1" t="str">
        <f t="shared" si="41"/>
        <v/>
      </c>
      <c r="AW174" s="1" t="str">
        <f t="shared" si="38"/>
        <v/>
      </c>
      <c r="AX174" s="1" t="str">
        <f t="shared" si="38"/>
        <v/>
      </c>
      <c r="AY174" s="1" t="str">
        <f t="shared" si="38"/>
        <v/>
      </c>
      <c r="AZ174" s="1">
        <f t="shared" si="38"/>
        <v>149.09999999999997</v>
      </c>
      <c r="BA174" s="1">
        <f t="shared" si="38"/>
        <v>4.9433670601461497</v>
      </c>
      <c r="BB174" s="1">
        <f t="shared" si="38"/>
        <v>249.47921876459225</v>
      </c>
      <c r="BC174" s="1">
        <f t="shared" si="38"/>
        <v>87.673772944087716</v>
      </c>
    </row>
    <row r="175" spans="1:55" ht="15.75" thickBot="1" x14ac:dyDescent="0.3">
      <c r="A175" s="33" t="s">
        <v>60</v>
      </c>
      <c r="B175" s="34" t="s">
        <v>13</v>
      </c>
      <c r="C175" s="35" t="s">
        <v>61</v>
      </c>
      <c r="D175" s="34" t="s">
        <v>79</v>
      </c>
      <c r="E175" s="31"/>
      <c r="F175" s="51">
        <v>0</v>
      </c>
      <c r="G175" s="51">
        <v>0</v>
      </c>
      <c r="H175" s="51">
        <v>0</v>
      </c>
      <c r="I175" s="51">
        <v>0</v>
      </c>
      <c r="J175" s="51">
        <v>0</v>
      </c>
      <c r="K175" s="51">
        <v>0</v>
      </c>
      <c r="L175" s="52">
        <v>0</v>
      </c>
      <c r="M175" s="51">
        <v>0</v>
      </c>
      <c r="N175" s="51">
        <v>0</v>
      </c>
      <c r="O175" s="51">
        <v>0</v>
      </c>
      <c r="P175" s="51">
        <v>0</v>
      </c>
      <c r="Q175" s="51">
        <v>0</v>
      </c>
      <c r="R175" s="51">
        <v>0</v>
      </c>
      <c r="S175" s="51">
        <v>0</v>
      </c>
      <c r="T175" s="51">
        <v>0</v>
      </c>
      <c r="U175" s="51">
        <v>0</v>
      </c>
      <c r="V175" s="51">
        <v>0</v>
      </c>
      <c r="W175" s="51">
        <v>0</v>
      </c>
      <c r="X175" s="55">
        <v>0</v>
      </c>
      <c r="Y175" s="59">
        <f t="shared" si="40"/>
        <v>0</v>
      </c>
      <c r="Z175" s="51">
        <f t="shared" si="40"/>
        <v>0</v>
      </c>
      <c r="AA175" s="51">
        <f t="shared" si="40"/>
        <v>0</v>
      </c>
      <c r="AC175" s="33" t="s">
        <v>60</v>
      </c>
      <c r="AD175" s="34" t="s">
        <v>13</v>
      </c>
      <c r="AE175" s="35" t="s">
        <v>61</v>
      </c>
      <c r="AF175" s="34" t="s">
        <v>79</v>
      </c>
      <c r="AG175" s="31"/>
      <c r="AH175" s="1" t="str">
        <f t="shared" si="41"/>
        <v/>
      </c>
      <c r="AI175" s="1" t="str">
        <f t="shared" si="41"/>
        <v/>
      </c>
      <c r="AJ175" s="1" t="str">
        <f t="shared" si="41"/>
        <v/>
      </c>
      <c r="AK175" s="1" t="str">
        <f t="shared" si="41"/>
        <v/>
      </c>
      <c r="AL175" s="1" t="str">
        <f t="shared" si="41"/>
        <v/>
      </c>
      <c r="AM175" s="1" t="str">
        <f t="shared" si="41"/>
        <v/>
      </c>
      <c r="AN175" s="52" t="str">
        <f t="shared" si="41"/>
        <v/>
      </c>
      <c r="AO175" s="1" t="str">
        <f t="shared" si="41"/>
        <v/>
      </c>
      <c r="AP175" s="1" t="str">
        <f t="shared" si="41"/>
        <v/>
      </c>
      <c r="AQ175" s="1" t="str">
        <f t="shared" si="41"/>
        <v/>
      </c>
      <c r="AR175" s="1" t="str">
        <f t="shared" si="41"/>
        <v/>
      </c>
      <c r="AS175" s="1" t="str">
        <f t="shared" si="41"/>
        <v/>
      </c>
      <c r="AT175" s="1" t="str">
        <f t="shared" si="41"/>
        <v/>
      </c>
      <c r="AU175" s="1" t="str">
        <f t="shared" si="41"/>
        <v/>
      </c>
      <c r="AV175" s="1" t="str">
        <f t="shared" si="41"/>
        <v/>
      </c>
      <c r="AW175" s="1" t="str">
        <f t="shared" si="38"/>
        <v/>
      </c>
      <c r="AX175" s="1" t="str">
        <f t="shared" si="38"/>
        <v/>
      </c>
      <c r="AY175" s="1" t="str">
        <f t="shared" si="38"/>
        <v/>
      </c>
      <c r="AZ175" s="1" t="str">
        <f t="shared" si="38"/>
        <v/>
      </c>
      <c r="BA175" s="1" t="str">
        <f t="shared" si="38"/>
        <v/>
      </c>
      <c r="BB175" s="1" t="str">
        <f t="shared" si="38"/>
        <v/>
      </c>
      <c r="BC175" s="1" t="str">
        <f t="shared" si="38"/>
        <v/>
      </c>
    </row>
    <row r="176" spans="1:55" x14ac:dyDescent="0.25">
      <c r="A176" s="30" t="s">
        <v>60</v>
      </c>
      <c r="B176" s="31" t="s">
        <v>13</v>
      </c>
      <c r="C176" s="32" t="s">
        <v>62</v>
      </c>
      <c r="D176" s="31" t="s">
        <v>75</v>
      </c>
      <c r="E176" s="31"/>
      <c r="F176" s="51"/>
      <c r="G176" s="73">
        <f>G157</f>
        <v>21.75</v>
      </c>
      <c r="H176" s="51">
        <f>H157*0.4</f>
        <v>2.8801024000000002</v>
      </c>
      <c r="I176" s="51">
        <v>0</v>
      </c>
      <c r="J176" s="51">
        <v>0</v>
      </c>
      <c r="K176" s="51">
        <v>0</v>
      </c>
      <c r="L176" s="52">
        <v>0</v>
      </c>
      <c r="M176" s="51">
        <v>0</v>
      </c>
      <c r="N176" s="51">
        <v>0</v>
      </c>
      <c r="O176" s="51">
        <v>0</v>
      </c>
      <c r="P176" s="51">
        <v>0</v>
      </c>
      <c r="Q176" s="51">
        <v>0</v>
      </c>
      <c r="R176" s="51">
        <v>0</v>
      </c>
      <c r="S176" s="51">
        <v>0</v>
      </c>
      <c r="T176" s="51">
        <v>0</v>
      </c>
      <c r="U176" s="51">
        <v>0</v>
      </c>
      <c r="V176" s="51">
        <v>0</v>
      </c>
      <c r="W176" s="51">
        <v>0</v>
      </c>
      <c r="X176" s="55">
        <v>0</v>
      </c>
      <c r="Y176" s="59">
        <f t="shared" si="40"/>
        <v>10.727466666666668</v>
      </c>
      <c r="Z176" s="51">
        <f t="shared" si="40"/>
        <v>0</v>
      </c>
      <c r="AA176" s="51">
        <f t="shared" si="40"/>
        <v>10.727466666666668</v>
      </c>
      <c r="AC176" s="30" t="s">
        <v>60</v>
      </c>
      <c r="AD176" s="31" t="s">
        <v>13</v>
      </c>
      <c r="AE176" s="32" t="s">
        <v>62</v>
      </c>
      <c r="AF176" s="31" t="s">
        <v>75</v>
      </c>
      <c r="AG176" s="31"/>
      <c r="AH176" s="1" t="str">
        <f t="shared" si="41"/>
        <v/>
      </c>
      <c r="AI176" s="1">
        <f t="shared" si="41"/>
        <v>5.2349770852428961</v>
      </c>
      <c r="AJ176" s="1">
        <f t="shared" si="41"/>
        <v>1.881</v>
      </c>
      <c r="AK176" s="1" t="str">
        <f t="shared" si="41"/>
        <v/>
      </c>
      <c r="AL176" s="1" t="str">
        <f t="shared" si="41"/>
        <v/>
      </c>
      <c r="AM176" s="1" t="str">
        <f t="shared" si="41"/>
        <v/>
      </c>
      <c r="AN176" s="52" t="str">
        <f t="shared" si="41"/>
        <v/>
      </c>
      <c r="AO176" s="1" t="str">
        <f t="shared" si="41"/>
        <v/>
      </c>
      <c r="AP176" s="1" t="str">
        <f t="shared" si="41"/>
        <v/>
      </c>
      <c r="AQ176" s="1" t="str">
        <f t="shared" si="41"/>
        <v/>
      </c>
      <c r="AR176" s="1" t="str">
        <f t="shared" si="41"/>
        <v/>
      </c>
      <c r="AS176" s="1" t="str">
        <f t="shared" si="41"/>
        <v/>
      </c>
      <c r="AT176" s="1" t="str">
        <f t="shared" si="41"/>
        <v/>
      </c>
      <c r="AU176" s="1" t="str">
        <f t="shared" si="41"/>
        <v/>
      </c>
      <c r="AV176" s="1" t="str">
        <f t="shared" si="41"/>
        <v/>
      </c>
      <c r="AW176" s="1" t="str">
        <f t="shared" si="38"/>
        <v/>
      </c>
      <c r="AX176" s="1" t="str">
        <f t="shared" si="38"/>
        <v/>
      </c>
      <c r="AY176" s="1" t="str">
        <f t="shared" si="38"/>
        <v/>
      </c>
      <c r="AZ176" s="1" t="str">
        <f t="shared" si="38"/>
        <v/>
      </c>
      <c r="BA176" s="1">
        <f t="shared" si="38"/>
        <v>2.6940853539982776</v>
      </c>
      <c r="BB176" s="1" t="str">
        <f t="shared" si="38"/>
        <v/>
      </c>
      <c r="BC176" s="1">
        <f t="shared" si="38"/>
        <v>2.6940853539982776</v>
      </c>
    </row>
    <row r="177" spans="1:55" x14ac:dyDescent="0.25">
      <c r="A177" s="30" t="s">
        <v>60</v>
      </c>
      <c r="B177" s="31" t="s">
        <v>13</v>
      </c>
      <c r="C177" s="32" t="s">
        <v>62</v>
      </c>
      <c r="D177" s="31" t="s">
        <v>76</v>
      </c>
      <c r="E177" s="31"/>
      <c r="F177" s="51">
        <f>F157</f>
        <v>40.909090909090907</v>
      </c>
      <c r="G177" s="51">
        <f>G157*0</f>
        <v>0</v>
      </c>
      <c r="H177" s="51">
        <f>H157*0.6</f>
        <v>4.3201535999999994</v>
      </c>
      <c r="I177" s="51">
        <v>0</v>
      </c>
      <c r="J177" s="51">
        <v>0</v>
      </c>
      <c r="K177" s="51">
        <v>0</v>
      </c>
      <c r="L177" s="52">
        <v>0</v>
      </c>
      <c r="M177" s="51">
        <v>0</v>
      </c>
      <c r="N177" s="51">
        <v>0</v>
      </c>
      <c r="O177" s="51">
        <v>0</v>
      </c>
      <c r="P177" s="51">
        <f>P157</f>
        <v>66596.194503171253</v>
      </c>
      <c r="Q177" s="51">
        <v>0</v>
      </c>
      <c r="R177" s="51">
        <v>0</v>
      </c>
      <c r="S177" s="51">
        <v>0</v>
      </c>
      <c r="T177" s="51">
        <v>0</v>
      </c>
      <c r="U177" s="51">
        <v>0</v>
      </c>
      <c r="V177" s="51">
        <v>0</v>
      </c>
      <c r="W177" s="51">
        <v>0</v>
      </c>
      <c r="X177" s="55">
        <v>0</v>
      </c>
      <c r="Y177" s="59">
        <f t="shared" si="40"/>
        <v>9.5033440993788822</v>
      </c>
      <c r="Z177" s="51">
        <f t="shared" si="40"/>
        <v>66596.194503171253</v>
      </c>
      <c r="AA177" s="51">
        <f t="shared" si="40"/>
        <v>103.27075656788091</v>
      </c>
      <c r="AC177" s="30" t="s">
        <v>60</v>
      </c>
      <c r="AD177" s="31" t="s">
        <v>13</v>
      </c>
      <c r="AE177" s="32" t="s">
        <v>62</v>
      </c>
      <c r="AF177" s="31" t="s">
        <v>76</v>
      </c>
      <c r="AG177" s="31"/>
      <c r="AH177" s="1">
        <f t="shared" si="41"/>
        <v>9.5515025454545466</v>
      </c>
      <c r="AI177" s="1" t="str">
        <f t="shared" si="41"/>
        <v/>
      </c>
      <c r="AJ177" s="1">
        <f t="shared" si="41"/>
        <v>1.881</v>
      </c>
      <c r="AK177" s="1" t="str">
        <f t="shared" si="41"/>
        <v/>
      </c>
      <c r="AL177" s="1" t="str">
        <f t="shared" si="41"/>
        <v/>
      </c>
      <c r="AM177" s="1" t="str">
        <f t="shared" si="41"/>
        <v/>
      </c>
      <c r="AN177" s="52" t="str">
        <f t="shared" si="41"/>
        <v/>
      </c>
      <c r="AO177" s="1" t="str">
        <f t="shared" si="41"/>
        <v/>
      </c>
      <c r="AP177" s="1" t="str">
        <f t="shared" si="41"/>
        <v/>
      </c>
      <c r="AQ177" s="1" t="str">
        <f t="shared" si="41"/>
        <v/>
      </c>
      <c r="AR177" s="1">
        <f t="shared" si="41"/>
        <v>8809.0204369274143</v>
      </c>
      <c r="AS177" s="1" t="str">
        <f t="shared" si="41"/>
        <v/>
      </c>
      <c r="AT177" s="1" t="str">
        <f t="shared" si="41"/>
        <v/>
      </c>
      <c r="AU177" s="1" t="str">
        <f t="shared" si="41"/>
        <v/>
      </c>
      <c r="AV177" s="1" t="str">
        <f t="shared" si="41"/>
        <v/>
      </c>
      <c r="AW177" s="1" t="str">
        <f t="shared" si="38"/>
        <v/>
      </c>
      <c r="AX177" s="1" t="str">
        <f t="shared" si="38"/>
        <v/>
      </c>
      <c r="AY177" s="1" t="str">
        <f t="shared" si="38"/>
        <v/>
      </c>
      <c r="AZ177" s="1" t="str">
        <f t="shared" si="38"/>
        <v/>
      </c>
      <c r="BA177" s="1">
        <f t="shared" si="38"/>
        <v>2.405071602484472</v>
      </c>
      <c r="BB177" s="1">
        <f t="shared" si="38"/>
        <v>8809.0204369274143</v>
      </c>
      <c r="BC177" s="1">
        <f t="shared" si="38"/>
        <v>14.806551853832955</v>
      </c>
    </row>
    <row r="178" spans="1:55" x14ac:dyDescent="0.25">
      <c r="A178" s="30" t="s">
        <v>60</v>
      </c>
      <c r="B178" s="31" t="s">
        <v>13</v>
      </c>
      <c r="C178" s="32" t="s">
        <v>62</v>
      </c>
      <c r="D178" s="31" t="s">
        <v>77</v>
      </c>
      <c r="E178" s="31"/>
      <c r="F178" s="51">
        <v>0</v>
      </c>
      <c r="G178" s="51">
        <v>0</v>
      </c>
      <c r="H178" s="51">
        <v>0</v>
      </c>
      <c r="I178" s="51">
        <v>0</v>
      </c>
      <c r="J178" s="51">
        <v>0</v>
      </c>
      <c r="K178" s="51">
        <v>0</v>
      </c>
      <c r="L178" s="52">
        <v>0</v>
      </c>
      <c r="M178" s="51">
        <v>0</v>
      </c>
      <c r="N178" s="51">
        <v>0</v>
      </c>
      <c r="O178" s="51">
        <v>0</v>
      </c>
      <c r="P178" s="51">
        <v>0</v>
      </c>
      <c r="Q178" s="51">
        <v>0</v>
      </c>
      <c r="R178" s="51">
        <v>0</v>
      </c>
      <c r="S178" s="51">
        <v>0</v>
      </c>
      <c r="T178" s="51">
        <v>0</v>
      </c>
      <c r="U178" s="51">
        <v>0</v>
      </c>
      <c r="V178" s="51">
        <v>0</v>
      </c>
      <c r="W178" s="51">
        <v>0</v>
      </c>
      <c r="X178" s="55">
        <v>0</v>
      </c>
      <c r="Y178" s="59">
        <f t="shared" si="40"/>
        <v>0</v>
      </c>
      <c r="Z178" s="51">
        <f t="shared" si="40"/>
        <v>0</v>
      </c>
      <c r="AA178" s="51">
        <f t="shared" si="40"/>
        <v>0</v>
      </c>
      <c r="AC178" s="30" t="s">
        <v>60</v>
      </c>
      <c r="AD178" s="31" t="s">
        <v>13</v>
      </c>
      <c r="AE178" s="32" t="s">
        <v>62</v>
      </c>
      <c r="AF178" s="31" t="s">
        <v>77</v>
      </c>
      <c r="AG178" s="31"/>
      <c r="AH178" s="1" t="str">
        <f t="shared" si="41"/>
        <v/>
      </c>
      <c r="AI178" s="1" t="str">
        <f t="shared" si="41"/>
        <v/>
      </c>
      <c r="AJ178" s="1" t="str">
        <f t="shared" si="41"/>
        <v/>
      </c>
      <c r="AK178" s="1" t="str">
        <f t="shared" si="41"/>
        <v/>
      </c>
      <c r="AL178" s="1" t="str">
        <f t="shared" si="41"/>
        <v/>
      </c>
      <c r="AM178" s="1" t="str">
        <f t="shared" si="41"/>
        <v/>
      </c>
      <c r="AN178" s="52" t="str">
        <f t="shared" si="41"/>
        <v/>
      </c>
      <c r="AO178" s="1" t="str">
        <f t="shared" si="41"/>
        <v/>
      </c>
      <c r="AP178" s="1" t="str">
        <f t="shared" si="41"/>
        <v/>
      </c>
      <c r="AQ178" s="1" t="str">
        <f t="shared" si="41"/>
        <v/>
      </c>
      <c r="AR178" s="1" t="str">
        <f t="shared" si="41"/>
        <v/>
      </c>
      <c r="AS178" s="1" t="str">
        <f t="shared" si="41"/>
        <v/>
      </c>
      <c r="AT178" s="1" t="str">
        <f t="shared" si="41"/>
        <v/>
      </c>
      <c r="AU178" s="1" t="str">
        <f t="shared" si="41"/>
        <v/>
      </c>
      <c r="AV178" s="1" t="str">
        <f t="shared" si="41"/>
        <v/>
      </c>
      <c r="AW178" s="1" t="str">
        <f t="shared" si="38"/>
        <v/>
      </c>
      <c r="AX178" s="1" t="str">
        <f t="shared" si="38"/>
        <v/>
      </c>
      <c r="AY178" s="1" t="str">
        <f t="shared" si="38"/>
        <v/>
      </c>
      <c r="AZ178" s="1" t="str">
        <f t="shared" si="38"/>
        <v/>
      </c>
      <c r="BA178" s="1" t="str">
        <f t="shared" si="38"/>
        <v/>
      </c>
      <c r="BB178" s="1" t="str">
        <f t="shared" si="38"/>
        <v/>
      </c>
      <c r="BC178" s="1" t="str">
        <f t="shared" si="38"/>
        <v/>
      </c>
    </row>
    <row r="179" spans="1:55" x14ac:dyDescent="0.25">
      <c r="A179" s="30" t="s">
        <v>60</v>
      </c>
      <c r="B179" s="31" t="s">
        <v>13</v>
      </c>
      <c r="C179" s="32" t="s">
        <v>62</v>
      </c>
      <c r="D179" s="31" t="s">
        <v>78</v>
      </c>
      <c r="E179" s="31"/>
      <c r="F179" s="51">
        <v>0</v>
      </c>
      <c r="G179" s="51">
        <v>0</v>
      </c>
      <c r="H179" s="51">
        <v>0</v>
      </c>
      <c r="I179" s="51">
        <v>0</v>
      </c>
      <c r="J179" s="51">
        <v>0</v>
      </c>
      <c r="K179" s="51">
        <v>0</v>
      </c>
      <c r="L179" s="52">
        <v>0</v>
      </c>
      <c r="M179" s="51">
        <v>0</v>
      </c>
      <c r="N179" s="51">
        <v>0</v>
      </c>
      <c r="O179" s="51">
        <v>0</v>
      </c>
      <c r="P179" s="51">
        <v>0</v>
      </c>
      <c r="Q179" s="51">
        <v>0</v>
      </c>
      <c r="R179" s="51">
        <v>0</v>
      </c>
      <c r="S179" s="51">
        <v>0</v>
      </c>
      <c r="T179" s="51">
        <v>0</v>
      </c>
      <c r="U179" s="51">
        <v>0</v>
      </c>
      <c r="V179" s="51">
        <v>0</v>
      </c>
      <c r="W179" s="51">
        <v>0</v>
      </c>
      <c r="X179" s="55">
        <v>0</v>
      </c>
      <c r="Y179" s="59">
        <f t="shared" ref="Y179:AA180" si="42">IF(Y224&gt;0,Y44/Y224,0)</f>
        <v>0</v>
      </c>
      <c r="Z179" s="51">
        <f t="shared" si="42"/>
        <v>0</v>
      </c>
      <c r="AA179" s="51">
        <f t="shared" si="42"/>
        <v>0</v>
      </c>
      <c r="AC179" s="30" t="s">
        <v>60</v>
      </c>
      <c r="AD179" s="31" t="s">
        <v>13</v>
      </c>
      <c r="AE179" s="32" t="s">
        <v>62</v>
      </c>
      <c r="AF179" s="31" t="s">
        <v>78</v>
      </c>
      <c r="AG179" s="31"/>
      <c r="AH179" s="1" t="str">
        <f t="shared" si="41"/>
        <v/>
      </c>
      <c r="AI179" s="1" t="str">
        <f t="shared" si="41"/>
        <v/>
      </c>
      <c r="AJ179" s="1" t="str">
        <f t="shared" si="41"/>
        <v/>
      </c>
      <c r="AK179" s="1" t="str">
        <f t="shared" si="41"/>
        <v/>
      </c>
      <c r="AL179" s="1" t="str">
        <f t="shared" si="41"/>
        <v/>
      </c>
      <c r="AM179" s="1" t="str">
        <f t="shared" si="41"/>
        <v/>
      </c>
      <c r="AN179" s="52" t="str">
        <f t="shared" si="41"/>
        <v/>
      </c>
      <c r="AO179" s="1" t="str">
        <f t="shared" si="41"/>
        <v/>
      </c>
      <c r="AP179" s="1" t="str">
        <f t="shared" si="41"/>
        <v/>
      </c>
      <c r="AQ179" s="1" t="str">
        <f t="shared" si="41"/>
        <v/>
      </c>
      <c r="AR179" s="1" t="str">
        <f t="shared" si="41"/>
        <v/>
      </c>
      <c r="AS179" s="1" t="str">
        <f t="shared" si="41"/>
        <v/>
      </c>
      <c r="AT179" s="1" t="str">
        <f t="shared" si="41"/>
        <v/>
      </c>
      <c r="AU179" s="1" t="str">
        <f t="shared" si="41"/>
        <v/>
      </c>
      <c r="AV179" s="1" t="str">
        <f t="shared" si="41"/>
        <v/>
      </c>
      <c r="AW179" s="1" t="str">
        <f t="shared" si="38"/>
        <v/>
      </c>
      <c r="AX179" s="1" t="str">
        <f t="shared" si="38"/>
        <v/>
      </c>
      <c r="AY179" s="1" t="str">
        <f t="shared" si="38"/>
        <v/>
      </c>
      <c r="AZ179" s="1" t="str">
        <f t="shared" si="38"/>
        <v/>
      </c>
      <c r="BA179" s="1" t="str">
        <f t="shared" si="38"/>
        <v/>
      </c>
      <c r="BB179" s="1" t="str">
        <f t="shared" si="38"/>
        <v/>
      </c>
      <c r="BC179" s="1" t="str">
        <f t="shared" si="38"/>
        <v/>
      </c>
    </row>
    <row r="180" spans="1:55" ht="15.75" thickBot="1" x14ac:dyDescent="0.3">
      <c r="A180" s="33" t="s">
        <v>60</v>
      </c>
      <c r="B180" s="34" t="s">
        <v>13</v>
      </c>
      <c r="C180" s="32" t="s">
        <v>62</v>
      </c>
      <c r="D180" s="34" t="s">
        <v>79</v>
      </c>
      <c r="E180" s="31"/>
      <c r="F180" s="51">
        <v>0</v>
      </c>
      <c r="G180" s="51">
        <v>0</v>
      </c>
      <c r="H180" s="51">
        <v>0</v>
      </c>
      <c r="I180" s="51">
        <v>0</v>
      </c>
      <c r="J180" s="51">
        <v>0</v>
      </c>
      <c r="K180" s="51">
        <v>0</v>
      </c>
      <c r="L180" s="52">
        <v>0</v>
      </c>
      <c r="M180" s="51">
        <v>0</v>
      </c>
      <c r="N180" s="51">
        <v>0</v>
      </c>
      <c r="O180" s="51">
        <v>0</v>
      </c>
      <c r="P180" s="51">
        <v>0</v>
      </c>
      <c r="Q180" s="51">
        <v>0</v>
      </c>
      <c r="R180" s="51">
        <v>0</v>
      </c>
      <c r="S180" s="51">
        <v>0</v>
      </c>
      <c r="T180" s="51">
        <v>0</v>
      </c>
      <c r="U180" s="51">
        <v>0</v>
      </c>
      <c r="V180" s="51">
        <v>0</v>
      </c>
      <c r="W180" s="51">
        <v>0</v>
      </c>
      <c r="X180" s="55">
        <v>0</v>
      </c>
      <c r="Y180" s="59">
        <f t="shared" si="42"/>
        <v>0</v>
      </c>
      <c r="Z180" s="51">
        <f t="shared" si="42"/>
        <v>0</v>
      </c>
      <c r="AA180" s="51">
        <f t="shared" si="42"/>
        <v>0</v>
      </c>
      <c r="AC180" s="33" t="s">
        <v>60</v>
      </c>
      <c r="AD180" s="34" t="s">
        <v>13</v>
      </c>
      <c r="AE180" s="32" t="s">
        <v>62</v>
      </c>
      <c r="AF180" s="34" t="s">
        <v>79</v>
      </c>
      <c r="AG180" s="31"/>
      <c r="AH180" s="1" t="str">
        <f t="shared" si="41"/>
        <v/>
      </c>
      <c r="AI180" s="1" t="str">
        <f t="shared" si="41"/>
        <v/>
      </c>
      <c r="AJ180" s="1" t="str">
        <f t="shared" si="41"/>
        <v/>
      </c>
      <c r="AK180" s="1" t="str">
        <f t="shared" si="41"/>
        <v/>
      </c>
      <c r="AL180" s="1" t="str">
        <f t="shared" si="41"/>
        <v/>
      </c>
      <c r="AM180" s="1" t="str">
        <f t="shared" si="41"/>
        <v/>
      </c>
      <c r="AN180" s="52" t="str">
        <f t="shared" si="41"/>
        <v/>
      </c>
      <c r="AO180" s="1" t="str">
        <f t="shared" si="41"/>
        <v/>
      </c>
      <c r="AP180" s="1" t="str">
        <f t="shared" si="41"/>
        <v/>
      </c>
      <c r="AQ180" s="1" t="str">
        <f t="shared" si="41"/>
        <v/>
      </c>
      <c r="AR180" s="1" t="str">
        <f t="shared" si="41"/>
        <v/>
      </c>
      <c r="AS180" s="1" t="str">
        <f t="shared" si="41"/>
        <v/>
      </c>
      <c r="AT180" s="1" t="str">
        <f t="shared" si="41"/>
        <v/>
      </c>
      <c r="AU180" s="1" t="str">
        <f t="shared" si="41"/>
        <v/>
      </c>
      <c r="AV180" s="1" t="str">
        <f t="shared" si="41"/>
        <v/>
      </c>
      <c r="AW180" s="1" t="str">
        <f t="shared" si="38"/>
        <v/>
      </c>
      <c r="AX180" s="1" t="str">
        <f t="shared" si="38"/>
        <v/>
      </c>
      <c r="AY180" s="1" t="str">
        <f t="shared" si="38"/>
        <v/>
      </c>
      <c r="AZ180" s="1" t="str">
        <f t="shared" si="38"/>
        <v/>
      </c>
      <c r="BA180" s="1" t="str">
        <f t="shared" si="38"/>
        <v/>
      </c>
      <c r="BB180" s="1" t="str">
        <f t="shared" si="38"/>
        <v/>
      </c>
      <c r="BC180" s="1" t="str">
        <f t="shared" si="38"/>
        <v/>
      </c>
    </row>
    <row r="181" spans="1:55" x14ac:dyDescent="0.25">
      <c r="F181" s="99">
        <v>170</v>
      </c>
      <c r="G181" s="99">
        <v>230</v>
      </c>
      <c r="H181" s="99">
        <v>1900</v>
      </c>
    </row>
    <row r="182" spans="1:55" x14ac:dyDescent="0.25">
      <c r="D182" s="41" t="s">
        <v>35</v>
      </c>
      <c r="E182" s="41"/>
      <c r="M182" s="24" t="s">
        <v>81</v>
      </c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AF182" s="41" t="s">
        <v>101</v>
      </c>
      <c r="AG182" s="41"/>
      <c r="AO182" s="24" t="s">
        <v>81</v>
      </c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</row>
    <row r="183" spans="1:55" x14ac:dyDescent="0.25">
      <c r="F183" s="23" t="s">
        <v>44</v>
      </c>
      <c r="G183" s="23"/>
      <c r="H183" s="23"/>
      <c r="I183" s="23"/>
      <c r="J183" s="23"/>
      <c r="K183" s="23"/>
      <c r="L183" s="7" t="s">
        <v>30</v>
      </c>
      <c r="M183" s="24" t="s">
        <v>46</v>
      </c>
      <c r="N183" s="24"/>
      <c r="O183" s="24"/>
      <c r="P183" s="24"/>
      <c r="Q183" s="24"/>
      <c r="R183" s="24" t="s">
        <v>47</v>
      </c>
      <c r="S183" s="24"/>
      <c r="T183" s="24"/>
      <c r="U183" s="24"/>
      <c r="V183" s="24"/>
      <c r="W183" s="24"/>
      <c r="X183" s="24"/>
      <c r="Y183" s="44" t="s">
        <v>85</v>
      </c>
      <c r="Z183" s="44" t="s">
        <v>48</v>
      </c>
      <c r="AA183" s="44" t="s">
        <v>3</v>
      </c>
      <c r="AH183" s="23" t="s">
        <v>44</v>
      </c>
      <c r="AI183" s="23"/>
      <c r="AJ183" s="23"/>
      <c r="AK183" s="23"/>
      <c r="AL183" s="23"/>
      <c r="AM183" s="23"/>
      <c r="AN183" s="7" t="s">
        <v>30</v>
      </c>
      <c r="AO183" s="24" t="s">
        <v>46</v>
      </c>
      <c r="AP183" s="24"/>
      <c r="AQ183" s="24"/>
      <c r="AR183" s="24"/>
      <c r="AS183" s="24"/>
      <c r="AT183" s="24" t="s">
        <v>47</v>
      </c>
      <c r="AU183" s="24"/>
      <c r="AV183" s="24"/>
      <c r="AW183" s="24"/>
      <c r="AX183" s="24"/>
      <c r="AY183" s="24"/>
      <c r="AZ183" s="24"/>
      <c r="BA183" s="44" t="s">
        <v>85</v>
      </c>
      <c r="BB183" s="44" t="s">
        <v>48</v>
      </c>
      <c r="BC183" s="44" t="s">
        <v>3</v>
      </c>
    </row>
    <row r="184" spans="1:55" ht="63" x14ac:dyDescent="0.25">
      <c r="F184" s="38" t="s">
        <v>36</v>
      </c>
      <c r="G184" s="38" t="s">
        <v>37</v>
      </c>
      <c r="H184" s="38" t="s">
        <v>38</v>
      </c>
      <c r="I184" s="38" t="s">
        <v>80</v>
      </c>
      <c r="J184" s="38" t="s">
        <v>39</v>
      </c>
      <c r="K184" s="38" t="s">
        <v>45</v>
      </c>
      <c r="L184" s="39" t="s">
        <v>16</v>
      </c>
      <c r="M184" s="40" t="s">
        <v>34</v>
      </c>
      <c r="N184" s="40" t="s">
        <v>5</v>
      </c>
      <c r="O184" s="40" t="s">
        <v>7</v>
      </c>
      <c r="P184" s="40" t="s">
        <v>8</v>
      </c>
      <c r="Q184" s="40" t="s">
        <v>40</v>
      </c>
      <c r="R184" s="40" t="s">
        <v>41</v>
      </c>
      <c r="S184" s="40" t="s">
        <v>42</v>
      </c>
      <c r="T184" s="40" t="s">
        <v>31</v>
      </c>
      <c r="U184" s="40" t="s">
        <v>43</v>
      </c>
      <c r="V184" s="40" t="s">
        <v>82</v>
      </c>
      <c r="W184" s="40" t="s">
        <v>87</v>
      </c>
      <c r="X184" s="40" t="s">
        <v>83</v>
      </c>
      <c r="Y184" s="45" t="s">
        <v>3</v>
      </c>
      <c r="Z184" s="45" t="s">
        <v>3</v>
      </c>
      <c r="AA184" s="45" t="s">
        <v>3</v>
      </c>
      <c r="AH184" s="38" t="s">
        <v>36</v>
      </c>
      <c r="AI184" s="38" t="s">
        <v>37</v>
      </c>
      <c r="AJ184" s="38" t="s">
        <v>38</v>
      </c>
      <c r="AK184" s="38" t="s">
        <v>80</v>
      </c>
      <c r="AL184" s="38" t="s">
        <v>39</v>
      </c>
      <c r="AM184" s="38" t="s">
        <v>45</v>
      </c>
      <c r="AN184" s="39" t="s">
        <v>16</v>
      </c>
      <c r="AO184" s="40" t="s">
        <v>34</v>
      </c>
      <c r="AP184" s="40" t="s">
        <v>5</v>
      </c>
      <c r="AQ184" s="40" t="s">
        <v>7</v>
      </c>
      <c r="AR184" s="40" t="s">
        <v>8</v>
      </c>
      <c r="AS184" s="40" t="s">
        <v>40</v>
      </c>
      <c r="AT184" s="40" t="s">
        <v>41</v>
      </c>
      <c r="AU184" s="40" t="s">
        <v>42</v>
      </c>
      <c r="AV184" s="40" t="s">
        <v>31</v>
      </c>
      <c r="AW184" s="40" t="s">
        <v>43</v>
      </c>
      <c r="AX184" s="40" t="s">
        <v>82</v>
      </c>
      <c r="AY184" s="40" t="s">
        <v>87</v>
      </c>
      <c r="AZ184" s="40" t="s">
        <v>83</v>
      </c>
      <c r="BA184" s="45" t="s">
        <v>3</v>
      </c>
      <c r="BB184" s="45" t="s">
        <v>86</v>
      </c>
      <c r="BC184" s="45" t="s">
        <v>3</v>
      </c>
    </row>
    <row r="185" spans="1:55" x14ac:dyDescent="0.25">
      <c r="A185" s="15" t="s">
        <v>51</v>
      </c>
      <c r="B185" s="2"/>
      <c r="C185" s="2"/>
      <c r="F185" s="1">
        <f t="shared" ref="F185:X185" si="43">F187+F188+F189</f>
        <v>0</v>
      </c>
      <c r="G185" s="1">
        <f t="shared" si="43"/>
        <v>0</v>
      </c>
      <c r="H185" s="1">
        <f t="shared" si="43"/>
        <v>0</v>
      </c>
      <c r="I185" s="1">
        <f t="shared" si="43"/>
        <v>0</v>
      </c>
      <c r="J185" s="1">
        <f t="shared" si="43"/>
        <v>0</v>
      </c>
      <c r="K185" s="1">
        <f t="shared" si="43"/>
        <v>0</v>
      </c>
      <c r="L185" s="52">
        <f t="shared" si="43"/>
        <v>0</v>
      </c>
      <c r="M185" s="1">
        <f t="shared" si="43"/>
        <v>0</v>
      </c>
      <c r="N185" s="1">
        <f t="shared" si="43"/>
        <v>0</v>
      </c>
      <c r="O185" s="1">
        <f t="shared" si="43"/>
        <v>0</v>
      </c>
      <c r="P185" s="1">
        <f t="shared" si="43"/>
        <v>0</v>
      </c>
      <c r="Q185" s="1">
        <f t="shared" si="43"/>
        <v>0</v>
      </c>
      <c r="R185" s="1">
        <f t="shared" si="43"/>
        <v>0</v>
      </c>
      <c r="S185" s="1">
        <f t="shared" si="43"/>
        <v>0</v>
      </c>
      <c r="T185" s="1">
        <f t="shared" si="43"/>
        <v>0</v>
      </c>
      <c r="U185" s="1">
        <f t="shared" si="43"/>
        <v>0</v>
      </c>
      <c r="V185" s="1">
        <f t="shared" si="43"/>
        <v>0</v>
      </c>
      <c r="W185" s="1">
        <f t="shared" si="43"/>
        <v>0</v>
      </c>
      <c r="X185" s="1">
        <f t="shared" si="43"/>
        <v>0</v>
      </c>
      <c r="Y185" s="58">
        <f t="shared" ref="Y185:Y225" si="44">SUM(F185:K185)</f>
        <v>0</v>
      </c>
      <c r="Z185" s="1">
        <f t="shared" ref="Z185:Z225" si="45">SUM(M185:X185)</f>
        <v>0</v>
      </c>
      <c r="AA185" s="1">
        <f t="shared" ref="AA185:AA225" si="46">L185+Y185+Z185</f>
        <v>0</v>
      </c>
      <c r="AC185" s="15" t="s">
        <v>51</v>
      </c>
      <c r="AD185" s="2"/>
      <c r="AE185" s="2"/>
      <c r="AH185" s="1" t="str">
        <f t="shared" ref="AH185:AW200" si="47">IF(F185&gt;0,F230/F185*1000,"")</f>
        <v/>
      </c>
      <c r="AI185" s="1" t="str">
        <f t="shared" si="47"/>
        <v/>
      </c>
      <c r="AJ185" s="1" t="str">
        <f t="shared" si="47"/>
        <v/>
      </c>
      <c r="AK185" s="1" t="str">
        <f t="shared" si="47"/>
        <v/>
      </c>
      <c r="AL185" s="1" t="str">
        <f t="shared" si="47"/>
        <v/>
      </c>
      <c r="AM185" s="1" t="str">
        <f t="shared" si="47"/>
        <v/>
      </c>
      <c r="AN185" s="52" t="str">
        <f t="shared" si="47"/>
        <v/>
      </c>
      <c r="AO185" s="1" t="str">
        <f t="shared" si="47"/>
        <v/>
      </c>
      <c r="AP185" s="1" t="str">
        <f t="shared" si="47"/>
        <v/>
      </c>
      <c r="AQ185" s="1" t="str">
        <f t="shared" si="47"/>
        <v/>
      </c>
      <c r="AR185" s="1" t="str">
        <f t="shared" si="47"/>
        <v/>
      </c>
      <c r="AS185" s="1" t="str">
        <f t="shared" si="47"/>
        <v/>
      </c>
      <c r="AT185" s="1" t="str">
        <f t="shared" si="47"/>
        <v/>
      </c>
      <c r="AU185" s="1" t="str">
        <f t="shared" si="47"/>
        <v/>
      </c>
      <c r="AV185" s="1" t="str">
        <f t="shared" si="47"/>
        <v/>
      </c>
      <c r="AW185" s="1" t="str">
        <f t="shared" si="47"/>
        <v/>
      </c>
      <c r="AX185" s="1" t="str">
        <f t="shared" ref="AX185:BC200" si="48">IF(V185&gt;0,V230/V185*1000,"")</f>
        <v/>
      </c>
      <c r="AY185" s="1" t="str">
        <f t="shared" si="48"/>
        <v/>
      </c>
      <c r="AZ185" s="1" t="str">
        <f t="shared" si="48"/>
        <v/>
      </c>
      <c r="BA185" s="1" t="str">
        <f t="shared" si="48"/>
        <v/>
      </c>
      <c r="BB185" s="1" t="str">
        <f t="shared" si="48"/>
        <v/>
      </c>
      <c r="BC185" s="1" t="str">
        <f t="shared" si="48"/>
        <v/>
      </c>
    </row>
    <row r="186" spans="1:55" x14ac:dyDescent="0.25">
      <c r="A186" s="30" t="s">
        <v>60</v>
      </c>
      <c r="B186" s="2"/>
      <c r="C186" s="2"/>
      <c r="F186" s="1">
        <f>F190+F191+F192+F193</f>
        <v>155</v>
      </c>
      <c r="G186" s="1">
        <f t="shared" ref="G186:X186" si="49">G190+G191+G192+G193</f>
        <v>160</v>
      </c>
      <c r="H186" s="1">
        <f t="shared" si="49"/>
        <v>1500</v>
      </c>
      <c r="I186" s="1">
        <f t="shared" si="49"/>
        <v>141.93103448275863</v>
      </c>
      <c r="J186" s="1">
        <f t="shared" si="49"/>
        <v>164.83690476190478</v>
      </c>
      <c r="K186" s="1">
        <f t="shared" si="49"/>
        <v>362.74373040752346</v>
      </c>
      <c r="L186" s="52">
        <f t="shared" si="49"/>
        <v>398.4</v>
      </c>
      <c r="M186" s="1">
        <f t="shared" si="49"/>
        <v>82.916666666666671</v>
      </c>
      <c r="N186" s="1">
        <f t="shared" si="49"/>
        <v>3.1999999999999997</v>
      </c>
      <c r="O186" s="1">
        <f t="shared" si="49"/>
        <v>0.48</v>
      </c>
      <c r="P186" s="1">
        <f t="shared" si="49"/>
        <v>1.7027999999999999</v>
      </c>
      <c r="Q186" s="1">
        <f t="shared" si="49"/>
        <v>61.536170212765953</v>
      </c>
      <c r="R186" s="1">
        <f t="shared" si="49"/>
        <v>43.804381846635373</v>
      </c>
      <c r="S186" s="1">
        <f t="shared" si="49"/>
        <v>2.66</v>
      </c>
      <c r="T186" s="1">
        <f t="shared" si="49"/>
        <v>36.005666180994012</v>
      </c>
      <c r="U186" s="1">
        <f t="shared" si="49"/>
        <v>28.266325224071707</v>
      </c>
      <c r="V186" s="1">
        <f t="shared" si="49"/>
        <v>5.0469483568075111</v>
      </c>
      <c r="W186" s="1">
        <f t="shared" si="49"/>
        <v>10.181924882629108</v>
      </c>
      <c r="X186" s="54">
        <f t="shared" si="49"/>
        <v>29.543483120947911</v>
      </c>
      <c r="Y186" s="58">
        <f t="shared" si="44"/>
        <v>2484.5116696521868</v>
      </c>
      <c r="Z186" s="1">
        <f t="shared" si="45"/>
        <v>305.34436649151826</v>
      </c>
      <c r="AA186" s="1">
        <f t="shared" si="46"/>
        <v>3188.2560361437054</v>
      </c>
      <c r="AC186" s="30" t="s">
        <v>60</v>
      </c>
      <c r="AD186" s="2"/>
      <c r="AE186" s="2"/>
      <c r="AH186" s="1">
        <f t="shared" si="47"/>
        <v>254.66893039049236</v>
      </c>
      <c r="AI186" s="1">
        <f t="shared" si="47"/>
        <v>114.47368421052632</v>
      </c>
      <c r="AJ186" s="1">
        <f t="shared" si="47"/>
        <v>36.586666666666666</v>
      </c>
      <c r="AK186" s="1">
        <f t="shared" si="47"/>
        <v>161.11111111111109</v>
      </c>
      <c r="AL186" s="1">
        <f t="shared" si="47"/>
        <v>965.34516972255483</v>
      </c>
      <c r="AM186" s="1">
        <f t="shared" si="47"/>
        <v>82.342652792909945</v>
      </c>
      <c r="AN186" s="52">
        <f t="shared" si="47"/>
        <v>18750</v>
      </c>
      <c r="AO186" s="1">
        <f t="shared" si="47"/>
        <v>6624.7906197654938</v>
      </c>
      <c r="AP186" s="1">
        <f t="shared" si="47"/>
        <v>15066.10576923077</v>
      </c>
      <c r="AQ186" s="1">
        <f t="shared" si="47"/>
        <v>71875</v>
      </c>
      <c r="AR186" s="1">
        <f t="shared" si="47"/>
        <v>409782.58032521605</v>
      </c>
      <c r="AS186" s="1">
        <f t="shared" si="47"/>
        <v>25361.055405727286</v>
      </c>
      <c r="AT186" s="1">
        <f t="shared" si="47"/>
        <v>10244.873947578388</v>
      </c>
      <c r="AU186" s="1">
        <f t="shared" si="47"/>
        <v>2222.2222222222222</v>
      </c>
      <c r="AV186" s="1">
        <f t="shared" si="47"/>
        <v>11417.426952346266</v>
      </c>
      <c r="AW186" s="1">
        <f t="shared" si="47"/>
        <v>10505.915926798334</v>
      </c>
      <c r="AX186" s="1">
        <f t="shared" si="48"/>
        <v>11943.410852713179</v>
      </c>
      <c r="AY186" s="1">
        <f t="shared" si="48"/>
        <v>11860.614793467819</v>
      </c>
      <c r="AZ186" s="1">
        <f t="shared" si="48"/>
        <v>4557.446953415867</v>
      </c>
      <c r="BA186" s="1">
        <f t="shared" si="48"/>
        <v>130.62121428714488</v>
      </c>
      <c r="BB186" s="1">
        <f t="shared" si="48"/>
        <v>14307.907001405756</v>
      </c>
      <c r="BC186" s="1">
        <f t="shared" si="48"/>
        <v>3815.0539330825891</v>
      </c>
    </row>
    <row r="187" spans="1:55" x14ac:dyDescent="0.25">
      <c r="A187" s="15" t="s">
        <v>51</v>
      </c>
      <c r="B187" s="16" t="s">
        <v>52</v>
      </c>
      <c r="C187" s="2"/>
      <c r="F187" s="1">
        <f>F194+F195+F196</f>
        <v>0</v>
      </c>
      <c r="G187" s="1">
        <f t="shared" ref="G187:X187" si="50">G194+G195+G196</f>
        <v>0</v>
      </c>
      <c r="H187" s="1">
        <f t="shared" si="50"/>
        <v>0</v>
      </c>
      <c r="I187" s="1">
        <f t="shared" si="50"/>
        <v>0</v>
      </c>
      <c r="J187" s="1">
        <f t="shared" si="50"/>
        <v>0</v>
      </c>
      <c r="K187" s="1">
        <f t="shared" si="50"/>
        <v>0</v>
      </c>
      <c r="L187" s="52">
        <f t="shared" si="50"/>
        <v>0</v>
      </c>
      <c r="M187" s="1">
        <f t="shared" si="50"/>
        <v>0</v>
      </c>
      <c r="N187" s="1">
        <f t="shared" si="50"/>
        <v>0</v>
      </c>
      <c r="O187" s="1">
        <f t="shared" si="50"/>
        <v>0</v>
      </c>
      <c r="P187" s="1">
        <f t="shared" si="50"/>
        <v>0</v>
      </c>
      <c r="Q187" s="1">
        <f t="shared" si="50"/>
        <v>0</v>
      </c>
      <c r="R187" s="1">
        <f t="shared" si="50"/>
        <v>0</v>
      </c>
      <c r="S187" s="1">
        <f t="shared" si="50"/>
        <v>0</v>
      </c>
      <c r="T187" s="1">
        <f t="shared" si="50"/>
        <v>0</v>
      </c>
      <c r="U187" s="1">
        <f t="shared" si="50"/>
        <v>0</v>
      </c>
      <c r="V187" s="1">
        <f t="shared" si="50"/>
        <v>0</v>
      </c>
      <c r="W187" s="1">
        <f t="shared" si="50"/>
        <v>0</v>
      </c>
      <c r="X187" s="54">
        <f t="shared" si="50"/>
        <v>0</v>
      </c>
      <c r="Y187" s="58">
        <f t="shared" si="44"/>
        <v>0</v>
      </c>
      <c r="Z187" s="1">
        <f t="shared" si="45"/>
        <v>0</v>
      </c>
      <c r="AA187" s="1">
        <f t="shared" si="46"/>
        <v>0</v>
      </c>
      <c r="AC187" s="15" t="s">
        <v>51</v>
      </c>
      <c r="AD187" s="16" t="s">
        <v>52</v>
      </c>
      <c r="AE187" s="2"/>
      <c r="AH187" s="1" t="str">
        <f t="shared" si="47"/>
        <v/>
      </c>
      <c r="AI187" s="1" t="str">
        <f t="shared" si="47"/>
        <v/>
      </c>
      <c r="AJ187" s="1" t="str">
        <f t="shared" si="47"/>
        <v/>
      </c>
      <c r="AK187" s="1" t="str">
        <f t="shared" si="47"/>
        <v/>
      </c>
      <c r="AL187" s="1" t="str">
        <f t="shared" si="47"/>
        <v/>
      </c>
      <c r="AM187" s="1" t="str">
        <f t="shared" si="47"/>
        <v/>
      </c>
      <c r="AN187" s="52" t="str">
        <f t="shared" si="47"/>
        <v/>
      </c>
      <c r="AO187" s="1" t="str">
        <f t="shared" si="47"/>
        <v/>
      </c>
      <c r="AP187" s="1" t="str">
        <f t="shared" si="47"/>
        <v/>
      </c>
      <c r="AQ187" s="1" t="str">
        <f t="shared" si="47"/>
        <v/>
      </c>
      <c r="AR187" s="1" t="str">
        <f t="shared" si="47"/>
        <v/>
      </c>
      <c r="AS187" s="1" t="str">
        <f t="shared" si="47"/>
        <v/>
      </c>
      <c r="AT187" s="1" t="str">
        <f t="shared" si="47"/>
        <v/>
      </c>
      <c r="AU187" s="1" t="str">
        <f t="shared" si="47"/>
        <v/>
      </c>
      <c r="AV187" s="1" t="str">
        <f t="shared" si="47"/>
        <v/>
      </c>
      <c r="AW187" s="1" t="str">
        <f t="shared" si="47"/>
        <v/>
      </c>
      <c r="AX187" s="1" t="str">
        <f t="shared" si="48"/>
        <v/>
      </c>
      <c r="AY187" s="1" t="str">
        <f t="shared" si="48"/>
        <v/>
      </c>
      <c r="AZ187" s="1" t="str">
        <f t="shared" si="48"/>
        <v/>
      </c>
      <c r="BA187" s="1" t="str">
        <f t="shared" si="48"/>
        <v/>
      </c>
      <c r="BB187" s="1" t="str">
        <f t="shared" si="48"/>
        <v/>
      </c>
      <c r="BC187" s="1" t="str">
        <f t="shared" si="48"/>
        <v/>
      </c>
    </row>
    <row r="188" spans="1:55" x14ac:dyDescent="0.25">
      <c r="A188" s="15" t="s">
        <v>51</v>
      </c>
      <c r="B188" s="16" t="s">
        <v>56</v>
      </c>
      <c r="C188" s="2"/>
      <c r="F188" s="1">
        <f>F197+F198+F199</f>
        <v>0</v>
      </c>
      <c r="G188" s="1">
        <f t="shared" ref="G188:X188" si="51">G197+G198+G199</f>
        <v>0</v>
      </c>
      <c r="H188" s="1">
        <f t="shared" si="51"/>
        <v>0</v>
      </c>
      <c r="I188" s="1">
        <f t="shared" si="51"/>
        <v>0</v>
      </c>
      <c r="J188" s="1">
        <f t="shared" si="51"/>
        <v>0</v>
      </c>
      <c r="K188" s="1">
        <f t="shared" si="51"/>
        <v>0</v>
      </c>
      <c r="L188" s="52">
        <f t="shared" si="51"/>
        <v>0</v>
      </c>
      <c r="M188" s="1">
        <f t="shared" si="51"/>
        <v>0</v>
      </c>
      <c r="N188" s="1">
        <f t="shared" si="51"/>
        <v>0</v>
      </c>
      <c r="O188" s="1">
        <f t="shared" si="51"/>
        <v>0</v>
      </c>
      <c r="P188" s="1">
        <f t="shared" si="51"/>
        <v>0</v>
      </c>
      <c r="Q188" s="1">
        <f t="shared" si="51"/>
        <v>0</v>
      </c>
      <c r="R188" s="1">
        <f t="shared" si="51"/>
        <v>0</v>
      </c>
      <c r="S188" s="1">
        <f t="shared" si="51"/>
        <v>0</v>
      </c>
      <c r="T188" s="1">
        <f t="shared" si="51"/>
        <v>0</v>
      </c>
      <c r="U188" s="1">
        <f t="shared" si="51"/>
        <v>0</v>
      </c>
      <c r="V188" s="1">
        <f t="shared" si="51"/>
        <v>0</v>
      </c>
      <c r="W188" s="1">
        <f t="shared" si="51"/>
        <v>0</v>
      </c>
      <c r="X188" s="54">
        <f t="shared" si="51"/>
        <v>0</v>
      </c>
      <c r="Y188" s="58">
        <f t="shared" si="44"/>
        <v>0</v>
      </c>
      <c r="Z188" s="1">
        <f t="shared" si="45"/>
        <v>0</v>
      </c>
      <c r="AA188" s="1">
        <f t="shared" si="46"/>
        <v>0</v>
      </c>
      <c r="AC188" s="15" t="s">
        <v>51</v>
      </c>
      <c r="AD188" s="16" t="s">
        <v>56</v>
      </c>
      <c r="AE188" s="2"/>
      <c r="AH188" s="1" t="str">
        <f t="shared" si="47"/>
        <v/>
      </c>
      <c r="AI188" s="1" t="str">
        <f t="shared" si="47"/>
        <v/>
      </c>
      <c r="AJ188" s="1" t="str">
        <f t="shared" si="47"/>
        <v/>
      </c>
      <c r="AK188" s="1" t="str">
        <f t="shared" si="47"/>
        <v/>
      </c>
      <c r="AL188" s="1" t="str">
        <f t="shared" si="47"/>
        <v/>
      </c>
      <c r="AM188" s="1" t="str">
        <f t="shared" si="47"/>
        <v/>
      </c>
      <c r="AN188" s="52" t="str">
        <f t="shared" si="47"/>
        <v/>
      </c>
      <c r="AO188" s="1" t="str">
        <f t="shared" si="47"/>
        <v/>
      </c>
      <c r="AP188" s="1" t="str">
        <f t="shared" si="47"/>
        <v/>
      </c>
      <c r="AQ188" s="1" t="str">
        <f t="shared" si="47"/>
        <v/>
      </c>
      <c r="AR188" s="1" t="str">
        <f t="shared" si="47"/>
        <v/>
      </c>
      <c r="AS188" s="1" t="str">
        <f t="shared" si="47"/>
        <v/>
      </c>
      <c r="AT188" s="1" t="str">
        <f t="shared" si="47"/>
        <v/>
      </c>
      <c r="AU188" s="1" t="str">
        <f t="shared" si="47"/>
        <v/>
      </c>
      <c r="AV188" s="1" t="str">
        <f t="shared" si="47"/>
        <v/>
      </c>
      <c r="AW188" s="1" t="str">
        <f t="shared" si="47"/>
        <v/>
      </c>
      <c r="AX188" s="1" t="str">
        <f t="shared" si="48"/>
        <v/>
      </c>
      <c r="AY188" s="1" t="str">
        <f t="shared" si="48"/>
        <v/>
      </c>
      <c r="AZ188" s="1" t="str">
        <f t="shared" si="48"/>
        <v/>
      </c>
      <c r="BA188" s="1" t="str">
        <f t="shared" si="48"/>
        <v/>
      </c>
      <c r="BB188" s="1" t="str">
        <f t="shared" si="48"/>
        <v/>
      </c>
      <c r="BC188" s="1" t="str">
        <f t="shared" si="48"/>
        <v/>
      </c>
    </row>
    <row r="189" spans="1:55" x14ac:dyDescent="0.25">
      <c r="A189" s="15" t="s">
        <v>51</v>
      </c>
      <c r="B189" s="16" t="s">
        <v>9</v>
      </c>
      <c r="C189" s="2"/>
      <c r="F189" s="1">
        <f>F200</f>
        <v>0</v>
      </c>
      <c r="G189" s="1">
        <f t="shared" ref="G189:X189" si="52">G200</f>
        <v>0</v>
      </c>
      <c r="H189" s="1">
        <f t="shared" si="52"/>
        <v>0</v>
      </c>
      <c r="I189" s="1">
        <f t="shared" si="52"/>
        <v>0</v>
      </c>
      <c r="J189" s="1">
        <f t="shared" si="52"/>
        <v>0</v>
      </c>
      <c r="K189" s="1">
        <f t="shared" si="52"/>
        <v>0</v>
      </c>
      <c r="L189" s="52">
        <f t="shared" si="52"/>
        <v>0</v>
      </c>
      <c r="M189" s="1">
        <f t="shared" si="52"/>
        <v>0</v>
      </c>
      <c r="N189" s="1">
        <f t="shared" si="52"/>
        <v>0</v>
      </c>
      <c r="O189" s="1">
        <f t="shared" si="52"/>
        <v>0</v>
      </c>
      <c r="P189" s="1">
        <f t="shared" si="52"/>
        <v>0</v>
      </c>
      <c r="Q189" s="1">
        <f t="shared" si="52"/>
        <v>0</v>
      </c>
      <c r="R189" s="1">
        <f t="shared" si="52"/>
        <v>0</v>
      </c>
      <c r="S189" s="1">
        <f t="shared" si="52"/>
        <v>0</v>
      </c>
      <c r="T189" s="1">
        <f t="shared" si="52"/>
        <v>0</v>
      </c>
      <c r="U189" s="1">
        <f t="shared" si="52"/>
        <v>0</v>
      </c>
      <c r="V189" s="1">
        <f t="shared" si="52"/>
        <v>0</v>
      </c>
      <c r="W189" s="1">
        <f t="shared" si="52"/>
        <v>0</v>
      </c>
      <c r="X189" s="54">
        <f t="shared" si="52"/>
        <v>0</v>
      </c>
      <c r="Y189" s="58">
        <f t="shared" si="44"/>
        <v>0</v>
      </c>
      <c r="Z189" s="1">
        <f t="shared" si="45"/>
        <v>0</v>
      </c>
      <c r="AA189" s="1">
        <f t="shared" si="46"/>
        <v>0</v>
      </c>
      <c r="AC189" s="15" t="s">
        <v>51</v>
      </c>
      <c r="AD189" s="16" t="s">
        <v>9</v>
      </c>
      <c r="AE189" s="2"/>
      <c r="AH189" s="1" t="str">
        <f t="shared" si="47"/>
        <v/>
      </c>
      <c r="AI189" s="1" t="str">
        <f t="shared" si="47"/>
        <v/>
      </c>
      <c r="AJ189" s="1" t="str">
        <f t="shared" si="47"/>
        <v/>
      </c>
      <c r="AK189" s="1" t="str">
        <f t="shared" si="47"/>
        <v/>
      </c>
      <c r="AL189" s="1" t="str">
        <f t="shared" si="47"/>
        <v/>
      </c>
      <c r="AM189" s="1" t="str">
        <f t="shared" si="47"/>
        <v/>
      </c>
      <c r="AN189" s="52" t="str">
        <f t="shared" si="47"/>
        <v/>
      </c>
      <c r="AO189" s="1" t="str">
        <f t="shared" si="47"/>
        <v/>
      </c>
      <c r="AP189" s="1" t="str">
        <f t="shared" si="47"/>
        <v/>
      </c>
      <c r="AQ189" s="1" t="str">
        <f t="shared" si="47"/>
        <v/>
      </c>
      <c r="AR189" s="1" t="str">
        <f t="shared" si="47"/>
        <v/>
      </c>
      <c r="AS189" s="1" t="str">
        <f t="shared" si="47"/>
        <v/>
      </c>
      <c r="AT189" s="1" t="str">
        <f t="shared" si="47"/>
        <v/>
      </c>
      <c r="AU189" s="1" t="str">
        <f t="shared" si="47"/>
        <v/>
      </c>
      <c r="AV189" s="1" t="str">
        <f t="shared" si="47"/>
        <v/>
      </c>
      <c r="AW189" s="1" t="str">
        <f t="shared" si="47"/>
        <v/>
      </c>
      <c r="AX189" s="1" t="str">
        <f t="shared" si="48"/>
        <v/>
      </c>
      <c r="AY189" s="1" t="str">
        <f t="shared" si="48"/>
        <v/>
      </c>
      <c r="AZ189" s="1" t="str">
        <f t="shared" si="48"/>
        <v/>
      </c>
      <c r="BA189" s="1" t="str">
        <f t="shared" si="48"/>
        <v/>
      </c>
      <c r="BB189" s="1" t="str">
        <f t="shared" si="48"/>
        <v/>
      </c>
      <c r="BC189" s="1" t="str">
        <f t="shared" si="48"/>
        <v/>
      </c>
    </row>
    <row r="190" spans="1:55" x14ac:dyDescent="0.25">
      <c r="A190" s="30" t="s">
        <v>60</v>
      </c>
      <c r="B190" s="32" t="s">
        <v>13</v>
      </c>
      <c r="C190" s="2"/>
      <c r="F190" s="51">
        <f>F201+F202+F203</f>
        <v>155</v>
      </c>
      <c r="G190" s="51">
        <f t="shared" ref="G190:X190" si="53">G201+G202+G203</f>
        <v>160</v>
      </c>
      <c r="H190" s="51">
        <f t="shared" si="53"/>
        <v>1500</v>
      </c>
      <c r="I190" s="51">
        <f t="shared" si="53"/>
        <v>141.93103448275863</v>
      </c>
      <c r="J190" s="51">
        <f t="shared" si="53"/>
        <v>58.5</v>
      </c>
      <c r="K190" s="51">
        <f t="shared" si="53"/>
        <v>103.44827586206897</v>
      </c>
      <c r="L190" s="52">
        <f t="shared" si="53"/>
        <v>0</v>
      </c>
      <c r="M190" s="51">
        <f t="shared" si="53"/>
        <v>13.75</v>
      </c>
      <c r="N190" s="51">
        <f t="shared" si="53"/>
        <v>2.9</v>
      </c>
      <c r="O190" s="51">
        <f t="shared" si="53"/>
        <v>0.48</v>
      </c>
      <c r="P190" s="51">
        <f t="shared" si="53"/>
        <v>1.7027999999999999</v>
      </c>
      <c r="Q190" s="51">
        <f t="shared" si="53"/>
        <v>4.2553191489361701</v>
      </c>
      <c r="R190" s="51">
        <f t="shared" si="53"/>
        <v>8.6071987480438192</v>
      </c>
      <c r="S190" s="51">
        <f t="shared" si="53"/>
        <v>0</v>
      </c>
      <c r="T190" s="51">
        <f t="shared" si="53"/>
        <v>2.6827632461435278</v>
      </c>
      <c r="U190" s="51">
        <f t="shared" si="53"/>
        <v>4.8015364916773366</v>
      </c>
      <c r="V190" s="51">
        <f t="shared" si="53"/>
        <v>0.11737089201877934</v>
      </c>
      <c r="W190" s="51">
        <f t="shared" si="53"/>
        <v>0.32276995305164319</v>
      </c>
      <c r="X190" s="55">
        <f t="shared" si="53"/>
        <v>20.120724346076461</v>
      </c>
      <c r="Y190" s="59">
        <f t="shared" si="44"/>
        <v>2118.8793103448274</v>
      </c>
      <c r="Z190" s="51">
        <f t="shared" si="45"/>
        <v>59.740482825947737</v>
      </c>
      <c r="AA190" s="51">
        <f t="shared" si="46"/>
        <v>2178.6197931707752</v>
      </c>
      <c r="AB190" s="97">
        <v>5200</v>
      </c>
      <c r="AC190" s="30" t="s">
        <v>60</v>
      </c>
      <c r="AD190" s="32" t="s">
        <v>13</v>
      </c>
      <c r="AE190" s="2"/>
      <c r="AH190" s="1">
        <f t="shared" si="47"/>
        <v>254.66893039049236</v>
      </c>
      <c r="AI190" s="1">
        <f t="shared" si="47"/>
        <v>114.47368421052632</v>
      </c>
      <c r="AJ190" s="1">
        <f t="shared" si="47"/>
        <v>36.586666666666666</v>
      </c>
      <c r="AK190" s="1">
        <f t="shared" si="47"/>
        <v>161.11111111111109</v>
      </c>
      <c r="AL190" s="1">
        <f t="shared" si="47"/>
        <v>392.15686274509801</v>
      </c>
      <c r="AM190" s="1">
        <f t="shared" si="47"/>
        <v>170.58823529411765</v>
      </c>
      <c r="AN190" s="52" t="str">
        <f t="shared" si="47"/>
        <v/>
      </c>
      <c r="AO190" s="1">
        <f t="shared" si="47"/>
        <v>2222.2222222222222</v>
      </c>
      <c r="AP190" s="1">
        <f t="shared" si="47"/>
        <v>4741.379310344827</v>
      </c>
      <c r="AQ190" s="1">
        <f t="shared" si="47"/>
        <v>71875</v>
      </c>
      <c r="AR190" s="1">
        <f t="shared" si="47"/>
        <v>409782.58032521605</v>
      </c>
      <c r="AS190" s="1">
        <f t="shared" si="47"/>
        <v>5222.2222222222226</v>
      </c>
      <c r="AT190" s="1">
        <f t="shared" si="47"/>
        <v>2366.6666666666665</v>
      </c>
      <c r="AU190" s="1" t="str">
        <f t="shared" si="47"/>
        <v/>
      </c>
      <c r="AV190" s="1">
        <f t="shared" si="47"/>
        <v>2366.6666666666665</v>
      </c>
      <c r="AW190" s="1">
        <f t="shared" si="47"/>
        <v>2366.6666666666665</v>
      </c>
      <c r="AX190" s="1">
        <f t="shared" si="48"/>
        <v>2366.6666666666665</v>
      </c>
      <c r="AY190" s="1">
        <f t="shared" si="48"/>
        <v>2366.6666666666665</v>
      </c>
      <c r="AZ190" s="1">
        <f t="shared" si="48"/>
        <v>2366.6666666666665</v>
      </c>
      <c r="BA190" s="1">
        <f t="shared" si="48"/>
        <v>83.121475954348853</v>
      </c>
      <c r="BB190" s="1">
        <f t="shared" si="48"/>
        <v>14823.272947165613</v>
      </c>
      <c r="BC190" s="1">
        <f t="shared" si="48"/>
        <v>487.31488711222607</v>
      </c>
    </row>
    <row r="191" spans="1:55" x14ac:dyDescent="0.25">
      <c r="A191" s="30" t="s">
        <v>60</v>
      </c>
      <c r="B191" s="31" t="s">
        <v>23</v>
      </c>
      <c r="C191" s="2"/>
      <c r="F191" s="51">
        <f>F204+F205+F206</f>
        <v>0</v>
      </c>
      <c r="G191" s="51">
        <f t="shared" ref="G191:X191" si="54">G204+G205+G206</f>
        <v>0</v>
      </c>
      <c r="H191" s="51">
        <f t="shared" si="54"/>
        <v>0</v>
      </c>
      <c r="I191" s="51">
        <f t="shared" si="54"/>
        <v>0</v>
      </c>
      <c r="J191" s="51">
        <f t="shared" si="54"/>
        <v>24.491666666666667</v>
      </c>
      <c r="K191" s="51">
        <f t="shared" si="54"/>
        <v>259.2954545454545</v>
      </c>
      <c r="L191" s="52">
        <f t="shared" si="54"/>
        <v>0</v>
      </c>
      <c r="M191" s="51">
        <f t="shared" si="54"/>
        <v>0</v>
      </c>
      <c r="N191" s="51">
        <f t="shared" si="54"/>
        <v>0.3</v>
      </c>
      <c r="O191" s="51">
        <f t="shared" si="54"/>
        <v>0</v>
      </c>
      <c r="P191" s="51">
        <f t="shared" si="54"/>
        <v>0</v>
      </c>
      <c r="Q191" s="51">
        <f t="shared" si="54"/>
        <v>0</v>
      </c>
      <c r="R191" s="51">
        <f t="shared" si="54"/>
        <v>0</v>
      </c>
      <c r="S191" s="51">
        <f t="shared" si="54"/>
        <v>2.66</v>
      </c>
      <c r="T191" s="51">
        <f t="shared" si="54"/>
        <v>1.4778325123152709</v>
      </c>
      <c r="U191" s="51">
        <f t="shared" si="54"/>
        <v>0</v>
      </c>
      <c r="V191" s="51">
        <f t="shared" si="54"/>
        <v>0</v>
      </c>
      <c r="W191" s="51">
        <f t="shared" si="54"/>
        <v>0</v>
      </c>
      <c r="X191" s="55">
        <f t="shared" si="54"/>
        <v>1</v>
      </c>
      <c r="Y191" s="59">
        <f t="shared" si="44"/>
        <v>283.78712121212118</v>
      </c>
      <c r="Z191" s="51">
        <f t="shared" si="45"/>
        <v>5.4378325123152713</v>
      </c>
      <c r="AA191" s="51">
        <f t="shared" si="46"/>
        <v>289.22495372443643</v>
      </c>
      <c r="AC191" s="30" t="s">
        <v>60</v>
      </c>
      <c r="AD191" s="31" t="s">
        <v>23</v>
      </c>
      <c r="AE191" s="2"/>
      <c r="AH191" s="1" t="str">
        <f t="shared" si="47"/>
        <v/>
      </c>
      <c r="AI191" s="1" t="str">
        <f t="shared" si="47"/>
        <v/>
      </c>
      <c r="AJ191" s="1" t="str">
        <f t="shared" si="47"/>
        <v/>
      </c>
      <c r="AK191" s="1" t="str">
        <f t="shared" si="47"/>
        <v/>
      </c>
      <c r="AL191" s="1">
        <f t="shared" si="47"/>
        <v>881.93263014630827</v>
      </c>
      <c r="AM191" s="1">
        <f t="shared" si="47"/>
        <v>47.136276428940114</v>
      </c>
      <c r="AN191" s="52" t="str">
        <f t="shared" si="47"/>
        <v/>
      </c>
      <c r="AO191" s="1" t="str">
        <f t="shared" si="47"/>
        <v/>
      </c>
      <c r="AP191" s="1">
        <f t="shared" si="47"/>
        <v>114871.79487179487</v>
      </c>
      <c r="AQ191" s="1" t="str">
        <f t="shared" si="47"/>
        <v/>
      </c>
      <c r="AR191" s="1" t="str">
        <f t="shared" si="47"/>
        <v/>
      </c>
      <c r="AS191" s="1" t="str">
        <f t="shared" si="47"/>
        <v/>
      </c>
      <c r="AT191" s="1" t="str">
        <f t="shared" si="47"/>
        <v/>
      </c>
      <c r="AU191" s="1">
        <f t="shared" si="47"/>
        <v>2222.2222222222222</v>
      </c>
      <c r="AV191" s="1">
        <f t="shared" si="47"/>
        <v>11600</v>
      </c>
      <c r="AW191" s="1" t="str">
        <f t="shared" si="47"/>
        <v/>
      </c>
      <c r="AX191" s="1" t="str">
        <f t="shared" si="48"/>
        <v/>
      </c>
      <c r="AY191" s="1" t="str">
        <f t="shared" si="48"/>
        <v/>
      </c>
      <c r="AZ191" s="1">
        <f t="shared" si="48"/>
        <v>2222.2222222222222</v>
      </c>
      <c r="BA191" s="1">
        <f t="shared" si="48"/>
        <v>119.18166715162971</v>
      </c>
      <c r="BB191" s="1">
        <f t="shared" si="48"/>
        <v>10985.577213428065</v>
      </c>
      <c r="BC191" s="1">
        <f t="shared" si="48"/>
        <v>323.48505879299705</v>
      </c>
    </row>
    <row r="192" spans="1:55" x14ac:dyDescent="0.25">
      <c r="A192" s="30" t="s">
        <v>60</v>
      </c>
      <c r="B192" s="31" t="s">
        <v>65</v>
      </c>
      <c r="C192" s="46"/>
      <c r="F192" s="51">
        <f>F207+F208+F209</f>
        <v>0</v>
      </c>
      <c r="G192" s="51">
        <f t="shared" ref="G192:X192" si="55">G207+G208+G209</f>
        <v>0</v>
      </c>
      <c r="H192" s="51">
        <f t="shared" si="55"/>
        <v>0</v>
      </c>
      <c r="I192" s="51">
        <f t="shared" si="55"/>
        <v>0</v>
      </c>
      <c r="J192" s="51">
        <f t="shared" si="55"/>
        <v>81.845238095238102</v>
      </c>
      <c r="K192" s="51">
        <f t="shared" si="55"/>
        <v>0</v>
      </c>
      <c r="L192" s="52">
        <f t="shared" si="55"/>
        <v>398.4</v>
      </c>
      <c r="M192" s="51">
        <f t="shared" si="55"/>
        <v>69.166666666666671</v>
      </c>
      <c r="N192" s="51">
        <f t="shared" si="55"/>
        <v>0</v>
      </c>
      <c r="O192" s="51">
        <f t="shared" si="55"/>
        <v>0</v>
      </c>
      <c r="P192" s="51">
        <f t="shared" si="55"/>
        <v>0</v>
      </c>
      <c r="Q192" s="51">
        <f t="shared" si="55"/>
        <v>57.280851063829786</v>
      </c>
      <c r="R192" s="51">
        <f t="shared" si="55"/>
        <v>35.197183098591552</v>
      </c>
      <c r="S192" s="51">
        <f t="shared" si="55"/>
        <v>0</v>
      </c>
      <c r="T192" s="51">
        <f t="shared" si="55"/>
        <v>31.845070422535212</v>
      </c>
      <c r="U192" s="51">
        <f t="shared" si="55"/>
        <v>23.464788732394371</v>
      </c>
      <c r="V192" s="51">
        <f t="shared" si="55"/>
        <v>4.929577464788732</v>
      </c>
      <c r="W192" s="51">
        <f t="shared" si="55"/>
        <v>9.8591549295774641</v>
      </c>
      <c r="X192" s="55">
        <f t="shared" si="55"/>
        <v>4.929577464788732</v>
      </c>
      <c r="Y192" s="59">
        <f t="shared" si="44"/>
        <v>81.845238095238102</v>
      </c>
      <c r="Z192" s="51">
        <f t="shared" si="45"/>
        <v>236.67286984317252</v>
      </c>
      <c r="AA192" s="51">
        <f t="shared" si="46"/>
        <v>716.91810793841057</v>
      </c>
      <c r="AC192" s="30" t="s">
        <v>60</v>
      </c>
      <c r="AD192" s="31" t="s">
        <v>65</v>
      </c>
      <c r="AE192" s="46"/>
      <c r="AH192" s="1" t="str">
        <f t="shared" si="47"/>
        <v/>
      </c>
      <c r="AI192" s="1" t="str">
        <f t="shared" si="47"/>
        <v/>
      </c>
      <c r="AJ192" s="1" t="str">
        <f t="shared" si="47"/>
        <v/>
      </c>
      <c r="AK192" s="1" t="str">
        <f t="shared" si="47"/>
        <v/>
      </c>
      <c r="AL192" s="1">
        <f t="shared" si="47"/>
        <v>1400</v>
      </c>
      <c r="AM192" s="1" t="str">
        <f t="shared" si="47"/>
        <v/>
      </c>
      <c r="AN192" s="52">
        <f t="shared" si="47"/>
        <v>18750</v>
      </c>
      <c r="AO192" s="1">
        <f t="shared" si="47"/>
        <v>7499.9999999999991</v>
      </c>
      <c r="AP192" s="1" t="str">
        <f t="shared" si="47"/>
        <v/>
      </c>
      <c r="AQ192" s="1" t="str">
        <f t="shared" si="47"/>
        <v/>
      </c>
      <c r="AR192" s="1" t="str">
        <f t="shared" si="47"/>
        <v/>
      </c>
      <c r="AS192" s="1">
        <f t="shared" si="47"/>
        <v>26857.142857142859</v>
      </c>
      <c r="AT192" s="1">
        <f t="shared" si="47"/>
        <v>12171.428571428571</v>
      </c>
      <c r="AU192" s="1" t="str">
        <f t="shared" si="47"/>
        <v/>
      </c>
      <c r="AV192" s="1">
        <f t="shared" si="47"/>
        <v>12171.428571428572</v>
      </c>
      <c r="AW192" s="1">
        <f t="shared" si="47"/>
        <v>12171.428571428572</v>
      </c>
      <c r="AX192" s="1">
        <f t="shared" si="48"/>
        <v>12171.428571428572</v>
      </c>
      <c r="AY192" s="1">
        <f t="shared" si="48"/>
        <v>12171.428571428572</v>
      </c>
      <c r="AZ192" s="1">
        <f t="shared" si="48"/>
        <v>12171.428571428572</v>
      </c>
      <c r="BA192" s="1">
        <f t="shared" si="48"/>
        <v>1400</v>
      </c>
      <c r="BB192" s="1">
        <f t="shared" si="48"/>
        <v>14360.539094540609</v>
      </c>
      <c r="BC192" s="1">
        <f t="shared" si="48"/>
        <v>15320.206327215403</v>
      </c>
    </row>
    <row r="193" spans="1:55" ht="15.75" thickBot="1" x14ac:dyDescent="0.3">
      <c r="A193" s="48" t="s">
        <v>60</v>
      </c>
      <c r="B193" s="49" t="s">
        <v>9</v>
      </c>
      <c r="C193" s="50"/>
      <c r="D193" s="50"/>
      <c r="E193" s="50"/>
      <c r="F193" s="53">
        <f>F210</f>
        <v>0</v>
      </c>
      <c r="G193" s="53">
        <f t="shared" ref="G193:X193" si="56">G210</f>
        <v>0</v>
      </c>
      <c r="H193" s="53">
        <f t="shared" si="56"/>
        <v>0</v>
      </c>
      <c r="I193" s="53">
        <f t="shared" si="56"/>
        <v>0</v>
      </c>
      <c r="J193" s="53">
        <f t="shared" si="56"/>
        <v>0</v>
      </c>
      <c r="K193" s="53">
        <f t="shared" si="56"/>
        <v>0</v>
      </c>
      <c r="L193" s="62">
        <f t="shared" si="56"/>
        <v>0</v>
      </c>
      <c r="M193" s="53">
        <f t="shared" si="56"/>
        <v>0</v>
      </c>
      <c r="N193" s="53">
        <f t="shared" si="56"/>
        <v>0</v>
      </c>
      <c r="O193" s="53">
        <f t="shared" si="56"/>
        <v>0</v>
      </c>
      <c r="P193" s="53">
        <f t="shared" si="56"/>
        <v>0</v>
      </c>
      <c r="Q193" s="53">
        <f t="shared" si="56"/>
        <v>0</v>
      </c>
      <c r="R193" s="53">
        <f t="shared" si="56"/>
        <v>0</v>
      </c>
      <c r="S193" s="53">
        <f t="shared" si="56"/>
        <v>0</v>
      </c>
      <c r="T193" s="53">
        <f t="shared" si="56"/>
        <v>0</v>
      </c>
      <c r="U193" s="53">
        <f t="shared" si="56"/>
        <v>0</v>
      </c>
      <c r="V193" s="53">
        <f t="shared" si="56"/>
        <v>0</v>
      </c>
      <c r="W193" s="53">
        <f t="shared" si="56"/>
        <v>0</v>
      </c>
      <c r="X193" s="56">
        <f t="shared" si="56"/>
        <v>3.4931813100827185</v>
      </c>
      <c r="Y193" s="60">
        <f t="shared" si="44"/>
        <v>0</v>
      </c>
      <c r="Z193" s="53">
        <f t="shared" si="45"/>
        <v>3.4931813100827185</v>
      </c>
      <c r="AA193" s="53">
        <f t="shared" si="46"/>
        <v>3.4931813100827185</v>
      </c>
      <c r="AC193" s="48" t="s">
        <v>60</v>
      </c>
      <c r="AD193" s="49" t="s">
        <v>9</v>
      </c>
      <c r="AE193" s="50"/>
      <c r="AF193" s="50"/>
      <c r="AG193" s="50"/>
      <c r="AH193" s="1" t="str">
        <f t="shared" si="47"/>
        <v/>
      </c>
      <c r="AI193" s="1" t="str">
        <f t="shared" si="47"/>
        <v/>
      </c>
      <c r="AJ193" s="1" t="str">
        <f t="shared" si="47"/>
        <v/>
      </c>
      <c r="AK193" s="1" t="str">
        <f t="shared" si="47"/>
        <v/>
      </c>
      <c r="AL193" s="1" t="str">
        <f t="shared" si="47"/>
        <v/>
      </c>
      <c r="AM193" s="1" t="str">
        <f t="shared" si="47"/>
        <v/>
      </c>
      <c r="AN193" s="52" t="str">
        <f t="shared" si="47"/>
        <v/>
      </c>
      <c r="AO193" s="1" t="str">
        <f t="shared" si="47"/>
        <v/>
      </c>
      <c r="AP193" s="1" t="str">
        <f t="shared" si="47"/>
        <v/>
      </c>
      <c r="AQ193" s="1" t="str">
        <f t="shared" si="47"/>
        <v/>
      </c>
      <c r="AR193" s="1" t="str">
        <f t="shared" si="47"/>
        <v/>
      </c>
      <c r="AS193" s="1" t="str">
        <f t="shared" si="47"/>
        <v/>
      </c>
      <c r="AT193" s="1" t="str">
        <f t="shared" si="47"/>
        <v/>
      </c>
      <c r="AU193" s="1" t="str">
        <f t="shared" si="47"/>
        <v/>
      </c>
      <c r="AV193" s="1" t="str">
        <f t="shared" si="47"/>
        <v/>
      </c>
      <c r="AW193" s="1" t="str">
        <f t="shared" si="47"/>
        <v/>
      </c>
      <c r="AX193" s="1" t="str">
        <f t="shared" si="48"/>
        <v/>
      </c>
      <c r="AY193" s="1" t="str">
        <f t="shared" si="48"/>
        <v/>
      </c>
      <c r="AZ193" s="1">
        <f t="shared" si="48"/>
        <v>7100</v>
      </c>
      <c r="BA193" s="1" t="str">
        <f t="shared" si="48"/>
        <v/>
      </c>
      <c r="BB193" s="1">
        <f t="shared" si="48"/>
        <v>7100</v>
      </c>
      <c r="BC193" s="1">
        <f t="shared" si="48"/>
        <v>7100</v>
      </c>
    </row>
    <row r="194" spans="1:55" ht="15.75" thickTop="1" x14ac:dyDescent="0.25">
      <c r="A194" s="15" t="s">
        <v>51</v>
      </c>
      <c r="B194" s="16" t="s">
        <v>52</v>
      </c>
      <c r="C194" s="16" t="s">
        <v>53</v>
      </c>
      <c r="D194" s="2"/>
      <c r="E194" s="2"/>
      <c r="F194" s="47">
        <v>0</v>
      </c>
      <c r="G194" s="47">
        <v>0</v>
      </c>
      <c r="H194" s="47">
        <v>0</v>
      </c>
      <c r="I194" s="47">
        <v>0</v>
      </c>
      <c r="J194" s="47">
        <v>0</v>
      </c>
      <c r="K194" s="47">
        <v>0</v>
      </c>
      <c r="L194" s="63">
        <v>0</v>
      </c>
      <c r="M194" s="47">
        <v>0</v>
      </c>
      <c r="N194" s="47">
        <v>0</v>
      </c>
      <c r="O194" s="47">
        <v>0</v>
      </c>
      <c r="P194" s="47">
        <v>0</v>
      </c>
      <c r="Q194" s="47">
        <v>0</v>
      </c>
      <c r="R194" s="47">
        <v>0</v>
      </c>
      <c r="S194" s="47">
        <v>0</v>
      </c>
      <c r="T194" s="47">
        <v>0</v>
      </c>
      <c r="U194" s="47">
        <v>0</v>
      </c>
      <c r="V194" s="47">
        <v>0</v>
      </c>
      <c r="W194" s="47">
        <v>0</v>
      </c>
      <c r="X194" s="57">
        <v>0</v>
      </c>
      <c r="Y194" s="61">
        <f t="shared" si="44"/>
        <v>0</v>
      </c>
      <c r="Z194" s="47">
        <f t="shared" si="45"/>
        <v>0</v>
      </c>
      <c r="AA194" s="47">
        <f t="shared" si="46"/>
        <v>0</v>
      </c>
      <c r="AC194" s="15" t="s">
        <v>51</v>
      </c>
      <c r="AD194" s="16" t="s">
        <v>52</v>
      </c>
      <c r="AE194" s="16" t="s">
        <v>53</v>
      </c>
      <c r="AF194" s="2"/>
      <c r="AG194" s="2"/>
      <c r="AH194" s="90" t="str">
        <f t="shared" si="47"/>
        <v/>
      </c>
      <c r="AI194" s="90" t="str">
        <f t="shared" si="47"/>
        <v/>
      </c>
      <c r="AJ194" s="90" t="str">
        <f t="shared" si="47"/>
        <v/>
      </c>
      <c r="AK194" s="90" t="str">
        <f t="shared" si="47"/>
        <v/>
      </c>
      <c r="AL194" s="90" t="str">
        <f t="shared" si="47"/>
        <v/>
      </c>
      <c r="AM194" s="90" t="str">
        <f t="shared" si="47"/>
        <v/>
      </c>
      <c r="AN194" s="90" t="str">
        <f t="shared" si="47"/>
        <v/>
      </c>
      <c r="AO194" s="90" t="str">
        <f t="shared" si="47"/>
        <v/>
      </c>
      <c r="AP194" s="90" t="str">
        <f t="shared" si="47"/>
        <v/>
      </c>
      <c r="AQ194" s="90" t="str">
        <f t="shared" si="47"/>
        <v/>
      </c>
      <c r="AR194" s="90" t="str">
        <f t="shared" si="47"/>
        <v/>
      </c>
      <c r="AS194" s="90" t="str">
        <f t="shared" si="47"/>
        <v/>
      </c>
      <c r="AT194" s="90" t="str">
        <f t="shared" si="47"/>
        <v/>
      </c>
      <c r="AU194" s="90" t="str">
        <f t="shared" si="47"/>
        <v/>
      </c>
      <c r="AV194" s="90" t="str">
        <f t="shared" si="47"/>
        <v/>
      </c>
      <c r="AW194" s="90" t="str">
        <f t="shared" si="47"/>
        <v/>
      </c>
      <c r="AX194" s="90" t="str">
        <f t="shared" si="48"/>
        <v/>
      </c>
      <c r="AY194" s="90" t="str">
        <f t="shared" si="48"/>
        <v/>
      </c>
      <c r="AZ194" s="90" t="str">
        <f t="shared" si="48"/>
        <v/>
      </c>
      <c r="BA194" s="90" t="str">
        <f t="shared" si="48"/>
        <v/>
      </c>
      <c r="BB194" s="90" t="str">
        <f t="shared" si="48"/>
        <v/>
      </c>
      <c r="BC194" s="90" t="str">
        <f t="shared" si="48"/>
        <v/>
      </c>
    </row>
    <row r="195" spans="1:55" x14ac:dyDescent="0.25">
      <c r="A195" s="15" t="s">
        <v>51</v>
      </c>
      <c r="B195" s="16" t="s">
        <v>52</v>
      </c>
      <c r="C195" s="16" t="s">
        <v>54</v>
      </c>
      <c r="D195" s="2"/>
      <c r="E195" s="2"/>
      <c r="F195" s="47">
        <v>0</v>
      </c>
      <c r="G195" s="47">
        <v>0</v>
      </c>
      <c r="H195" s="1">
        <v>0</v>
      </c>
      <c r="I195" s="1">
        <v>0</v>
      </c>
      <c r="J195" s="1">
        <v>0</v>
      </c>
      <c r="K195" s="1">
        <v>0</v>
      </c>
      <c r="L195" s="52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54">
        <v>0</v>
      </c>
      <c r="Y195" s="58">
        <f t="shared" si="44"/>
        <v>0</v>
      </c>
      <c r="Z195" s="1">
        <f t="shared" si="45"/>
        <v>0</v>
      </c>
      <c r="AA195" s="1">
        <f t="shared" si="46"/>
        <v>0</v>
      </c>
      <c r="AC195" s="15" t="s">
        <v>51</v>
      </c>
      <c r="AD195" s="16" t="s">
        <v>52</v>
      </c>
      <c r="AE195" s="16" t="s">
        <v>54</v>
      </c>
      <c r="AF195" s="2"/>
      <c r="AG195" s="2"/>
      <c r="AH195" s="90" t="str">
        <f t="shared" si="47"/>
        <v/>
      </c>
      <c r="AI195" s="90" t="str">
        <f t="shared" si="47"/>
        <v/>
      </c>
      <c r="AJ195" s="90" t="str">
        <f t="shared" si="47"/>
        <v/>
      </c>
      <c r="AK195" s="90" t="str">
        <f t="shared" si="47"/>
        <v/>
      </c>
      <c r="AL195" s="90" t="str">
        <f t="shared" si="47"/>
        <v/>
      </c>
      <c r="AM195" s="90" t="str">
        <f t="shared" si="47"/>
        <v/>
      </c>
      <c r="AN195" s="90" t="str">
        <f t="shared" si="47"/>
        <v/>
      </c>
      <c r="AO195" s="90" t="str">
        <f t="shared" si="47"/>
        <v/>
      </c>
      <c r="AP195" s="90" t="str">
        <f t="shared" si="47"/>
        <v/>
      </c>
      <c r="AQ195" s="90" t="str">
        <f t="shared" si="47"/>
        <v/>
      </c>
      <c r="AR195" s="90" t="str">
        <f t="shared" si="47"/>
        <v/>
      </c>
      <c r="AS195" s="90" t="str">
        <f t="shared" si="47"/>
        <v/>
      </c>
      <c r="AT195" s="90" t="str">
        <f t="shared" si="47"/>
        <v/>
      </c>
      <c r="AU195" s="90" t="str">
        <f t="shared" si="47"/>
        <v/>
      </c>
      <c r="AV195" s="90" t="str">
        <f t="shared" si="47"/>
        <v/>
      </c>
      <c r="AW195" s="90" t="str">
        <f t="shared" si="47"/>
        <v/>
      </c>
      <c r="AX195" s="90" t="str">
        <f t="shared" si="48"/>
        <v/>
      </c>
      <c r="AY195" s="90" t="str">
        <f t="shared" si="48"/>
        <v/>
      </c>
      <c r="AZ195" s="90" t="str">
        <f t="shared" si="48"/>
        <v/>
      </c>
      <c r="BA195" s="90" t="str">
        <f t="shared" si="48"/>
        <v/>
      </c>
      <c r="BB195" s="90" t="str">
        <f t="shared" si="48"/>
        <v/>
      </c>
      <c r="BC195" s="90" t="str">
        <f t="shared" si="48"/>
        <v/>
      </c>
    </row>
    <row r="196" spans="1:55" x14ac:dyDescent="0.25">
      <c r="A196" s="15" t="s">
        <v>51</v>
      </c>
      <c r="B196" s="16" t="s">
        <v>52</v>
      </c>
      <c r="C196" s="16" t="s">
        <v>55</v>
      </c>
      <c r="D196" s="2"/>
      <c r="E196" s="2"/>
      <c r="F196" s="47">
        <v>0</v>
      </c>
      <c r="G196" s="47">
        <v>0</v>
      </c>
      <c r="H196" s="1">
        <v>0</v>
      </c>
      <c r="I196" s="1">
        <v>0</v>
      </c>
      <c r="J196" s="1">
        <v>0</v>
      </c>
      <c r="K196" s="1">
        <v>0</v>
      </c>
      <c r="L196" s="52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54">
        <v>0</v>
      </c>
      <c r="Y196" s="58">
        <f t="shared" si="44"/>
        <v>0</v>
      </c>
      <c r="Z196" s="1">
        <f t="shared" si="45"/>
        <v>0</v>
      </c>
      <c r="AA196" s="1">
        <f t="shared" si="46"/>
        <v>0</v>
      </c>
      <c r="AC196" s="15" t="s">
        <v>51</v>
      </c>
      <c r="AD196" s="16" t="s">
        <v>52</v>
      </c>
      <c r="AE196" s="16" t="s">
        <v>55</v>
      </c>
      <c r="AF196" s="2"/>
      <c r="AG196" s="2"/>
      <c r="AH196" s="90" t="str">
        <f t="shared" si="47"/>
        <v/>
      </c>
      <c r="AI196" s="90" t="str">
        <f t="shared" si="47"/>
        <v/>
      </c>
      <c r="AJ196" s="90" t="str">
        <f t="shared" si="47"/>
        <v/>
      </c>
      <c r="AK196" s="90" t="str">
        <f t="shared" si="47"/>
        <v/>
      </c>
      <c r="AL196" s="90" t="str">
        <f t="shared" si="47"/>
        <v/>
      </c>
      <c r="AM196" s="90" t="str">
        <f t="shared" si="47"/>
        <v/>
      </c>
      <c r="AN196" s="90" t="str">
        <f t="shared" si="47"/>
        <v/>
      </c>
      <c r="AO196" s="90" t="str">
        <f t="shared" si="47"/>
        <v/>
      </c>
      <c r="AP196" s="90" t="str">
        <f t="shared" si="47"/>
        <v/>
      </c>
      <c r="AQ196" s="90" t="str">
        <f t="shared" si="47"/>
        <v/>
      </c>
      <c r="AR196" s="90" t="str">
        <f t="shared" si="47"/>
        <v/>
      </c>
      <c r="AS196" s="90" t="str">
        <f t="shared" si="47"/>
        <v/>
      </c>
      <c r="AT196" s="90" t="str">
        <f t="shared" si="47"/>
        <v/>
      </c>
      <c r="AU196" s="90" t="str">
        <f t="shared" si="47"/>
        <v/>
      </c>
      <c r="AV196" s="90" t="str">
        <f t="shared" si="47"/>
        <v/>
      </c>
      <c r="AW196" s="90" t="str">
        <f t="shared" si="47"/>
        <v/>
      </c>
      <c r="AX196" s="90" t="str">
        <f t="shared" si="48"/>
        <v/>
      </c>
      <c r="AY196" s="90" t="str">
        <f t="shared" si="48"/>
        <v/>
      </c>
      <c r="AZ196" s="90" t="str">
        <f t="shared" si="48"/>
        <v/>
      </c>
      <c r="BA196" s="90" t="str">
        <f t="shared" si="48"/>
        <v/>
      </c>
      <c r="BB196" s="90" t="str">
        <f t="shared" si="48"/>
        <v/>
      </c>
      <c r="BC196" s="90" t="str">
        <f t="shared" si="48"/>
        <v/>
      </c>
    </row>
    <row r="197" spans="1:55" x14ac:dyDescent="0.25">
      <c r="A197" s="25" t="s">
        <v>51</v>
      </c>
      <c r="B197" s="26" t="s">
        <v>56</v>
      </c>
      <c r="C197" s="26" t="s">
        <v>57</v>
      </c>
      <c r="D197" s="2"/>
      <c r="E197" s="2"/>
      <c r="F197" s="47">
        <v>0</v>
      </c>
      <c r="G197" s="47">
        <v>0</v>
      </c>
      <c r="H197" s="1">
        <v>0</v>
      </c>
      <c r="I197" s="1">
        <v>0</v>
      </c>
      <c r="J197" s="1">
        <v>0</v>
      </c>
      <c r="K197" s="1">
        <v>0</v>
      </c>
      <c r="L197" s="52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54">
        <v>0</v>
      </c>
      <c r="Y197" s="58">
        <f t="shared" si="44"/>
        <v>0</v>
      </c>
      <c r="Z197" s="1">
        <f t="shared" si="45"/>
        <v>0</v>
      </c>
      <c r="AA197" s="1">
        <f t="shared" si="46"/>
        <v>0</v>
      </c>
      <c r="AC197" s="25" t="s">
        <v>51</v>
      </c>
      <c r="AD197" s="26" t="s">
        <v>56</v>
      </c>
      <c r="AE197" s="26" t="s">
        <v>57</v>
      </c>
      <c r="AF197" s="2"/>
      <c r="AG197" s="2"/>
      <c r="AH197" s="90" t="str">
        <f t="shared" si="47"/>
        <v/>
      </c>
      <c r="AI197" s="90" t="str">
        <f t="shared" si="47"/>
        <v/>
      </c>
      <c r="AJ197" s="90" t="str">
        <f t="shared" si="47"/>
        <v/>
      </c>
      <c r="AK197" s="90" t="str">
        <f t="shared" si="47"/>
        <v/>
      </c>
      <c r="AL197" s="90" t="str">
        <f t="shared" si="47"/>
        <v/>
      </c>
      <c r="AM197" s="90" t="str">
        <f t="shared" si="47"/>
        <v/>
      </c>
      <c r="AN197" s="90" t="str">
        <f t="shared" si="47"/>
        <v/>
      </c>
      <c r="AO197" s="90" t="str">
        <f t="shared" si="47"/>
        <v/>
      </c>
      <c r="AP197" s="90" t="str">
        <f t="shared" si="47"/>
        <v/>
      </c>
      <c r="AQ197" s="90" t="str">
        <f t="shared" si="47"/>
        <v/>
      </c>
      <c r="AR197" s="90" t="str">
        <f t="shared" si="47"/>
        <v/>
      </c>
      <c r="AS197" s="90" t="str">
        <f t="shared" si="47"/>
        <v/>
      </c>
      <c r="AT197" s="90" t="str">
        <f t="shared" si="47"/>
        <v/>
      </c>
      <c r="AU197" s="90" t="str">
        <f t="shared" si="47"/>
        <v/>
      </c>
      <c r="AV197" s="90" t="str">
        <f t="shared" si="47"/>
        <v/>
      </c>
      <c r="AW197" s="90" t="str">
        <f t="shared" si="47"/>
        <v/>
      </c>
      <c r="AX197" s="90" t="str">
        <f t="shared" si="48"/>
        <v/>
      </c>
      <c r="AY197" s="90" t="str">
        <f t="shared" si="48"/>
        <v/>
      </c>
      <c r="AZ197" s="90" t="str">
        <f t="shared" si="48"/>
        <v/>
      </c>
      <c r="BA197" s="90" t="str">
        <f t="shared" si="48"/>
        <v/>
      </c>
      <c r="BB197" s="90" t="str">
        <f t="shared" si="48"/>
        <v/>
      </c>
      <c r="BC197" s="90" t="str">
        <f t="shared" si="48"/>
        <v/>
      </c>
    </row>
    <row r="198" spans="1:55" x14ac:dyDescent="0.25">
      <c r="A198" s="15" t="s">
        <v>51</v>
      </c>
      <c r="B198" s="16" t="s">
        <v>56</v>
      </c>
      <c r="C198" s="27" t="s">
        <v>58</v>
      </c>
      <c r="D198" s="2"/>
      <c r="E198" s="2"/>
      <c r="F198" s="47">
        <v>0</v>
      </c>
      <c r="G198" s="47">
        <v>0</v>
      </c>
      <c r="H198" s="1">
        <v>0</v>
      </c>
      <c r="I198" s="1">
        <v>0</v>
      </c>
      <c r="J198" s="1">
        <v>0</v>
      </c>
      <c r="K198" s="1">
        <v>0</v>
      </c>
      <c r="L198" s="52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54">
        <v>0</v>
      </c>
      <c r="Y198" s="58">
        <f t="shared" si="44"/>
        <v>0</v>
      </c>
      <c r="Z198" s="1">
        <f t="shared" si="45"/>
        <v>0</v>
      </c>
      <c r="AA198" s="1">
        <f t="shared" si="46"/>
        <v>0</v>
      </c>
      <c r="AC198" s="15" t="s">
        <v>51</v>
      </c>
      <c r="AD198" s="16" t="s">
        <v>56</v>
      </c>
      <c r="AE198" s="27" t="s">
        <v>58</v>
      </c>
      <c r="AF198" s="2"/>
      <c r="AG198" s="2"/>
      <c r="AH198" s="90" t="str">
        <f t="shared" si="47"/>
        <v/>
      </c>
      <c r="AI198" s="90" t="str">
        <f t="shared" si="47"/>
        <v/>
      </c>
      <c r="AJ198" s="90" t="str">
        <f t="shared" si="47"/>
        <v/>
      </c>
      <c r="AK198" s="90" t="str">
        <f t="shared" si="47"/>
        <v/>
      </c>
      <c r="AL198" s="90" t="str">
        <f t="shared" si="47"/>
        <v/>
      </c>
      <c r="AM198" s="90" t="str">
        <f t="shared" si="47"/>
        <v/>
      </c>
      <c r="AN198" s="90" t="str">
        <f t="shared" si="47"/>
        <v/>
      </c>
      <c r="AO198" s="90" t="str">
        <f t="shared" si="47"/>
        <v/>
      </c>
      <c r="AP198" s="90" t="str">
        <f t="shared" si="47"/>
        <v/>
      </c>
      <c r="AQ198" s="90" t="str">
        <f t="shared" si="47"/>
        <v/>
      </c>
      <c r="AR198" s="90" t="str">
        <f t="shared" si="47"/>
        <v/>
      </c>
      <c r="AS198" s="90" t="str">
        <f t="shared" si="47"/>
        <v/>
      </c>
      <c r="AT198" s="90" t="str">
        <f t="shared" si="47"/>
        <v/>
      </c>
      <c r="AU198" s="90" t="str">
        <f t="shared" si="47"/>
        <v/>
      </c>
      <c r="AV198" s="90" t="str">
        <f t="shared" si="47"/>
        <v/>
      </c>
      <c r="AW198" s="90" t="str">
        <f t="shared" si="47"/>
        <v/>
      </c>
      <c r="AX198" s="90" t="str">
        <f t="shared" si="48"/>
        <v/>
      </c>
      <c r="AY198" s="90" t="str">
        <f t="shared" si="48"/>
        <v/>
      </c>
      <c r="AZ198" s="90" t="str">
        <f t="shared" si="48"/>
        <v/>
      </c>
      <c r="BA198" s="90" t="str">
        <f t="shared" si="48"/>
        <v/>
      </c>
      <c r="BB198" s="90" t="str">
        <f t="shared" si="48"/>
        <v/>
      </c>
      <c r="BC198" s="90" t="str">
        <f t="shared" si="48"/>
        <v/>
      </c>
    </row>
    <row r="199" spans="1:55" x14ac:dyDescent="0.25">
      <c r="A199" s="15" t="s">
        <v>51</v>
      </c>
      <c r="B199" s="16" t="s">
        <v>9</v>
      </c>
      <c r="C199" s="27" t="s">
        <v>59</v>
      </c>
      <c r="D199" s="2"/>
      <c r="E199" s="2"/>
      <c r="F199" s="47">
        <v>0</v>
      </c>
      <c r="G199" s="47">
        <v>0</v>
      </c>
      <c r="H199" s="1">
        <v>0</v>
      </c>
      <c r="I199" s="1">
        <v>0</v>
      </c>
      <c r="J199" s="1">
        <v>0</v>
      </c>
      <c r="K199" s="1">
        <v>0</v>
      </c>
      <c r="L199" s="52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54">
        <v>0</v>
      </c>
      <c r="Y199" s="58">
        <f t="shared" si="44"/>
        <v>0</v>
      </c>
      <c r="Z199" s="1">
        <f t="shared" si="45"/>
        <v>0</v>
      </c>
      <c r="AA199" s="1">
        <f t="shared" si="46"/>
        <v>0</v>
      </c>
      <c r="AC199" s="15" t="s">
        <v>51</v>
      </c>
      <c r="AD199" s="16" t="s">
        <v>9</v>
      </c>
      <c r="AE199" s="27" t="s">
        <v>59</v>
      </c>
      <c r="AF199" s="2"/>
      <c r="AG199" s="2"/>
      <c r="AH199" s="90" t="str">
        <f t="shared" si="47"/>
        <v/>
      </c>
      <c r="AI199" s="90" t="str">
        <f t="shared" si="47"/>
        <v/>
      </c>
      <c r="AJ199" s="90" t="str">
        <f t="shared" si="47"/>
        <v/>
      </c>
      <c r="AK199" s="90" t="str">
        <f t="shared" si="47"/>
        <v/>
      </c>
      <c r="AL199" s="90" t="str">
        <f t="shared" si="47"/>
        <v/>
      </c>
      <c r="AM199" s="90" t="str">
        <f t="shared" si="47"/>
        <v/>
      </c>
      <c r="AN199" s="90" t="str">
        <f t="shared" si="47"/>
        <v/>
      </c>
      <c r="AO199" s="90" t="str">
        <f t="shared" si="47"/>
        <v/>
      </c>
      <c r="AP199" s="90" t="str">
        <f t="shared" si="47"/>
        <v/>
      </c>
      <c r="AQ199" s="90" t="str">
        <f t="shared" si="47"/>
        <v/>
      </c>
      <c r="AR199" s="90" t="str">
        <f t="shared" si="47"/>
        <v/>
      </c>
      <c r="AS199" s="90" t="str">
        <f t="shared" si="47"/>
        <v/>
      </c>
      <c r="AT199" s="90" t="str">
        <f t="shared" si="47"/>
        <v/>
      </c>
      <c r="AU199" s="90" t="str">
        <f t="shared" si="47"/>
        <v/>
      </c>
      <c r="AV199" s="90" t="str">
        <f t="shared" si="47"/>
        <v/>
      </c>
      <c r="AW199" s="90" t="str">
        <f t="shared" si="47"/>
        <v/>
      </c>
      <c r="AX199" s="90" t="str">
        <f t="shared" si="48"/>
        <v/>
      </c>
      <c r="AY199" s="90" t="str">
        <f t="shared" si="48"/>
        <v/>
      </c>
      <c r="AZ199" s="90" t="str">
        <f t="shared" si="48"/>
        <v/>
      </c>
      <c r="BA199" s="90" t="str">
        <f t="shared" si="48"/>
        <v/>
      </c>
      <c r="BB199" s="90" t="str">
        <f t="shared" si="48"/>
        <v/>
      </c>
      <c r="BC199" s="90" t="str">
        <f t="shared" si="48"/>
        <v/>
      </c>
    </row>
    <row r="200" spans="1:55" x14ac:dyDescent="0.25">
      <c r="A200" s="15" t="s">
        <v>51</v>
      </c>
      <c r="B200" s="16" t="s">
        <v>9</v>
      </c>
      <c r="C200" s="27" t="s">
        <v>9</v>
      </c>
      <c r="D200" s="2"/>
      <c r="E200" s="2"/>
      <c r="F200" s="47">
        <v>0</v>
      </c>
      <c r="G200" s="47">
        <v>0</v>
      </c>
      <c r="H200" s="1">
        <v>0</v>
      </c>
      <c r="I200" s="1">
        <v>0</v>
      </c>
      <c r="J200" s="1">
        <v>0</v>
      </c>
      <c r="K200" s="1">
        <v>0</v>
      </c>
      <c r="L200" s="52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54">
        <v>0</v>
      </c>
      <c r="Y200" s="58">
        <f t="shared" si="44"/>
        <v>0</v>
      </c>
      <c r="Z200" s="1">
        <f t="shared" si="45"/>
        <v>0</v>
      </c>
      <c r="AA200" s="1">
        <f t="shared" si="46"/>
        <v>0</v>
      </c>
      <c r="AC200" s="15" t="s">
        <v>51</v>
      </c>
      <c r="AD200" s="16" t="s">
        <v>9</v>
      </c>
      <c r="AE200" s="27" t="s">
        <v>9</v>
      </c>
      <c r="AF200" s="2"/>
      <c r="AG200" s="2"/>
      <c r="AH200" s="90" t="str">
        <f t="shared" si="47"/>
        <v/>
      </c>
      <c r="AI200" s="90" t="str">
        <f t="shared" si="47"/>
        <v/>
      </c>
      <c r="AJ200" s="90" t="str">
        <f t="shared" si="47"/>
        <v/>
      </c>
      <c r="AK200" s="90" t="str">
        <f t="shared" si="47"/>
        <v/>
      </c>
      <c r="AL200" s="90" t="str">
        <f t="shared" si="47"/>
        <v/>
      </c>
      <c r="AM200" s="90" t="str">
        <f t="shared" si="47"/>
        <v/>
      </c>
      <c r="AN200" s="90" t="str">
        <f t="shared" si="47"/>
        <v/>
      </c>
      <c r="AO200" s="90" t="str">
        <f t="shared" si="47"/>
        <v/>
      </c>
      <c r="AP200" s="90" t="str">
        <f t="shared" si="47"/>
        <v/>
      </c>
      <c r="AQ200" s="90" t="str">
        <f t="shared" si="47"/>
        <v/>
      </c>
      <c r="AR200" s="90" t="str">
        <f t="shared" si="47"/>
        <v/>
      </c>
      <c r="AS200" s="90" t="str">
        <f t="shared" si="47"/>
        <v/>
      </c>
      <c r="AT200" s="90" t="str">
        <f t="shared" si="47"/>
        <v/>
      </c>
      <c r="AU200" s="90" t="str">
        <f t="shared" si="47"/>
        <v/>
      </c>
      <c r="AV200" s="90" t="str">
        <f t="shared" si="47"/>
        <v/>
      </c>
      <c r="AW200" s="90" t="str">
        <f t="shared" ref="AW200:BC225" si="57">IF(U200&gt;0,U245/U200*1000,"")</f>
        <v/>
      </c>
      <c r="AX200" s="90" t="str">
        <f t="shared" si="48"/>
        <v/>
      </c>
      <c r="AY200" s="90" t="str">
        <f t="shared" si="48"/>
        <v/>
      </c>
      <c r="AZ200" s="90" t="str">
        <f t="shared" si="48"/>
        <v/>
      </c>
      <c r="BA200" s="90" t="str">
        <f t="shared" si="48"/>
        <v/>
      </c>
      <c r="BB200" s="90" t="str">
        <f t="shared" si="48"/>
        <v/>
      </c>
      <c r="BC200" s="90" t="str">
        <f t="shared" si="48"/>
        <v/>
      </c>
    </row>
    <row r="201" spans="1:55" x14ac:dyDescent="0.25">
      <c r="A201" s="28" t="s">
        <v>60</v>
      </c>
      <c r="B201" s="29" t="s">
        <v>13</v>
      </c>
      <c r="C201" s="29" t="s">
        <v>61</v>
      </c>
      <c r="D201" s="2"/>
      <c r="E201" s="2"/>
      <c r="F201" s="214">
        <v>100</v>
      </c>
      <c r="G201" s="215">
        <v>0</v>
      </c>
      <c r="H201" s="215">
        <v>250</v>
      </c>
      <c r="I201" s="77">
        <f>I21/I156</f>
        <v>141.93103448275863</v>
      </c>
      <c r="J201" s="214">
        <f>90*0.65</f>
        <v>58.5</v>
      </c>
      <c r="K201" s="77">
        <f>K21/K156</f>
        <v>103.44827586206897</v>
      </c>
      <c r="L201" s="52">
        <v>0</v>
      </c>
      <c r="M201" s="80">
        <f>M21/M156</f>
        <v>13.75</v>
      </c>
      <c r="N201" s="217">
        <v>2.9</v>
      </c>
      <c r="O201" s="217">
        <v>0.48</v>
      </c>
      <c r="P201" s="217">
        <f>1.72*0.33</f>
        <v>0.56759999999999999</v>
      </c>
      <c r="Q201" s="84">
        <f t="shared" ref="Q201:X201" si="58">Q21/Q156</f>
        <v>4.2553191489361701</v>
      </c>
      <c r="R201" s="80">
        <f t="shared" si="58"/>
        <v>8.6071987480438192</v>
      </c>
      <c r="S201" s="51">
        <v>0</v>
      </c>
      <c r="T201" s="80">
        <f t="shared" si="58"/>
        <v>2.6827632461435278</v>
      </c>
      <c r="U201" s="80">
        <f t="shared" si="58"/>
        <v>4.8015364916773366</v>
      </c>
      <c r="V201" s="80">
        <f t="shared" si="58"/>
        <v>0.11737089201877934</v>
      </c>
      <c r="W201" s="80">
        <f t="shared" si="58"/>
        <v>0.32276995305164319</v>
      </c>
      <c r="X201" s="80">
        <f t="shared" si="58"/>
        <v>20.120724346076461</v>
      </c>
      <c r="Y201" s="59">
        <f t="shared" si="44"/>
        <v>653.87931034482756</v>
      </c>
      <c r="Z201" s="51">
        <f t="shared" si="45"/>
        <v>58.605282825947739</v>
      </c>
      <c r="AA201" s="51">
        <f t="shared" si="46"/>
        <v>712.48459317077527</v>
      </c>
      <c r="AB201" s="5" t="s">
        <v>124</v>
      </c>
      <c r="AC201" s="28" t="s">
        <v>60</v>
      </c>
      <c r="AD201" s="29" t="s">
        <v>13</v>
      </c>
      <c r="AE201" s="29" t="s">
        <v>61</v>
      </c>
      <c r="AF201" s="2"/>
      <c r="AG201" s="2"/>
      <c r="AH201" s="1">
        <f t="shared" ref="AH201:AV217" si="59">IF(F201&gt;0,F246/F201*1000,"")</f>
        <v>276.31578947368422</v>
      </c>
      <c r="AI201" s="1" t="str">
        <f t="shared" si="59"/>
        <v/>
      </c>
      <c r="AJ201" s="1">
        <f t="shared" si="59"/>
        <v>39.513599999999997</v>
      </c>
      <c r="AK201" s="1">
        <f t="shared" si="59"/>
        <v>161.11111111111109</v>
      </c>
      <c r="AL201" s="1">
        <f t="shared" si="59"/>
        <v>392.15686274509801</v>
      </c>
      <c r="AM201" s="1">
        <f t="shared" si="59"/>
        <v>170.58823529411765</v>
      </c>
      <c r="AN201" s="52" t="str">
        <f t="shared" si="59"/>
        <v/>
      </c>
      <c r="AO201" s="1">
        <f t="shared" si="59"/>
        <v>2222.2222222222222</v>
      </c>
      <c r="AP201" s="1">
        <f t="shared" si="59"/>
        <v>4741.379310344827</v>
      </c>
      <c r="AQ201" s="1">
        <f t="shared" si="59"/>
        <v>71875</v>
      </c>
      <c r="AR201" s="1">
        <f t="shared" si="59"/>
        <v>489390.02427374519</v>
      </c>
      <c r="AS201" s="1">
        <f t="shared" si="59"/>
        <v>5222.2222222222226</v>
      </c>
      <c r="AT201" s="1">
        <f t="shared" si="59"/>
        <v>2366.6666666666665</v>
      </c>
      <c r="AU201" s="1" t="str">
        <f t="shared" si="59"/>
        <v/>
      </c>
      <c r="AV201" s="1">
        <f t="shared" si="59"/>
        <v>2366.6666666666665</v>
      </c>
      <c r="AW201" s="1">
        <f t="shared" si="57"/>
        <v>2366.6666666666665</v>
      </c>
      <c r="AX201" s="1">
        <f t="shared" si="57"/>
        <v>2366.6666666666665</v>
      </c>
      <c r="AY201" s="1">
        <f t="shared" si="57"/>
        <v>2366.6666666666665</v>
      </c>
      <c r="AZ201" s="1">
        <f t="shared" si="57"/>
        <v>2366.6666666666665</v>
      </c>
      <c r="BA201" s="1">
        <f t="shared" si="57"/>
        <v>0</v>
      </c>
      <c r="BB201" s="1">
        <f t="shared" si="57"/>
        <v>0</v>
      </c>
      <c r="BC201" s="1">
        <f t="shared" si="57"/>
        <v>0</v>
      </c>
    </row>
    <row r="202" spans="1:55" x14ac:dyDescent="0.25">
      <c r="A202" s="36" t="s">
        <v>60</v>
      </c>
      <c r="B202" s="37" t="s">
        <v>13</v>
      </c>
      <c r="C202" s="29" t="s">
        <v>62</v>
      </c>
      <c r="D202" s="2"/>
      <c r="E202" s="2"/>
      <c r="F202" s="214">
        <v>55</v>
      </c>
      <c r="G202" s="215">
        <v>160</v>
      </c>
      <c r="H202" s="215">
        <v>1250</v>
      </c>
      <c r="I202" s="51">
        <v>0</v>
      </c>
      <c r="J202" s="51">
        <v>0</v>
      </c>
      <c r="K202" s="51">
        <v>0</v>
      </c>
      <c r="L202" s="52">
        <v>0</v>
      </c>
      <c r="M202" s="51">
        <v>0</v>
      </c>
      <c r="N202" s="51">
        <v>0</v>
      </c>
      <c r="O202" s="51">
        <v>0</v>
      </c>
      <c r="P202" s="217">
        <f>1.72*0.66</f>
        <v>1.1352</v>
      </c>
      <c r="Q202" s="51">
        <v>0</v>
      </c>
      <c r="R202" s="51">
        <v>0</v>
      </c>
      <c r="S202" s="51">
        <v>0</v>
      </c>
      <c r="T202" s="51">
        <v>0</v>
      </c>
      <c r="U202" s="51">
        <v>0</v>
      </c>
      <c r="V202" s="51">
        <v>0</v>
      </c>
      <c r="W202" s="51">
        <v>0</v>
      </c>
      <c r="X202" s="55">
        <v>0</v>
      </c>
      <c r="Y202" s="59">
        <f t="shared" si="44"/>
        <v>1465</v>
      </c>
      <c r="Z202" s="51">
        <f t="shared" si="45"/>
        <v>1.1352</v>
      </c>
      <c r="AA202" s="51">
        <f t="shared" si="46"/>
        <v>1466.1351999999999</v>
      </c>
      <c r="AC202" s="36" t="s">
        <v>60</v>
      </c>
      <c r="AD202" s="37" t="s">
        <v>13</v>
      </c>
      <c r="AE202" s="29" t="s">
        <v>62</v>
      </c>
      <c r="AF202" s="2"/>
      <c r="AG202" s="2"/>
      <c r="AH202" s="1">
        <f t="shared" si="59"/>
        <v>215.311004784689</v>
      </c>
      <c r="AI202" s="1">
        <f t="shared" si="59"/>
        <v>114.47368421052632</v>
      </c>
      <c r="AJ202" s="1">
        <f t="shared" si="59"/>
        <v>36.001279999999994</v>
      </c>
      <c r="AK202" s="1" t="str">
        <f t="shared" si="59"/>
        <v/>
      </c>
      <c r="AL202" s="1" t="str">
        <f t="shared" si="59"/>
        <v/>
      </c>
      <c r="AM202" s="1" t="str">
        <f t="shared" si="59"/>
        <v/>
      </c>
      <c r="AN202" s="52" t="str">
        <f t="shared" si="59"/>
        <v/>
      </c>
      <c r="AO202" s="1" t="str">
        <f t="shared" si="59"/>
        <v/>
      </c>
      <c r="AP202" s="1" t="str">
        <f t="shared" si="59"/>
        <v/>
      </c>
      <c r="AQ202" s="1" t="str">
        <f t="shared" si="59"/>
        <v/>
      </c>
      <c r="AR202" s="1">
        <f t="shared" si="59"/>
        <v>369978.8583509514</v>
      </c>
      <c r="AS202" s="1" t="str">
        <f t="shared" si="59"/>
        <v/>
      </c>
      <c r="AT202" s="1" t="str">
        <f t="shared" si="59"/>
        <v/>
      </c>
      <c r="AU202" s="1" t="str">
        <f t="shared" si="59"/>
        <v/>
      </c>
      <c r="AV202" s="1" t="str">
        <f t="shared" si="59"/>
        <v/>
      </c>
      <c r="AW202" s="1" t="str">
        <f t="shared" si="57"/>
        <v/>
      </c>
      <c r="AX202" s="1" t="str">
        <f t="shared" si="57"/>
        <v/>
      </c>
      <c r="AY202" s="1" t="str">
        <f t="shared" si="57"/>
        <v/>
      </c>
      <c r="AZ202" s="1" t="str">
        <f t="shared" si="57"/>
        <v/>
      </c>
      <c r="BA202" s="1">
        <f t="shared" si="57"/>
        <v>0</v>
      </c>
      <c r="BB202" s="1">
        <f t="shared" si="57"/>
        <v>0</v>
      </c>
      <c r="BC202" s="1">
        <f t="shared" si="57"/>
        <v>0</v>
      </c>
    </row>
    <row r="203" spans="1:55" x14ac:dyDescent="0.25">
      <c r="A203" s="30" t="s">
        <v>60</v>
      </c>
      <c r="B203" s="31" t="s">
        <v>13</v>
      </c>
      <c r="C203" s="32" t="s">
        <v>63</v>
      </c>
      <c r="D203" s="2"/>
      <c r="E203" s="2"/>
      <c r="F203" s="51">
        <v>0</v>
      </c>
      <c r="G203" s="51">
        <v>0</v>
      </c>
      <c r="H203" s="51">
        <v>0</v>
      </c>
      <c r="I203" s="51">
        <v>0</v>
      </c>
      <c r="J203" s="51">
        <v>0</v>
      </c>
      <c r="K203" s="51">
        <v>0</v>
      </c>
      <c r="L203" s="52">
        <v>0</v>
      </c>
      <c r="M203" s="51">
        <v>0</v>
      </c>
      <c r="N203" s="51">
        <v>0</v>
      </c>
      <c r="O203" s="51">
        <v>0</v>
      </c>
      <c r="P203" s="51">
        <v>0</v>
      </c>
      <c r="Q203" s="51">
        <v>0</v>
      </c>
      <c r="R203" s="51">
        <v>0</v>
      </c>
      <c r="S203" s="51">
        <v>0</v>
      </c>
      <c r="T203" s="51">
        <v>0</v>
      </c>
      <c r="U203" s="51">
        <v>0</v>
      </c>
      <c r="V203" s="51">
        <v>0</v>
      </c>
      <c r="W203" s="51">
        <v>0</v>
      </c>
      <c r="X203" s="55">
        <v>0</v>
      </c>
      <c r="Y203" s="59">
        <f t="shared" si="44"/>
        <v>0</v>
      </c>
      <c r="Z203" s="51">
        <f t="shared" si="45"/>
        <v>0</v>
      </c>
      <c r="AA203" s="51">
        <f t="shared" si="46"/>
        <v>0</v>
      </c>
      <c r="AC203" s="30" t="s">
        <v>60</v>
      </c>
      <c r="AD203" s="31" t="s">
        <v>13</v>
      </c>
      <c r="AE203" s="32" t="s">
        <v>63</v>
      </c>
      <c r="AF203" s="2"/>
      <c r="AG203" s="2"/>
      <c r="AH203" s="1" t="str">
        <f t="shared" si="59"/>
        <v/>
      </c>
      <c r="AI203" s="1" t="str">
        <f t="shared" si="59"/>
        <v/>
      </c>
      <c r="AJ203" s="1" t="str">
        <f t="shared" si="59"/>
        <v/>
      </c>
      <c r="AK203" s="1" t="str">
        <f t="shared" si="59"/>
        <v/>
      </c>
      <c r="AL203" s="1" t="str">
        <f t="shared" si="59"/>
        <v/>
      </c>
      <c r="AM203" s="1" t="str">
        <f t="shared" si="59"/>
        <v/>
      </c>
      <c r="AN203" s="52" t="str">
        <f t="shared" si="59"/>
        <v/>
      </c>
      <c r="AO203" s="1" t="str">
        <f t="shared" si="59"/>
        <v/>
      </c>
      <c r="AP203" s="1" t="str">
        <f t="shared" si="59"/>
        <v/>
      </c>
      <c r="AQ203" s="1" t="str">
        <f t="shared" si="59"/>
        <v/>
      </c>
      <c r="AR203" s="1" t="str">
        <f t="shared" si="59"/>
        <v/>
      </c>
      <c r="AS203" s="1" t="str">
        <f t="shared" si="59"/>
        <v/>
      </c>
      <c r="AT203" s="1" t="str">
        <f t="shared" si="59"/>
        <v/>
      </c>
      <c r="AU203" s="1" t="str">
        <f t="shared" si="59"/>
        <v/>
      </c>
      <c r="AV203" s="1" t="str">
        <f t="shared" si="59"/>
        <v/>
      </c>
      <c r="AW203" s="1" t="str">
        <f t="shared" si="57"/>
        <v/>
      </c>
      <c r="AX203" s="1" t="str">
        <f t="shared" si="57"/>
        <v/>
      </c>
      <c r="AY203" s="1" t="str">
        <f t="shared" si="57"/>
        <v/>
      </c>
      <c r="AZ203" s="1" t="str">
        <f t="shared" si="57"/>
        <v/>
      </c>
      <c r="BA203" s="1" t="str">
        <f t="shared" si="57"/>
        <v/>
      </c>
      <c r="BB203" s="1" t="str">
        <f t="shared" si="57"/>
        <v/>
      </c>
      <c r="BC203" s="1" t="str">
        <f t="shared" si="57"/>
        <v/>
      </c>
    </row>
    <row r="204" spans="1:55" x14ac:dyDescent="0.25">
      <c r="A204" s="30" t="s">
        <v>60</v>
      </c>
      <c r="B204" s="32" t="s">
        <v>23</v>
      </c>
      <c r="C204" s="31" t="s">
        <v>50</v>
      </c>
      <c r="D204" s="2"/>
      <c r="E204" s="2"/>
      <c r="F204" s="64">
        <v>0</v>
      </c>
      <c r="G204" s="51">
        <v>0</v>
      </c>
      <c r="H204" s="51">
        <v>0</v>
      </c>
      <c r="I204" s="51">
        <v>0</v>
      </c>
      <c r="J204" s="80">
        <f>J24/J159</f>
        <v>0.8666666666666667</v>
      </c>
      <c r="K204" s="77">
        <f>K24/K159</f>
        <v>254.54545454545453</v>
      </c>
      <c r="L204" s="52">
        <v>0</v>
      </c>
      <c r="M204" s="51">
        <v>0</v>
      </c>
      <c r="N204" s="217">
        <v>0.3</v>
      </c>
      <c r="O204" s="51">
        <v>0</v>
      </c>
      <c r="P204" s="51">
        <v>0</v>
      </c>
      <c r="Q204" s="51">
        <v>0</v>
      </c>
      <c r="R204" s="51">
        <v>0</v>
      </c>
      <c r="S204" s="51">
        <v>0</v>
      </c>
      <c r="T204" s="51">
        <v>0</v>
      </c>
      <c r="U204" s="51">
        <v>0</v>
      </c>
      <c r="V204" s="51">
        <v>0</v>
      </c>
      <c r="W204" s="51">
        <v>0</v>
      </c>
      <c r="X204" s="55">
        <v>0</v>
      </c>
      <c r="Y204" s="59">
        <f t="shared" si="44"/>
        <v>255.41212121212121</v>
      </c>
      <c r="Z204" s="51">
        <f t="shared" si="45"/>
        <v>0.3</v>
      </c>
      <c r="AA204" s="51">
        <f t="shared" si="46"/>
        <v>255.71212121212122</v>
      </c>
      <c r="AC204" s="30" t="s">
        <v>60</v>
      </c>
      <c r="AD204" s="32" t="s">
        <v>23</v>
      </c>
      <c r="AE204" s="31" t="s">
        <v>50</v>
      </c>
      <c r="AF204" s="2"/>
      <c r="AG204" s="2"/>
      <c r="AH204" s="1" t="str">
        <f t="shared" si="59"/>
        <v/>
      </c>
      <c r="AI204" s="1" t="str">
        <f t="shared" si="59"/>
        <v/>
      </c>
      <c r="AJ204" s="1" t="str">
        <f t="shared" si="59"/>
        <v/>
      </c>
      <c r="AK204" s="1" t="str">
        <f t="shared" si="59"/>
        <v/>
      </c>
      <c r="AL204" s="1">
        <f t="shared" si="59"/>
        <v>692.30769230769226</v>
      </c>
      <c r="AM204" s="1">
        <f t="shared" si="59"/>
        <v>31.428571428571431</v>
      </c>
      <c r="AN204" s="52" t="str">
        <f t="shared" si="59"/>
        <v/>
      </c>
      <c r="AO204" s="1" t="str">
        <f t="shared" si="59"/>
        <v/>
      </c>
      <c r="AP204" s="1">
        <f t="shared" si="59"/>
        <v>114871.79487179487</v>
      </c>
      <c r="AQ204" s="1" t="str">
        <f t="shared" si="59"/>
        <v/>
      </c>
      <c r="AR204" s="1" t="str">
        <f t="shared" si="59"/>
        <v/>
      </c>
      <c r="AS204" s="1" t="str">
        <f t="shared" si="59"/>
        <v/>
      </c>
      <c r="AT204" s="1" t="str">
        <f t="shared" si="59"/>
        <v/>
      </c>
      <c r="AU204" s="1" t="str">
        <f t="shared" si="59"/>
        <v/>
      </c>
      <c r="AV204" s="1" t="str">
        <f t="shared" si="59"/>
        <v/>
      </c>
      <c r="AW204" s="1" t="str">
        <f t="shared" si="57"/>
        <v/>
      </c>
      <c r="AX204" s="1" t="str">
        <f t="shared" si="57"/>
        <v/>
      </c>
      <c r="AY204" s="1" t="str">
        <f t="shared" si="57"/>
        <v/>
      </c>
      <c r="AZ204" s="1" t="str">
        <f t="shared" si="57"/>
        <v/>
      </c>
      <c r="BA204" s="1">
        <f t="shared" si="57"/>
        <v>0</v>
      </c>
      <c r="BB204" s="1">
        <f t="shared" si="57"/>
        <v>0</v>
      </c>
      <c r="BC204" s="1">
        <f t="shared" si="57"/>
        <v>0</v>
      </c>
    </row>
    <row r="205" spans="1:55" x14ac:dyDescent="0.25">
      <c r="A205" s="30" t="s">
        <v>60</v>
      </c>
      <c r="B205" s="32" t="s">
        <v>23</v>
      </c>
      <c r="C205" s="31" t="s">
        <v>49</v>
      </c>
      <c r="D205" s="2"/>
      <c r="E205" s="2"/>
      <c r="F205" s="51">
        <v>0</v>
      </c>
      <c r="G205" s="51">
        <v>0</v>
      </c>
      <c r="H205" s="51">
        <v>0</v>
      </c>
      <c r="I205" s="51">
        <v>0</v>
      </c>
      <c r="J205" s="80">
        <f>J25/J160</f>
        <v>23.625</v>
      </c>
      <c r="K205" s="80">
        <f>K25/K160</f>
        <v>4.75</v>
      </c>
      <c r="L205" s="52">
        <v>0</v>
      </c>
      <c r="M205" s="51">
        <v>0</v>
      </c>
      <c r="N205" s="51">
        <v>0</v>
      </c>
      <c r="O205" s="51">
        <v>0</v>
      </c>
      <c r="P205" s="51">
        <v>0</v>
      </c>
      <c r="Q205" s="51">
        <v>0</v>
      </c>
      <c r="R205" s="51">
        <v>0</v>
      </c>
      <c r="S205" s="77">
        <f t="shared" ref="S205:X205" si="60">S25/S160</f>
        <v>2.66</v>
      </c>
      <c r="T205" s="80">
        <f t="shared" si="60"/>
        <v>1.4778325123152709</v>
      </c>
      <c r="U205" s="86">
        <v>0</v>
      </c>
      <c r="V205" s="80">
        <f t="shared" si="60"/>
        <v>0</v>
      </c>
      <c r="W205" s="86">
        <v>0</v>
      </c>
      <c r="X205" s="80">
        <f t="shared" si="60"/>
        <v>1</v>
      </c>
      <c r="Y205" s="59">
        <f t="shared" si="44"/>
        <v>28.375</v>
      </c>
      <c r="Z205" s="51">
        <f t="shared" si="45"/>
        <v>5.1378325123152706</v>
      </c>
      <c r="AA205" s="51">
        <f t="shared" si="46"/>
        <v>33.512832512315271</v>
      </c>
      <c r="AC205" s="30" t="s">
        <v>60</v>
      </c>
      <c r="AD205" s="32" t="s">
        <v>23</v>
      </c>
      <c r="AE205" s="31" t="s">
        <v>49</v>
      </c>
      <c r="AF205" s="2"/>
      <c r="AG205" s="2"/>
      <c r="AH205" s="1" t="str">
        <f t="shared" si="59"/>
        <v/>
      </c>
      <c r="AI205" s="1" t="str">
        <f t="shared" si="59"/>
        <v/>
      </c>
      <c r="AJ205" s="1" t="str">
        <f t="shared" si="59"/>
        <v/>
      </c>
      <c r="AK205" s="1" t="str">
        <f t="shared" si="59"/>
        <v/>
      </c>
      <c r="AL205" s="1">
        <f t="shared" si="59"/>
        <v>888.8888888888888</v>
      </c>
      <c r="AM205" s="1">
        <f t="shared" si="59"/>
        <v>888.88888888888891</v>
      </c>
      <c r="AN205" s="52" t="str">
        <f t="shared" si="59"/>
        <v/>
      </c>
      <c r="AO205" s="1" t="str">
        <f t="shared" si="59"/>
        <v/>
      </c>
      <c r="AP205" s="1" t="str">
        <f t="shared" si="59"/>
        <v/>
      </c>
      <c r="AQ205" s="1" t="str">
        <f t="shared" si="59"/>
        <v/>
      </c>
      <c r="AR205" s="1" t="str">
        <f t="shared" si="59"/>
        <v/>
      </c>
      <c r="AS205" s="1" t="str">
        <f t="shared" si="59"/>
        <v/>
      </c>
      <c r="AT205" s="1" t="str">
        <f t="shared" si="59"/>
        <v/>
      </c>
      <c r="AU205" s="1">
        <f t="shared" si="59"/>
        <v>2222.2222222222222</v>
      </c>
      <c r="AV205" s="1">
        <f t="shared" si="59"/>
        <v>11600</v>
      </c>
      <c r="AW205" s="1" t="str">
        <f t="shared" si="57"/>
        <v/>
      </c>
      <c r="AX205" s="1" t="str">
        <f t="shared" si="57"/>
        <v/>
      </c>
      <c r="AY205" s="1" t="str">
        <f t="shared" si="57"/>
        <v/>
      </c>
      <c r="AZ205" s="1">
        <f t="shared" si="57"/>
        <v>2222.2222222222222</v>
      </c>
      <c r="BA205" s="1">
        <f t="shared" si="57"/>
        <v>0</v>
      </c>
      <c r="BB205" s="1">
        <f t="shared" si="57"/>
        <v>0</v>
      </c>
      <c r="BC205" s="1">
        <f t="shared" si="57"/>
        <v>0</v>
      </c>
    </row>
    <row r="206" spans="1:55" x14ac:dyDescent="0.25">
      <c r="A206" s="30" t="s">
        <v>60</v>
      </c>
      <c r="B206" s="32" t="s">
        <v>23</v>
      </c>
      <c r="C206" s="31" t="s">
        <v>64</v>
      </c>
      <c r="D206" s="2"/>
      <c r="E206" s="2"/>
      <c r="F206" s="51">
        <v>0</v>
      </c>
      <c r="G206" s="51">
        <v>0</v>
      </c>
      <c r="H206" s="51">
        <v>0</v>
      </c>
      <c r="I206" s="51">
        <v>0</v>
      </c>
      <c r="J206" s="51">
        <v>0</v>
      </c>
      <c r="K206" s="51">
        <v>0</v>
      </c>
      <c r="L206" s="52">
        <v>0</v>
      </c>
      <c r="M206" s="51">
        <v>0</v>
      </c>
      <c r="N206" s="51">
        <v>0</v>
      </c>
      <c r="O206" s="51">
        <v>0</v>
      </c>
      <c r="P206" s="51">
        <v>0</v>
      </c>
      <c r="Q206" s="51">
        <v>0</v>
      </c>
      <c r="R206" s="51">
        <v>0</v>
      </c>
      <c r="S206" s="51">
        <v>0</v>
      </c>
      <c r="T206" s="51">
        <v>0</v>
      </c>
      <c r="U206" s="51">
        <v>0</v>
      </c>
      <c r="V206" s="51">
        <v>0</v>
      </c>
      <c r="W206" s="51">
        <v>0</v>
      </c>
      <c r="X206" s="55">
        <v>0</v>
      </c>
      <c r="Y206" s="59">
        <f t="shared" si="44"/>
        <v>0</v>
      </c>
      <c r="Z206" s="51">
        <f t="shared" si="45"/>
        <v>0</v>
      </c>
      <c r="AA206" s="51">
        <f t="shared" si="46"/>
        <v>0</v>
      </c>
      <c r="AC206" s="30" t="s">
        <v>60</v>
      </c>
      <c r="AD206" s="32" t="s">
        <v>23</v>
      </c>
      <c r="AE206" s="31" t="s">
        <v>64</v>
      </c>
      <c r="AF206" s="2"/>
      <c r="AG206" s="2"/>
      <c r="AH206" s="1" t="str">
        <f t="shared" si="59"/>
        <v/>
      </c>
      <c r="AI206" s="1" t="str">
        <f t="shared" si="59"/>
        <v/>
      </c>
      <c r="AJ206" s="1" t="str">
        <f t="shared" si="59"/>
        <v/>
      </c>
      <c r="AK206" s="1" t="str">
        <f t="shared" si="59"/>
        <v/>
      </c>
      <c r="AL206" s="1" t="str">
        <f t="shared" si="59"/>
        <v/>
      </c>
      <c r="AM206" s="1" t="str">
        <f t="shared" si="59"/>
        <v/>
      </c>
      <c r="AN206" s="52" t="str">
        <f t="shared" si="59"/>
        <v/>
      </c>
      <c r="AO206" s="1" t="str">
        <f t="shared" si="59"/>
        <v/>
      </c>
      <c r="AP206" s="1" t="str">
        <f t="shared" si="59"/>
        <v/>
      </c>
      <c r="AQ206" s="1" t="str">
        <f t="shared" si="59"/>
        <v/>
      </c>
      <c r="AR206" s="1" t="str">
        <f t="shared" si="59"/>
        <v/>
      </c>
      <c r="AS206" s="1" t="str">
        <f t="shared" si="59"/>
        <v/>
      </c>
      <c r="AT206" s="1" t="str">
        <f t="shared" si="59"/>
        <v/>
      </c>
      <c r="AU206" s="1" t="str">
        <f t="shared" si="59"/>
        <v/>
      </c>
      <c r="AV206" s="1" t="str">
        <f t="shared" si="59"/>
        <v/>
      </c>
      <c r="AW206" s="1" t="str">
        <f t="shared" si="57"/>
        <v/>
      </c>
      <c r="AX206" s="1" t="str">
        <f t="shared" si="57"/>
        <v/>
      </c>
      <c r="AY206" s="1" t="str">
        <f t="shared" si="57"/>
        <v/>
      </c>
      <c r="AZ206" s="1" t="str">
        <f t="shared" si="57"/>
        <v/>
      </c>
      <c r="BA206" s="1" t="str">
        <f t="shared" si="57"/>
        <v/>
      </c>
      <c r="BB206" s="1" t="str">
        <f t="shared" si="57"/>
        <v/>
      </c>
      <c r="BC206" s="1" t="str">
        <f t="shared" si="57"/>
        <v/>
      </c>
    </row>
    <row r="207" spans="1:55" x14ac:dyDescent="0.25">
      <c r="A207" s="30" t="s">
        <v>60</v>
      </c>
      <c r="B207" s="32" t="s">
        <v>65</v>
      </c>
      <c r="C207" s="31" t="s">
        <v>66</v>
      </c>
      <c r="D207" s="2"/>
      <c r="E207" s="2"/>
      <c r="F207" s="51">
        <v>0</v>
      </c>
      <c r="G207" s="51">
        <v>0</v>
      </c>
      <c r="H207" s="51">
        <v>0</v>
      </c>
      <c r="I207" s="51">
        <v>0</v>
      </c>
      <c r="J207" s="80">
        <f>J27/J162</f>
        <v>81.845238095238102</v>
      </c>
      <c r="K207" s="51">
        <v>0</v>
      </c>
      <c r="L207" s="52">
        <v>0</v>
      </c>
      <c r="M207" s="81">
        <f>M27/M162</f>
        <v>69.166666666666671</v>
      </c>
      <c r="N207" s="51">
        <v>0</v>
      </c>
      <c r="O207" s="51">
        <v>0</v>
      </c>
      <c r="P207" s="51">
        <v>0</v>
      </c>
      <c r="Q207" s="51">
        <v>0</v>
      </c>
      <c r="R207" s="51">
        <v>0</v>
      </c>
      <c r="S207" s="51">
        <v>0</v>
      </c>
      <c r="T207" s="51">
        <v>0</v>
      </c>
      <c r="U207" s="51">
        <v>0</v>
      </c>
      <c r="V207" s="51">
        <v>0</v>
      </c>
      <c r="W207" s="51">
        <v>0</v>
      </c>
      <c r="X207" s="55">
        <v>0</v>
      </c>
      <c r="Y207" s="59">
        <f t="shared" si="44"/>
        <v>81.845238095238102</v>
      </c>
      <c r="Z207" s="51">
        <f t="shared" si="45"/>
        <v>69.166666666666671</v>
      </c>
      <c r="AA207" s="51">
        <f t="shared" si="46"/>
        <v>151.01190476190476</v>
      </c>
      <c r="AC207" s="30" t="s">
        <v>60</v>
      </c>
      <c r="AD207" s="32" t="s">
        <v>65</v>
      </c>
      <c r="AE207" s="31" t="s">
        <v>66</v>
      </c>
      <c r="AF207" s="2"/>
      <c r="AG207" s="2"/>
      <c r="AH207" s="1" t="str">
        <f t="shared" si="59"/>
        <v/>
      </c>
      <c r="AI207" s="1" t="str">
        <f t="shared" si="59"/>
        <v/>
      </c>
      <c r="AJ207" s="1" t="str">
        <f t="shared" si="59"/>
        <v/>
      </c>
      <c r="AK207" s="1" t="str">
        <f t="shared" si="59"/>
        <v/>
      </c>
      <c r="AL207" s="1">
        <f t="shared" si="59"/>
        <v>1400</v>
      </c>
      <c r="AM207" s="1" t="str">
        <f t="shared" si="59"/>
        <v/>
      </c>
      <c r="AN207" s="52" t="str">
        <f t="shared" si="59"/>
        <v/>
      </c>
      <c r="AO207" s="1">
        <f t="shared" si="59"/>
        <v>7499.9999999999991</v>
      </c>
      <c r="AP207" s="1" t="str">
        <f t="shared" si="59"/>
        <v/>
      </c>
      <c r="AQ207" s="1" t="str">
        <f t="shared" si="59"/>
        <v/>
      </c>
      <c r="AR207" s="1" t="str">
        <f t="shared" si="59"/>
        <v/>
      </c>
      <c r="AS207" s="1" t="str">
        <f t="shared" si="59"/>
        <v/>
      </c>
      <c r="AT207" s="1" t="str">
        <f t="shared" si="59"/>
        <v/>
      </c>
      <c r="AU207" s="1" t="str">
        <f t="shared" si="59"/>
        <v/>
      </c>
      <c r="AV207" s="1" t="str">
        <f t="shared" si="59"/>
        <v/>
      </c>
      <c r="AW207" s="1" t="str">
        <f t="shared" si="57"/>
        <v/>
      </c>
      <c r="AX207" s="1" t="str">
        <f t="shared" si="57"/>
        <v/>
      </c>
      <c r="AY207" s="1" t="str">
        <f t="shared" si="57"/>
        <v/>
      </c>
      <c r="AZ207" s="1" t="str">
        <f t="shared" si="57"/>
        <v/>
      </c>
      <c r="BA207" s="1">
        <f t="shared" si="57"/>
        <v>0</v>
      </c>
      <c r="BB207" s="1">
        <f t="shared" si="57"/>
        <v>0</v>
      </c>
      <c r="BC207" s="1">
        <f t="shared" si="57"/>
        <v>0</v>
      </c>
    </row>
    <row r="208" spans="1:55" x14ac:dyDescent="0.25">
      <c r="A208" s="30" t="s">
        <v>60</v>
      </c>
      <c r="B208" s="32" t="s">
        <v>65</v>
      </c>
      <c r="C208" s="31" t="s">
        <v>67</v>
      </c>
      <c r="D208" s="2"/>
      <c r="E208" s="2"/>
      <c r="F208" s="51">
        <v>0</v>
      </c>
      <c r="G208" s="51">
        <v>0</v>
      </c>
      <c r="H208" s="51">
        <v>0</v>
      </c>
      <c r="I208" s="51">
        <v>0</v>
      </c>
      <c r="J208" s="51">
        <v>0</v>
      </c>
      <c r="K208" s="51">
        <v>0</v>
      </c>
      <c r="L208" s="52">
        <v>0</v>
      </c>
      <c r="M208" s="51">
        <v>0</v>
      </c>
      <c r="N208" s="51">
        <v>0</v>
      </c>
      <c r="O208" s="51">
        <v>0</v>
      </c>
      <c r="P208" s="51">
        <v>0</v>
      </c>
      <c r="Q208" s="80">
        <f>Q28/Q163</f>
        <v>57.280851063829786</v>
      </c>
      <c r="R208" s="80">
        <f>R28/R163</f>
        <v>35.197183098591552</v>
      </c>
      <c r="S208" s="51">
        <v>0</v>
      </c>
      <c r="T208" s="80">
        <f>T28/T163</f>
        <v>31.845070422535212</v>
      </c>
      <c r="U208" s="80">
        <f>U28/U163</f>
        <v>23.464788732394371</v>
      </c>
      <c r="V208" s="80">
        <f>V28/V163</f>
        <v>4.929577464788732</v>
      </c>
      <c r="W208" s="80">
        <f>W28/W163</f>
        <v>9.8591549295774641</v>
      </c>
      <c r="X208" s="80">
        <f>X28/X163</f>
        <v>4.929577464788732</v>
      </c>
      <c r="Y208" s="59">
        <f t="shared" si="44"/>
        <v>0</v>
      </c>
      <c r="Z208" s="51">
        <f t="shared" si="45"/>
        <v>167.50620317650586</v>
      </c>
      <c r="AA208" s="51">
        <f t="shared" si="46"/>
        <v>167.50620317650586</v>
      </c>
      <c r="AC208" s="30" t="s">
        <v>60</v>
      </c>
      <c r="AD208" s="32" t="s">
        <v>65</v>
      </c>
      <c r="AE208" s="31" t="s">
        <v>67</v>
      </c>
      <c r="AF208" s="2"/>
      <c r="AG208" s="2"/>
      <c r="AH208" s="1" t="str">
        <f t="shared" si="59"/>
        <v/>
      </c>
      <c r="AI208" s="1" t="str">
        <f t="shared" si="59"/>
        <v/>
      </c>
      <c r="AJ208" s="1" t="str">
        <f t="shared" si="59"/>
        <v/>
      </c>
      <c r="AK208" s="1" t="str">
        <f t="shared" si="59"/>
        <v/>
      </c>
      <c r="AL208" s="1" t="str">
        <f t="shared" si="59"/>
        <v/>
      </c>
      <c r="AM208" s="1" t="str">
        <f t="shared" si="59"/>
        <v/>
      </c>
      <c r="AN208" s="52" t="str">
        <f t="shared" si="59"/>
        <v/>
      </c>
      <c r="AO208" s="1" t="str">
        <f t="shared" si="59"/>
        <v/>
      </c>
      <c r="AP208" s="1" t="str">
        <f t="shared" si="59"/>
        <v/>
      </c>
      <c r="AQ208" s="1" t="str">
        <f t="shared" si="59"/>
        <v/>
      </c>
      <c r="AR208" s="1" t="str">
        <f t="shared" si="59"/>
        <v/>
      </c>
      <c r="AS208" s="1">
        <f t="shared" si="59"/>
        <v>26857.142857142859</v>
      </c>
      <c r="AT208" s="1">
        <f t="shared" si="59"/>
        <v>12171.428571428571</v>
      </c>
      <c r="AU208" s="1" t="str">
        <f t="shared" si="59"/>
        <v/>
      </c>
      <c r="AV208" s="1">
        <f t="shared" si="59"/>
        <v>12171.428571428572</v>
      </c>
      <c r="AW208" s="1">
        <f t="shared" si="57"/>
        <v>12171.428571428572</v>
      </c>
      <c r="AX208" s="1">
        <f t="shared" si="57"/>
        <v>12171.428571428572</v>
      </c>
      <c r="AY208" s="1">
        <f t="shared" si="57"/>
        <v>12171.428571428572</v>
      </c>
      <c r="AZ208" s="1">
        <f t="shared" si="57"/>
        <v>12171.428571428572</v>
      </c>
      <c r="BA208" s="1" t="str">
        <f t="shared" si="57"/>
        <v/>
      </c>
      <c r="BB208" s="1">
        <f t="shared" si="57"/>
        <v>0</v>
      </c>
      <c r="BC208" s="1">
        <f t="shared" si="57"/>
        <v>0</v>
      </c>
    </row>
    <row r="209" spans="1:55" x14ac:dyDescent="0.25">
      <c r="A209" s="30" t="s">
        <v>60</v>
      </c>
      <c r="B209" s="32" t="s">
        <v>65</v>
      </c>
      <c r="C209" s="31" t="s">
        <v>68</v>
      </c>
      <c r="D209" s="2"/>
      <c r="E209" s="2"/>
      <c r="F209" s="51">
        <v>0</v>
      </c>
      <c r="G209" s="51">
        <v>0</v>
      </c>
      <c r="H209" s="51">
        <v>0</v>
      </c>
      <c r="I209" s="51">
        <v>0</v>
      </c>
      <c r="J209" s="51">
        <v>0</v>
      </c>
      <c r="K209" s="51">
        <v>0</v>
      </c>
      <c r="L209" s="80">
        <f>L29/L164</f>
        <v>398.4</v>
      </c>
      <c r="M209" s="51">
        <v>0</v>
      </c>
      <c r="N209" s="51">
        <v>0</v>
      </c>
      <c r="O209" s="51">
        <v>0</v>
      </c>
      <c r="P209" s="51">
        <v>0</v>
      </c>
      <c r="Q209" s="51">
        <v>0</v>
      </c>
      <c r="R209" s="51">
        <v>0</v>
      </c>
      <c r="S209" s="51">
        <v>0</v>
      </c>
      <c r="T209" s="51">
        <v>0</v>
      </c>
      <c r="U209" s="51">
        <v>0</v>
      </c>
      <c r="V209" s="51">
        <v>0</v>
      </c>
      <c r="W209" s="51">
        <v>0</v>
      </c>
      <c r="X209" s="55">
        <v>0</v>
      </c>
      <c r="Y209" s="59">
        <f t="shared" si="44"/>
        <v>0</v>
      </c>
      <c r="Z209" s="51">
        <f t="shared" si="45"/>
        <v>0</v>
      </c>
      <c r="AA209" s="51">
        <f t="shared" si="46"/>
        <v>398.4</v>
      </c>
      <c r="AC209" s="30" t="s">
        <v>60</v>
      </c>
      <c r="AD209" s="32" t="s">
        <v>65</v>
      </c>
      <c r="AE209" s="31" t="s">
        <v>68</v>
      </c>
      <c r="AF209" s="2"/>
      <c r="AG209" s="2"/>
      <c r="AH209" s="1" t="str">
        <f t="shared" si="59"/>
        <v/>
      </c>
      <c r="AI209" s="1" t="str">
        <f t="shared" si="59"/>
        <v/>
      </c>
      <c r="AJ209" s="1" t="str">
        <f t="shared" si="59"/>
        <v/>
      </c>
      <c r="AK209" s="1" t="str">
        <f t="shared" si="59"/>
        <v/>
      </c>
      <c r="AL209" s="1" t="str">
        <f t="shared" si="59"/>
        <v/>
      </c>
      <c r="AM209" s="1" t="str">
        <f t="shared" si="59"/>
        <v/>
      </c>
      <c r="AN209" s="52">
        <f t="shared" si="59"/>
        <v>18750</v>
      </c>
      <c r="AO209" s="1" t="str">
        <f t="shared" si="59"/>
        <v/>
      </c>
      <c r="AP209" s="1" t="str">
        <f t="shared" si="59"/>
        <v/>
      </c>
      <c r="AQ209" s="1" t="str">
        <f t="shared" si="59"/>
        <v/>
      </c>
      <c r="AR209" s="1" t="str">
        <f t="shared" si="59"/>
        <v/>
      </c>
      <c r="AS209" s="1" t="str">
        <f t="shared" si="59"/>
        <v/>
      </c>
      <c r="AT209" s="1" t="str">
        <f t="shared" si="59"/>
        <v/>
      </c>
      <c r="AU209" s="1" t="str">
        <f t="shared" si="59"/>
        <v/>
      </c>
      <c r="AV209" s="1" t="str">
        <f t="shared" si="59"/>
        <v/>
      </c>
      <c r="AW209" s="1" t="str">
        <f t="shared" si="57"/>
        <v/>
      </c>
      <c r="AX209" s="1" t="str">
        <f t="shared" si="57"/>
        <v/>
      </c>
      <c r="AY209" s="1" t="str">
        <f t="shared" si="57"/>
        <v/>
      </c>
      <c r="AZ209" s="1" t="str">
        <f t="shared" si="57"/>
        <v/>
      </c>
      <c r="BA209" s="1" t="str">
        <f t="shared" si="57"/>
        <v/>
      </c>
      <c r="BB209" s="1" t="str">
        <f t="shared" si="57"/>
        <v/>
      </c>
      <c r="BC209" s="1">
        <f t="shared" si="57"/>
        <v>0</v>
      </c>
    </row>
    <row r="210" spans="1:55" x14ac:dyDescent="0.25">
      <c r="A210" s="30" t="s">
        <v>60</v>
      </c>
      <c r="B210" s="32" t="s">
        <v>9</v>
      </c>
      <c r="C210" s="31" t="s">
        <v>69</v>
      </c>
      <c r="D210" s="2"/>
      <c r="E210" s="2"/>
      <c r="F210" s="51">
        <v>0</v>
      </c>
      <c r="G210" s="51">
        <v>0</v>
      </c>
      <c r="H210" s="51">
        <v>0</v>
      </c>
      <c r="I210" s="51">
        <v>0</v>
      </c>
      <c r="J210" s="51">
        <v>0</v>
      </c>
      <c r="K210" s="51">
        <v>0</v>
      </c>
      <c r="L210" s="52">
        <v>0</v>
      </c>
      <c r="M210" s="51">
        <v>0</v>
      </c>
      <c r="N210" s="51">
        <v>0</v>
      </c>
      <c r="O210" s="51">
        <v>0</v>
      </c>
      <c r="P210" s="51">
        <v>0</v>
      </c>
      <c r="Q210" s="51">
        <v>0</v>
      </c>
      <c r="R210" s="51">
        <v>0</v>
      </c>
      <c r="S210" s="51">
        <v>0</v>
      </c>
      <c r="T210" s="51">
        <v>0</v>
      </c>
      <c r="U210" s="51">
        <v>0</v>
      </c>
      <c r="V210" s="51">
        <v>0</v>
      </c>
      <c r="W210" s="51">
        <v>0</v>
      </c>
      <c r="X210" s="80">
        <f>X30/X165</f>
        <v>3.4931813100827185</v>
      </c>
      <c r="Y210" s="80">
        <f t="shared" si="44"/>
        <v>0</v>
      </c>
      <c r="Z210" s="80">
        <f t="shared" si="45"/>
        <v>3.4931813100827185</v>
      </c>
      <c r="AA210" s="51">
        <f t="shared" si="46"/>
        <v>3.4931813100827185</v>
      </c>
      <c r="AC210" s="30" t="s">
        <v>60</v>
      </c>
      <c r="AD210" s="32" t="s">
        <v>9</v>
      </c>
      <c r="AE210" s="31" t="s">
        <v>69</v>
      </c>
      <c r="AF210" s="2"/>
      <c r="AG210" s="2"/>
      <c r="AH210" s="1" t="str">
        <f t="shared" si="59"/>
        <v/>
      </c>
      <c r="AI210" s="1" t="str">
        <f t="shared" si="59"/>
        <v/>
      </c>
      <c r="AJ210" s="1" t="str">
        <f t="shared" si="59"/>
        <v/>
      </c>
      <c r="AK210" s="1" t="str">
        <f t="shared" si="59"/>
        <v/>
      </c>
      <c r="AL210" s="1" t="str">
        <f t="shared" si="59"/>
        <v/>
      </c>
      <c r="AM210" s="1" t="str">
        <f t="shared" si="59"/>
        <v/>
      </c>
      <c r="AN210" s="52" t="str">
        <f t="shared" si="59"/>
        <v/>
      </c>
      <c r="AO210" s="1" t="str">
        <f t="shared" si="59"/>
        <v/>
      </c>
      <c r="AP210" s="1" t="str">
        <f t="shared" si="59"/>
        <v/>
      </c>
      <c r="AQ210" s="1" t="str">
        <f t="shared" si="59"/>
        <v/>
      </c>
      <c r="AR210" s="1" t="str">
        <f t="shared" si="59"/>
        <v/>
      </c>
      <c r="AS210" s="1" t="str">
        <f t="shared" si="59"/>
        <v/>
      </c>
      <c r="AT210" s="1" t="str">
        <f t="shared" si="59"/>
        <v/>
      </c>
      <c r="AU210" s="1" t="str">
        <f t="shared" si="59"/>
        <v/>
      </c>
      <c r="AV210" s="1" t="str">
        <f t="shared" si="59"/>
        <v/>
      </c>
      <c r="AW210" s="1" t="str">
        <f t="shared" si="57"/>
        <v/>
      </c>
      <c r="AX210" s="1" t="str">
        <f t="shared" si="57"/>
        <v/>
      </c>
      <c r="AY210" s="1" t="str">
        <f t="shared" si="57"/>
        <v/>
      </c>
      <c r="AZ210" s="1">
        <f t="shared" si="57"/>
        <v>7100</v>
      </c>
      <c r="BA210" s="1" t="str">
        <f t="shared" si="57"/>
        <v/>
      </c>
      <c r="BB210" s="1">
        <f t="shared" si="57"/>
        <v>0</v>
      </c>
      <c r="BC210" s="1">
        <f t="shared" si="57"/>
        <v>0</v>
      </c>
    </row>
    <row r="211" spans="1:55" x14ac:dyDescent="0.25">
      <c r="A211" s="15" t="s">
        <v>51</v>
      </c>
      <c r="B211" s="16" t="s">
        <v>56</v>
      </c>
      <c r="C211" s="27" t="s">
        <v>57</v>
      </c>
      <c r="D211" s="16" t="s">
        <v>70</v>
      </c>
      <c r="E211" s="16"/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52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54">
        <v>0</v>
      </c>
      <c r="Y211" s="58">
        <f t="shared" si="44"/>
        <v>0</v>
      </c>
      <c r="Z211" s="1">
        <f t="shared" si="45"/>
        <v>0</v>
      </c>
      <c r="AA211" s="1">
        <f t="shared" si="46"/>
        <v>0</v>
      </c>
      <c r="AC211" s="15" t="s">
        <v>51</v>
      </c>
      <c r="AD211" s="16" t="s">
        <v>56</v>
      </c>
      <c r="AE211" s="27" t="s">
        <v>57</v>
      </c>
      <c r="AF211" s="16" t="s">
        <v>70</v>
      </c>
      <c r="AG211" s="16"/>
      <c r="AH211" s="90" t="str">
        <f t="shared" si="59"/>
        <v/>
      </c>
      <c r="AI211" s="90" t="str">
        <f t="shared" si="59"/>
        <v/>
      </c>
      <c r="AJ211" s="90" t="str">
        <f t="shared" si="59"/>
        <v/>
      </c>
      <c r="AK211" s="90" t="str">
        <f t="shared" si="59"/>
        <v/>
      </c>
      <c r="AL211" s="90" t="str">
        <f t="shared" si="59"/>
        <v/>
      </c>
      <c r="AM211" s="90" t="str">
        <f t="shared" si="59"/>
        <v/>
      </c>
      <c r="AN211" s="90" t="str">
        <f t="shared" si="59"/>
        <v/>
      </c>
      <c r="AO211" s="90" t="str">
        <f t="shared" si="59"/>
        <v/>
      </c>
      <c r="AP211" s="90" t="str">
        <f t="shared" si="59"/>
        <v/>
      </c>
      <c r="AQ211" s="90" t="str">
        <f t="shared" si="59"/>
        <v/>
      </c>
      <c r="AR211" s="90" t="str">
        <f t="shared" si="59"/>
        <v/>
      </c>
      <c r="AS211" s="90" t="str">
        <f t="shared" si="59"/>
        <v/>
      </c>
      <c r="AT211" s="90" t="str">
        <f t="shared" si="59"/>
        <v/>
      </c>
      <c r="AU211" s="90" t="str">
        <f t="shared" si="59"/>
        <v/>
      </c>
      <c r="AV211" s="90" t="str">
        <f t="shared" si="59"/>
        <v/>
      </c>
      <c r="AW211" s="90" t="str">
        <f t="shared" si="57"/>
        <v/>
      </c>
      <c r="AX211" s="90" t="str">
        <f t="shared" si="57"/>
        <v/>
      </c>
      <c r="AY211" s="90" t="str">
        <f t="shared" si="57"/>
        <v/>
      </c>
      <c r="AZ211" s="90" t="str">
        <f t="shared" si="57"/>
        <v/>
      </c>
      <c r="BA211" s="90" t="str">
        <f t="shared" si="57"/>
        <v/>
      </c>
      <c r="BB211" s="90" t="str">
        <f t="shared" si="57"/>
        <v/>
      </c>
      <c r="BC211" s="90" t="str">
        <f t="shared" si="57"/>
        <v/>
      </c>
    </row>
    <row r="212" spans="1:55" x14ac:dyDescent="0.25">
      <c r="A212" s="15" t="s">
        <v>51</v>
      </c>
      <c r="B212" s="16" t="s">
        <v>56</v>
      </c>
      <c r="C212" s="27" t="s">
        <v>57</v>
      </c>
      <c r="D212" s="16" t="s">
        <v>71</v>
      </c>
      <c r="E212" s="16"/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52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54">
        <v>0</v>
      </c>
      <c r="Y212" s="58">
        <f t="shared" si="44"/>
        <v>0</v>
      </c>
      <c r="Z212" s="1">
        <f t="shared" si="45"/>
        <v>0</v>
      </c>
      <c r="AA212" s="1">
        <f t="shared" si="46"/>
        <v>0</v>
      </c>
      <c r="AC212" s="15" t="s">
        <v>51</v>
      </c>
      <c r="AD212" s="16" t="s">
        <v>56</v>
      </c>
      <c r="AE212" s="27" t="s">
        <v>57</v>
      </c>
      <c r="AF212" s="16" t="s">
        <v>71</v>
      </c>
      <c r="AG212" s="16"/>
      <c r="AH212" s="90" t="str">
        <f t="shared" si="59"/>
        <v/>
      </c>
      <c r="AI212" s="90" t="str">
        <f t="shared" si="59"/>
        <v/>
      </c>
      <c r="AJ212" s="90" t="str">
        <f t="shared" si="59"/>
        <v/>
      </c>
      <c r="AK212" s="90" t="str">
        <f t="shared" si="59"/>
        <v/>
      </c>
      <c r="AL212" s="90" t="str">
        <f t="shared" si="59"/>
        <v/>
      </c>
      <c r="AM212" s="90" t="str">
        <f t="shared" si="59"/>
        <v/>
      </c>
      <c r="AN212" s="90" t="str">
        <f t="shared" si="59"/>
        <v/>
      </c>
      <c r="AO212" s="90" t="str">
        <f t="shared" si="59"/>
        <v/>
      </c>
      <c r="AP212" s="90" t="str">
        <f t="shared" si="59"/>
        <v/>
      </c>
      <c r="AQ212" s="90" t="str">
        <f t="shared" si="59"/>
        <v/>
      </c>
      <c r="AR212" s="90" t="str">
        <f t="shared" si="59"/>
        <v/>
      </c>
      <c r="AS212" s="90" t="str">
        <f t="shared" si="59"/>
        <v/>
      </c>
      <c r="AT212" s="90" t="str">
        <f t="shared" si="59"/>
        <v/>
      </c>
      <c r="AU212" s="90" t="str">
        <f t="shared" si="59"/>
        <v/>
      </c>
      <c r="AV212" s="90" t="str">
        <f t="shared" si="59"/>
        <v/>
      </c>
      <c r="AW212" s="90" t="str">
        <f t="shared" si="57"/>
        <v/>
      </c>
      <c r="AX212" s="90" t="str">
        <f t="shared" si="57"/>
        <v/>
      </c>
      <c r="AY212" s="90" t="str">
        <f t="shared" si="57"/>
        <v/>
      </c>
      <c r="AZ212" s="90" t="str">
        <f t="shared" si="57"/>
        <v/>
      </c>
      <c r="BA212" s="90" t="str">
        <f t="shared" si="57"/>
        <v/>
      </c>
      <c r="BB212" s="90" t="str">
        <f t="shared" si="57"/>
        <v/>
      </c>
      <c r="BC212" s="90" t="str">
        <f t="shared" si="57"/>
        <v/>
      </c>
    </row>
    <row r="213" spans="1:55" x14ac:dyDescent="0.25">
      <c r="A213" s="15" t="s">
        <v>51</v>
      </c>
      <c r="B213" s="16" t="s">
        <v>56</v>
      </c>
      <c r="C213" s="27" t="s">
        <v>27</v>
      </c>
      <c r="D213" s="16" t="s">
        <v>72</v>
      </c>
      <c r="E213" s="16"/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52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54">
        <v>0</v>
      </c>
      <c r="Y213" s="58">
        <f t="shared" si="44"/>
        <v>0</v>
      </c>
      <c r="Z213" s="1">
        <f t="shared" si="45"/>
        <v>0</v>
      </c>
      <c r="AA213" s="1">
        <f t="shared" si="46"/>
        <v>0</v>
      </c>
      <c r="AC213" s="15" t="s">
        <v>51</v>
      </c>
      <c r="AD213" s="16" t="s">
        <v>56</v>
      </c>
      <c r="AE213" s="27" t="s">
        <v>27</v>
      </c>
      <c r="AF213" s="16" t="s">
        <v>72</v>
      </c>
      <c r="AG213" s="16"/>
      <c r="AH213" s="90" t="str">
        <f t="shared" si="59"/>
        <v/>
      </c>
      <c r="AI213" s="90" t="str">
        <f t="shared" si="59"/>
        <v/>
      </c>
      <c r="AJ213" s="90" t="str">
        <f t="shared" si="59"/>
        <v/>
      </c>
      <c r="AK213" s="90" t="str">
        <f t="shared" si="59"/>
        <v/>
      </c>
      <c r="AL213" s="90" t="str">
        <f t="shared" si="59"/>
        <v/>
      </c>
      <c r="AM213" s="90" t="str">
        <f t="shared" si="59"/>
        <v/>
      </c>
      <c r="AN213" s="90" t="str">
        <f t="shared" si="59"/>
        <v/>
      </c>
      <c r="AO213" s="90" t="str">
        <f t="shared" si="59"/>
        <v/>
      </c>
      <c r="AP213" s="90" t="str">
        <f t="shared" si="59"/>
        <v/>
      </c>
      <c r="AQ213" s="90" t="str">
        <f t="shared" si="59"/>
        <v/>
      </c>
      <c r="AR213" s="90" t="str">
        <f t="shared" si="59"/>
        <v/>
      </c>
      <c r="AS213" s="90" t="str">
        <f t="shared" si="59"/>
        <v/>
      </c>
      <c r="AT213" s="90" t="str">
        <f t="shared" si="59"/>
        <v/>
      </c>
      <c r="AU213" s="90" t="str">
        <f t="shared" si="59"/>
        <v/>
      </c>
      <c r="AV213" s="90" t="str">
        <f t="shared" si="59"/>
        <v/>
      </c>
      <c r="AW213" s="90" t="str">
        <f t="shared" si="57"/>
        <v/>
      </c>
      <c r="AX213" s="90" t="str">
        <f t="shared" si="57"/>
        <v/>
      </c>
      <c r="AY213" s="90" t="str">
        <f t="shared" si="57"/>
        <v/>
      </c>
      <c r="AZ213" s="90" t="str">
        <f t="shared" si="57"/>
        <v/>
      </c>
      <c r="BA213" s="90" t="str">
        <f t="shared" si="57"/>
        <v/>
      </c>
      <c r="BB213" s="90" t="str">
        <f t="shared" si="57"/>
        <v/>
      </c>
      <c r="BC213" s="90" t="str">
        <f t="shared" si="57"/>
        <v/>
      </c>
    </row>
    <row r="214" spans="1:55" x14ac:dyDescent="0.25">
      <c r="A214" s="15" t="s">
        <v>51</v>
      </c>
      <c r="B214" s="16" t="s">
        <v>56</v>
      </c>
      <c r="C214" s="27" t="s">
        <v>57</v>
      </c>
      <c r="D214" s="16" t="s">
        <v>73</v>
      </c>
      <c r="E214" s="16"/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52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54">
        <v>0</v>
      </c>
      <c r="Y214" s="58">
        <f t="shared" si="44"/>
        <v>0</v>
      </c>
      <c r="Z214" s="1">
        <f t="shared" si="45"/>
        <v>0</v>
      </c>
      <c r="AA214" s="1">
        <f t="shared" si="46"/>
        <v>0</v>
      </c>
      <c r="AC214" s="15" t="s">
        <v>51</v>
      </c>
      <c r="AD214" s="16" t="s">
        <v>56</v>
      </c>
      <c r="AE214" s="27" t="s">
        <v>57</v>
      </c>
      <c r="AF214" s="16" t="s">
        <v>73</v>
      </c>
      <c r="AG214" s="16"/>
      <c r="AH214" s="90" t="str">
        <f t="shared" si="59"/>
        <v/>
      </c>
      <c r="AI214" s="90" t="str">
        <f t="shared" si="59"/>
        <v/>
      </c>
      <c r="AJ214" s="90" t="str">
        <f t="shared" si="59"/>
        <v/>
      </c>
      <c r="AK214" s="90" t="str">
        <f t="shared" si="59"/>
        <v/>
      </c>
      <c r="AL214" s="90" t="str">
        <f t="shared" si="59"/>
        <v/>
      </c>
      <c r="AM214" s="90" t="str">
        <f t="shared" si="59"/>
        <v/>
      </c>
      <c r="AN214" s="90" t="str">
        <f t="shared" si="59"/>
        <v/>
      </c>
      <c r="AO214" s="90" t="str">
        <f t="shared" si="59"/>
        <v/>
      </c>
      <c r="AP214" s="90" t="str">
        <f t="shared" si="59"/>
        <v/>
      </c>
      <c r="AQ214" s="90" t="str">
        <f t="shared" si="59"/>
        <v/>
      </c>
      <c r="AR214" s="90" t="str">
        <f t="shared" si="59"/>
        <v/>
      </c>
      <c r="AS214" s="90" t="str">
        <f t="shared" si="59"/>
        <v/>
      </c>
      <c r="AT214" s="90" t="str">
        <f t="shared" si="59"/>
        <v/>
      </c>
      <c r="AU214" s="90" t="str">
        <f t="shared" si="59"/>
        <v/>
      </c>
      <c r="AV214" s="90" t="str">
        <f t="shared" si="59"/>
        <v/>
      </c>
      <c r="AW214" s="90" t="str">
        <f t="shared" si="57"/>
        <v/>
      </c>
      <c r="AX214" s="90" t="str">
        <f t="shared" si="57"/>
        <v/>
      </c>
      <c r="AY214" s="90" t="str">
        <f t="shared" si="57"/>
        <v/>
      </c>
      <c r="AZ214" s="90" t="str">
        <f t="shared" si="57"/>
        <v/>
      </c>
      <c r="BA214" s="90" t="str">
        <f t="shared" si="57"/>
        <v/>
      </c>
      <c r="BB214" s="90" t="str">
        <f t="shared" si="57"/>
        <v/>
      </c>
      <c r="BC214" s="90" t="str">
        <f t="shared" si="57"/>
        <v/>
      </c>
    </row>
    <row r="215" spans="1:55" x14ac:dyDescent="0.25">
      <c r="A215" s="15" t="s">
        <v>51</v>
      </c>
      <c r="B215" s="16" t="s">
        <v>56</v>
      </c>
      <c r="C215" s="27" t="s">
        <v>57</v>
      </c>
      <c r="D215" s="16" t="s">
        <v>74</v>
      </c>
      <c r="E215" s="16"/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52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54">
        <v>0</v>
      </c>
      <c r="Y215" s="58">
        <f t="shared" si="44"/>
        <v>0</v>
      </c>
      <c r="Z215" s="1">
        <f t="shared" si="45"/>
        <v>0</v>
      </c>
      <c r="AA215" s="1">
        <f t="shared" si="46"/>
        <v>0</v>
      </c>
      <c r="AC215" s="15" t="s">
        <v>51</v>
      </c>
      <c r="AD215" s="16" t="s">
        <v>56</v>
      </c>
      <c r="AE215" s="27" t="s">
        <v>57</v>
      </c>
      <c r="AF215" s="16" t="s">
        <v>74</v>
      </c>
      <c r="AG215" s="16"/>
      <c r="AH215" s="90" t="str">
        <f t="shared" si="59"/>
        <v/>
      </c>
      <c r="AI215" s="90" t="str">
        <f t="shared" si="59"/>
        <v/>
      </c>
      <c r="AJ215" s="90" t="str">
        <f t="shared" si="59"/>
        <v/>
      </c>
      <c r="AK215" s="90" t="str">
        <f t="shared" si="59"/>
        <v/>
      </c>
      <c r="AL215" s="90" t="str">
        <f t="shared" si="59"/>
        <v/>
      </c>
      <c r="AM215" s="90" t="str">
        <f t="shared" si="59"/>
        <v/>
      </c>
      <c r="AN215" s="90" t="str">
        <f t="shared" si="59"/>
        <v/>
      </c>
      <c r="AO215" s="90" t="str">
        <f t="shared" si="59"/>
        <v/>
      </c>
      <c r="AP215" s="90" t="str">
        <f t="shared" si="59"/>
        <v/>
      </c>
      <c r="AQ215" s="90" t="str">
        <f t="shared" si="59"/>
        <v/>
      </c>
      <c r="AR215" s="90" t="str">
        <f t="shared" si="59"/>
        <v/>
      </c>
      <c r="AS215" s="90" t="str">
        <f t="shared" si="59"/>
        <v/>
      </c>
      <c r="AT215" s="90" t="str">
        <f t="shared" si="59"/>
        <v/>
      </c>
      <c r="AU215" s="90" t="str">
        <f t="shared" si="59"/>
        <v/>
      </c>
      <c r="AV215" s="90" t="str">
        <f t="shared" si="59"/>
        <v/>
      </c>
      <c r="AW215" s="90" t="str">
        <f t="shared" si="57"/>
        <v/>
      </c>
      <c r="AX215" s="90" t="str">
        <f t="shared" si="57"/>
        <v/>
      </c>
      <c r="AY215" s="90" t="str">
        <f t="shared" si="57"/>
        <v/>
      </c>
      <c r="AZ215" s="90" t="str">
        <f t="shared" si="57"/>
        <v/>
      </c>
      <c r="BA215" s="90" t="str">
        <f t="shared" si="57"/>
        <v/>
      </c>
      <c r="BB215" s="90" t="str">
        <f t="shared" si="57"/>
        <v/>
      </c>
      <c r="BC215" s="90" t="str">
        <f t="shared" si="57"/>
        <v/>
      </c>
    </row>
    <row r="216" spans="1:55" x14ac:dyDescent="0.25">
      <c r="A216" s="30" t="s">
        <v>60</v>
      </c>
      <c r="B216" s="31" t="s">
        <v>13</v>
      </c>
      <c r="C216" s="32" t="s">
        <v>61</v>
      </c>
      <c r="D216" s="31" t="s">
        <v>75</v>
      </c>
      <c r="E216" s="31"/>
      <c r="F216" s="51">
        <f>F201*0.9</f>
        <v>90</v>
      </c>
      <c r="G216" s="73"/>
      <c r="H216" s="51">
        <f>H201</f>
        <v>250</v>
      </c>
      <c r="I216" s="51">
        <f>I201*0.9</f>
        <v>127.73793103448277</v>
      </c>
      <c r="J216" s="51">
        <f>J201*0.3</f>
        <v>17.55</v>
      </c>
      <c r="K216" s="51">
        <f>K201*0.8</f>
        <v>82.758620689655174</v>
      </c>
      <c r="L216" s="52">
        <v>0</v>
      </c>
      <c r="M216" s="73">
        <f>M201*0.1</f>
        <v>1.375</v>
      </c>
      <c r="N216" s="73">
        <v>0</v>
      </c>
      <c r="O216" s="73">
        <v>0</v>
      </c>
      <c r="P216" s="73">
        <v>0</v>
      </c>
      <c r="Q216" s="73"/>
      <c r="R216" s="73"/>
      <c r="S216" s="51"/>
      <c r="T216" s="51"/>
      <c r="U216" s="51"/>
      <c r="V216" s="51"/>
      <c r="W216" s="51">
        <f>W201</f>
        <v>0.32276995305164319</v>
      </c>
      <c r="X216" s="55">
        <f>X246*0.1</f>
        <v>4.7619047619047628</v>
      </c>
      <c r="Y216" s="59">
        <f t="shared" si="44"/>
        <v>568.046551724138</v>
      </c>
      <c r="Z216" s="51">
        <f t="shared" si="45"/>
        <v>6.4596747149564058</v>
      </c>
      <c r="AA216" s="51">
        <f t="shared" si="46"/>
        <v>574.50622643909435</v>
      </c>
      <c r="AC216" s="30" t="s">
        <v>60</v>
      </c>
      <c r="AD216" s="31" t="s">
        <v>13</v>
      </c>
      <c r="AE216" s="32" t="s">
        <v>61</v>
      </c>
      <c r="AF216" s="31" t="s">
        <v>75</v>
      </c>
      <c r="AG216" s="31"/>
      <c r="AH216" s="1">
        <f t="shared" si="59"/>
        <v>276.31578947368416</v>
      </c>
      <c r="AI216" s="1" t="str">
        <f t="shared" si="59"/>
        <v/>
      </c>
      <c r="AJ216" s="1">
        <f t="shared" si="59"/>
        <v>39.513599999999997</v>
      </c>
      <c r="AK216" s="1">
        <f t="shared" si="59"/>
        <v>161.11111111111111</v>
      </c>
      <c r="AL216" s="1">
        <f t="shared" si="59"/>
        <v>392.15686274509795</v>
      </c>
      <c r="AM216" s="1">
        <f t="shared" si="59"/>
        <v>170.58823529411765</v>
      </c>
      <c r="AN216" s="52" t="str">
        <f t="shared" si="59"/>
        <v/>
      </c>
      <c r="AO216" s="1">
        <f t="shared" si="59"/>
        <v>2222.2222222222222</v>
      </c>
      <c r="AP216" s="1" t="str">
        <f t="shared" si="59"/>
        <v/>
      </c>
      <c r="AQ216" s="1" t="str">
        <f t="shared" si="59"/>
        <v/>
      </c>
      <c r="AR216" s="1" t="str">
        <f t="shared" si="59"/>
        <v/>
      </c>
      <c r="AS216" s="1" t="str">
        <f t="shared" si="59"/>
        <v/>
      </c>
      <c r="AT216" s="1" t="str">
        <f t="shared" si="59"/>
        <v/>
      </c>
      <c r="AU216" s="1" t="str">
        <f t="shared" si="59"/>
        <v/>
      </c>
      <c r="AV216" s="1" t="str">
        <f t="shared" si="59"/>
        <v/>
      </c>
      <c r="AW216" s="1" t="str">
        <f t="shared" si="57"/>
        <v/>
      </c>
      <c r="AX216" s="1" t="str">
        <f t="shared" si="57"/>
        <v/>
      </c>
      <c r="AY216" s="1">
        <f t="shared" si="57"/>
        <v>2366.6666666666665</v>
      </c>
      <c r="AZ216" s="1">
        <f t="shared" si="57"/>
        <v>3779.9999999999995</v>
      </c>
      <c r="BA216" s="1">
        <f t="shared" si="57"/>
        <v>0</v>
      </c>
      <c r="BB216" s="1">
        <f t="shared" si="57"/>
        <v>0</v>
      </c>
      <c r="BC216" s="1">
        <f t="shared" si="57"/>
        <v>0</v>
      </c>
    </row>
    <row r="217" spans="1:55" x14ac:dyDescent="0.25">
      <c r="A217" s="30" t="s">
        <v>60</v>
      </c>
      <c r="B217" s="31" t="s">
        <v>13</v>
      </c>
      <c r="C217" s="32" t="s">
        <v>61</v>
      </c>
      <c r="D217" s="31" t="s">
        <v>76</v>
      </c>
      <c r="E217" s="31"/>
      <c r="F217" s="51">
        <f>F201*0.1</f>
        <v>10</v>
      </c>
      <c r="G217" s="51">
        <v>0</v>
      </c>
      <c r="H217" s="51">
        <v>0</v>
      </c>
      <c r="I217" s="51">
        <f>I201*0.05</f>
        <v>7.0965517241379317</v>
      </c>
      <c r="J217" s="51">
        <f>J201*0.7</f>
        <v>40.949999999999996</v>
      </c>
      <c r="K217" s="51">
        <f>K201*0.05</f>
        <v>5.1724137931034484</v>
      </c>
      <c r="L217" s="52">
        <v>0</v>
      </c>
      <c r="M217" s="73">
        <f>M201*0.5</f>
        <v>6.875</v>
      </c>
      <c r="N217" s="73">
        <f>N201</f>
        <v>2.9</v>
      </c>
      <c r="O217" s="73">
        <f>O201*0.5</f>
        <v>0.24</v>
      </c>
      <c r="P217" s="73">
        <f>P201*0.44</f>
        <v>0.24974399999999999</v>
      </c>
      <c r="Q217" s="73"/>
      <c r="R217" s="73">
        <f>R201</f>
        <v>8.6071987480438192</v>
      </c>
      <c r="S217" s="51"/>
      <c r="T217" s="51"/>
      <c r="U217" s="51"/>
      <c r="V217" s="51"/>
      <c r="W217" s="51"/>
      <c r="X217" s="55">
        <f>X246*0.1</f>
        <v>4.7619047619047628</v>
      </c>
      <c r="Y217" s="59">
        <f t="shared" si="44"/>
        <v>63.218965517241372</v>
      </c>
      <c r="Z217" s="51">
        <f t="shared" si="45"/>
        <v>23.633847509948584</v>
      </c>
      <c r="AA217" s="51">
        <f t="shared" si="46"/>
        <v>86.852813027189953</v>
      </c>
      <c r="AC217" s="30" t="s">
        <v>60</v>
      </c>
      <c r="AD217" s="31" t="s">
        <v>13</v>
      </c>
      <c r="AE217" s="32" t="s">
        <v>61</v>
      </c>
      <c r="AF217" s="31" t="s">
        <v>76</v>
      </c>
      <c r="AG217" s="31"/>
      <c r="AH217" s="1">
        <f t="shared" si="59"/>
        <v>276.31578947368422</v>
      </c>
      <c r="AI217" s="1" t="str">
        <f t="shared" si="59"/>
        <v/>
      </c>
      <c r="AJ217" s="1" t="str">
        <f t="shared" si="59"/>
        <v/>
      </c>
      <c r="AK217" s="1">
        <f t="shared" si="59"/>
        <v>161.11111111111109</v>
      </c>
      <c r="AL217" s="1">
        <f t="shared" si="59"/>
        <v>392.15686274509807</v>
      </c>
      <c r="AM217" s="1">
        <f t="shared" si="59"/>
        <v>170.58823529411765</v>
      </c>
      <c r="AN217" s="52" t="str">
        <f t="shared" si="59"/>
        <v/>
      </c>
      <c r="AO217" s="1">
        <f t="shared" si="59"/>
        <v>2222.2222222222222</v>
      </c>
      <c r="AP217" s="1">
        <f t="shared" si="59"/>
        <v>4741.379310344827</v>
      </c>
      <c r="AQ217" s="1">
        <f t="shared" si="59"/>
        <v>71875</v>
      </c>
      <c r="AR217" s="1">
        <f t="shared" si="59"/>
        <v>489390.02427374519</v>
      </c>
      <c r="AS217" s="1" t="str">
        <f t="shared" si="59"/>
        <v/>
      </c>
      <c r="AT217" s="1">
        <f t="shared" si="59"/>
        <v>2366.6666666666665</v>
      </c>
      <c r="AU217" s="1" t="str">
        <f t="shared" si="59"/>
        <v/>
      </c>
      <c r="AV217" s="1" t="str">
        <f t="shared" si="59"/>
        <v/>
      </c>
      <c r="AW217" s="1" t="str">
        <f t="shared" si="57"/>
        <v/>
      </c>
      <c r="AX217" s="1" t="str">
        <f t="shared" si="57"/>
        <v/>
      </c>
      <c r="AY217" s="1" t="str">
        <f t="shared" si="57"/>
        <v/>
      </c>
      <c r="AZ217" s="1">
        <f t="shared" si="57"/>
        <v>3779.9999999999995</v>
      </c>
      <c r="BA217" s="1">
        <f t="shared" si="57"/>
        <v>0</v>
      </c>
      <c r="BB217" s="1">
        <f t="shared" si="57"/>
        <v>0</v>
      </c>
      <c r="BC217" s="1">
        <f t="shared" si="57"/>
        <v>0</v>
      </c>
    </row>
    <row r="218" spans="1:55" x14ac:dyDescent="0.25">
      <c r="A218" s="30" t="s">
        <v>60</v>
      </c>
      <c r="B218" s="31" t="s">
        <v>13</v>
      </c>
      <c r="C218" s="32" t="s">
        <v>61</v>
      </c>
      <c r="D218" s="31" t="s">
        <v>77</v>
      </c>
      <c r="E218" s="31"/>
      <c r="F218" s="51">
        <v>0</v>
      </c>
      <c r="G218" s="51">
        <v>0</v>
      </c>
      <c r="H218" s="51">
        <v>0</v>
      </c>
      <c r="I218" s="51">
        <v>0</v>
      </c>
      <c r="J218" s="51">
        <v>0</v>
      </c>
      <c r="K218" s="51">
        <f>K201*0.1</f>
        <v>10.344827586206897</v>
      </c>
      <c r="L218" s="52">
        <v>0</v>
      </c>
      <c r="M218" s="73">
        <f>M201*0.4</f>
        <v>5.5</v>
      </c>
      <c r="N218" s="73">
        <v>0</v>
      </c>
      <c r="O218" s="73">
        <f>O201*0.5</f>
        <v>0.24</v>
      </c>
      <c r="P218" s="73">
        <f>P201*0.55</f>
        <v>0.31218000000000001</v>
      </c>
      <c r="Q218" s="73"/>
      <c r="R218" s="73"/>
      <c r="S218" s="51"/>
      <c r="T218" s="51">
        <f>T201</f>
        <v>2.6827632461435278</v>
      </c>
      <c r="U218" s="51">
        <f>U201</f>
        <v>4.8015364916773366</v>
      </c>
      <c r="V218" s="51"/>
      <c r="W218" s="51"/>
      <c r="X218" s="55">
        <f>X246*0.7</f>
        <v>33.333333333333336</v>
      </c>
      <c r="Y218" s="59">
        <f t="shared" si="44"/>
        <v>10.344827586206897</v>
      </c>
      <c r="Z218" s="51">
        <f t="shared" si="45"/>
        <v>46.869813071154198</v>
      </c>
      <c r="AA218" s="51">
        <f t="shared" si="46"/>
        <v>57.214640657361095</v>
      </c>
      <c r="AC218" s="30" t="s">
        <v>60</v>
      </c>
      <c r="AD218" s="31" t="s">
        <v>13</v>
      </c>
      <c r="AE218" s="32" t="s">
        <v>61</v>
      </c>
      <c r="AF218" s="31" t="s">
        <v>77</v>
      </c>
      <c r="AG218" s="31"/>
      <c r="AH218" s="1" t="str">
        <f t="shared" ref="AH218:AV225" si="61">IF(F218&gt;0,F263/F218*1000,"")</f>
        <v/>
      </c>
      <c r="AI218" s="1" t="str">
        <f t="shared" si="61"/>
        <v/>
      </c>
      <c r="AJ218" s="1" t="str">
        <f t="shared" si="61"/>
        <v/>
      </c>
      <c r="AK218" s="1" t="str">
        <f t="shared" si="61"/>
        <v/>
      </c>
      <c r="AL218" s="1" t="str">
        <f t="shared" si="61"/>
        <v/>
      </c>
      <c r="AM218" s="1">
        <f t="shared" si="61"/>
        <v>170.58823529411765</v>
      </c>
      <c r="AN218" s="52" t="str">
        <f t="shared" si="61"/>
        <v/>
      </c>
      <c r="AO218" s="1">
        <f t="shared" si="61"/>
        <v>2222.2222222222222</v>
      </c>
      <c r="AP218" s="1" t="str">
        <f t="shared" si="61"/>
        <v/>
      </c>
      <c r="AQ218" s="1">
        <f t="shared" si="61"/>
        <v>71875</v>
      </c>
      <c r="AR218" s="1">
        <f t="shared" si="61"/>
        <v>489390.02427374525</v>
      </c>
      <c r="AS218" s="1" t="str">
        <f t="shared" si="61"/>
        <v/>
      </c>
      <c r="AT218" s="1" t="str">
        <f t="shared" si="61"/>
        <v/>
      </c>
      <c r="AU218" s="1" t="str">
        <f t="shared" si="61"/>
        <v/>
      </c>
      <c r="AV218" s="1">
        <f t="shared" si="61"/>
        <v>2366.6666666666665</v>
      </c>
      <c r="AW218" s="1">
        <f t="shared" si="57"/>
        <v>2366.6666666666665</v>
      </c>
      <c r="AX218" s="1" t="str">
        <f t="shared" si="57"/>
        <v/>
      </c>
      <c r="AY218" s="1" t="str">
        <f t="shared" si="57"/>
        <v/>
      </c>
      <c r="AZ218" s="1">
        <f t="shared" si="57"/>
        <v>3779.9999999999995</v>
      </c>
      <c r="BA218" s="1">
        <f t="shared" si="57"/>
        <v>0</v>
      </c>
      <c r="BB218" s="1">
        <f t="shared" si="57"/>
        <v>0</v>
      </c>
      <c r="BC218" s="1">
        <f t="shared" si="57"/>
        <v>0</v>
      </c>
    </row>
    <row r="219" spans="1:55" x14ac:dyDescent="0.25">
      <c r="A219" s="30" t="s">
        <v>60</v>
      </c>
      <c r="B219" s="31" t="s">
        <v>13</v>
      </c>
      <c r="C219" s="32" t="s">
        <v>61</v>
      </c>
      <c r="D219" s="31" t="s">
        <v>78</v>
      </c>
      <c r="E219" s="31"/>
      <c r="F219" s="51">
        <v>0</v>
      </c>
      <c r="G219" s="51">
        <v>0</v>
      </c>
      <c r="H219" s="51">
        <v>0</v>
      </c>
      <c r="I219" s="51">
        <f>I201*0.05</f>
        <v>7.0965517241379317</v>
      </c>
      <c r="J219" s="51">
        <v>0</v>
      </c>
      <c r="K219" s="51">
        <f>K201*0.05</f>
        <v>5.1724137931034484</v>
      </c>
      <c r="L219" s="52">
        <v>0</v>
      </c>
      <c r="M219" s="73">
        <f>M201*0</f>
        <v>0</v>
      </c>
      <c r="N219" s="73">
        <v>0</v>
      </c>
      <c r="O219" s="73">
        <f>O201*0</f>
        <v>0</v>
      </c>
      <c r="P219" s="73">
        <f>(P201)*0.01</f>
        <v>5.6759999999999996E-3</v>
      </c>
      <c r="Q219" s="73">
        <f>Q201</f>
        <v>4.2553191489361701</v>
      </c>
      <c r="R219" s="73"/>
      <c r="S219" s="51"/>
      <c r="T219" s="51"/>
      <c r="U219" s="51"/>
      <c r="V219" s="51"/>
      <c r="W219" s="51"/>
      <c r="X219" s="55">
        <f>X201*0.1</f>
        <v>2.0120724346076462</v>
      </c>
      <c r="Y219" s="59">
        <f t="shared" si="44"/>
        <v>12.26896551724138</v>
      </c>
      <c r="Z219" s="51">
        <f t="shared" si="45"/>
        <v>6.273067583543817</v>
      </c>
      <c r="AA219" s="51">
        <f t="shared" si="46"/>
        <v>18.542033100785197</v>
      </c>
      <c r="AC219" s="30" t="s">
        <v>60</v>
      </c>
      <c r="AD219" s="31" t="s">
        <v>13</v>
      </c>
      <c r="AE219" s="32" t="s">
        <v>61</v>
      </c>
      <c r="AF219" s="31" t="s">
        <v>78</v>
      </c>
      <c r="AG219" s="31"/>
      <c r="AH219" s="1" t="str">
        <f t="shared" si="61"/>
        <v/>
      </c>
      <c r="AI219" s="1" t="str">
        <f t="shared" si="61"/>
        <v/>
      </c>
      <c r="AJ219" s="1" t="str">
        <f t="shared" si="61"/>
        <v/>
      </c>
      <c r="AK219" s="1">
        <f t="shared" si="61"/>
        <v>161.11111111111109</v>
      </c>
      <c r="AL219" s="1" t="str">
        <f t="shared" si="61"/>
        <v/>
      </c>
      <c r="AM219" s="1">
        <f t="shared" si="61"/>
        <v>170.58823529411765</v>
      </c>
      <c r="AN219" s="52" t="str">
        <f t="shared" si="61"/>
        <v/>
      </c>
      <c r="AO219" s="1" t="str">
        <f t="shared" si="61"/>
        <v/>
      </c>
      <c r="AP219" s="1" t="str">
        <f t="shared" si="61"/>
        <v/>
      </c>
      <c r="AQ219" s="1" t="str">
        <f t="shared" si="61"/>
        <v/>
      </c>
      <c r="AR219" s="1">
        <f t="shared" si="61"/>
        <v>489390.02427374519</v>
      </c>
      <c r="AS219" s="1">
        <f t="shared" si="61"/>
        <v>5222.2222222222226</v>
      </c>
      <c r="AT219" s="1" t="str">
        <f t="shared" si="61"/>
        <v/>
      </c>
      <c r="AU219" s="1" t="str">
        <f t="shared" si="61"/>
        <v/>
      </c>
      <c r="AV219" s="1" t="str">
        <f t="shared" si="61"/>
        <v/>
      </c>
      <c r="AW219" s="1" t="str">
        <f t="shared" si="57"/>
        <v/>
      </c>
      <c r="AX219" s="1" t="str">
        <f t="shared" si="57"/>
        <v/>
      </c>
      <c r="AY219" s="1" t="str">
        <f t="shared" si="57"/>
        <v/>
      </c>
      <c r="AZ219" s="1">
        <f t="shared" si="57"/>
        <v>2366.6666666666665</v>
      </c>
      <c r="BA219" s="1">
        <f t="shared" si="57"/>
        <v>0</v>
      </c>
      <c r="BB219" s="1">
        <f t="shared" si="57"/>
        <v>0</v>
      </c>
      <c r="BC219" s="1">
        <f t="shared" si="57"/>
        <v>0</v>
      </c>
    </row>
    <row r="220" spans="1:55" ht="15.75" thickBot="1" x14ac:dyDescent="0.3">
      <c r="A220" s="33" t="s">
        <v>60</v>
      </c>
      <c r="B220" s="34" t="s">
        <v>13</v>
      </c>
      <c r="C220" s="35" t="s">
        <v>61</v>
      </c>
      <c r="D220" s="34" t="s">
        <v>79</v>
      </c>
      <c r="E220" s="31"/>
      <c r="F220" s="51">
        <v>0</v>
      </c>
      <c r="G220" s="51">
        <v>0</v>
      </c>
      <c r="H220" s="51">
        <v>0</v>
      </c>
      <c r="I220" s="51">
        <v>0</v>
      </c>
      <c r="J220" s="51">
        <v>0</v>
      </c>
      <c r="K220" s="51">
        <v>0</v>
      </c>
      <c r="L220" s="52">
        <v>0</v>
      </c>
      <c r="M220" s="51">
        <v>0</v>
      </c>
      <c r="N220" s="51">
        <v>0</v>
      </c>
      <c r="O220" s="51">
        <v>0</v>
      </c>
      <c r="P220" s="51">
        <v>0</v>
      </c>
      <c r="Q220" s="51">
        <v>0</v>
      </c>
      <c r="R220" s="51">
        <v>0</v>
      </c>
      <c r="S220" s="51">
        <v>0</v>
      </c>
      <c r="T220" s="51">
        <v>0</v>
      </c>
      <c r="U220" s="51">
        <v>0</v>
      </c>
      <c r="V220" s="51">
        <v>0</v>
      </c>
      <c r="W220" s="51">
        <v>0</v>
      </c>
      <c r="X220" s="55">
        <v>0</v>
      </c>
      <c r="Y220" s="59">
        <f t="shared" si="44"/>
        <v>0</v>
      </c>
      <c r="Z220" s="51">
        <f t="shared" si="45"/>
        <v>0</v>
      </c>
      <c r="AA220" s="51">
        <f t="shared" si="46"/>
        <v>0</v>
      </c>
      <c r="AC220" s="33" t="s">
        <v>60</v>
      </c>
      <c r="AD220" s="34" t="s">
        <v>13</v>
      </c>
      <c r="AE220" s="35" t="s">
        <v>61</v>
      </c>
      <c r="AF220" s="34" t="s">
        <v>79</v>
      </c>
      <c r="AG220" s="31"/>
      <c r="AH220" s="1" t="str">
        <f t="shared" si="61"/>
        <v/>
      </c>
      <c r="AI220" s="1" t="str">
        <f t="shared" si="61"/>
        <v/>
      </c>
      <c r="AJ220" s="1" t="str">
        <f t="shared" si="61"/>
        <v/>
      </c>
      <c r="AK220" s="1" t="str">
        <f t="shared" si="61"/>
        <v/>
      </c>
      <c r="AL220" s="1" t="str">
        <f t="shared" si="61"/>
        <v/>
      </c>
      <c r="AM220" s="1" t="str">
        <f t="shared" si="61"/>
        <v/>
      </c>
      <c r="AN220" s="52" t="str">
        <f t="shared" si="61"/>
        <v/>
      </c>
      <c r="AO220" s="1" t="str">
        <f t="shared" si="61"/>
        <v/>
      </c>
      <c r="AP220" s="1" t="str">
        <f t="shared" si="61"/>
        <v/>
      </c>
      <c r="AQ220" s="1" t="str">
        <f t="shared" si="61"/>
        <v/>
      </c>
      <c r="AR220" s="1" t="str">
        <f t="shared" si="61"/>
        <v/>
      </c>
      <c r="AS220" s="1" t="str">
        <f t="shared" si="61"/>
        <v/>
      </c>
      <c r="AT220" s="1" t="str">
        <f t="shared" si="61"/>
        <v/>
      </c>
      <c r="AU220" s="1" t="str">
        <f t="shared" si="61"/>
        <v/>
      </c>
      <c r="AV220" s="1" t="str">
        <f t="shared" si="61"/>
        <v/>
      </c>
      <c r="AW220" s="1" t="str">
        <f t="shared" si="57"/>
        <v/>
      </c>
      <c r="AX220" s="1" t="str">
        <f t="shared" si="57"/>
        <v/>
      </c>
      <c r="AY220" s="1" t="str">
        <f t="shared" si="57"/>
        <v/>
      </c>
      <c r="AZ220" s="1" t="str">
        <f t="shared" si="57"/>
        <v/>
      </c>
      <c r="BA220" s="1" t="str">
        <f t="shared" si="57"/>
        <v/>
      </c>
      <c r="BB220" s="1" t="str">
        <f t="shared" si="57"/>
        <v/>
      </c>
      <c r="BC220" s="1" t="str">
        <f t="shared" si="57"/>
        <v/>
      </c>
    </row>
    <row r="221" spans="1:55" x14ac:dyDescent="0.25">
      <c r="A221" s="30" t="s">
        <v>60</v>
      </c>
      <c r="B221" s="31" t="s">
        <v>13</v>
      </c>
      <c r="C221" s="32" t="s">
        <v>62</v>
      </c>
      <c r="D221" s="31" t="s">
        <v>75</v>
      </c>
      <c r="E221" s="31"/>
      <c r="F221" s="51"/>
      <c r="G221" s="73">
        <f>G202</f>
        <v>160</v>
      </c>
      <c r="H221" s="51">
        <f>H202*0.4</f>
        <v>500</v>
      </c>
      <c r="I221" s="51">
        <v>0</v>
      </c>
      <c r="J221" s="51">
        <v>0</v>
      </c>
      <c r="K221" s="51">
        <v>0</v>
      </c>
      <c r="L221" s="52">
        <v>0</v>
      </c>
      <c r="M221" s="51">
        <v>0</v>
      </c>
      <c r="N221" s="51">
        <v>0</v>
      </c>
      <c r="O221" s="51">
        <v>0</v>
      </c>
      <c r="P221" s="51">
        <v>0</v>
      </c>
      <c r="Q221" s="51">
        <v>0</v>
      </c>
      <c r="R221" s="51">
        <v>0</v>
      </c>
      <c r="S221" s="51">
        <v>0</v>
      </c>
      <c r="T221" s="51">
        <v>0</v>
      </c>
      <c r="U221" s="51">
        <v>0</v>
      </c>
      <c r="V221" s="51">
        <v>0</v>
      </c>
      <c r="W221" s="51">
        <v>0</v>
      </c>
      <c r="X221" s="55">
        <v>0</v>
      </c>
      <c r="Y221" s="59">
        <f t="shared" si="44"/>
        <v>660</v>
      </c>
      <c r="Z221" s="51">
        <f t="shared" si="45"/>
        <v>0</v>
      </c>
      <c r="AA221" s="51">
        <f t="shared" si="46"/>
        <v>660</v>
      </c>
      <c r="AC221" s="30" t="s">
        <v>60</v>
      </c>
      <c r="AD221" s="31" t="s">
        <v>13</v>
      </c>
      <c r="AE221" s="32" t="s">
        <v>62</v>
      </c>
      <c r="AF221" s="31" t="s">
        <v>75</v>
      </c>
      <c r="AG221" s="31"/>
      <c r="AH221" s="1" t="str">
        <f t="shared" si="61"/>
        <v/>
      </c>
      <c r="AI221" s="1">
        <f t="shared" si="61"/>
        <v>114.47368421052632</v>
      </c>
      <c r="AJ221" s="1">
        <f t="shared" si="61"/>
        <v>36.001280000000001</v>
      </c>
      <c r="AK221" s="1" t="str">
        <f t="shared" si="61"/>
        <v/>
      </c>
      <c r="AL221" s="1" t="str">
        <f t="shared" si="61"/>
        <v/>
      </c>
      <c r="AM221" s="1" t="str">
        <f t="shared" si="61"/>
        <v/>
      </c>
      <c r="AN221" s="52" t="str">
        <f t="shared" si="61"/>
        <v/>
      </c>
      <c r="AO221" s="1" t="str">
        <f t="shared" si="61"/>
        <v/>
      </c>
      <c r="AP221" s="1" t="str">
        <f t="shared" si="61"/>
        <v/>
      </c>
      <c r="AQ221" s="1" t="str">
        <f t="shared" si="61"/>
        <v/>
      </c>
      <c r="AR221" s="1" t="str">
        <f t="shared" si="61"/>
        <v/>
      </c>
      <c r="AS221" s="1" t="str">
        <f t="shared" si="61"/>
        <v/>
      </c>
      <c r="AT221" s="1" t="str">
        <f t="shared" si="61"/>
        <v/>
      </c>
      <c r="AU221" s="1" t="str">
        <f t="shared" si="61"/>
        <v/>
      </c>
      <c r="AV221" s="1" t="str">
        <f t="shared" si="61"/>
        <v/>
      </c>
      <c r="AW221" s="1" t="str">
        <f t="shared" si="57"/>
        <v/>
      </c>
      <c r="AX221" s="1" t="str">
        <f t="shared" si="57"/>
        <v/>
      </c>
      <c r="AY221" s="1" t="str">
        <f t="shared" si="57"/>
        <v/>
      </c>
      <c r="AZ221" s="1" t="str">
        <f t="shared" si="57"/>
        <v/>
      </c>
      <c r="BA221" s="1">
        <f t="shared" si="57"/>
        <v>0</v>
      </c>
      <c r="BB221" s="1" t="str">
        <f t="shared" si="57"/>
        <v/>
      </c>
      <c r="BC221" s="1">
        <f t="shared" si="57"/>
        <v>0</v>
      </c>
    </row>
    <row r="222" spans="1:55" x14ac:dyDescent="0.25">
      <c r="A222" s="30" t="s">
        <v>60</v>
      </c>
      <c r="B222" s="31" t="s">
        <v>13</v>
      </c>
      <c r="C222" s="32" t="s">
        <v>62</v>
      </c>
      <c r="D222" s="31" t="s">
        <v>76</v>
      </c>
      <c r="E222" s="31"/>
      <c r="F222" s="51">
        <f>F202</f>
        <v>55</v>
      </c>
      <c r="G222" s="51">
        <f>G202*0</f>
        <v>0</v>
      </c>
      <c r="H222" s="51">
        <f>H202*0.6</f>
        <v>750</v>
      </c>
      <c r="I222" s="51">
        <v>0</v>
      </c>
      <c r="J222" s="51">
        <v>0</v>
      </c>
      <c r="K222" s="51">
        <v>0</v>
      </c>
      <c r="L222" s="52">
        <v>0</v>
      </c>
      <c r="M222" s="51">
        <v>0</v>
      </c>
      <c r="N222" s="51">
        <v>0</v>
      </c>
      <c r="O222" s="51">
        <v>0</v>
      </c>
      <c r="P222" s="51">
        <f>P202</f>
        <v>1.1352</v>
      </c>
      <c r="Q222" s="51">
        <v>0</v>
      </c>
      <c r="R222" s="51">
        <v>0</v>
      </c>
      <c r="S222" s="51">
        <v>0</v>
      </c>
      <c r="T222" s="51">
        <v>0</v>
      </c>
      <c r="U222" s="51">
        <v>0</v>
      </c>
      <c r="V222" s="51">
        <v>0</v>
      </c>
      <c r="W222" s="51">
        <v>0</v>
      </c>
      <c r="X222" s="55">
        <v>0</v>
      </c>
      <c r="Y222" s="59">
        <f t="shared" si="44"/>
        <v>805</v>
      </c>
      <c r="Z222" s="51">
        <f t="shared" si="45"/>
        <v>1.1352</v>
      </c>
      <c r="AA222" s="51">
        <f t="shared" si="46"/>
        <v>806.13520000000005</v>
      </c>
      <c r="AC222" s="30" t="s">
        <v>60</v>
      </c>
      <c r="AD222" s="31" t="s">
        <v>13</v>
      </c>
      <c r="AE222" s="32" t="s">
        <v>62</v>
      </c>
      <c r="AF222" s="31" t="s">
        <v>76</v>
      </c>
      <c r="AG222" s="31"/>
      <c r="AH222" s="1">
        <f t="shared" si="61"/>
        <v>215.311004784689</v>
      </c>
      <c r="AI222" s="1" t="str">
        <f t="shared" si="61"/>
        <v/>
      </c>
      <c r="AJ222" s="1">
        <f t="shared" si="61"/>
        <v>36.001279999999994</v>
      </c>
      <c r="AK222" s="1" t="str">
        <f t="shared" si="61"/>
        <v/>
      </c>
      <c r="AL222" s="1" t="str">
        <f t="shared" si="61"/>
        <v/>
      </c>
      <c r="AM222" s="1" t="str">
        <f t="shared" si="61"/>
        <v/>
      </c>
      <c r="AN222" s="52" t="str">
        <f t="shared" si="61"/>
        <v/>
      </c>
      <c r="AO222" s="1" t="str">
        <f t="shared" si="61"/>
        <v/>
      </c>
      <c r="AP222" s="1" t="str">
        <f t="shared" si="61"/>
        <v/>
      </c>
      <c r="AQ222" s="1" t="str">
        <f t="shared" si="61"/>
        <v/>
      </c>
      <c r="AR222" s="1">
        <f t="shared" si="61"/>
        <v>369978.8583509514</v>
      </c>
      <c r="AS222" s="1" t="str">
        <f t="shared" si="61"/>
        <v/>
      </c>
      <c r="AT222" s="1" t="str">
        <f t="shared" si="61"/>
        <v/>
      </c>
      <c r="AU222" s="1" t="str">
        <f t="shared" si="61"/>
        <v/>
      </c>
      <c r="AV222" s="1" t="str">
        <f t="shared" si="61"/>
        <v/>
      </c>
      <c r="AW222" s="1" t="str">
        <f t="shared" si="57"/>
        <v/>
      </c>
      <c r="AX222" s="1" t="str">
        <f t="shared" si="57"/>
        <v/>
      </c>
      <c r="AY222" s="1" t="str">
        <f t="shared" si="57"/>
        <v/>
      </c>
      <c r="AZ222" s="1" t="str">
        <f t="shared" si="57"/>
        <v/>
      </c>
      <c r="BA222" s="1">
        <f t="shared" si="57"/>
        <v>0</v>
      </c>
      <c r="BB222" s="1">
        <f t="shared" si="57"/>
        <v>0</v>
      </c>
      <c r="BC222" s="1">
        <f t="shared" si="57"/>
        <v>0</v>
      </c>
    </row>
    <row r="223" spans="1:55" x14ac:dyDescent="0.25">
      <c r="A223" s="30" t="s">
        <v>60</v>
      </c>
      <c r="B223" s="31" t="s">
        <v>13</v>
      </c>
      <c r="C223" s="32" t="s">
        <v>62</v>
      </c>
      <c r="D223" s="31" t="s">
        <v>77</v>
      </c>
      <c r="E223" s="31"/>
      <c r="F223" s="51">
        <v>0</v>
      </c>
      <c r="G223" s="51">
        <v>0</v>
      </c>
      <c r="H223" s="51">
        <v>0</v>
      </c>
      <c r="I223" s="51">
        <v>0</v>
      </c>
      <c r="J223" s="51">
        <v>0</v>
      </c>
      <c r="K223" s="51">
        <v>0</v>
      </c>
      <c r="L223" s="52">
        <v>0</v>
      </c>
      <c r="M223" s="51">
        <v>0</v>
      </c>
      <c r="N223" s="51">
        <v>0</v>
      </c>
      <c r="O223" s="51">
        <v>0</v>
      </c>
      <c r="P223" s="51">
        <v>0</v>
      </c>
      <c r="Q223" s="51">
        <v>0</v>
      </c>
      <c r="R223" s="51">
        <v>0</v>
      </c>
      <c r="S223" s="51">
        <v>0</v>
      </c>
      <c r="T223" s="51">
        <v>0</v>
      </c>
      <c r="U223" s="51">
        <v>0</v>
      </c>
      <c r="V223" s="51">
        <v>0</v>
      </c>
      <c r="W223" s="51">
        <v>0</v>
      </c>
      <c r="X223" s="55">
        <v>0</v>
      </c>
      <c r="Y223" s="59">
        <f t="shared" si="44"/>
        <v>0</v>
      </c>
      <c r="Z223" s="51">
        <f t="shared" si="45"/>
        <v>0</v>
      </c>
      <c r="AA223" s="51">
        <f t="shared" si="46"/>
        <v>0</v>
      </c>
      <c r="AC223" s="30" t="s">
        <v>60</v>
      </c>
      <c r="AD223" s="31" t="s">
        <v>13</v>
      </c>
      <c r="AE223" s="32" t="s">
        <v>62</v>
      </c>
      <c r="AF223" s="31" t="s">
        <v>77</v>
      </c>
      <c r="AG223" s="31"/>
      <c r="AH223" s="1" t="str">
        <f t="shared" si="61"/>
        <v/>
      </c>
      <c r="AI223" s="1" t="str">
        <f t="shared" si="61"/>
        <v/>
      </c>
      <c r="AJ223" s="1" t="str">
        <f t="shared" si="61"/>
        <v/>
      </c>
      <c r="AK223" s="1" t="str">
        <f t="shared" si="61"/>
        <v/>
      </c>
      <c r="AL223" s="1" t="str">
        <f t="shared" si="61"/>
        <v/>
      </c>
      <c r="AM223" s="1" t="str">
        <f t="shared" si="61"/>
        <v/>
      </c>
      <c r="AN223" s="52" t="str">
        <f t="shared" si="61"/>
        <v/>
      </c>
      <c r="AO223" s="1" t="str">
        <f t="shared" si="61"/>
        <v/>
      </c>
      <c r="AP223" s="1" t="str">
        <f t="shared" si="61"/>
        <v/>
      </c>
      <c r="AQ223" s="1" t="str">
        <f t="shared" si="61"/>
        <v/>
      </c>
      <c r="AR223" s="1" t="str">
        <f t="shared" si="61"/>
        <v/>
      </c>
      <c r="AS223" s="1" t="str">
        <f t="shared" si="61"/>
        <v/>
      </c>
      <c r="AT223" s="1" t="str">
        <f t="shared" si="61"/>
        <v/>
      </c>
      <c r="AU223" s="1" t="str">
        <f t="shared" si="61"/>
        <v/>
      </c>
      <c r="AV223" s="1" t="str">
        <f t="shared" si="61"/>
        <v/>
      </c>
      <c r="AW223" s="1" t="str">
        <f t="shared" si="57"/>
        <v/>
      </c>
      <c r="AX223" s="1" t="str">
        <f t="shared" si="57"/>
        <v/>
      </c>
      <c r="AY223" s="1" t="str">
        <f t="shared" si="57"/>
        <v/>
      </c>
      <c r="AZ223" s="1" t="str">
        <f t="shared" si="57"/>
        <v/>
      </c>
      <c r="BA223" s="1" t="str">
        <f t="shared" si="57"/>
        <v/>
      </c>
      <c r="BB223" s="1" t="str">
        <f t="shared" si="57"/>
        <v/>
      </c>
      <c r="BC223" s="1" t="str">
        <f t="shared" si="57"/>
        <v/>
      </c>
    </row>
    <row r="224" spans="1:55" x14ac:dyDescent="0.25">
      <c r="A224" s="30" t="s">
        <v>60</v>
      </c>
      <c r="B224" s="31" t="s">
        <v>13</v>
      </c>
      <c r="C224" s="32" t="s">
        <v>62</v>
      </c>
      <c r="D224" s="31" t="s">
        <v>78</v>
      </c>
      <c r="E224" s="31"/>
      <c r="F224" s="51">
        <v>0</v>
      </c>
      <c r="G224" s="51">
        <v>0</v>
      </c>
      <c r="H224" s="51">
        <v>0</v>
      </c>
      <c r="I224" s="51">
        <v>0</v>
      </c>
      <c r="J224" s="51">
        <v>0</v>
      </c>
      <c r="K224" s="51">
        <v>0</v>
      </c>
      <c r="L224" s="52">
        <v>0</v>
      </c>
      <c r="M224" s="51">
        <v>0</v>
      </c>
      <c r="N224" s="51">
        <v>0</v>
      </c>
      <c r="O224" s="51">
        <v>0</v>
      </c>
      <c r="P224" s="51">
        <v>0</v>
      </c>
      <c r="Q224" s="51">
        <v>0</v>
      </c>
      <c r="R224" s="51">
        <v>0</v>
      </c>
      <c r="S224" s="51">
        <v>0</v>
      </c>
      <c r="T224" s="51">
        <v>0</v>
      </c>
      <c r="U224" s="51">
        <v>0</v>
      </c>
      <c r="V224" s="51">
        <v>0</v>
      </c>
      <c r="W224" s="51">
        <v>0</v>
      </c>
      <c r="X224" s="55">
        <v>0</v>
      </c>
      <c r="Y224" s="59">
        <f t="shared" si="44"/>
        <v>0</v>
      </c>
      <c r="Z224" s="51">
        <f t="shared" si="45"/>
        <v>0</v>
      </c>
      <c r="AA224" s="51">
        <f t="shared" si="46"/>
        <v>0</v>
      </c>
      <c r="AC224" s="30" t="s">
        <v>60</v>
      </c>
      <c r="AD224" s="31" t="s">
        <v>13</v>
      </c>
      <c r="AE224" s="32" t="s">
        <v>62</v>
      </c>
      <c r="AF224" s="31" t="s">
        <v>78</v>
      </c>
      <c r="AG224" s="31"/>
      <c r="AH224" s="1" t="str">
        <f t="shared" si="61"/>
        <v/>
      </c>
      <c r="AI224" s="1" t="str">
        <f t="shared" si="61"/>
        <v/>
      </c>
      <c r="AJ224" s="1" t="str">
        <f t="shared" si="61"/>
        <v/>
      </c>
      <c r="AK224" s="1" t="str">
        <f t="shared" si="61"/>
        <v/>
      </c>
      <c r="AL224" s="1" t="str">
        <f t="shared" si="61"/>
        <v/>
      </c>
      <c r="AM224" s="1" t="str">
        <f t="shared" si="61"/>
        <v/>
      </c>
      <c r="AN224" s="52" t="str">
        <f t="shared" si="61"/>
        <v/>
      </c>
      <c r="AO224" s="1" t="str">
        <f t="shared" si="61"/>
        <v/>
      </c>
      <c r="AP224" s="1" t="str">
        <f t="shared" si="61"/>
        <v/>
      </c>
      <c r="AQ224" s="1" t="str">
        <f t="shared" si="61"/>
        <v/>
      </c>
      <c r="AR224" s="1" t="str">
        <f t="shared" si="61"/>
        <v/>
      </c>
      <c r="AS224" s="1" t="str">
        <f t="shared" si="61"/>
        <v/>
      </c>
      <c r="AT224" s="1" t="str">
        <f t="shared" si="61"/>
        <v/>
      </c>
      <c r="AU224" s="1" t="str">
        <f t="shared" si="61"/>
        <v/>
      </c>
      <c r="AV224" s="1" t="str">
        <f t="shared" si="61"/>
        <v/>
      </c>
      <c r="AW224" s="1" t="str">
        <f t="shared" si="57"/>
        <v/>
      </c>
      <c r="AX224" s="1" t="str">
        <f t="shared" si="57"/>
        <v/>
      </c>
      <c r="AY224" s="1" t="str">
        <f t="shared" si="57"/>
        <v/>
      </c>
      <c r="AZ224" s="1" t="str">
        <f t="shared" si="57"/>
        <v/>
      </c>
      <c r="BA224" s="1" t="str">
        <f t="shared" si="57"/>
        <v/>
      </c>
      <c r="BB224" s="1" t="str">
        <f t="shared" si="57"/>
        <v/>
      </c>
      <c r="BC224" s="1" t="str">
        <f t="shared" si="57"/>
        <v/>
      </c>
    </row>
    <row r="225" spans="1:55" ht="15.75" thickBot="1" x14ac:dyDescent="0.3">
      <c r="A225" s="33" t="s">
        <v>60</v>
      </c>
      <c r="B225" s="34" t="s">
        <v>13</v>
      </c>
      <c r="C225" s="32" t="s">
        <v>62</v>
      </c>
      <c r="D225" s="34" t="s">
        <v>79</v>
      </c>
      <c r="E225" s="31"/>
      <c r="F225" s="51">
        <v>0</v>
      </c>
      <c r="G225" s="51">
        <v>0</v>
      </c>
      <c r="H225" s="51">
        <v>0</v>
      </c>
      <c r="I225" s="51">
        <v>0</v>
      </c>
      <c r="J225" s="51">
        <v>0</v>
      </c>
      <c r="K225" s="51">
        <v>0</v>
      </c>
      <c r="L225" s="52">
        <v>0</v>
      </c>
      <c r="M225" s="51">
        <v>0</v>
      </c>
      <c r="N225" s="51">
        <v>0</v>
      </c>
      <c r="O225" s="51">
        <v>0</v>
      </c>
      <c r="P225" s="51">
        <v>0</v>
      </c>
      <c r="Q225" s="51">
        <v>0</v>
      </c>
      <c r="R225" s="51">
        <v>0</v>
      </c>
      <c r="S225" s="51">
        <v>0</v>
      </c>
      <c r="T225" s="51">
        <v>0</v>
      </c>
      <c r="U225" s="51">
        <v>0</v>
      </c>
      <c r="V225" s="51">
        <v>0</v>
      </c>
      <c r="W225" s="51">
        <v>0</v>
      </c>
      <c r="X225" s="55">
        <v>0</v>
      </c>
      <c r="Y225" s="59">
        <f t="shared" si="44"/>
        <v>0</v>
      </c>
      <c r="Z225" s="51">
        <f t="shared" si="45"/>
        <v>0</v>
      </c>
      <c r="AA225" s="51">
        <f t="shared" si="46"/>
        <v>0</v>
      </c>
      <c r="AC225" s="33" t="s">
        <v>60</v>
      </c>
      <c r="AD225" s="34" t="s">
        <v>13</v>
      </c>
      <c r="AE225" s="32" t="s">
        <v>62</v>
      </c>
      <c r="AF225" s="34" t="s">
        <v>79</v>
      </c>
      <c r="AG225" s="31"/>
      <c r="AH225" s="1" t="str">
        <f t="shared" si="61"/>
        <v/>
      </c>
      <c r="AI225" s="1" t="str">
        <f t="shared" si="61"/>
        <v/>
      </c>
      <c r="AJ225" s="1" t="str">
        <f t="shared" si="61"/>
        <v/>
      </c>
      <c r="AK225" s="1" t="str">
        <f t="shared" si="61"/>
        <v/>
      </c>
      <c r="AL225" s="1" t="str">
        <f t="shared" si="61"/>
        <v/>
      </c>
      <c r="AM225" s="1" t="str">
        <f t="shared" si="61"/>
        <v/>
      </c>
      <c r="AN225" s="52" t="str">
        <f t="shared" si="61"/>
        <v/>
      </c>
      <c r="AO225" s="1" t="str">
        <f t="shared" si="61"/>
        <v/>
      </c>
      <c r="AP225" s="1" t="str">
        <f t="shared" si="61"/>
        <v/>
      </c>
      <c r="AQ225" s="1" t="str">
        <f t="shared" si="61"/>
        <v/>
      </c>
      <c r="AR225" s="1" t="str">
        <f t="shared" si="61"/>
        <v/>
      </c>
      <c r="AS225" s="1" t="str">
        <f t="shared" si="61"/>
        <v/>
      </c>
      <c r="AT225" s="1" t="str">
        <f t="shared" si="61"/>
        <v/>
      </c>
      <c r="AU225" s="1" t="str">
        <f t="shared" si="61"/>
        <v/>
      </c>
      <c r="AV225" s="1" t="str">
        <f t="shared" si="61"/>
        <v/>
      </c>
      <c r="AW225" s="1" t="str">
        <f t="shared" si="57"/>
        <v/>
      </c>
      <c r="AX225" s="1" t="str">
        <f t="shared" si="57"/>
        <v/>
      </c>
      <c r="AY225" s="1" t="str">
        <f t="shared" si="57"/>
        <v/>
      </c>
      <c r="AZ225" s="1" t="str">
        <f t="shared" si="57"/>
        <v/>
      </c>
      <c r="BA225" s="1" t="str">
        <f t="shared" si="57"/>
        <v/>
      </c>
      <c r="BB225" s="1" t="str">
        <f t="shared" si="57"/>
        <v/>
      </c>
      <c r="BC225" s="1" t="str">
        <f t="shared" si="57"/>
        <v/>
      </c>
    </row>
    <row r="227" spans="1:55" x14ac:dyDescent="0.25">
      <c r="D227" s="41" t="s">
        <v>33</v>
      </c>
      <c r="E227" s="41"/>
      <c r="M227" s="24" t="s">
        <v>81</v>
      </c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</row>
    <row r="228" spans="1:55" x14ac:dyDescent="0.25">
      <c r="F228" s="23" t="s">
        <v>44</v>
      </c>
      <c r="G228" s="23"/>
      <c r="H228" s="23"/>
      <c r="I228" s="23"/>
      <c r="J228" s="23"/>
      <c r="K228" s="23"/>
      <c r="L228" s="7" t="s">
        <v>30</v>
      </c>
      <c r="M228" s="24" t="s">
        <v>46</v>
      </c>
      <c r="N228" s="24"/>
      <c r="O228" s="24"/>
      <c r="P228" s="24"/>
      <c r="Q228" s="24"/>
      <c r="R228" s="24" t="s">
        <v>47</v>
      </c>
      <c r="S228" s="24"/>
      <c r="T228" s="24"/>
      <c r="U228" s="24"/>
      <c r="V228" s="24"/>
      <c r="W228" s="24"/>
      <c r="X228" s="24"/>
      <c r="Y228" s="44" t="s">
        <v>85</v>
      </c>
      <c r="Z228" s="44" t="s">
        <v>48</v>
      </c>
      <c r="AA228" s="44" t="s">
        <v>3</v>
      </c>
    </row>
    <row r="229" spans="1:55" ht="63" x14ac:dyDescent="0.25">
      <c r="F229" s="38" t="s">
        <v>36</v>
      </c>
      <c r="G229" s="38" t="s">
        <v>37</v>
      </c>
      <c r="H229" s="38" t="s">
        <v>38</v>
      </c>
      <c r="I229" s="38" t="s">
        <v>80</v>
      </c>
      <c r="J229" s="38" t="s">
        <v>39</v>
      </c>
      <c r="K229" s="38" t="s">
        <v>45</v>
      </c>
      <c r="L229" s="39" t="s">
        <v>16</v>
      </c>
      <c r="M229" s="40" t="s">
        <v>34</v>
      </c>
      <c r="N229" s="40" t="s">
        <v>5</v>
      </c>
      <c r="O229" s="40" t="s">
        <v>7</v>
      </c>
      <c r="P229" s="40" t="s">
        <v>8</v>
      </c>
      <c r="Q229" s="40" t="s">
        <v>40</v>
      </c>
      <c r="R229" s="40" t="s">
        <v>41</v>
      </c>
      <c r="S229" s="40" t="s">
        <v>42</v>
      </c>
      <c r="T229" s="40" t="s">
        <v>31</v>
      </c>
      <c r="U229" s="40" t="s">
        <v>43</v>
      </c>
      <c r="V229" s="40" t="s">
        <v>82</v>
      </c>
      <c r="W229" s="40" t="s">
        <v>87</v>
      </c>
      <c r="X229" s="40" t="s">
        <v>83</v>
      </c>
      <c r="Y229" s="45" t="s">
        <v>3</v>
      </c>
      <c r="Z229" s="45" t="s">
        <v>86</v>
      </c>
      <c r="AA229" s="45" t="s">
        <v>3</v>
      </c>
    </row>
    <row r="230" spans="1:55" x14ac:dyDescent="0.25">
      <c r="A230" s="15" t="s">
        <v>51</v>
      </c>
      <c r="B230" s="2"/>
      <c r="C230" s="2"/>
      <c r="F230" s="1">
        <f t="shared" ref="F230:X230" si="62">F232+F233+F234</f>
        <v>0</v>
      </c>
      <c r="G230" s="1">
        <f t="shared" si="62"/>
        <v>0</v>
      </c>
      <c r="H230" s="1">
        <f t="shared" si="62"/>
        <v>0</v>
      </c>
      <c r="I230" s="1">
        <f t="shared" si="62"/>
        <v>0</v>
      </c>
      <c r="J230" s="1">
        <f t="shared" si="62"/>
        <v>0</v>
      </c>
      <c r="K230" s="1">
        <f t="shared" si="62"/>
        <v>0</v>
      </c>
      <c r="L230" s="52">
        <f t="shared" si="62"/>
        <v>0</v>
      </c>
      <c r="M230" s="1">
        <f t="shared" si="62"/>
        <v>0</v>
      </c>
      <c r="N230" s="1">
        <f t="shared" si="62"/>
        <v>0</v>
      </c>
      <c r="O230" s="1">
        <f t="shared" si="62"/>
        <v>0</v>
      </c>
      <c r="P230" s="1">
        <f t="shared" si="62"/>
        <v>0</v>
      </c>
      <c r="Q230" s="1">
        <f t="shared" si="62"/>
        <v>0</v>
      </c>
      <c r="R230" s="1">
        <f t="shared" si="62"/>
        <v>0</v>
      </c>
      <c r="S230" s="1">
        <f t="shared" si="62"/>
        <v>0</v>
      </c>
      <c r="T230" s="1">
        <f t="shared" si="62"/>
        <v>0</v>
      </c>
      <c r="U230" s="1">
        <f t="shared" si="62"/>
        <v>0</v>
      </c>
      <c r="V230" s="1">
        <f t="shared" si="62"/>
        <v>0</v>
      </c>
      <c r="W230" s="1">
        <f t="shared" si="62"/>
        <v>0</v>
      </c>
      <c r="X230" s="1">
        <f t="shared" si="62"/>
        <v>0</v>
      </c>
      <c r="Y230" s="58">
        <f t="shared" ref="Y230:Y238" si="63">SUM(F230:K230)</f>
        <v>0</v>
      </c>
      <c r="Z230" s="1">
        <f t="shared" ref="Z230:Z238" si="64">SUM(M230:X230)</f>
        <v>0</v>
      </c>
      <c r="AA230" s="1">
        <f t="shared" ref="AA230:AA238" si="65">L230+Y230+Z230</f>
        <v>0</v>
      </c>
    </row>
    <row r="231" spans="1:55" x14ac:dyDescent="0.25">
      <c r="A231" s="30" t="s">
        <v>60</v>
      </c>
      <c r="B231" s="2"/>
      <c r="C231" s="2"/>
      <c r="F231" s="1">
        <f>F235+F236+F237+F238</f>
        <v>39.473684210526315</v>
      </c>
      <c r="G231" s="1">
        <f t="shared" ref="G231:X231" si="66">G235+G236+G237+G238</f>
        <v>18.315789473684209</v>
      </c>
      <c r="H231" s="1">
        <f t="shared" si="66"/>
        <v>54.879999999999995</v>
      </c>
      <c r="I231" s="1">
        <f t="shared" si="66"/>
        <v>22.866666666666667</v>
      </c>
      <c r="J231" s="1">
        <f t="shared" si="66"/>
        <v>159.12450980392157</v>
      </c>
      <c r="K231" s="1">
        <f t="shared" si="66"/>
        <v>29.869281045751634</v>
      </c>
      <c r="L231" s="52">
        <f t="shared" si="66"/>
        <v>7470</v>
      </c>
      <c r="M231" s="1">
        <f t="shared" si="66"/>
        <v>549.30555555555554</v>
      </c>
      <c r="N231" s="1">
        <f t="shared" si="66"/>
        <v>48.21153846153846</v>
      </c>
      <c r="O231" s="1">
        <f t="shared" si="66"/>
        <v>34.5</v>
      </c>
      <c r="P231" s="1">
        <f t="shared" si="66"/>
        <v>697.77777777777783</v>
      </c>
      <c r="Q231" s="1">
        <f t="shared" si="66"/>
        <v>1560.6222222222223</v>
      </c>
      <c r="R231" s="1">
        <f t="shared" si="66"/>
        <v>448.77037037037036</v>
      </c>
      <c r="S231" s="1">
        <f t="shared" si="66"/>
        <v>5.9111111111111114</v>
      </c>
      <c r="T231" s="1">
        <f t="shared" si="66"/>
        <v>411.09206349206352</v>
      </c>
      <c r="U231" s="1">
        <f t="shared" si="66"/>
        <v>296.96363636363645</v>
      </c>
      <c r="V231" s="1">
        <f t="shared" si="66"/>
        <v>60.277777777777779</v>
      </c>
      <c r="W231" s="1">
        <f t="shared" si="66"/>
        <v>120.76388888888889</v>
      </c>
      <c r="X231" s="54">
        <f t="shared" si="66"/>
        <v>134.64285714285714</v>
      </c>
      <c r="Y231" s="58">
        <f t="shared" si="63"/>
        <v>324.52993120055038</v>
      </c>
      <c r="Z231" s="1">
        <f t="shared" si="64"/>
        <v>4368.8387991637992</v>
      </c>
      <c r="AA231" s="1">
        <f t="shared" si="65"/>
        <v>12163.368730364349</v>
      </c>
      <c r="AE231" s="98" t="s">
        <v>168</v>
      </c>
      <c r="AF231" s="98"/>
      <c r="AG231" s="98"/>
    </row>
    <row r="232" spans="1:55" x14ac:dyDescent="0.25">
      <c r="A232" s="15" t="s">
        <v>51</v>
      </c>
      <c r="B232" s="16" t="s">
        <v>52</v>
      </c>
      <c r="C232" s="2"/>
      <c r="F232" s="1">
        <f>F239+F240+F241</f>
        <v>0</v>
      </c>
      <c r="G232" s="1">
        <f t="shared" ref="G232:X232" si="67">G239+G240+G241</f>
        <v>0</v>
      </c>
      <c r="H232" s="1">
        <f t="shared" si="67"/>
        <v>0</v>
      </c>
      <c r="I232" s="1">
        <f t="shared" si="67"/>
        <v>0</v>
      </c>
      <c r="J232" s="1">
        <f t="shared" si="67"/>
        <v>0</v>
      </c>
      <c r="K232" s="1">
        <f t="shared" si="67"/>
        <v>0</v>
      </c>
      <c r="L232" s="52">
        <f t="shared" si="67"/>
        <v>0</v>
      </c>
      <c r="M232" s="1">
        <f t="shared" si="67"/>
        <v>0</v>
      </c>
      <c r="N232" s="1">
        <f t="shared" si="67"/>
        <v>0</v>
      </c>
      <c r="O232" s="1">
        <f t="shared" si="67"/>
        <v>0</v>
      </c>
      <c r="P232" s="1">
        <f t="shared" si="67"/>
        <v>0</v>
      </c>
      <c r="Q232" s="1">
        <f t="shared" si="67"/>
        <v>0</v>
      </c>
      <c r="R232" s="1">
        <f t="shared" si="67"/>
        <v>0</v>
      </c>
      <c r="S232" s="1">
        <f t="shared" si="67"/>
        <v>0</v>
      </c>
      <c r="T232" s="1">
        <f t="shared" si="67"/>
        <v>0</v>
      </c>
      <c r="U232" s="1">
        <f t="shared" si="67"/>
        <v>0</v>
      </c>
      <c r="V232" s="1">
        <f t="shared" si="67"/>
        <v>0</v>
      </c>
      <c r="W232" s="1">
        <f t="shared" si="67"/>
        <v>0</v>
      </c>
      <c r="X232" s="54">
        <f t="shared" si="67"/>
        <v>0</v>
      </c>
      <c r="Y232" s="58">
        <f t="shared" si="63"/>
        <v>0</v>
      </c>
      <c r="Z232" s="1">
        <f t="shared" si="64"/>
        <v>0</v>
      </c>
      <c r="AA232" s="1">
        <f t="shared" si="65"/>
        <v>0</v>
      </c>
      <c r="AE232" s="98">
        <f>52+38+32+29+14+13+9+7+25+20</f>
        <v>239</v>
      </c>
      <c r="AF232" s="98" t="s">
        <v>98</v>
      </c>
      <c r="AG232" s="98"/>
    </row>
    <row r="233" spans="1:55" x14ac:dyDescent="0.25">
      <c r="A233" s="15" t="s">
        <v>51</v>
      </c>
      <c r="B233" s="16" t="s">
        <v>56</v>
      </c>
      <c r="C233" s="2"/>
      <c r="F233" s="1">
        <f>F242+F243+F244</f>
        <v>0</v>
      </c>
      <c r="G233" s="1">
        <f t="shared" ref="G233:X233" si="68">G242+G243+G244</f>
        <v>0</v>
      </c>
      <c r="H233" s="1">
        <f t="shared" si="68"/>
        <v>0</v>
      </c>
      <c r="I233" s="1">
        <f t="shared" si="68"/>
        <v>0</v>
      </c>
      <c r="J233" s="1">
        <f t="shared" si="68"/>
        <v>0</v>
      </c>
      <c r="K233" s="1">
        <f t="shared" si="68"/>
        <v>0</v>
      </c>
      <c r="L233" s="52">
        <f t="shared" si="68"/>
        <v>0</v>
      </c>
      <c r="M233" s="1">
        <f t="shared" si="68"/>
        <v>0</v>
      </c>
      <c r="N233" s="1">
        <f t="shared" si="68"/>
        <v>0</v>
      </c>
      <c r="O233" s="1">
        <f t="shared" si="68"/>
        <v>0</v>
      </c>
      <c r="P233" s="1">
        <f t="shared" si="68"/>
        <v>0</v>
      </c>
      <c r="Q233" s="1">
        <f t="shared" si="68"/>
        <v>0</v>
      </c>
      <c r="R233" s="1">
        <f t="shared" si="68"/>
        <v>0</v>
      </c>
      <c r="S233" s="1">
        <f t="shared" si="68"/>
        <v>0</v>
      </c>
      <c r="T233" s="1">
        <f t="shared" si="68"/>
        <v>0</v>
      </c>
      <c r="U233" s="1">
        <f t="shared" si="68"/>
        <v>0</v>
      </c>
      <c r="V233" s="1">
        <f t="shared" si="68"/>
        <v>0</v>
      </c>
      <c r="W233" s="1">
        <f t="shared" si="68"/>
        <v>0</v>
      </c>
      <c r="X233" s="54">
        <f t="shared" si="68"/>
        <v>0</v>
      </c>
      <c r="Y233" s="58">
        <f t="shared" si="63"/>
        <v>0</v>
      </c>
      <c r="Z233" s="1">
        <f t="shared" si="64"/>
        <v>0</v>
      </c>
      <c r="AA233" s="1">
        <f t="shared" si="65"/>
        <v>0</v>
      </c>
      <c r="AE233" s="98">
        <f>453</f>
        <v>453</v>
      </c>
      <c r="AF233" s="98" t="s">
        <v>169</v>
      </c>
      <c r="AG233" s="98"/>
    </row>
    <row r="234" spans="1:55" x14ac:dyDescent="0.25">
      <c r="A234" s="15" t="s">
        <v>51</v>
      </c>
      <c r="B234" s="16" t="s">
        <v>9</v>
      </c>
      <c r="C234" s="2"/>
      <c r="F234" s="1">
        <f>F245</f>
        <v>0</v>
      </c>
      <c r="G234" s="1">
        <f t="shared" ref="G234:X234" si="69">G245</f>
        <v>0</v>
      </c>
      <c r="H234" s="1">
        <f t="shared" si="69"/>
        <v>0</v>
      </c>
      <c r="I234" s="1">
        <f t="shared" si="69"/>
        <v>0</v>
      </c>
      <c r="J234" s="1">
        <f t="shared" si="69"/>
        <v>0</v>
      </c>
      <c r="K234" s="1">
        <f t="shared" si="69"/>
        <v>0</v>
      </c>
      <c r="L234" s="52">
        <f t="shared" si="69"/>
        <v>0</v>
      </c>
      <c r="M234" s="1">
        <f t="shared" si="69"/>
        <v>0</v>
      </c>
      <c r="N234" s="1">
        <f t="shared" si="69"/>
        <v>0</v>
      </c>
      <c r="O234" s="1">
        <f t="shared" si="69"/>
        <v>0</v>
      </c>
      <c r="P234" s="1">
        <f t="shared" si="69"/>
        <v>0</v>
      </c>
      <c r="Q234" s="1">
        <f t="shared" si="69"/>
        <v>0</v>
      </c>
      <c r="R234" s="1">
        <f t="shared" si="69"/>
        <v>0</v>
      </c>
      <c r="S234" s="1">
        <f t="shared" si="69"/>
        <v>0</v>
      </c>
      <c r="T234" s="1">
        <f t="shared" si="69"/>
        <v>0</v>
      </c>
      <c r="U234" s="1">
        <f t="shared" si="69"/>
        <v>0</v>
      </c>
      <c r="V234" s="1">
        <f t="shared" si="69"/>
        <v>0</v>
      </c>
      <c r="W234" s="1">
        <f t="shared" si="69"/>
        <v>0</v>
      </c>
      <c r="X234" s="54">
        <f t="shared" si="69"/>
        <v>0</v>
      </c>
      <c r="Y234" s="58">
        <f t="shared" si="63"/>
        <v>0</v>
      </c>
      <c r="Z234" s="1">
        <f t="shared" si="64"/>
        <v>0</v>
      </c>
      <c r="AA234" s="1">
        <f t="shared" si="65"/>
        <v>0</v>
      </c>
      <c r="AE234">
        <f>AE232/AE233*1000</f>
        <v>527.59381898454751</v>
      </c>
      <c r="AF234" t="s">
        <v>170</v>
      </c>
    </row>
    <row r="235" spans="1:55" x14ac:dyDescent="0.25">
      <c r="A235" s="30" t="s">
        <v>60</v>
      </c>
      <c r="B235" s="32" t="s">
        <v>13</v>
      </c>
      <c r="C235" s="2"/>
      <c r="F235" s="51">
        <f>F246+F247+F248</f>
        <v>39.473684210526315</v>
      </c>
      <c r="G235" s="51">
        <f t="shared" ref="G235:X235" si="70">G246+G247+G248</f>
        <v>18.315789473684209</v>
      </c>
      <c r="H235" s="51">
        <f t="shared" si="70"/>
        <v>54.879999999999995</v>
      </c>
      <c r="I235" s="51">
        <f t="shared" si="70"/>
        <v>22.866666666666667</v>
      </c>
      <c r="J235" s="51">
        <f t="shared" si="70"/>
        <v>22.941176470588236</v>
      </c>
      <c r="K235" s="51">
        <f t="shared" si="70"/>
        <v>17.647058823529413</v>
      </c>
      <c r="L235" s="52">
        <f t="shared" si="70"/>
        <v>0</v>
      </c>
      <c r="M235" s="51">
        <f t="shared" si="70"/>
        <v>30.555555555555557</v>
      </c>
      <c r="N235" s="51">
        <f t="shared" si="70"/>
        <v>13.75</v>
      </c>
      <c r="O235" s="51">
        <f t="shared" si="70"/>
        <v>34.5</v>
      </c>
      <c r="P235" s="51">
        <f t="shared" si="70"/>
        <v>697.77777777777783</v>
      </c>
      <c r="Q235" s="51">
        <f t="shared" si="70"/>
        <v>22.222222222222221</v>
      </c>
      <c r="R235" s="51">
        <f t="shared" si="70"/>
        <v>20.370370370370374</v>
      </c>
      <c r="S235" s="51">
        <f t="shared" si="70"/>
        <v>0</v>
      </c>
      <c r="T235" s="51">
        <f t="shared" si="70"/>
        <v>6.3492063492063497</v>
      </c>
      <c r="U235" s="51">
        <f t="shared" si="70"/>
        <v>11.363636363636363</v>
      </c>
      <c r="V235" s="51">
        <f t="shared" si="70"/>
        <v>0.27777777777777779</v>
      </c>
      <c r="W235" s="51">
        <f t="shared" si="70"/>
        <v>0.76388888888888884</v>
      </c>
      <c r="X235" s="55">
        <f t="shared" si="70"/>
        <v>47.619047619047628</v>
      </c>
      <c r="Y235" s="59">
        <f t="shared" si="63"/>
        <v>176.12437564499484</v>
      </c>
      <c r="Z235" s="51">
        <f t="shared" si="64"/>
        <v>885.54948292448296</v>
      </c>
      <c r="AA235" s="51">
        <f t="shared" si="65"/>
        <v>1061.6738585694777</v>
      </c>
    </row>
    <row r="236" spans="1:55" x14ac:dyDescent="0.25">
      <c r="A236" s="30" t="s">
        <v>60</v>
      </c>
      <c r="B236" s="31" t="s">
        <v>23</v>
      </c>
      <c r="C236" s="2"/>
      <c r="F236" s="51">
        <f>F249+F250+F251</f>
        <v>0</v>
      </c>
      <c r="G236" s="51">
        <f t="shared" ref="G236:X236" si="71">G249+G250+G251</f>
        <v>0</v>
      </c>
      <c r="H236" s="51">
        <f t="shared" si="71"/>
        <v>0</v>
      </c>
      <c r="I236" s="51">
        <f t="shared" si="71"/>
        <v>0</v>
      </c>
      <c r="J236" s="51">
        <f t="shared" si="71"/>
        <v>21.6</v>
      </c>
      <c r="K236" s="51">
        <f t="shared" si="71"/>
        <v>12.222222222222221</v>
      </c>
      <c r="L236" s="52">
        <f t="shared" si="71"/>
        <v>0</v>
      </c>
      <c r="M236" s="51">
        <f t="shared" si="71"/>
        <v>0</v>
      </c>
      <c r="N236" s="51">
        <f t="shared" si="71"/>
        <v>34.46153846153846</v>
      </c>
      <c r="O236" s="51">
        <f t="shared" si="71"/>
        <v>0</v>
      </c>
      <c r="P236" s="51">
        <f t="shared" si="71"/>
        <v>0</v>
      </c>
      <c r="Q236" s="51">
        <f t="shared" si="71"/>
        <v>0</v>
      </c>
      <c r="R236" s="51">
        <f t="shared" si="71"/>
        <v>0</v>
      </c>
      <c r="S236" s="51">
        <f t="shared" si="71"/>
        <v>5.9111111111111114</v>
      </c>
      <c r="T236" s="51">
        <f t="shared" si="71"/>
        <v>17.142857142857142</v>
      </c>
      <c r="U236" s="51">
        <f t="shared" si="71"/>
        <v>0</v>
      </c>
      <c r="V236" s="51">
        <f t="shared" si="71"/>
        <v>0</v>
      </c>
      <c r="W236" s="51">
        <f t="shared" si="71"/>
        <v>0</v>
      </c>
      <c r="X236" s="55">
        <f t="shared" si="71"/>
        <v>2.2222222222222223</v>
      </c>
      <c r="Y236" s="59">
        <f t="shared" si="63"/>
        <v>33.822222222222223</v>
      </c>
      <c r="Z236" s="51">
        <f t="shared" si="64"/>
        <v>59.737728937728939</v>
      </c>
      <c r="AA236" s="51">
        <f t="shared" si="65"/>
        <v>93.559951159951169</v>
      </c>
    </row>
    <row r="237" spans="1:55" x14ac:dyDescent="0.25">
      <c r="A237" s="30" t="s">
        <v>60</v>
      </c>
      <c r="B237" s="31" t="s">
        <v>65</v>
      </c>
      <c r="C237" s="46"/>
      <c r="F237" s="51">
        <f>F252+F253+F254</f>
        <v>0</v>
      </c>
      <c r="G237" s="51">
        <f t="shared" ref="G237:X237" si="72">G252+G253+G254</f>
        <v>0</v>
      </c>
      <c r="H237" s="51">
        <f t="shared" si="72"/>
        <v>0</v>
      </c>
      <c r="I237" s="51">
        <f t="shared" si="72"/>
        <v>0</v>
      </c>
      <c r="J237" s="51">
        <f t="shared" si="72"/>
        <v>114.58333333333334</v>
      </c>
      <c r="K237" s="51">
        <f t="shared" si="72"/>
        <v>0</v>
      </c>
      <c r="L237" s="52">
        <f t="shared" si="72"/>
        <v>7470</v>
      </c>
      <c r="M237" s="51">
        <f t="shared" si="72"/>
        <v>518.75</v>
      </c>
      <c r="N237" s="51">
        <f t="shared" si="72"/>
        <v>0</v>
      </c>
      <c r="O237" s="51">
        <f t="shared" si="72"/>
        <v>0</v>
      </c>
      <c r="P237" s="51">
        <f t="shared" si="72"/>
        <v>0</v>
      </c>
      <c r="Q237" s="51">
        <f t="shared" si="72"/>
        <v>1538.4</v>
      </c>
      <c r="R237" s="51">
        <f t="shared" si="72"/>
        <v>428.4</v>
      </c>
      <c r="S237" s="51">
        <f t="shared" si="72"/>
        <v>0</v>
      </c>
      <c r="T237" s="51">
        <f t="shared" si="72"/>
        <v>387.6</v>
      </c>
      <c r="U237" s="51">
        <f t="shared" si="72"/>
        <v>285.60000000000008</v>
      </c>
      <c r="V237" s="51">
        <f t="shared" si="72"/>
        <v>60</v>
      </c>
      <c r="W237" s="51">
        <f t="shared" si="72"/>
        <v>120</v>
      </c>
      <c r="X237" s="55">
        <f t="shared" si="72"/>
        <v>60</v>
      </c>
      <c r="Y237" s="59">
        <f t="shared" si="63"/>
        <v>114.58333333333334</v>
      </c>
      <c r="Z237" s="51">
        <f t="shared" si="64"/>
        <v>3398.75</v>
      </c>
      <c r="AA237" s="51">
        <f t="shared" si="65"/>
        <v>10983.333333333332</v>
      </c>
    </row>
    <row r="238" spans="1:55" ht="15.75" thickBot="1" x14ac:dyDescent="0.3">
      <c r="A238" s="48" t="s">
        <v>60</v>
      </c>
      <c r="B238" s="49" t="s">
        <v>9</v>
      </c>
      <c r="C238" s="50"/>
      <c r="D238" s="50"/>
      <c r="E238" s="50"/>
      <c r="F238" s="53">
        <f>F255</f>
        <v>0</v>
      </c>
      <c r="G238" s="53">
        <f t="shared" ref="G238:X238" si="73">G255</f>
        <v>0</v>
      </c>
      <c r="H238" s="53">
        <f t="shared" si="73"/>
        <v>0</v>
      </c>
      <c r="I238" s="53">
        <f t="shared" si="73"/>
        <v>0</v>
      </c>
      <c r="J238" s="53">
        <f t="shared" si="73"/>
        <v>0</v>
      </c>
      <c r="K238" s="53">
        <f t="shared" si="73"/>
        <v>0</v>
      </c>
      <c r="L238" s="62">
        <f t="shared" si="73"/>
        <v>0</v>
      </c>
      <c r="M238" s="53">
        <f t="shared" si="73"/>
        <v>0</v>
      </c>
      <c r="N238" s="53">
        <f t="shared" si="73"/>
        <v>0</v>
      </c>
      <c r="O238" s="53">
        <f t="shared" si="73"/>
        <v>0</v>
      </c>
      <c r="P238" s="53">
        <f t="shared" si="73"/>
        <v>0</v>
      </c>
      <c r="Q238" s="53">
        <f t="shared" si="73"/>
        <v>0</v>
      </c>
      <c r="R238" s="53">
        <f t="shared" si="73"/>
        <v>0</v>
      </c>
      <c r="S238" s="53">
        <f t="shared" si="73"/>
        <v>0</v>
      </c>
      <c r="T238" s="53">
        <f t="shared" si="73"/>
        <v>0</v>
      </c>
      <c r="U238" s="53">
        <f t="shared" si="73"/>
        <v>0</v>
      </c>
      <c r="V238" s="53">
        <f t="shared" si="73"/>
        <v>0</v>
      </c>
      <c r="W238" s="53">
        <f t="shared" si="73"/>
        <v>0</v>
      </c>
      <c r="X238" s="56">
        <f t="shared" si="73"/>
        <v>24.801587301587301</v>
      </c>
      <c r="Y238" s="60">
        <f t="shared" si="63"/>
        <v>0</v>
      </c>
      <c r="Z238" s="53">
        <f t="shared" si="64"/>
        <v>24.801587301587301</v>
      </c>
      <c r="AA238" s="53">
        <f t="shared" si="65"/>
        <v>24.801587301587301</v>
      </c>
    </row>
    <row r="239" spans="1:55" ht="15.75" thickTop="1" x14ac:dyDescent="0.25">
      <c r="A239" s="15" t="s">
        <v>51</v>
      </c>
      <c r="B239" s="16" t="s">
        <v>52</v>
      </c>
      <c r="C239" s="16" t="s">
        <v>53</v>
      </c>
      <c r="D239" s="2"/>
      <c r="E239" s="2"/>
      <c r="F239" s="47">
        <f t="shared" ref="F239:AA250" si="74">IF(F284&gt;0,F14/F284,0)</f>
        <v>0</v>
      </c>
      <c r="G239" s="47">
        <f t="shared" si="74"/>
        <v>0</v>
      </c>
      <c r="H239" s="47">
        <f t="shared" si="74"/>
        <v>0</v>
      </c>
      <c r="I239" s="47">
        <f t="shared" si="74"/>
        <v>0</v>
      </c>
      <c r="J239" s="47">
        <f t="shared" si="74"/>
        <v>0</v>
      </c>
      <c r="K239" s="47">
        <f t="shared" si="74"/>
        <v>0</v>
      </c>
      <c r="L239" s="63">
        <f t="shared" si="74"/>
        <v>0</v>
      </c>
      <c r="M239" s="47">
        <f t="shared" si="74"/>
        <v>0</v>
      </c>
      <c r="N239" s="47">
        <f t="shared" si="74"/>
        <v>0</v>
      </c>
      <c r="O239" s="47">
        <f t="shared" si="74"/>
        <v>0</v>
      </c>
      <c r="P239" s="47">
        <f t="shared" si="74"/>
        <v>0</v>
      </c>
      <c r="Q239" s="47">
        <f t="shared" si="74"/>
        <v>0</v>
      </c>
      <c r="R239" s="47">
        <f t="shared" si="74"/>
        <v>0</v>
      </c>
      <c r="S239" s="47">
        <f t="shared" si="74"/>
        <v>0</v>
      </c>
      <c r="T239" s="47">
        <f t="shared" si="74"/>
        <v>0</v>
      </c>
      <c r="U239" s="47">
        <f t="shared" si="74"/>
        <v>0</v>
      </c>
      <c r="V239" s="47">
        <f t="shared" si="74"/>
        <v>0</v>
      </c>
      <c r="W239" s="47">
        <f t="shared" si="74"/>
        <v>0</v>
      </c>
      <c r="X239" s="57">
        <f t="shared" si="74"/>
        <v>0</v>
      </c>
      <c r="Y239" s="61">
        <f t="shared" si="74"/>
        <v>0</v>
      </c>
      <c r="Z239" s="47">
        <f t="shared" si="74"/>
        <v>0</v>
      </c>
      <c r="AA239" s="47">
        <f t="shared" si="74"/>
        <v>0</v>
      </c>
    </row>
    <row r="240" spans="1:55" x14ac:dyDescent="0.25">
      <c r="A240" s="15" t="s">
        <v>51</v>
      </c>
      <c r="B240" s="16" t="s">
        <v>52</v>
      </c>
      <c r="C240" s="16" t="s">
        <v>54</v>
      </c>
      <c r="D240" s="2"/>
      <c r="E240" s="2"/>
      <c r="F240" s="1">
        <f t="shared" si="74"/>
        <v>0</v>
      </c>
      <c r="G240" s="1">
        <f t="shared" si="74"/>
        <v>0</v>
      </c>
      <c r="H240" s="1">
        <f t="shared" si="74"/>
        <v>0</v>
      </c>
      <c r="I240" s="1">
        <f t="shared" si="74"/>
        <v>0</v>
      </c>
      <c r="J240" s="1">
        <f t="shared" si="74"/>
        <v>0</v>
      </c>
      <c r="K240" s="1">
        <f t="shared" si="74"/>
        <v>0</v>
      </c>
      <c r="L240" s="52">
        <f t="shared" si="74"/>
        <v>0</v>
      </c>
      <c r="M240" s="1">
        <f t="shared" si="74"/>
        <v>0</v>
      </c>
      <c r="N240" s="1">
        <f t="shared" si="74"/>
        <v>0</v>
      </c>
      <c r="O240" s="1">
        <f t="shared" si="74"/>
        <v>0</v>
      </c>
      <c r="P240" s="1">
        <f t="shared" si="74"/>
        <v>0</v>
      </c>
      <c r="Q240" s="1">
        <f t="shared" si="74"/>
        <v>0</v>
      </c>
      <c r="R240" s="1">
        <f t="shared" si="74"/>
        <v>0</v>
      </c>
      <c r="S240" s="1">
        <f t="shared" si="74"/>
        <v>0</v>
      </c>
      <c r="T240" s="1">
        <f t="shared" si="74"/>
        <v>0</v>
      </c>
      <c r="U240" s="1">
        <f t="shared" si="74"/>
        <v>0</v>
      </c>
      <c r="V240" s="1">
        <f t="shared" si="74"/>
        <v>0</v>
      </c>
      <c r="W240" s="1">
        <f t="shared" si="74"/>
        <v>0</v>
      </c>
      <c r="X240" s="54">
        <f t="shared" si="74"/>
        <v>0</v>
      </c>
      <c r="Y240" s="58">
        <f t="shared" si="74"/>
        <v>0</v>
      </c>
      <c r="Z240" s="1">
        <f t="shared" si="74"/>
        <v>0</v>
      </c>
      <c r="AA240" s="1">
        <f t="shared" si="74"/>
        <v>0</v>
      </c>
    </row>
    <row r="241" spans="1:29" x14ac:dyDescent="0.25">
      <c r="A241" s="15" t="s">
        <v>51</v>
      </c>
      <c r="B241" s="16" t="s">
        <v>52</v>
      </c>
      <c r="C241" s="16" t="s">
        <v>55</v>
      </c>
      <c r="D241" s="2"/>
      <c r="E241" s="2"/>
      <c r="F241" s="1">
        <f t="shared" si="74"/>
        <v>0</v>
      </c>
      <c r="G241" s="1">
        <f t="shared" si="74"/>
        <v>0</v>
      </c>
      <c r="H241" s="1">
        <f t="shared" si="74"/>
        <v>0</v>
      </c>
      <c r="I241" s="1">
        <f t="shared" si="74"/>
        <v>0</v>
      </c>
      <c r="J241" s="1">
        <f t="shared" si="74"/>
        <v>0</v>
      </c>
      <c r="K241" s="1">
        <f t="shared" si="74"/>
        <v>0</v>
      </c>
      <c r="L241" s="52">
        <f t="shared" si="74"/>
        <v>0</v>
      </c>
      <c r="M241" s="1">
        <f t="shared" si="74"/>
        <v>0</v>
      </c>
      <c r="N241" s="1">
        <f t="shared" si="74"/>
        <v>0</v>
      </c>
      <c r="O241" s="1">
        <f t="shared" si="74"/>
        <v>0</v>
      </c>
      <c r="P241" s="1">
        <f t="shared" si="74"/>
        <v>0</v>
      </c>
      <c r="Q241" s="1">
        <f t="shared" si="74"/>
        <v>0</v>
      </c>
      <c r="R241" s="1">
        <f t="shared" si="74"/>
        <v>0</v>
      </c>
      <c r="S241" s="1">
        <f t="shared" si="74"/>
        <v>0</v>
      </c>
      <c r="T241" s="1">
        <f t="shared" si="74"/>
        <v>0</v>
      </c>
      <c r="U241" s="1">
        <f t="shared" si="74"/>
        <v>0</v>
      </c>
      <c r="V241" s="1">
        <f t="shared" si="74"/>
        <v>0</v>
      </c>
      <c r="W241" s="1">
        <f t="shared" si="74"/>
        <v>0</v>
      </c>
      <c r="X241" s="54">
        <f t="shared" si="74"/>
        <v>0</v>
      </c>
      <c r="Y241" s="58">
        <f t="shared" si="74"/>
        <v>0</v>
      </c>
      <c r="Z241" s="1">
        <f t="shared" si="74"/>
        <v>0</v>
      </c>
      <c r="AA241" s="1">
        <f t="shared" si="74"/>
        <v>0</v>
      </c>
    </row>
    <row r="242" spans="1:29" x14ac:dyDescent="0.25">
      <c r="A242" s="25" t="s">
        <v>51</v>
      </c>
      <c r="B242" s="26" t="s">
        <v>56</v>
      </c>
      <c r="C242" s="26" t="s">
        <v>57</v>
      </c>
      <c r="D242" s="2"/>
      <c r="E242" s="2"/>
      <c r="F242" s="1">
        <f t="shared" si="74"/>
        <v>0</v>
      </c>
      <c r="G242" s="1">
        <f t="shared" si="74"/>
        <v>0</v>
      </c>
      <c r="H242" s="1">
        <f t="shared" si="74"/>
        <v>0</v>
      </c>
      <c r="I242" s="1">
        <f t="shared" si="74"/>
        <v>0</v>
      </c>
      <c r="J242" s="1">
        <f t="shared" si="74"/>
        <v>0</v>
      </c>
      <c r="K242" s="1">
        <f t="shared" si="74"/>
        <v>0</v>
      </c>
      <c r="L242" s="52">
        <f t="shared" si="74"/>
        <v>0</v>
      </c>
      <c r="M242" s="1">
        <f t="shared" si="74"/>
        <v>0</v>
      </c>
      <c r="N242" s="1">
        <f t="shared" si="74"/>
        <v>0</v>
      </c>
      <c r="O242" s="1">
        <f t="shared" si="74"/>
        <v>0</v>
      </c>
      <c r="P242" s="1">
        <f t="shared" si="74"/>
        <v>0</v>
      </c>
      <c r="Q242" s="1">
        <f t="shared" si="74"/>
        <v>0</v>
      </c>
      <c r="R242" s="1">
        <f t="shared" si="74"/>
        <v>0</v>
      </c>
      <c r="S242" s="1">
        <f t="shared" si="74"/>
        <v>0</v>
      </c>
      <c r="T242" s="1">
        <f t="shared" si="74"/>
        <v>0</v>
      </c>
      <c r="U242" s="1">
        <f t="shared" si="74"/>
        <v>0</v>
      </c>
      <c r="V242" s="1">
        <f t="shared" si="74"/>
        <v>0</v>
      </c>
      <c r="W242" s="1">
        <f t="shared" si="74"/>
        <v>0</v>
      </c>
      <c r="X242" s="54">
        <f t="shared" si="74"/>
        <v>0</v>
      </c>
      <c r="Y242" s="58">
        <f t="shared" si="74"/>
        <v>0</v>
      </c>
      <c r="Z242" s="1">
        <f t="shared" si="74"/>
        <v>0</v>
      </c>
      <c r="AA242" s="1">
        <f t="shared" si="74"/>
        <v>0</v>
      </c>
    </row>
    <row r="243" spans="1:29" x14ac:dyDescent="0.25">
      <c r="A243" s="15" t="s">
        <v>51</v>
      </c>
      <c r="B243" s="16" t="s">
        <v>56</v>
      </c>
      <c r="C243" s="27" t="s">
        <v>58</v>
      </c>
      <c r="D243" s="2"/>
      <c r="E243" s="2"/>
      <c r="F243" s="1">
        <f t="shared" si="74"/>
        <v>0</v>
      </c>
      <c r="G243" s="1">
        <f t="shared" si="74"/>
        <v>0</v>
      </c>
      <c r="H243" s="1">
        <f t="shared" si="74"/>
        <v>0</v>
      </c>
      <c r="I243" s="1">
        <f t="shared" si="74"/>
        <v>0</v>
      </c>
      <c r="J243" s="1">
        <f t="shared" si="74"/>
        <v>0</v>
      </c>
      <c r="K243" s="1">
        <f t="shared" si="74"/>
        <v>0</v>
      </c>
      <c r="L243" s="52">
        <f t="shared" si="74"/>
        <v>0</v>
      </c>
      <c r="M243" s="1">
        <f t="shared" si="74"/>
        <v>0</v>
      </c>
      <c r="N243" s="1">
        <f t="shared" si="74"/>
        <v>0</v>
      </c>
      <c r="O243" s="1">
        <f t="shared" si="74"/>
        <v>0</v>
      </c>
      <c r="P243" s="1">
        <f t="shared" si="74"/>
        <v>0</v>
      </c>
      <c r="Q243" s="1">
        <f t="shared" si="74"/>
        <v>0</v>
      </c>
      <c r="R243" s="1">
        <f t="shared" si="74"/>
        <v>0</v>
      </c>
      <c r="S243" s="1">
        <f t="shared" si="74"/>
        <v>0</v>
      </c>
      <c r="T243" s="1">
        <f t="shared" si="74"/>
        <v>0</v>
      </c>
      <c r="U243" s="1">
        <f t="shared" si="74"/>
        <v>0</v>
      </c>
      <c r="V243" s="1">
        <f t="shared" si="74"/>
        <v>0</v>
      </c>
      <c r="W243" s="1">
        <f t="shared" si="74"/>
        <v>0</v>
      </c>
      <c r="X243" s="54">
        <f t="shared" si="74"/>
        <v>0</v>
      </c>
      <c r="Y243" s="58">
        <f t="shared" si="74"/>
        <v>0</v>
      </c>
      <c r="Z243" s="1">
        <f t="shared" si="74"/>
        <v>0</v>
      </c>
      <c r="AA243" s="1">
        <f t="shared" si="74"/>
        <v>0</v>
      </c>
    </row>
    <row r="244" spans="1:29" x14ac:dyDescent="0.25">
      <c r="A244" s="15" t="s">
        <v>51</v>
      </c>
      <c r="B244" s="16" t="s">
        <v>9</v>
      </c>
      <c r="C244" s="27" t="s">
        <v>59</v>
      </c>
      <c r="D244" s="2"/>
      <c r="E244" s="2"/>
      <c r="F244" s="1">
        <f t="shared" si="74"/>
        <v>0</v>
      </c>
      <c r="G244" s="1">
        <f t="shared" si="74"/>
        <v>0</v>
      </c>
      <c r="H244" s="1">
        <f t="shared" si="74"/>
        <v>0</v>
      </c>
      <c r="I244" s="1">
        <f t="shared" si="74"/>
        <v>0</v>
      </c>
      <c r="J244" s="1">
        <f t="shared" si="74"/>
        <v>0</v>
      </c>
      <c r="K244" s="1">
        <f t="shared" si="74"/>
        <v>0</v>
      </c>
      <c r="L244" s="52">
        <f t="shared" si="74"/>
        <v>0</v>
      </c>
      <c r="M244" s="1">
        <f t="shared" si="74"/>
        <v>0</v>
      </c>
      <c r="N244" s="1">
        <f t="shared" si="74"/>
        <v>0</v>
      </c>
      <c r="O244" s="1">
        <f t="shared" si="74"/>
        <v>0</v>
      </c>
      <c r="P244" s="1">
        <f t="shared" si="74"/>
        <v>0</v>
      </c>
      <c r="Q244" s="1">
        <f t="shared" si="74"/>
        <v>0</v>
      </c>
      <c r="R244" s="1">
        <f t="shared" si="74"/>
        <v>0</v>
      </c>
      <c r="S244" s="1">
        <f t="shared" si="74"/>
        <v>0</v>
      </c>
      <c r="T244" s="1">
        <f t="shared" si="74"/>
        <v>0</v>
      </c>
      <c r="U244" s="1">
        <f t="shared" si="74"/>
        <v>0</v>
      </c>
      <c r="V244" s="1">
        <f t="shared" si="74"/>
        <v>0</v>
      </c>
      <c r="W244" s="1">
        <f t="shared" si="74"/>
        <v>0</v>
      </c>
      <c r="X244" s="54">
        <f t="shared" si="74"/>
        <v>0</v>
      </c>
      <c r="Y244" s="58">
        <f t="shared" si="74"/>
        <v>0</v>
      </c>
      <c r="Z244" s="1">
        <f t="shared" si="74"/>
        <v>0</v>
      </c>
      <c r="AA244" s="1">
        <f t="shared" si="74"/>
        <v>0</v>
      </c>
    </row>
    <row r="245" spans="1:29" x14ac:dyDescent="0.25">
      <c r="A245" s="15" t="s">
        <v>51</v>
      </c>
      <c r="B245" s="16" t="s">
        <v>9</v>
      </c>
      <c r="C245" s="27" t="s">
        <v>9</v>
      </c>
      <c r="D245" s="2"/>
      <c r="E245" s="2"/>
      <c r="F245" s="1">
        <f t="shared" si="74"/>
        <v>0</v>
      </c>
      <c r="G245" s="1">
        <f t="shared" si="74"/>
        <v>0</v>
      </c>
      <c r="H245" s="1">
        <f t="shared" si="74"/>
        <v>0</v>
      </c>
      <c r="I245" s="1">
        <f t="shared" si="74"/>
        <v>0</v>
      </c>
      <c r="J245" s="1">
        <f t="shared" si="74"/>
        <v>0</v>
      </c>
      <c r="K245" s="1">
        <f t="shared" si="74"/>
        <v>0</v>
      </c>
      <c r="L245" s="52">
        <f t="shared" si="74"/>
        <v>0</v>
      </c>
      <c r="M245" s="1">
        <f t="shared" si="74"/>
        <v>0</v>
      </c>
      <c r="N245" s="1">
        <f t="shared" si="74"/>
        <v>0</v>
      </c>
      <c r="O245" s="1">
        <f t="shared" si="74"/>
        <v>0</v>
      </c>
      <c r="P245" s="1">
        <f t="shared" si="74"/>
        <v>0</v>
      </c>
      <c r="Q245" s="1">
        <f t="shared" si="74"/>
        <v>0</v>
      </c>
      <c r="R245" s="1">
        <f t="shared" si="74"/>
        <v>0</v>
      </c>
      <c r="S245" s="1">
        <f t="shared" si="74"/>
        <v>0</v>
      </c>
      <c r="T245" s="1">
        <f t="shared" si="74"/>
        <v>0</v>
      </c>
      <c r="U245" s="1">
        <f t="shared" si="74"/>
        <v>0</v>
      </c>
      <c r="V245" s="1">
        <f t="shared" si="74"/>
        <v>0</v>
      </c>
      <c r="W245" s="1">
        <f t="shared" si="74"/>
        <v>0</v>
      </c>
      <c r="X245" s="54">
        <f t="shared" si="74"/>
        <v>0</v>
      </c>
      <c r="Y245" s="58">
        <f t="shared" si="74"/>
        <v>0</v>
      </c>
      <c r="Z245" s="1">
        <f t="shared" si="74"/>
        <v>0</v>
      </c>
      <c r="AA245" s="1">
        <f t="shared" si="74"/>
        <v>0</v>
      </c>
    </row>
    <row r="246" spans="1:29" x14ac:dyDescent="0.25">
      <c r="A246" s="28" t="s">
        <v>60</v>
      </c>
      <c r="B246" s="29" t="s">
        <v>13</v>
      </c>
      <c r="C246" s="29" t="s">
        <v>61</v>
      </c>
      <c r="D246" s="2"/>
      <c r="E246" s="2"/>
      <c r="F246" s="86">
        <f t="shared" si="74"/>
        <v>27.631578947368421</v>
      </c>
      <c r="G246" s="86">
        <f t="shared" si="74"/>
        <v>0</v>
      </c>
      <c r="H246" s="86">
        <f t="shared" si="74"/>
        <v>9.8783999999999992</v>
      </c>
      <c r="I246" s="86">
        <f t="shared" si="74"/>
        <v>22.866666666666667</v>
      </c>
      <c r="J246" s="86">
        <f t="shared" si="74"/>
        <v>22.941176470588236</v>
      </c>
      <c r="K246" s="51">
        <f t="shared" si="74"/>
        <v>17.647058823529413</v>
      </c>
      <c r="L246" s="52">
        <f t="shared" si="74"/>
        <v>0</v>
      </c>
      <c r="M246" s="85">
        <f t="shared" si="74"/>
        <v>30.555555555555557</v>
      </c>
      <c r="N246" s="85">
        <f t="shared" si="74"/>
        <v>13.75</v>
      </c>
      <c r="O246" s="85">
        <f t="shared" si="74"/>
        <v>34.5</v>
      </c>
      <c r="P246" s="85">
        <f t="shared" si="74"/>
        <v>277.77777777777777</v>
      </c>
      <c r="Q246" s="85">
        <f t="shared" si="74"/>
        <v>22.222222222222221</v>
      </c>
      <c r="R246" s="85">
        <f t="shared" si="74"/>
        <v>20.370370370370374</v>
      </c>
      <c r="S246" s="85">
        <f t="shared" si="74"/>
        <v>0</v>
      </c>
      <c r="T246" s="85">
        <f t="shared" si="74"/>
        <v>6.3492063492063497</v>
      </c>
      <c r="U246" s="85">
        <f t="shared" si="74"/>
        <v>11.363636363636363</v>
      </c>
      <c r="V246" s="85">
        <f t="shared" si="74"/>
        <v>0.27777777777777779</v>
      </c>
      <c r="W246" s="85">
        <f t="shared" si="74"/>
        <v>0.76388888888888884</v>
      </c>
      <c r="X246" s="87">
        <f t="shared" si="74"/>
        <v>47.619047619047628</v>
      </c>
      <c r="Y246" s="59">
        <f t="shared" si="74"/>
        <v>0</v>
      </c>
      <c r="Z246" s="51">
        <f t="shared" si="74"/>
        <v>0</v>
      </c>
      <c r="AA246" s="51">
        <f t="shared" si="74"/>
        <v>0</v>
      </c>
    </row>
    <row r="247" spans="1:29" x14ac:dyDescent="0.25">
      <c r="A247" s="36" t="s">
        <v>60</v>
      </c>
      <c r="B247" s="37" t="s">
        <v>13</v>
      </c>
      <c r="C247" s="29" t="s">
        <v>62</v>
      </c>
      <c r="D247" s="2"/>
      <c r="E247" s="2"/>
      <c r="F247" s="86">
        <f t="shared" si="74"/>
        <v>11.842105263157896</v>
      </c>
      <c r="G247" s="86">
        <f t="shared" si="74"/>
        <v>18.315789473684209</v>
      </c>
      <c r="H247" s="86">
        <f t="shared" si="74"/>
        <v>45.001599999999996</v>
      </c>
      <c r="I247" s="51">
        <f t="shared" si="74"/>
        <v>0</v>
      </c>
      <c r="J247" s="51">
        <f t="shared" si="74"/>
        <v>0</v>
      </c>
      <c r="K247" s="51">
        <f t="shared" si="74"/>
        <v>0</v>
      </c>
      <c r="L247" s="52">
        <f t="shared" si="74"/>
        <v>0</v>
      </c>
      <c r="M247" s="51">
        <f t="shared" si="74"/>
        <v>0</v>
      </c>
      <c r="N247" s="51">
        <f t="shared" si="74"/>
        <v>0</v>
      </c>
      <c r="O247" s="51">
        <f t="shared" si="74"/>
        <v>0</v>
      </c>
      <c r="P247" s="85">
        <f>IF(P292&gt;0,P22/P292,0)</f>
        <v>420</v>
      </c>
      <c r="Q247" s="51">
        <f t="shared" si="74"/>
        <v>0</v>
      </c>
      <c r="R247" s="51">
        <f t="shared" si="74"/>
        <v>0</v>
      </c>
      <c r="S247" s="51">
        <f t="shared" si="74"/>
        <v>0</v>
      </c>
      <c r="T247" s="51">
        <f t="shared" si="74"/>
        <v>0</v>
      </c>
      <c r="U247" s="51">
        <f t="shared" si="74"/>
        <v>0</v>
      </c>
      <c r="V247" s="51">
        <f t="shared" si="74"/>
        <v>0</v>
      </c>
      <c r="W247" s="51">
        <f t="shared" si="74"/>
        <v>0</v>
      </c>
      <c r="X247" s="55">
        <f t="shared" si="74"/>
        <v>0</v>
      </c>
      <c r="Y247" s="59">
        <f t="shared" si="74"/>
        <v>0</v>
      </c>
      <c r="Z247" s="51">
        <f t="shared" si="74"/>
        <v>0</v>
      </c>
      <c r="AA247" s="51">
        <f t="shared" si="74"/>
        <v>0</v>
      </c>
    </row>
    <row r="248" spans="1:29" x14ac:dyDescent="0.25">
      <c r="A248" s="30" t="s">
        <v>60</v>
      </c>
      <c r="B248" s="31" t="s">
        <v>13</v>
      </c>
      <c r="C248" s="32" t="s">
        <v>63</v>
      </c>
      <c r="D248" s="2"/>
      <c r="E248" s="2"/>
      <c r="F248" s="51">
        <f t="shared" si="74"/>
        <v>0</v>
      </c>
      <c r="G248" s="51">
        <f t="shared" si="74"/>
        <v>0</v>
      </c>
      <c r="H248" s="51">
        <f t="shared" si="74"/>
        <v>0</v>
      </c>
      <c r="I248" s="51">
        <f t="shared" si="74"/>
        <v>0</v>
      </c>
      <c r="J248" s="51">
        <f t="shared" si="74"/>
        <v>0</v>
      </c>
      <c r="K248" s="51">
        <f t="shared" si="74"/>
        <v>0</v>
      </c>
      <c r="L248" s="52">
        <f t="shared" si="74"/>
        <v>0</v>
      </c>
      <c r="M248" s="51">
        <f t="shared" si="74"/>
        <v>0</v>
      </c>
      <c r="N248" s="51">
        <f t="shared" si="74"/>
        <v>0</v>
      </c>
      <c r="O248" s="51">
        <f t="shared" si="74"/>
        <v>0</v>
      </c>
      <c r="P248" s="51">
        <f t="shared" si="74"/>
        <v>0</v>
      </c>
      <c r="Q248" s="51">
        <f t="shared" si="74"/>
        <v>0</v>
      </c>
      <c r="R248" s="51">
        <f t="shared" si="74"/>
        <v>0</v>
      </c>
      <c r="S248" s="51">
        <f t="shared" si="74"/>
        <v>0</v>
      </c>
      <c r="T248" s="51">
        <f t="shared" si="74"/>
        <v>0</v>
      </c>
      <c r="U248" s="51">
        <f t="shared" si="74"/>
        <v>0</v>
      </c>
      <c r="V248" s="51">
        <f t="shared" si="74"/>
        <v>0</v>
      </c>
      <c r="W248" s="51">
        <f t="shared" si="74"/>
        <v>0</v>
      </c>
      <c r="X248" s="55">
        <f t="shared" si="74"/>
        <v>0</v>
      </c>
      <c r="Y248" s="59">
        <f t="shared" si="74"/>
        <v>0</v>
      </c>
      <c r="Z248" s="51">
        <f t="shared" si="74"/>
        <v>0</v>
      </c>
      <c r="AA248" s="51">
        <f t="shared" si="74"/>
        <v>0</v>
      </c>
    </row>
    <row r="249" spans="1:29" x14ac:dyDescent="0.25">
      <c r="A249" s="30" t="s">
        <v>60</v>
      </c>
      <c r="B249" s="32" t="s">
        <v>23</v>
      </c>
      <c r="C249" s="31" t="s">
        <v>50</v>
      </c>
      <c r="D249" s="2"/>
      <c r="E249" s="2"/>
      <c r="F249" s="51">
        <f t="shared" si="74"/>
        <v>0</v>
      </c>
      <c r="G249" s="51">
        <f t="shared" si="74"/>
        <v>0</v>
      </c>
      <c r="H249" s="51">
        <f t="shared" si="74"/>
        <v>0</v>
      </c>
      <c r="I249" s="51">
        <f t="shared" si="74"/>
        <v>0</v>
      </c>
      <c r="J249" s="86">
        <f t="shared" si="74"/>
        <v>0.6</v>
      </c>
      <c r="K249" s="51">
        <f t="shared" si="74"/>
        <v>8</v>
      </c>
      <c r="L249" s="52">
        <f t="shared" si="74"/>
        <v>0</v>
      </c>
      <c r="M249" s="51">
        <f t="shared" si="74"/>
        <v>0</v>
      </c>
      <c r="N249" s="86">
        <f t="shared" si="74"/>
        <v>34.46153846153846</v>
      </c>
      <c r="O249" s="51">
        <f t="shared" si="74"/>
        <v>0</v>
      </c>
      <c r="P249" s="51">
        <f t="shared" si="74"/>
        <v>0</v>
      </c>
      <c r="Q249" s="51">
        <f t="shared" si="74"/>
        <v>0</v>
      </c>
      <c r="R249" s="51">
        <f t="shared" si="74"/>
        <v>0</v>
      </c>
      <c r="S249" s="51">
        <f t="shared" si="74"/>
        <v>0</v>
      </c>
      <c r="T249" s="51">
        <f t="shared" si="74"/>
        <v>0</v>
      </c>
      <c r="U249" s="51">
        <f t="shared" si="74"/>
        <v>0</v>
      </c>
      <c r="V249" s="51">
        <f t="shared" si="74"/>
        <v>0</v>
      </c>
      <c r="W249" s="51">
        <f t="shared" si="74"/>
        <v>0</v>
      </c>
      <c r="X249" s="55">
        <f t="shared" si="74"/>
        <v>0</v>
      </c>
      <c r="Y249" s="59">
        <f t="shared" si="74"/>
        <v>0</v>
      </c>
      <c r="Z249" s="51">
        <f t="shared" si="74"/>
        <v>0</v>
      </c>
      <c r="AA249" s="51">
        <f t="shared" si="74"/>
        <v>0</v>
      </c>
    </row>
    <row r="250" spans="1:29" x14ac:dyDescent="0.25">
      <c r="A250" s="30" t="s">
        <v>60</v>
      </c>
      <c r="B250" s="32" t="s">
        <v>23</v>
      </c>
      <c r="C250" s="31" t="s">
        <v>49</v>
      </c>
      <c r="D250" s="2"/>
      <c r="E250" s="2"/>
      <c r="F250" s="51">
        <f t="shared" si="74"/>
        <v>0</v>
      </c>
      <c r="G250" s="51">
        <f t="shared" si="74"/>
        <v>0</v>
      </c>
      <c r="H250" s="51">
        <f t="shared" si="74"/>
        <v>0</v>
      </c>
      <c r="I250" s="51">
        <f t="shared" si="74"/>
        <v>0</v>
      </c>
      <c r="J250" s="86">
        <f t="shared" si="74"/>
        <v>21</v>
      </c>
      <c r="K250" s="51">
        <f t="shared" si="74"/>
        <v>4.2222222222222223</v>
      </c>
      <c r="L250" s="52">
        <f t="shared" si="74"/>
        <v>0</v>
      </c>
      <c r="M250" s="51">
        <f t="shared" si="74"/>
        <v>0</v>
      </c>
      <c r="N250" s="51">
        <f t="shared" si="74"/>
        <v>0</v>
      </c>
      <c r="O250" s="51">
        <f t="shared" si="74"/>
        <v>0</v>
      </c>
      <c r="P250" s="51">
        <f t="shared" si="74"/>
        <v>0</v>
      </c>
      <c r="Q250" s="51">
        <f t="shared" si="74"/>
        <v>0</v>
      </c>
      <c r="R250" s="51">
        <f t="shared" si="74"/>
        <v>0</v>
      </c>
      <c r="S250" s="51">
        <f t="shared" si="74"/>
        <v>5.9111111111111114</v>
      </c>
      <c r="T250" s="51">
        <f t="shared" ref="G250:AA265" si="75">IF(T295&gt;0,T25/T295,0)</f>
        <v>17.142857142857142</v>
      </c>
      <c r="U250" s="51">
        <f t="shared" si="75"/>
        <v>0</v>
      </c>
      <c r="V250" s="51">
        <f t="shared" si="75"/>
        <v>0</v>
      </c>
      <c r="W250" s="51">
        <f t="shared" si="75"/>
        <v>0</v>
      </c>
      <c r="X250" s="95">
        <f t="shared" si="75"/>
        <v>2.2222222222222223</v>
      </c>
      <c r="Y250" s="59">
        <f t="shared" si="75"/>
        <v>0</v>
      </c>
      <c r="Z250" s="51">
        <f t="shared" si="75"/>
        <v>0</v>
      </c>
      <c r="AA250" s="51">
        <f t="shared" si="75"/>
        <v>0</v>
      </c>
      <c r="AC250" s="14">
        <f>28.5*0.26</f>
        <v>7.41</v>
      </c>
    </row>
    <row r="251" spans="1:29" x14ac:dyDescent="0.25">
      <c r="A251" s="30" t="s">
        <v>60</v>
      </c>
      <c r="B251" s="32" t="s">
        <v>23</v>
      </c>
      <c r="C251" s="31" t="s">
        <v>64</v>
      </c>
      <c r="D251" s="2"/>
      <c r="E251" s="2"/>
      <c r="F251" s="51">
        <f t="shared" ref="F251:F260" si="76">IF(F296&gt;0,F26/F296,0)</f>
        <v>0</v>
      </c>
      <c r="G251" s="51">
        <f t="shared" si="75"/>
        <v>0</v>
      </c>
      <c r="H251" s="51">
        <f t="shared" si="75"/>
        <v>0</v>
      </c>
      <c r="I251" s="51">
        <f t="shared" si="75"/>
        <v>0</v>
      </c>
      <c r="J251" s="86">
        <f t="shared" si="75"/>
        <v>0</v>
      </c>
      <c r="K251" s="51">
        <f t="shared" si="75"/>
        <v>0</v>
      </c>
      <c r="L251" s="52">
        <f t="shared" si="75"/>
        <v>0</v>
      </c>
      <c r="M251" s="51">
        <f t="shared" si="75"/>
        <v>0</v>
      </c>
      <c r="N251" s="51">
        <f t="shared" si="75"/>
        <v>0</v>
      </c>
      <c r="O251" s="51">
        <f t="shared" si="75"/>
        <v>0</v>
      </c>
      <c r="P251" s="51">
        <f t="shared" si="75"/>
        <v>0</v>
      </c>
      <c r="Q251" s="51">
        <f t="shared" si="75"/>
        <v>0</v>
      </c>
      <c r="R251" s="51">
        <f t="shared" si="75"/>
        <v>0</v>
      </c>
      <c r="S251" s="51">
        <f t="shared" si="75"/>
        <v>0</v>
      </c>
      <c r="T251" s="51">
        <f t="shared" si="75"/>
        <v>0</v>
      </c>
      <c r="U251" s="51">
        <f t="shared" si="75"/>
        <v>0</v>
      </c>
      <c r="V251" s="51">
        <f t="shared" si="75"/>
        <v>0</v>
      </c>
      <c r="W251" s="51">
        <f t="shared" si="75"/>
        <v>0</v>
      </c>
      <c r="X251" s="55">
        <f t="shared" si="75"/>
        <v>0</v>
      </c>
      <c r="Y251" s="59">
        <f t="shared" si="75"/>
        <v>0</v>
      </c>
      <c r="Z251" s="51">
        <f t="shared" si="75"/>
        <v>0</v>
      </c>
      <c r="AA251" s="51">
        <f t="shared" si="75"/>
        <v>0</v>
      </c>
    </row>
    <row r="252" spans="1:29" x14ac:dyDescent="0.25">
      <c r="A252" s="30" t="s">
        <v>60</v>
      </c>
      <c r="B252" s="32" t="s">
        <v>65</v>
      </c>
      <c r="C252" s="31" t="s">
        <v>66</v>
      </c>
      <c r="D252" s="2"/>
      <c r="E252" s="2"/>
      <c r="F252" s="51">
        <f t="shared" si="76"/>
        <v>0</v>
      </c>
      <c r="G252" s="51">
        <f t="shared" si="75"/>
        <v>0</v>
      </c>
      <c r="H252" s="51">
        <f t="shared" si="75"/>
        <v>0</v>
      </c>
      <c r="I252" s="51">
        <f t="shared" si="75"/>
        <v>0</v>
      </c>
      <c r="J252" s="86">
        <f t="shared" si="75"/>
        <v>114.58333333333334</v>
      </c>
      <c r="K252" s="51">
        <f t="shared" si="75"/>
        <v>0</v>
      </c>
      <c r="L252" s="52">
        <f t="shared" si="75"/>
        <v>0</v>
      </c>
      <c r="M252" s="73">
        <f t="shared" si="75"/>
        <v>518.75</v>
      </c>
      <c r="N252" s="51">
        <f t="shared" si="75"/>
        <v>0</v>
      </c>
      <c r="O252" s="51">
        <f t="shared" si="75"/>
        <v>0</v>
      </c>
      <c r="P252" s="51">
        <f t="shared" si="75"/>
        <v>0</v>
      </c>
      <c r="Q252" s="51">
        <f t="shared" si="75"/>
        <v>0</v>
      </c>
      <c r="R252" s="51">
        <f t="shared" si="75"/>
        <v>0</v>
      </c>
      <c r="S252" s="51">
        <f t="shared" si="75"/>
        <v>0</v>
      </c>
      <c r="T252" s="51">
        <f t="shared" si="75"/>
        <v>0</v>
      </c>
      <c r="U252" s="51">
        <f t="shared" si="75"/>
        <v>0</v>
      </c>
      <c r="V252" s="51">
        <f t="shared" si="75"/>
        <v>0</v>
      </c>
      <c r="W252" s="51">
        <f t="shared" si="75"/>
        <v>0</v>
      </c>
      <c r="X252" s="55">
        <f t="shared" si="75"/>
        <v>0</v>
      </c>
      <c r="Y252" s="59">
        <f t="shared" si="75"/>
        <v>0</v>
      </c>
      <c r="Z252" s="51">
        <f t="shared" si="75"/>
        <v>0</v>
      </c>
      <c r="AA252" s="51">
        <f t="shared" si="75"/>
        <v>0</v>
      </c>
    </row>
    <row r="253" spans="1:29" x14ac:dyDescent="0.25">
      <c r="A253" s="30" t="s">
        <v>60</v>
      </c>
      <c r="B253" s="32" t="s">
        <v>65</v>
      </c>
      <c r="C253" s="31" t="s">
        <v>67</v>
      </c>
      <c r="D253" s="2"/>
      <c r="E253" s="2"/>
      <c r="F253" s="51">
        <f t="shared" si="76"/>
        <v>0</v>
      </c>
      <c r="G253" s="51">
        <f t="shared" si="75"/>
        <v>0</v>
      </c>
      <c r="H253" s="51">
        <f t="shared" si="75"/>
        <v>0</v>
      </c>
      <c r="I253" s="51">
        <f t="shared" si="75"/>
        <v>0</v>
      </c>
      <c r="J253" s="51">
        <f t="shared" si="75"/>
        <v>0</v>
      </c>
      <c r="K253" s="51">
        <f t="shared" si="75"/>
        <v>0</v>
      </c>
      <c r="L253" s="52">
        <f t="shared" si="75"/>
        <v>0</v>
      </c>
      <c r="M253" s="51">
        <f t="shared" si="75"/>
        <v>0</v>
      </c>
      <c r="N253" s="51">
        <f t="shared" si="75"/>
        <v>0</v>
      </c>
      <c r="O253" s="51">
        <f t="shared" si="75"/>
        <v>0</v>
      </c>
      <c r="P253" s="51">
        <f t="shared" si="75"/>
        <v>0</v>
      </c>
      <c r="Q253" s="73">
        <f t="shared" si="75"/>
        <v>1538.4</v>
      </c>
      <c r="R253" s="73">
        <f t="shared" si="75"/>
        <v>428.4</v>
      </c>
      <c r="S253" s="73">
        <f t="shared" si="75"/>
        <v>0</v>
      </c>
      <c r="T253" s="73">
        <f t="shared" si="75"/>
        <v>387.6</v>
      </c>
      <c r="U253" s="73">
        <f t="shared" si="75"/>
        <v>285.60000000000008</v>
      </c>
      <c r="V253" s="73">
        <f t="shared" si="75"/>
        <v>60</v>
      </c>
      <c r="W253" s="73">
        <f t="shared" si="75"/>
        <v>120</v>
      </c>
      <c r="X253" s="89">
        <f t="shared" si="75"/>
        <v>60</v>
      </c>
      <c r="Y253" s="59">
        <f t="shared" si="75"/>
        <v>0</v>
      </c>
      <c r="Z253" s="51">
        <f t="shared" si="75"/>
        <v>0</v>
      </c>
      <c r="AA253" s="51">
        <f t="shared" si="75"/>
        <v>0</v>
      </c>
    </row>
    <row r="254" spans="1:29" x14ac:dyDescent="0.25">
      <c r="A254" s="30" t="s">
        <v>60</v>
      </c>
      <c r="B254" s="32" t="s">
        <v>65</v>
      </c>
      <c r="C254" s="31" t="s">
        <v>68</v>
      </c>
      <c r="D254" s="2"/>
      <c r="E254" s="2"/>
      <c r="F254" s="51">
        <f t="shared" si="76"/>
        <v>0</v>
      </c>
      <c r="G254" s="51">
        <f t="shared" si="75"/>
        <v>0</v>
      </c>
      <c r="H254" s="51">
        <f t="shared" si="75"/>
        <v>0</v>
      </c>
      <c r="I254" s="51">
        <f t="shared" si="75"/>
        <v>0</v>
      </c>
      <c r="J254" s="51">
        <f t="shared" si="75"/>
        <v>0</v>
      </c>
      <c r="K254" s="51">
        <f t="shared" si="75"/>
        <v>0</v>
      </c>
      <c r="L254" s="88">
        <f t="shared" si="75"/>
        <v>7470</v>
      </c>
      <c r="M254" s="51">
        <f t="shared" si="75"/>
        <v>0</v>
      </c>
      <c r="N254" s="51">
        <f t="shared" si="75"/>
        <v>0</v>
      </c>
      <c r="O254" s="51">
        <f t="shared" si="75"/>
        <v>0</v>
      </c>
      <c r="P254" s="51">
        <f t="shared" si="75"/>
        <v>0</v>
      </c>
      <c r="Q254" s="51">
        <f t="shared" si="75"/>
        <v>0</v>
      </c>
      <c r="R254" s="51">
        <f t="shared" si="75"/>
        <v>0</v>
      </c>
      <c r="S254" s="51">
        <f t="shared" si="75"/>
        <v>0</v>
      </c>
      <c r="T254" s="51">
        <f t="shared" si="75"/>
        <v>0</v>
      </c>
      <c r="U254" s="51">
        <f t="shared" si="75"/>
        <v>0</v>
      </c>
      <c r="V254" s="51">
        <f t="shared" si="75"/>
        <v>0</v>
      </c>
      <c r="W254" s="51">
        <f t="shared" si="75"/>
        <v>0</v>
      </c>
      <c r="X254" s="55">
        <f t="shared" si="75"/>
        <v>0</v>
      </c>
      <c r="Y254" s="59">
        <f t="shared" si="75"/>
        <v>0</v>
      </c>
      <c r="Z254" s="51">
        <f t="shared" si="75"/>
        <v>0</v>
      </c>
      <c r="AA254" s="51">
        <f t="shared" si="75"/>
        <v>0</v>
      </c>
    </row>
    <row r="255" spans="1:29" x14ac:dyDescent="0.25">
      <c r="A255" s="30" t="s">
        <v>60</v>
      </c>
      <c r="B255" s="32" t="s">
        <v>9</v>
      </c>
      <c r="C255" s="31" t="s">
        <v>69</v>
      </c>
      <c r="D255" s="2"/>
      <c r="E255" s="2"/>
      <c r="F255" s="51">
        <f t="shared" si="76"/>
        <v>0</v>
      </c>
      <c r="G255" s="51">
        <f t="shared" si="75"/>
        <v>0</v>
      </c>
      <c r="H255" s="51">
        <f t="shared" si="75"/>
        <v>0</v>
      </c>
      <c r="I255" s="51">
        <f t="shared" si="75"/>
        <v>0</v>
      </c>
      <c r="J255" s="51">
        <f t="shared" si="75"/>
        <v>0</v>
      </c>
      <c r="K255" s="51">
        <f t="shared" si="75"/>
        <v>0</v>
      </c>
      <c r="L255" s="52">
        <f t="shared" si="75"/>
        <v>0</v>
      </c>
      <c r="M255" s="51">
        <f t="shared" si="75"/>
        <v>0</v>
      </c>
      <c r="N255" s="51">
        <f t="shared" si="75"/>
        <v>0</v>
      </c>
      <c r="O255" s="51">
        <f t="shared" si="75"/>
        <v>0</v>
      </c>
      <c r="P255" s="51">
        <f t="shared" si="75"/>
        <v>0</v>
      </c>
      <c r="Q255" s="51">
        <f t="shared" si="75"/>
        <v>0</v>
      </c>
      <c r="R255" s="51">
        <f t="shared" si="75"/>
        <v>0</v>
      </c>
      <c r="S255" s="51">
        <f t="shared" si="75"/>
        <v>0</v>
      </c>
      <c r="T255" s="51">
        <f t="shared" si="75"/>
        <v>0</v>
      </c>
      <c r="U255" s="51">
        <f t="shared" si="75"/>
        <v>0</v>
      </c>
      <c r="V255" s="51">
        <f t="shared" si="75"/>
        <v>0</v>
      </c>
      <c r="W255" s="51">
        <f t="shared" si="75"/>
        <v>0</v>
      </c>
      <c r="X255" s="89">
        <f t="shared" si="75"/>
        <v>24.801587301587301</v>
      </c>
      <c r="Y255" s="59">
        <f t="shared" si="75"/>
        <v>0</v>
      </c>
      <c r="Z255" s="51">
        <f t="shared" si="75"/>
        <v>0</v>
      </c>
      <c r="AA255" s="51">
        <f t="shared" si="75"/>
        <v>0</v>
      </c>
    </row>
    <row r="256" spans="1:29" x14ac:dyDescent="0.25">
      <c r="A256" s="15" t="s">
        <v>51</v>
      </c>
      <c r="B256" s="16" t="s">
        <v>56</v>
      </c>
      <c r="C256" s="27" t="s">
        <v>57</v>
      </c>
      <c r="D256" s="16" t="s">
        <v>70</v>
      </c>
      <c r="E256" s="16"/>
      <c r="F256" s="1">
        <f t="shared" si="76"/>
        <v>0</v>
      </c>
      <c r="G256" s="1">
        <f t="shared" si="75"/>
        <v>0</v>
      </c>
      <c r="H256" s="1">
        <f t="shared" si="75"/>
        <v>0</v>
      </c>
      <c r="I256" s="1">
        <f t="shared" si="75"/>
        <v>0</v>
      </c>
      <c r="J256" s="1">
        <f t="shared" si="75"/>
        <v>0</v>
      </c>
      <c r="K256" s="1">
        <f t="shared" si="75"/>
        <v>0</v>
      </c>
      <c r="L256" s="52">
        <f t="shared" si="75"/>
        <v>0</v>
      </c>
      <c r="M256" s="1">
        <f t="shared" si="75"/>
        <v>0</v>
      </c>
      <c r="N256" s="1">
        <f t="shared" si="75"/>
        <v>0</v>
      </c>
      <c r="O256" s="1">
        <f t="shared" si="75"/>
        <v>0</v>
      </c>
      <c r="P256" s="1">
        <f t="shared" si="75"/>
        <v>0</v>
      </c>
      <c r="Q256" s="1">
        <f t="shared" si="75"/>
        <v>0</v>
      </c>
      <c r="R256" s="1">
        <f t="shared" si="75"/>
        <v>0</v>
      </c>
      <c r="S256" s="1">
        <f t="shared" si="75"/>
        <v>0</v>
      </c>
      <c r="T256" s="1">
        <f t="shared" si="75"/>
        <v>0</v>
      </c>
      <c r="U256" s="1">
        <f t="shared" si="75"/>
        <v>0</v>
      </c>
      <c r="V256" s="1">
        <f t="shared" si="75"/>
        <v>0</v>
      </c>
      <c r="W256" s="1">
        <f t="shared" si="75"/>
        <v>0</v>
      </c>
      <c r="X256" s="54">
        <f t="shared" si="75"/>
        <v>0</v>
      </c>
      <c r="Y256" s="58">
        <f t="shared" si="75"/>
        <v>0</v>
      </c>
      <c r="Z256" s="1">
        <f t="shared" si="75"/>
        <v>0</v>
      </c>
      <c r="AA256" s="1">
        <f t="shared" si="75"/>
        <v>0</v>
      </c>
    </row>
    <row r="257" spans="1:27" x14ac:dyDescent="0.25">
      <c r="A257" s="15" t="s">
        <v>51</v>
      </c>
      <c r="B257" s="16" t="s">
        <v>56</v>
      </c>
      <c r="C257" s="27" t="s">
        <v>57</v>
      </c>
      <c r="D257" s="16" t="s">
        <v>71</v>
      </c>
      <c r="E257" s="16"/>
      <c r="F257" s="1">
        <f t="shared" si="76"/>
        <v>0</v>
      </c>
      <c r="G257" s="1">
        <f t="shared" si="75"/>
        <v>0</v>
      </c>
      <c r="H257" s="1">
        <f t="shared" si="75"/>
        <v>0</v>
      </c>
      <c r="I257" s="1">
        <f t="shared" si="75"/>
        <v>0</v>
      </c>
      <c r="J257" s="1">
        <f t="shared" si="75"/>
        <v>0</v>
      </c>
      <c r="K257" s="1">
        <f t="shared" si="75"/>
        <v>0</v>
      </c>
      <c r="L257" s="52">
        <f t="shared" si="75"/>
        <v>0</v>
      </c>
      <c r="M257" s="1">
        <f t="shared" si="75"/>
        <v>0</v>
      </c>
      <c r="N257" s="1">
        <f t="shared" si="75"/>
        <v>0</v>
      </c>
      <c r="O257" s="1">
        <f t="shared" si="75"/>
        <v>0</v>
      </c>
      <c r="P257" s="1">
        <f t="shared" si="75"/>
        <v>0</v>
      </c>
      <c r="Q257" s="1">
        <f t="shared" si="75"/>
        <v>0</v>
      </c>
      <c r="R257" s="1">
        <f t="shared" si="75"/>
        <v>0</v>
      </c>
      <c r="S257" s="1">
        <f t="shared" si="75"/>
        <v>0</v>
      </c>
      <c r="T257" s="1">
        <f t="shared" si="75"/>
        <v>0</v>
      </c>
      <c r="U257" s="1">
        <f t="shared" si="75"/>
        <v>0</v>
      </c>
      <c r="V257" s="1">
        <f t="shared" si="75"/>
        <v>0</v>
      </c>
      <c r="W257" s="1">
        <f t="shared" si="75"/>
        <v>0</v>
      </c>
      <c r="X257" s="54">
        <f t="shared" si="75"/>
        <v>0</v>
      </c>
      <c r="Y257" s="58">
        <f t="shared" si="75"/>
        <v>0</v>
      </c>
      <c r="Z257" s="1">
        <f t="shared" si="75"/>
        <v>0</v>
      </c>
      <c r="AA257" s="1">
        <f t="shared" si="75"/>
        <v>0</v>
      </c>
    </row>
    <row r="258" spans="1:27" x14ac:dyDescent="0.25">
      <c r="A258" s="15" t="s">
        <v>51</v>
      </c>
      <c r="B258" s="16" t="s">
        <v>56</v>
      </c>
      <c r="C258" s="27" t="s">
        <v>27</v>
      </c>
      <c r="D258" s="16" t="s">
        <v>72</v>
      </c>
      <c r="E258" s="16"/>
      <c r="F258" s="1">
        <f t="shared" si="76"/>
        <v>0</v>
      </c>
      <c r="G258" s="1">
        <f t="shared" si="75"/>
        <v>0</v>
      </c>
      <c r="H258" s="1">
        <f t="shared" si="75"/>
        <v>0</v>
      </c>
      <c r="I258" s="1">
        <f t="shared" si="75"/>
        <v>0</v>
      </c>
      <c r="J258" s="1">
        <f t="shared" si="75"/>
        <v>0</v>
      </c>
      <c r="K258" s="1">
        <f t="shared" si="75"/>
        <v>0</v>
      </c>
      <c r="L258" s="52">
        <f t="shared" si="75"/>
        <v>0</v>
      </c>
      <c r="M258" s="1">
        <f t="shared" si="75"/>
        <v>0</v>
      </c>
      <c r="N258" s="1">
        <f t="shared" si="75"/>
        <v>0</v>
      </c>
      <c r="O258" s="1">
        <f t="shared" si="75"/>
        <v>0</v>
      </c>
      <c r="P258" s="1">
        <f t="shared" si="75"/>
        <v>0</v>
      </c>
      <c r="Q258" s="1">
        <f t="shared" si="75"/>
        <v>0</v>
      </c>
      <c r="R258" s="1">
        <f t="shared" si="75"/>
        <v>0</v>
      </c>
      <c r="S258" s="1">
        <f t="shared" si="75"/>
        <v>0</v>
      </c>
      <c r="T258" s="1">
        <f t="shared" si="75"/>
        <v>0</v>
      </c>
      <c r="U258" s="1">
        <f t="shared" si="75"/>
        <v>0</v>
      </c>
      <c r="V258" s="1">
        <f t="shared" si="75"/>
        <v>0</v>
      </c>
      <c r="W258" s="1">
        <f t="shared" si="75"/>
        <v>0</v>
      </c>
      <c r="X258" s="54">
        <f t="shared" si="75"/>
        <v>0</v>
      </c>
      <c r="Y258" s="58">
        <f t="shared" si="75"/>
        <v>0</v>
      </c>
      <c r="Z258" s="1">
        <f t="shared" si="75"/>
        <v>0</v>
      </c>
      <c r="AA258" s="1">
        <f t="shared" si="75"/>
        <v>0</v>
      </c>
    </row>
    <row r="259" spans="1:27" x14ac:dyDescent="0.25">
      <c r="A259" s="15" t="s">
        <v>51</v>
      </c>
      <c r="B259" s="16" t="s">
        <v>56</v>
      </c>
      <c r="C259" s="27" t="s">
        <v>57</v>
      </c>
      <c r="D259" s="16" t="s">
        <v>73</v>
      </c>
      <c r="E259" s="16"/>
      <c r="F259" s="1">
        <f t="shared" si="76"/>
        <v>0</v>
      </c>
      <c r="G259" s="1">
        <f t="shared" si="75"/>
        <v>0</v>
      </c>
      <c r="H259" s="1">
        <f t="shared" si="75"/>
        <v>0</v>
      </c>
      <c r="I259" s="1">
        <f t="shared" si="75"/>
        <v>0</v>
      </c>
      <c r="J259" s="1">
        <f t="shared" si="75"/>
        <v>0</v>
      </c>
      <c r="K259" s="1">
        <f t="shared" si="75"/>
        <v>0</v>
      </c>
      <c r="L259" s="52">
        <f t="shared" si="75"/>
        <v>0</v>
      </c>
      <c r="M259" s="1">
        <f t="shared" si="75"/>
        <v>0</v>
      </c>
      <c r="N259" s="1">
        <f t="shared" si="75"/>
        <v>0</v>
      </c>
      <c r="O259" s="1">
        <f t="shared" si="75"/>
        <v>0</v>
      </c>
      <c r="P259" s="1">
        <f t="shared" si="75"/>
        <v>0</v>
      </c>
      <c r="Q259" s="1">
        <f t="shared" si="75"/>
        <v>0</v>
      </c>
      <c r="R259" s="1">
        <f t="shared" si="75"/>
        <v>0</v>
      </c>
      <c r="S259" s="1">
        <f t="shared" si="75"/>
        <v>0</v>
      </c>
      <c r="T259" s="1">
        <f t="shared" si="75"/>
        <v>0</v>
      </c>
      <c r="U259" s="1">
        <f t="shared" si="75"/>
        <v>0</v>
      </c>
      <c r="V259" s="1">
        <f t="shared" si="75"/>
        <v>0</v>
      </c>
      <c r="W259" s="1">
        <f t="shared" si="75"/>
        <v>0</v>
      </c>
      <c r="X259" s="54">
        <f t="shared" si="75"/>
        <v>0</v>
      </c>
      <c r="Y259" s="58">
        <f t="shared" si="75"/>
        <v>0</v>
      </c>
      <c r="Z259" s="1">
        <f t="shared" si="75"/>
        <v>0</v>
      </c>
      <c r="AA259" s="1">
        <f t="shared" si="75"/>
        <v>0</v>
      </c>
    </row>
    <row r="260" spans="1:27" x14ac:dyDescent="0.25">
      <c r="A260" s="15" t="s">
        <v>51</v>
      </c>
      <c r="B260" s="16" t="s">
        <v>56</v>
      </c>
      <c r="C260" s="27" t="s">
        <v>57</v>
      </c>
      <c r="D260" s="16" t="s">
        <v>74</v>
      </c>
      <c r="E260" s="16"/>
      <c r="F260" s="1">
        <f t="shared" si="76"/>
        <v>0</v>
      </c>
      <c r="G260" s="1">
        <f t="shared" si="75"/>
        <v>0</v>
      </c>
      <c r="H260" s="1">
        <f t="shared" si="75"/>
        <v>0</v>
      </c>
      <c r="I260" s="1">
        <f t="shared" si="75"/>
        <v>0</v>
      </c>
      <c r="J260" s="1">
        <f t="shared" si="75"/>
        <v>0</v>
      </c>
      <c r="K260" s="1">
        <f t="shared" si="75"/>
        <v>0</v>
      </c>
      <c r="L260" s="52">
        <f t="shared" si="75"/>
        <v>0</v>
      </c>
      <c r="M260" s="1">
        <f t="shared" si="75"/>
        <v>0</v>
      </c>
      <c r="N260" s="1">
        <f t="shared" si="75"/>
        <v>0</v>
      </c>
      <c r="O260" s="1">
        <f t="shared" si="75"/>
        <v>0</v>
      </c>
      <c r="P260" s="1">
        <f t="shared" si="75"/>
        <v>0</v>
      </c>
      <c r="Q260" s="1">
        <f t="shared" si="75"/>
        <v>0</v>
      </c>
      <c r="R260" s="1">
        <f t="shared" si="75"/>
        <v>0</v>
      </c>
      <c r="S260" s="1">
        <f t="shared" si="75"/>
        <v>0</v>
      </c>
      <c r="T260" s="1">
        <f t="shared" si="75"/>
        <v>0</v>
      </c>
      <c r="U260" s="1">
        <f t="shared" si="75"/>
        <v>0</v>
      </c>
      <c r="V260" s="1">
        <f t="shared" si="75"/>
        <v>0</v>
      </c>
      <c r="W260" s="1">
        <f t="shared" si="75"/>
        <v>0</v>
      </c>
      <c r="X260" s="54">
        <f t="shared" si="75"/>
        <v>0</v>
      </c>
      <c r="Y260" s="58">
        <f t="shared" si="75"/>
        <v>0</v>
      </c>
      <c r="Z260" s="1">
        <f t="shared" si="75"/>
        <v>0</v>
      </c>
      <c r="AA260" s="1">
        <f t="shared" si="75"/>
        <v>0</v>
      </c>
    </row>
    <row r="261" spans="1:27" x14ac:dyDescent="0.25">
      <c r="A261" s="30" t="s">
        <v>60</v>
      </c>
      <c r="B261" s="31" t="s">
        <v>13</v>
      </c>
      <c r="C261" s="32" t="s">
        <v>61</v>
      </c>
      <c r="D261" s="31" t="s">
        <v>75</v>
      </c>
      <c r="E261" s="31"/>
      <c r="F261" s="51">
        <f>F246*0.9</f>
        <v>24.868421052631579</v>
      </c>
      <c r="G261" s="73"/>
      <c r="H261" s="51">
        <f>H246</f>
        <v>9.8783999999999992</v>
      </c>
      <c r="I261" s="51">
        <f>I246*0.9</f>
        <v>20.580000000000002</v>
      </c>
      <c r="J261" s="51">
        <f>J246*0.3</f>
        <v>6.8823529411764701</v>
      </c>
      <c r="K261" s="51">
        <f>K246*0.8</f>
        <v>14.117647058823531</v>
      </c>
      <c r="L261" s="52">
        <v>0</v>
      </c>
      <c r="M261" s="73">
        <f>M246*0.1</f>
        <v>3.0555555555555558</v>
      </c>
      <c r="N261" s="73">
        <v>0</v>
      </c>
      <c r="O261" s="73">
        <v>0</v>
      </c>
      <c r="P261" s="73">
        <v>0</v>
      </c>
      <c r="Q261" s="73"/>
      <c r="R261" s="73"/>
      <c r="S261" s="51"/>
      <c r="T261" s="51"/>
      <c r="U261" s="51"/>
      <c r="V261" s="51"/>
      <c r="W261" s="51">
        <f>W246</f>
        <v>0.76388888888888884</v>
      </c>
      <c r="X261" s="55">
        <f>X291*0.1</f>
        <v>18</v>
      </c>
      <c r="Y261" s="59">
        <f t="shared" si="75"/>
        <v>0</v>
      </c>
      <c r="Z261" s="51">
        <f t="shared" si="75"/>
        <v>0</v>
      </c>
      <c r="AA261" s="51">
        <f t="shared" si="75"/>
        <v>0</v>
      </c>
    </row>
    <row r="262" spans="1:27" x14ac:dyDescent="0.25">
      <c r="A262" s="30" t="s">
        <v>60</v>
      </c>
      <c r="B262" s="31" t="s">
        <v>13</v>
      </c>
      <c r="C262" s="32" t="s">
        <v>61</v>
      </c>
      <c r="D262" s="31" t="s">
        <v>76</v>
      </c>
      <c r="E262" s="31"/>
      <c r="F262" s="51">
        <f>F246*0.1</f>
        <v>2.7631578947368425</v>
      </c>
      <c r="G262" s="51">
        <v>0</v>
      </c>
      <c r="H262" s="51">
        <v>0</v>
      </c>
      <c r="I262" s="51">
        <f>I246*0.05</f>
        <v>1.1433333333333333</v>
      </c>
      <c r="J262" s="51">
        <f>J246*0.7</f>
        <v>16.058823529411764</v>
      </c>
      <c r="K262" s="51">
        <f>K246*0.05</f>
        <v>0.88235294117647067</v>
      </c>
      <c r="L262" s="52">
        <v>0</v>
      </c>
      <c r="M262" s="73">
        <f>M246*0.5</f>
        <v>15.277777777777779</v>
      </c>
      <c r="N262" s="73">
        <f>N246</f>
        <v>13.75</v>
      </c>
      <c r="O262" s="73">
        <f>O246*0.5</f>
        <v>17.25</v>
      </c>
      <c r="P262" s="73">
        <f>P246*0.44</f>
        <v>122.22222222222221</v>
      </c>
      <c r="Q262" s="73"/>
      <c r="R262" s="73">
        <f>R246</f>
        <v>20.370370370370374</v>
      </c>
      <c r="S262" s="51"/>
      <c r="T262" s="51"/>
      <c r="U262" s="51"/>
      <c r="V262" s="51"/>
      <c r="W262" s="51"/>
      <c r="X262" s="55">
        <f>X291*0.1</f>
        <v>18</v>
      </c>
      <c r="Y262" s="59">
        <f t="shared" si="75"/>
        <v>0</v>
      </c>
      <c r="Z262" s="51">
        <f t="shared" si="75"/>
        <v>0</v>
      </c>
      <c r="AA262" s="51">
        <f t="shared" si="75"/>
        <v>0</v>
      </c>
    </row>
    <row r="263" spans="1:27" x14ac:dyDescent="0.25">
      <c r="A263" s="30" t="s">
        <v>60</v>
      </c>
      <c r="B263" s="31" t="s">
        <v>13</v>
      </c>
      <c r="C263" s="32" t="s">
        <v>61</v>
      </c>
      <c r="D263" s="31" t="s">
        <v>77</v>
      </c>
      <c r="E263" s="31"/>
      <c r="F263" s="51">
        <v>0</v>
      </c>
      <c r="G263" s="51">
        <v>0</v>
      </c>
      <c r="H263" s="51">
        <v>0</v>
      </c>
      <c r="I263" s="51">
        <v>0</v>
      </c>
      <c r="J263" s="51">
        <v>0</v>
      </c>
      <c r="K263" s="51">
        <f>K246*0.1</f>
        <v>1.7647058823529413</v>
      </c>
      <c r="L263" s="52">
        <v>0</v>
      </c>
      <c r="M263" s="73">
        <f>M246*0.4</f>
        <v>12.222222222222223</v>
      </c>
      <c r="N263" s="73">
        <v>0</v>
      </c>
      <c r="O263" s="73">
        <f>O246*0.5</f>
        <v>17.25</v>
      </c>
      <c r="P263" s="73">
        <f>P246*0.55</f>
        <v>152.7777777777778</v>
      </c>
      <c r="Q263" s="73"/>
      <c r="R263" s="73"/>
      <c r="S263" s="51"/>
      <c r="T263" s="51">
        <f>T246</f>
        <v>6.3492063492063497</v>
      </c>
      <c r="U263" s="51">
        <f>U246</f>
        <v>11.363636363636363</v>
      </c>
      <c r="V263" s="51"/>
      <c r="W263" s="51"/>
      <c r="X263" s="55">
        <f>X291*0.7</f>
        <v>125.99999999999999</v>
      </c>
      <c r="Y263" s="59">
        <f t="shared" si="75"/>
        <v>0</v>
      </c>
      <c r="Z263" s="51">
        <f t="shared" si="75"/>
        <v>0</v>
      </c>
      <c r="AA263" s="51">
        <f t="shared" si="75"/>
        <v>0</v>
      </c>
    </row>
    <row r="264" spans="1:27" x14ac:dyDescent="0.25">
      <c r="A264" s="30" t="s">
        <v>60</v>
      </c>
      <c r="B264" s="31" t="s">
        <v>13</v>
      </c>
      <c r="C264" s="32" t="s">
        <v>61</v>
      </c>
      <c r="D264" s="31" t="s">
        <v>78</v>
      </c>
      <c r="E264" s="31"/>
      <c r="F264" s="51">
        <v>0</v>
      </c>
      <c r="G264" s="51">
        <v>0</v>
      </c>
      <c r="H264" s="51">
        <v>0</v>
      </c>
      <c r="I264" s="51">
        <f>I246*0.05</f>
        <v>1.1433333333333333</v>
      </c>
      <c r="J264" s="51">
        <v>0</v>
      </c>
      <c r="K264" s="51">
        <f>K246*0.05</f>
        <v>0.88235294117647067</v>
      </c>
      <c r="L264" s="52">
        <v>0</v>
      </c>
      <c r="M264" s="73">
        <f>M246*0</f>
        <v>0</v>
      </c>
      <c r="N264" s="73">
        <v>0</v>
      </c>
      <c r="O264" s="73">
        <f>O246*0</f>
        <v>0</v>
      </c>
      <c r="P264" s="73">
        <f>(P246)*0.01</f>
        <v>2.7777777777777777</v>
      </c>
      <c r="Q264" s="73">
        <f>Q246</f>
        <v>22.222222222222221</v>
      </c>
      <c r="R264" s="73"/>
      <c r="S264" s="51"/>
      <c r="T264" s="51"/>
      <c r="U264" s="51"/>
      <c r="V264" s="51"/>
      <c r="W264" s="51"/>
      <c r="X264" s="55">
        <f>X246*0.1</f>
        <v>4.7619047619047628</v>
      </c>
      <c r="Y264" s="59">
        <f t="shared" si="75"/>
        <v>0</v>
      </c>
      <c r="Z264" s="51">
        <f t="shared" si="75"/>
        <v>0</v>
      </c>
      <c r="AA264" s="51">
        <f t="shared" si="75"/>
        <v>0</v>
      </c>
    </row>
    <row r="265" spans="1:27" ht="15.75" thickBot="1" x14ac:dyDescent="0.3">
      <c r="A265" s="33" t="s">
        <v>60</v>
      </c>
      <c r="B265" s="34" t="s">
        <v>13</v>
      </c>
      <c r="C265" s="35" t="s">
        <v>61</v>
      </c>
      <c r="D265" s="34" t="s">
        <v>79</v>
      </c>
      <c r="E265" s="31"/>
      <c r="F265" s="51">
        <v>0</v>
      </c>
      <c r="G265" s="51">
        <v>0</v>
      </c>
      <c r="H265" s="51">
        <v>0</v>
      </c>
      <c r="I265" s="51">
        <v>0</v>
      </c>
      <c r="J265" s="51">
        <v>0</v>
      </c>
      <c r="K265" s="51">
        <v>0</v>
      </c>
      <c r="L265" s="52">
        <v>0</v>
      </c>
      <c r="M265" s="51">
        <v>0</v>
      </c>
      <c r="N265" s="51">
        <v>0</v>
      </c>
      <c r="O265" s="51">
        <v>0</v>
      </c>
      <c r="P265" s="51">
        <v>0</v>
      </c>
      <c r="Q265" s="51">
        <v>0</v>
      </c>
      <c r="R265" s="51">
        <v>0</v>
      </c>
      <c r="S265" s="51">
        <v>0</v>
      </c>
      <c r="T265" s="51">
        <v>0</v>
      </c>
      <c r="U265" s="51">
        <v>0</v>
      </c>
      <c r="V265" s="51">
        <v>0</v>
      </c>
      <c r="W265" s="51">
        <v>0</v>
      </c>
      <c r="X265" s="55">
        <v>0</v>
      </c>
      <c r="Y265" s="59">
        <f t="shared" si="75"/>
        <v>0</v>
      </c>
      <c r="Z265" s="51">
        <f t="shared" si="75"/>
        <v>0</v>
      </c>
      <c r="AA265" s="51">
        <f t="shared" si="75"/>
        <v>0</v>
      </c>
    </row>
    <row r="266" spans="1:27" x14ac:dyDescent="0.25">
      <c r="A266" s="30" t="s">
        <v>60</v>
      </c>
      <c r="B266" s="31" t="s">
        <v>13</v>
      </c>
      <c r="C266" s="32" t="s">
        <v>62</v>
      </c>
      <c r="D266" s="31" t="s">
        <v>75</v>
      </c>
      <c r="E266" s="31"/>
      <c r="F266" s="51"/>
      <c r="G266" s="73">
        <f>G247</f>
        <v>18.315789473684209</v>
      </c>
      <c r="H266" s="51">
        <f>H247*0.4</f>
        <v>18.000640000000001</v>
      </c>
      <c r="I266" s="51">
        <v>0</v>
      </c>
      <c r="J266" s="51">
        <v>0</v>
      </c>
      <c r="K266" s="51">
        <v>0</v>
      </c>
      <c r="L266" s="52">
        <v>0</v>
      </c>
      <c r="M266" s="51">
        <v>0</v>
      </c>
      <c r="N266" s="51">
        <v>0</v>
      </c>
      <c r="O266" s="51">
        <v>0</v>
      </c>
      <c r="P266" s="51">
        <v>0</v>
      </c>
      <c r="Q266" s="51">
        <v>0</v>
      </c>
      <c r="R266" s="51">
        <v>0</v>
      </c>
      <c r="S266" s="51">
        <v>0</v>
      </c>
      <c r="T266" s="51">
        <v>0</v>
      </c>
      <c r="U266" s="51">
        <v>0</v>
      </c>
      <c r="V266" s="51">
        <v>0</v>
      </c>
      <c r="W266" s="51">
        <v>0</v>
      </c>
      <c r="X266" s="55">
        <v>0</v>
      </c>
      <c r="Y266" s="59">
        <f t="shared" ref="Y266:AA270" si="77">IF(Y311&gt;0,Y41/Y311,0)</f>
        <v>0</v>
      </c>
      <c r="Z266" s="51">
        <f t="shared" si="77"/>
        <v>0</v>
      </c>
      <c r="AA266" s="51">
        <f t="shared" si="77"/>
        <v>0</v>
      </c>
    </row>
    <row r="267" spans="1:27" x14ac:dyDescent="0.25">
      <c r="A267" s="30" t="s">
        <v>60</v>
      </c>
      <c r="B267" s="31" t="s">
        <v>13</v>
      </c>
      <c r="C267" s="32" t="s">
        <v>62</v>
      </c>
      <c r="D267" s="31" t="s">
        <v>76</v>
      </c>
      <c r="E267" s="31"/>
      <c r="F267" s="51">
        <f>F247</f>
        <v>11.842105263157896</v>
      </c>
      <c r="G267" s="51">
        <f>G247*0</f>
        <v>0</v>
      </c>
      <c r="H267" s="51">
        <f>H247*0.6</f>
        <v>27.000959999999996</v>
      </c>
      <c r="I267" s="51">
        <v>0</v>
      </c>
      <c r="J267" s="51">
        <v>0</v>
      </c>
      <c r="K267" s="51">
        <v>0</v>
      </c>
      <c r="L267" s="52">
        <v>0</v>
      </c>
      <c r="M267" s="51">
        <v>0</v>
      </c>
      <c r="N267" s="51">
        <v>0</v>
      </c>
      <c r="O267" s="51">
        <v>0</v>
      </c>
      <c r="P267" s="51">
        <f>P247</f>
        <v>420</v>
      </c>
      <c r="Q267" s="51">
        <v>0</v>
      </c>
      <c r="R267" s="51">
        <v>0</v>
      </c>
      <c r="S267" s="51">
        <v>0</v>
      </c>
      <c r="T267" s="51">
        <v>0</v>
      </c>
      <c r="U267" s="51">
        <v>0</v>
      </c>
      <c r="V267" s="51">
        <v>0</v>
      </c>
      <c r="W267" s="51">
        <v>0</v>
      </c>
      <c r="X267" s="55">
        <v>0</v>
      </c>
      <c r="Y267" s="59">
        <f t="shared" si="77"/>
        <v>0</v>
      </c>
      <c r="Z267" s="51">
        <f t="shared" si="77"/>
        <v>0</v>
      </c>
      <c r="AA267" s="51">
        <f t="shared" si="77"/>
        <v>0</v>
      </c>
    </row>
    <row r="268" spans="1:27" x14ac:dyDescent="0.25">
      <c r="A268" s="30" t="s">
        <v>60</v>
      </c>
      <c r="B268" s="31" t="s">
        <v>13</v>
      </c>
      <c r="C268" s="32" t="s">
        <v>62</v>
      </c>
      <c r="D268" s="31" t="s">
        <v>77</v>
      </c>
      <c r="E268" s="31"/>
      <c r="F268" s="51">
        <v>0</v>
      </c>
      <c r="G268" s="51">
        <v>0</v>
      </c>
      <c r="H268" s="51">
        <v>0</v>
      </c>
      <c r="I268" s="51">
        <v>0</v>
      </c>
      <c r="J268" s="51">
        <v>0</v>
      </c>
      <c r="K268" s="51">
        <v>0</v>
      </c>
      <c r="L268" s="52">
        <v>0</v>
      </c>
      <c r="M268" s="51">
        <v>0</v>
      </c>
      <c r="N268" s="51">
        <v>0</v>
      </c>
      <c r="O268" s="51">
        <v>0</v>
      </c>
      <c r="P268" s="51">
        <v>0</v>
      </c>
      <c r="Q268" s="51">
        <v>0</v>
      </c>
      <c r="R268" s="51">
        <v>0</v>
      </c>
      <c r="S268" s="51">
        <v>0</v>
      </c>
      <c r="T268" s="51">
        <v>0</v>
      </c>
      <c r="U268" s="51">
        <v>0</v>
      </c>
      <c r="V268" s="51">
        <v>0</v>
      </c>
      <c r="W268" s="51">
        <v>0</v>
      </c>
      <c r="X268" s="55">
        <v>0</v>
      </c>
      <c r="Y268" s="59">
        <f t="shared" si="77"/>
        <v>0</v>
      </c>
      <c r="Z268" s="51">
        <f t="shared" si="77"/>
        <v>0</v>
      </c>
      <c r="AA268" s="51">
        <f t="shared" si="77"/>
        <v>0</v>
      </c>
    </row>
    <row r="269" spans="1:27" x14ac:dyDescent="0.25">
      <c r="A269" s="30" t="s">
        <v>60</v>
      </c>
      <c r="B269" s="31" t="s">
        <v>13</v>
      </c>
      <c r="C269" s="32" t="s">
        <v>62</v>
      </c>
      <c r="D269" s="31" t="s">
        <v>78</v>
      </c>
      <c r="E269" s="31"/>
      <c r="F269" s="51">
        <v>0</v>
      </c>
      <c r="G269" s="51">
        <v>0</v>
      </c>
      <c r="H269" s="51">
        <v>0</v>
      </c>
      <c r="I269" s="51">
        <v>0</v>
      </c>
      <c r="J269" s="51">
        <v>0</v>
      </c>
      <c r="K269" s="51">
        <v>0</v>
      </c>
      <c r="L269" s="52">
        <v>0</v>
      </c>
      <c r="M269" s="51">
        <v>0</v>
      </c>
      <c r="N269" s="51">
        <v>0</v>
      </c>
      <c r="O269" s="51">
        <v>0</v>
      </c>
      <c r="P269" s="51">
        <v>0</v>
      </c>
      <c r="Q269" s="51">
        <v>0</v>
      </c>
      <c r="R269" s="51">
        <v>0</v>
      </c>
      <c r="S269" s="51">
        <v>0</v>
      </c>
      <c r="T269" s="51">
        <v>0</v>
      </c>
      <c r="U269" s="51">
        <v>0</v>
      </c>
      <c r="V269" s="51">
        <v>0</v>
      </c>
      <c r="W269" s="51">
        <v>0</v>
      </c>
      <c r="X269" s="55">
        <v>0</v>
      </c>
      <c r="Y269" s="59">
        <f t="shared" si="77"/>
        <v>0</v>
      </c>
      <c r="Z269" s="51">
        <f t="shared" si="77"/>
        <v>0</v>
      </c>
      <c r="AA269" s="51">
        <f t="shared" si="77"/>
        <v>0</v>
      </c>
    </row>
    <row r="270" spans="1:27" ht="15.75" thickBot="1" x14ac:dyDescent="0.3">
      <c r="A270" s="33" t="s">
        <v>60</v>
      </c>
      <c r="B270" s="34" t="s">
        <v>13</v>
      </c>
      <c r="C270" s="32" t="s">
        <v>62</v>
      </c>
      <c r="D270" s="34" t="s">
        <v>79</v>
      </c>
      <c r="E270" s="31"/>
      <c r="F270" s="51">
        <v>0</v>
      </c>
      <c r="G270" s="51">
        <v>0</v>
      </c>
      <c r="H270" s="51">
        <v>0</v>
      </c>
      <c r="I270" s="51">
        <v>0</v>
      </c>
      <c r="J270" s="51">
        <v>0</v>
      </c>
      <c r="K270" s="51">
        <v>0</v>
      </c>
      <c r="L270" s="52">
        <v>0</v>
      </c>
      <c r="M270" s="51">
        <v>0</v>
      </c>
      <c r="N270" s="51">
        <v>0</v>
      </c>
      <c r="O270" s="51">
        <v>0</v>
      </c>
      <c r="P270" s="51">
        <v>0</v>
      </c>
      <c r="Q270" s="51">
        <v>0</v>
      </c>
      <c r="R270" s="51">
        <v>0</v>
      </c>
      <c r="S270" s="51">
        <v>0</v>
      </c>
      <c r="T270" s="51">
        <v>0</v>
      </c>
      <c r="U270" s="51">
        <v>0</v>
      </c>
      <c r="V270" s="51">
        <v>0</v>
      </c>
      <c r="W270" s="51">
        <v>0</v>
      </c>
      <c r="X270" s="55">
        <v>0</v>
      </c>
      <c r="Y270" s="59">
        <f t="shared" si="77"/>
        <v>0</v>
      </c>
      <c r="Z270" s="51">
        <f t="shared" si="77"/>
        <v>0</v>
      </c>
      <c r="AA270" s="51">
        <f t="shared" si="77"/>
        <v>0</v>
      </c>
    </row>
    <row r="272" spans="1:27" x14ac:dyDescent="0.25">
      <c r="D272" s="41" t="s">
        <v>84</v>
      </c>
      <c r="E272" s="41"/>
      <c r="M272" s="24" t="s">
        <v>81</v>
      </c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</row>
    <row r="273" spans="1:27" x14ac:dyDescent="0.25">
      <c r="F273" s="23" t="s">
        <v>44</v>
      </c>
      <c r="G273" s="23"/>
      <c r="H273" s="23"/>
      <c r="I273" s="23"/>
      <c r="J273" s="23"/>
      <c r="K273" s="23"/>
      <c r="L273" s="7" t="s">
        <v>30</v>
      </c>
      <c r="M273" s="24" t="s">
        <v>46</v>
      </c>
      <c r="N273" s="24"/>
      <c r="O273" s="24"/>
      <c r="P273" s="24"/>
      <c r="Q273" s="24"/>
      <c r="R273" s="24" t="s">
        <v>47</v>
      </c>
      <c r="S273" s="24"/>
      <c r="T273" s="24"/>
      <c r="U273" s="24"/>
      <c r="V273" s="24"/>
      <c r="W273" s="24"/>
      <c r="X273" s="24"/>
      <c r="Y273" s="44" t="s">
        <v>85</v>
      </c>
      <c r="Z273" s="44" t="s">
        <v>48</v>
      </c>
      <c r="AA273" s="44" t="s">
        <v>3</v>
      </c>
    </row>
    <row r="274" spans="1:27" ht="63" x14ac:dyDescent="0.25">
      <c r="F274" s="38" t="s">
        <v>36</v>
      </c>
      <c r="G274" s="38" t="s">
        <v>37</v>
      </c>
      <c r="H274" s="38" t="s">
        <v>38</v>
      </c>
      <c r="I274" s="38" t="s">
        <v>80</v>
      </c>
      <c r="J274" s="38" t="s">
        <v>39</v>
      </c>
      <c r="K274" s="38" t="s">
        <v>45</v>
      </c>
      <c r="L274" s="39" t="s">
        <v>16</v>
      </c>
      <c r="M274" s="40" t="s">
        <v>34</v>
      </c>
      <c r="N274" s="40" t="s">
        <v>5</v>
      </c>
      <c r="O274" s="40" t="s">
        <v>7</v>
      </c>
      <c r="P274" s="40" t="s">
        <v>8</v>
      </c>
      <c r="Q274" s="40" t="s">
        <v>40</v>
      </c>
      <c r="R274" s="40" t="s">
        <v>41</v>
      </c>
      <c r="S274" s="40" t="s">
        <v>42</v>
      </c>
      <c r="T274" s="40" t="s">
        <v>31</v>
      </c>
      <c r="U274" s="40" t="s">
        <v>43</v>
      </c>
      <c r="V274" s="40" t="s">
        <v>82</v>
      </c>
      <c r="W274" s="40" t="s">
        <v>87</v>
      </c>
      <c r="X274" s="40" t="s">
        <v>83</v>
      </c>
      <c r="Y274" s="45" t="s">
        <v>3</v>
      </c>
      <c r="Z274" s="45" t="s">
        <v>86</v>
      </c>
      <c r="AA274" s="45" t="s">
        <v>3</v>
      </c>
    </row>
    <row r="275" spans="1:27" x14ac:dyDescent="0.25">
      <c r="A275" s="15" t="s">
        <v>51</v>
      </c>
      <c r="B275" s="2"/>
      <c r="C275" s="2"/>
      <c r="F275" s="1"/>
      <c r="G275" s="1"/>
      <c r="H275" s="1"/>
      <c r="I275" s="1"/>
      <c r="J275" s="1"/>
      <c r="K275" s="1"/>
      <c r="L275" s="5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54"/>
      <c r="Y275" s="58"/>
      <c r="Z275" s="1"/>
      <c r="AA275" s="1"/>
    </row>
    <row r="276" spans="1:27" x14ac:dyDescent="0.25">
      <c r="A276" s="30" t="s">
        <v>60</v>
      </c>
      <c r="B276" s="2"/>
      <c r="C276" s="2"/>
      <c r="F276" s="1"/>
      <c r="G276" s="1"/>
      <c r="H276" s="1"/>
      <c r="I276" s="1"/>
      <c r="J276" s="1"/>
      <c r="K276" s="1"/>
      <c r="L276" s="5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54"/>
      <c r="Y276" s="58"/>
      <c r="Z276" s="1"/>
      <c r="AA276" s="1"/>
    </row>
    <row r="277" spans="1:27" x14ac:dyDescent="0.25">
      <c r="A277" s="15" t="s">
        <v>51</v>
      </c>
      <c r="B277" s="16" t="s">
        <v>52</v>
      </c>
      <c r="C277" s="2"/>
      <c r="F277" s="1"/>
      <c r="G277" s="1"/>
      <c r="H277" s="1"/>
      <c r="I277" s="1"/>
      <c r="J277" s="1"/>
      <c r="K277" s="1"/>
      <c r="L277" s="5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54"/>
      <c r="Y277" s="58"/>
      <c r="Z277" s="1"/>
      <c r="AA277" s="1"/>
    </row>
    <row r="278" spans="1:27" x14ac:dyDescent="0.25">
      <c r="A278" s="15" t="s">
        <v>51</v>
      </c>
      <c r="B278" s="16" t="s">
        <v>56</v>
      </c>
      <c r="C278" s="2"/>
      <c r="F278" s="1"/>
      <c r="G278" s="1"/>
      <c r="H278" s="1"/>
      <c r="I278" s="1"/>
      <c r="J278" s="1"/>
      <c r="K278" s="1"/>
      <c r="L278" s="5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54"/>
      <c r="Y278" s="58"/>
      <c r="Z278" s="1"/>
      <c r="AA278" s="1"/>
    </row>
    <row r="279" spans="1:27" x14ac:dyDescent="0.25">
      <c r="A279" s="15" t="s">
        <v>51</v>
      </c>
      <c r="B279" s="16" t="s">
        <v>9</v>
      </c>
      <c r="C279" s="2"/>
      <c r="F279" s="1"/>
      <c r="G279" s="1"/>
      <c r="H279" s="1"/>
      <c r="I279" s="1"/>
      <c r="J279" s="1"/>
      <c r="K279" s="1"/>
      <c r="L279" s="5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54"/>
      <c r="Y279" s="58"/>
      <c r="Z279" s="1"/>
      <c r="AA279" s="1"/>
    </row>
    <row r="280" spans="1:27" x14ac:dyDescent="0.25">
      <c r="A280" s="30" t="s">
        <v>60</v>
      </c>
      <c r="B280" s="32" t="s">
        <v>13</v>
      </c>
      <c r="C280" s="2"/>
      <c r="F280" s="51"/>
      <c r="G280" s="51"/>
      <c r="H280" s="51"/>
      <c r="I280" s="51"/>
      <c r="J280" s="51"/>
      <c r="K280" s="51"/>
      <c r="L280" s="52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5"/>
      <c r="Y280" s="59"/>
      <c r="Z280" s="51"/>
      <c r="AA280" s="51"/>
    </row>
    <row r="281" spans="1:27" x14ac:dyDescent="0.25">
      <c r="A281" s="30" t="s">
        <v>60</v>
      </c>
      <c r="B281" s="31" t="s">
        <v>23</v>
      </c>
      <c r="C281" s="2"/>
      <c r="F281" s="51"/>
      <c r="G281" s="51"/>
      <c r="H281" s="51"/>
      <c r="I281" s="51"/>
      <c r="J281" s="51"/>
      <c r="K281" s="51"/>
      <c r="L281" s="52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5"/>
      <c r="Y281" s="59"/>
      <c r="Z281" s="51"/>
      <c r="AA281" s="51"/>
    </row>
    <row r="282" spans="1:27" x14ac:dyDescent="0.25">
      <c r="A282" s="30" t="s">
        <v>60</v>
      </c>
      <c r="B282" s="31" t="s">
        <v>65</v>
      </c>
      <c r="C282" s="46"/>
      <c r="F282" s="51"/>
      <c r="G282" s="51"/>
      <c r="H282" s="51"/>
      <c r="I282" s="51"/>
      <c r="J282" s="51"/>
      <c r="K282" s="51"/>
      <c r="L282" s="52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5"/>
      <c r="Y282" s="59"/>
      <c r="Z282" s="51"/>
      <c r="AA282" s="51"/>
    </row>
    <row r="283" spans="1:27" ht="15.75" thickBot="1" x14ac:dyDescent="0.3">
      <c r="A283" s="48" t="s">
        <v>60</v>
      </c>
      <c r="B283" s="49" t="s">
        <v>9</v>
      </c>
      <c r="C283" s="50"/>
      <c r="D283" s="50"/>
      <c r="E283" s="50"/>
      <c r="F283" s="53"/>
      <c r="G283" s="53"/>
      <c r="H283" s="53"/>
      <c r="I283" s="53"/>
      <c r="J283" s="53"/>
      <c r="K283" s="53"/>
      <c r="L283" s="62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6"/>
      <c r="Y283" s="60"/>
      <c r="Z283" s="53"/>
      <c r="AA283" s="53"/>
    </row>
    <row r="284" spans="1:27" ht="15.75" thickTop="1" x14ac:dyDescent="0.25">
      <c r="A284" s="15" t="s">
        <v>51</v>
      </c>
      <c r="B284" s="16" t="s">
        <v>52</v>
      </c>
      <c r="C284" s="16" t="s">
        <v>53</v>
      </c>
      <c r="D284" s="2"/>
      <c r="E284" s="2"/>
      <c r="F284" s="47"/>
      <c r="G284" s="47"/>
      <c r="H284" s="47"/>
      <c r="I284" s="47"/>
      <c r="J284" s="47"/>
      <c r="K284" s="47"/>
      <c r="L284" s="6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57"/>
      <c r="Y284" s="61"/>
      <c r="Z284" s="47"/>
      <c r="AA284" s="47"/>
    </row>
    <row r="285" spans="1:27" x14ac:dyDescent="0.25">
      <c r="A285" s="15" t="s">
        <v>51</v>
      </c>
      <c r="B285" s="16" t="s">
        <v>52</v>
      </c>
      <c r="C285" s="16" t="s">
        <v>54</v>
      </c>
      <c r="D285" s="2"/>
      <c r="E285" s="2"/>
      <c r="F285" s="1"/>
      <c r="G285" s="1"/>
      <c r="H285" s="1"/>
      <c r="I285" s="1"/>
      <c r="J285" s="1"/>
      <c r="K285" s="1"/>
      <c r="L285" s="5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54"/>
      <c r="Y285" s="58"/>
      <c r="Z285" s="1"/>
      <c r="AA285" s="1"/>
    </row>
    <row r="286" spans="1:27" x14ac:dyDescent="0.25">
      <c r="A286" s="15" t="s">
        <v>51</v>
      </c>
      <c r="B286" s="16" t="s">
        <v>52</v>
      </c>
      <c r="C286" s="16" t="s">
        <v>55</v>
      </c>
      <c r="D286" s="2"/>
      <c r="E286" s="2"/>
      <c r="F286" s="1"/>
      <c r="G286" s="1"/>
      <c r="H286" s="1"/>
      <c r="I286" s="1"/>
      <c r="J286" s="1"/>
      <c r="K286" s="1"/>
      <c r="L286" s="5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54"/>
      <c r="Y286" s="58"/>
      <c r="Z286" s="1"/>
      <c r="AA286" s="1"/>
    </row>
    <row r="287" spans="1:27" x14ac:dyDescent="0.25">
      <c r="A287" s="25" t="s">
        <v>51</v>
      </c>
      <c r="B287" s="26" t="s">
        <v>56</v>
      </c>
      <c r="C287" s="26" t="s">
        <v>57</v>
      </c>
      <c r="D287" s="2"/>
      <c r="E287" s="2"/>
      <c r="F287" s="1"/>
      <c r="G287" s="1"/>
      <c r="H287" s="1"/>
      <c r="I287" s="1"/>
      <c r="J287" s="1"/>
      <c r="K287" s="1"/>
      <c r="L287" s="5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54"/>
      <c r="Y287" s="58"/>
      <c r="Z287" s="1"/>
      <c r="AA287" s="1"/>
    </row>
    <row r="288" spans="1:27" x14ac:dyDescent="0.25">
      <c r="A288" s="15" t="s">
        <v>51</v>
      </c>
      <c r="B288" s="16" t="s">
        <v>56</v>
      </c>
      <c r="C288" s="27" t="s">
        <v>58</v>
      </c>
      <c r="D288" s="2"/>
      <c r="E288" s="2"/>
      <c r="F288" s="1"/>
      <c r="G288" s="1"/>
      <c r="H288" s="1"/>
      <c r="I288" s="1"/>
      <c r="J288" s="1"/>
      <c r="K288" s="1"/>
      <c r="L288" s="5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54"/>
      <c r="Y288" s="58"/>
      <c r="Z288" s="1"/>
      <c r="AA288" s="1"/>
    </row>
    <row r="289" spans="1:31" x14ac:dyDescent="0.25">
      <c r="A289" s="15" t="s">
        <v>51</v>
      </c>
      <c r="B289" s="16" t="s">
        <v>9</v>
      </c>
      <c r="C289" s="27" t="s">
        <v>59</v>
      </c>
      <c r="D289" s="2"/>
      <c r="E289" s="2"/>
      <c r="F289" s="1"/>
      <c r="G289" s="1"/>
      <c r="H289" s="1"/>
      <c r="I289" s="1"/>
      <c r="J289" s="1"/>
      <c r="K289" s="1"/>
      <c r="L289" s="5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54"/>
      <c r="Y289" s="58"/>
      <c r="Z289" s="1"/>
      <c r="AA289" s="1"/>
    </row>
    <row r="290" spans="1:31" x14ac:dyDescent="0.25">
      <c r="A290" s="15" t="s">
        <v>51</v>
      </c>
      <c r="B290" s="16" t="s">
        <v>9</v>
      </c>
      <c r="C290" s="27" t="s">
        <v>9</v>
      </c>
      <c r="D290" s="2"/>
      <c r="E290" s="2"/>
      <c r="F290" s="1"/>
      <c r="G290" s="1"/>
      <c r="H290" s="1"/>
      <c r="I290" s="1"/>
      <c r="J290" s="1"/>
      <c r="K290" s="1"/>
      <c r="L290" s="5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54"/>
      <c r="Y290" s="58"/>
      <c r="Z290" s="1"/>
      <c r="AA290" s="1"/>
    </row>
    <row r="291" spans="1:31" x14ac:dyDescent="0.25">
      <c r="A291" s="28" t="s">
        <v>60</v>
      </c>
      <c r="B291" s="29" t="s">
        <v>13</v>
      </c>
      <c r="C291" s="29" t="s">
        <v>61</v>
      </c>
      <c r="D291" s="2"/>
      <c r="E291" s="2"/>
      <c r="F291" s="51">
        <v>190</v>
      </c>
      <c r="G291" s="51"/>
      <c r="H291" s="51">
        <v>200</v>
      </c>
      <c r="I291" s="51">
        <v>180</v>
      </c>
      <c r="J291" s="51">
        <v>170</v>
      </c>
      <c r="K291" s="51">
        <v>170</v>
      </c>
      <c r="L291" s="52"/>
      <c r="M291" s="51">
        <v>180</v>
      </c>
      <c r="N291" s="51">
        <v>160</v>
      </c>
      <c r="O291" s="51">
        <v>180</v>
      </c>
      <c r="P291" s="51">
        <v>180</v>
      </c>
      <c r="Q291" s="51">
        <v>180</v>
      </c>
      <c r="R291" s="51">
        <v>180</v>
      </c>
      <c r="S291" s="51"/>
      <c r="T291" s="51">
        <v>180</v>
      </c>
      <c r="U291" s="51">
        <v>180</v>
      </c>
      <c r="V291" s="51">
        <v>180</v>
      </c>
      <c r="W291" s="51">
        <v>180</v>
      </c>
      <c r="X291" s="55">
        <v>180</v>
      </c>
      <c r="Y291" s="59"/>
      <c r="Z291" s="51"/>
      <c r="AA291" s="51"/>
    </row>
    <row r="292" spans="1:31" x14ac:dyDescent="0.25">
      <c r="A292" s="36" t="s">
        <v>60</v>
      </c>
      <c r="B292" s="37" t="s">
        <v>13</v>
      </c>
      <c r="C292" s="29" t="s">
        <v>62</v>
      </c>
      <c r="D292" s="2"/>
      <c r="E292" s="2"/>
      <c r="F292" s="51">
        <v>190</v>
      </c>
      <c r="G292" s="51">
        <v>190</v>
      </c>
      <c r="H292" s="51">
        <v>200</v>
      </c>
      <c r="I292" s="51"/>
      <c r="J292" s="51"/>
      <c r="K292" s="51"/>
      <c r="L292" s="52"/>
      <c r="M292" s="51"/>
      <c r="N292" s="51"/>
      <c r="O292" s="51"/>
      <c r="P292" s="51">
        <v>180</v>
      </c>
      <c r="Q292" s="51"/>
      <c r="R292" s="51"/>
      <c r="S292" s="51"/>
      <c r="T292" s="51"/>
      <c r="U292" s="51"/>
      <c r="V292" s="51"/>
      <c r="W292" s="51"/>
      <c r="X292" s="55"/>
      <c r="Y292" s="59"/>
      <c r="Z292" s="51"/>
      <c r="AA292" s="51"/>
    </row>
    <row r="293" spans="1:31" x14ac:dyDescent="0.25">
      <c r="A293" s="30" t="s">
        <v>60</v>
      </c>
      <c r="B293" s="31" t="s">
        <v>13</v>
      </c>
      <c r="C293" s="32" t="s">
        <v>63</v>
      </c>
      <c r="D293" s="2"/>
      <c r="E293" s="2"/>
      <c r="F293" s="51"/>
      <c r="G293" s="51"/>
      <c r="H293" s="51"/>
      <c r="I293" s="51"/>
      <c r="J293" s="51"/>
      <c r="K293" s="51"/>
      <c r="L293" s="52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5"/>
      <c r="Y293" s="59"/>
      <c r="Z293" s="51"/>
      <c r="AA293" s="51"/>
    </row>
    <row r="294" spans="1:31" x14ac:dyDescent="0.25">
      <c r="A294" s="30" t="s">
        <v>60</v>
      </c>
      <c r="B294" s="32" t="s">
        <v>23</v>
      </c>
      <c r="C294" s="31" t="s">
        <v>50</v>
      </c>
      <c r="D294" s="2"/>
      <c r="E294" s="2"/>
      <c r="F294" s="51">
        <v>65</v>
      </c>
      <c r="G294" s="51"/>
      <c r="H294" s="51"/>
      <c r="I294" s="51"/>
      <c r="J294" s="51">
        <v>65</v>
      </c>
      <c r="K294" s="51">
        <v>70</v>
      </c>
      <c r="L294" s="52"/>
      <c r="M294" s="51">
        <v>65</v>
      </c>
      <c r="N294" s="51">
        <v>65</v>
      </c>
      <c r="O294" s="51"/>
      <c r="P294" s="51"/>
      <c r="Q294" s="51"/>
      <c r="R294" s="51"/>
      <c r="S294" s="51"/>
      <c r="T294" s="51"/>
      <c r="U294" s="51"/>
      <c r="V294" s="51"/>
      <c r="W294" s="51"/>
      <c r="X294" s="55"/>
      <c r="Y294" s="59"/>
      <c r="Z294" s="51"/>
      <c r="AA294" s="51"/>
      <c r="AB294" t="s">
        <v>13</v>
      </c>
      <c r="AC294" t="s">
        <v>111</v>
      </c>
      <c r="AD294" t="s">
        <v>106</v>
      </c>
    </row>
    <row r="295" spans="1:31" x14ac:dyDescent="0.25">
      <c r="A295" s="30" t="s">
        <v>60</v>
      </c>
      <c r="B295" s="32" t="s">
        <v>23</v>
      </c>
      <c r="C295" s="31" t="s">
        <v>49</v>
      </c>
      <c r="D295" s="2"/>
      <c r="E295" s="2"/>
      <c r="F295" s="51"/>
      <c r="G295" s="51"/>
      <c r="H295" s="51"/>
      <c r="I295" s="51"/>
      <c r="J295" s="51">
        <v>45</v>
      </c>
      <c r="K295" s="51">
        <v>45</v>
      </c>
      <c r="L295" s="52"/>
      <c r="M295" s="51"/>
      <c r="N295" s="51"/>
      <c r="O295" s="51"/>
      <c r="P295" s="51"/>
      <c r="Q295" s="51"/>
      <c r="R295" s="51"/>
      <c r="S295" s="51">
        <v>45</v>
      </c>
      <c r="T295" s="51">
        <v>35</v>
      </c>
      <c r="U295" s="51"/>
      <c r="V295" s="51">
        <v>45</v>
      </c>
      <c r="W295" s="51"/>
      <c r="X295" s="55">
        <v>45</v>
      </c>
      <c r="Y295" s="59"/>
      <c r="Z295" s="51"/>
      <c r="AA295" s="51"/>
      <c r="AB295">
        <v>2.9</v>
      </c>
      <c r="AC295">
        <v>3.2</v>
      </c>
      <c r="AD295">
        <v>1.8</v>
      </c>
      <c r="AE295" t="s">
        <v>107</v>
      </c>
    </row>
    <row r="296" spans="1:31" x14ac:dyDescent="0.25">
      <c r="A296" s="30" t="s">
        <v>60</v>
      </c>
      <c r="B296" s="32" t="s">
        <v>23</v>
      </c>
      <c r="C296" s="31" t="s">
        <v>64</v>
      </c>
      <c r="D296" s="2"/>
      <c r="E296" s="2"/>
      <c r="F296" s="51"/>
      <c r="G296" s="51"/>
      <c r="H296" s="51"/>
      <c r="I296" s="51"/>
      <c r="J296" s="51"/>
      <c r="K296" s="51"/>
      <c r="L296" s="52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5"/>
      <c r="Y296" s="59"/>
      <c r="Z296" s="51"/>
      <c r="AA296" s="51"/>
      <c r="AB296">
        <v>3.6</v>
      </c>
      <c r="AC296">
        <v>1.2</v>
      </c>
      <c r="AD296">
        <v>1.2</v>
      </c>
      <c r="AE296" t="s">
        <v>108</v>
      </c>
    </row>
    <row r="297" spans="1:31" x14ac:dyDescent="0.25">
      <c r="A297" s="30" t="s">
        <v>60</v>
      </c>
      <c r="B297" s="32" t="s">
        <v>65</v>
      </c>
      <c r="C297" s="31" t="s">
        <v>66</v>
      </c>
      <c r="D297" s="2"/>
      <c r="E297" s="2"/>
      <c r="F297" s="51"/>
      <c r="G297" s="51"/>
      <c r="H297" s="51"/>
      <c r="I297" s="51"/>
      <c r="J297" s="51">
        <v>40</v>
      </c>
      <c r="K297" s="51"/>
      <c r="L297" s="52"/>
      <c r="M297" s="51">
        <v>40</v>
      </c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5"/>
      <c r="Y297" s="59"/>
      <c r="Z297" s="51"/>
      <c r="AA297" s="51"/>
      <c r="AB297">
        <v>65.099999999999994</v>
      </c>
      <c r="AC297">
        <v>42.7</v>
      </c>
      <c r="AD297">
        <v>42.2</v>
      </c>
      <c r="AE297" t="s">
        <v>109</v>
      </c>
    </row>
    <row r="298" spans="1:31" x14ac:dyDescent="0.25">
      <c r="A298" s="30" t="s">
        <v>60</v>
      </c>
      <c r="B298" s="32" t="s">
        <v>65</v>
      </c>
      <c r="C298" s="31" t="s">
        <v>67</v>
      </c>
      <c r="D298" s="2"/>
      <c r="E298" s="2"/>
      <c r="F298" s="51"/>
      <c r="G298" s="51"/>
      <c r="H298" s="51"/>
      <c r="I298" s="51"/>
      <c r="J298" s="51"/>
      <c r="K298" s="51"/>
      <c r="L298" s="52"/>
      <c r="M298" s="51"/>
      <c r="N298" s="51"/>
      <c r="O298" s="51"/>
      <c r="P298" s="51"/>
      <c r="Q298" s="51">
        <v>35</v>
      </c>
      <c r="R298" s="51">
        <v>35</v>
      </c>
      <c r="S298" s="51"/>
      <c r="T298" s="51">
        <v>35</v>
      </c>
      <c r="U298" s="51">
        <v>35</v>
      </c>
      <c r="V298" s="51">
        <v>35</v>
      </c>
      <c r="W298" s="51">
        <v>35</v>
      </c>
      <c r="X298" s="55">
        <v>35</v>
      </c>
      <c r="Y298" s="59"/>
      <c r="Z298" s="51"/>
      <c r="AA298" s="51"/>
      <c r="AB298">
        <v>18.2</v>
      </c>
      <c r="AC298">
        <v>22</v>
      </c>
      <c r="AD298">
        <v>22.2</v>
      </c>
      <c r="AE298" t="s">
        <v>110</v>
      </c>
    </row>
    <row r="299" spans="1:31" x14ac:dyDescent="0.25">
      <c r="A299" s="30" t="s">
        <v>60</v>
      </c>
      <c r="B299" s="32" t="s">
        <v>65</v>
      </c>
      <c r="C299" s="31" t="s">
        <v>68</v>
      </c>
      <c r="D299" s="2"/>
      <c r="E299" s="2"/>
      <c r="F299" s="51"/>
      <c r="G299" s="51"/>
      <c r="H299" s="51"/>
      <c r="I299" s="51"/>
      <c r="J299" s="51"/>
      <c r="K299" s="51"/>
      <c r="L299" s="52">
        <v>40</v>
      </c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5"/>
      <c r="Y299" s="59"/>
      <c r="Z299" s="51"/>
      <c r="AA299" s="51"/>
      <c r="AB299">
        <v>47</v>
      </c>
      <c r="AC299">
        <v>58</v>
      </c>
      <c r="AD299">
        <v>49</v>
      </c>
      <c r="AE299" t="s">
        <v>102</v>
      </c>
    </row>
    <row r="300" spans="1:31" x14ac:dyDescent="0.25">
      <c r="A300" s="30" t="s">
        <v>60</v>
      </c>
      <c r="B300" s="32" t="s">
        <v>9</v>
      </c>
      <c r="C300" s="31" t="s">
        <v>69</v>
      </c>
      <c r="D300" s="2"/>
      <c r="E300" s="2"/>
      <c r="F300" s="51"/>
      <c r="G300" s="51"/>
      <c r="H300" s="51"/>
      <c r="I300" s="51"/>
      <c r="J300" s="51"/>
      <c r="K300" s="51"/>
      <c r="L300" s="52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5">
        <v>60</v>
      </c>
      <c r="Y300" s="59"/>
      <c r="Z300" s="51"/>
      <c r="AA300" s="51"/>
      <c r="AB300">
        <f>AB295*AB296</f>
        <v>10.44</v>
      </c>
      <c r="AC300">
        <f>AC295*AC296</f>
        <v>3.84</v>
      </c>
      <c r="AD300">
        <f>AD295*AD296</f>
        <v>2.16</v>
      </c>
      <c r="AE300" t="s">
        <v>91</v>
      </c>
    </row>
    <row r="301" spans="1:31" x14ac:dyDescent="0.25">
      <c r="A301" s="15" t="s">
        <v>51</v>
      </c>
      <c r="B301" s="16" t="s">
        <v>56</v>
      </c>
      <c r="C301" s="27" t="s">
        <v>57</v>
      </c>
      <c r="D301" s="16" t="s">
        <v>70</v>
      </c>
      <c r="E301" s="16"/>
      <c r="F301" s="1"/>
      <c r="G301" s="1"/>
      <c r="H301" s="1"/>
      <c r="I301" s="1"/>
      <c r="J301" s="1"/>
      <c r="K301" s="1"/>
      <c r="L301" s="5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54"/>
      <c r="Y301" s="58"/>
      <c r="Z301" s="1"/>
      <c r="AA301" s="1"/>
      <c r="AB301">
        <f>(AB298/100)^2*AB297/100</f>
        <v>2.1563723999999999E-2</v>
      </c>
      <c r="AC301">
        <f>(AC298/100)^2*AC297/100</f>
        <v>2.0666800000000003E-2</v>
      </c>
      <c r="AD301">
        <f>(AD298/100)^2*AD297/100</f>
        <v>2.0797848000000001E-2</v>
      </c>
      <c r="AE301" t="s">
        <v>112</v>
      </c>
    </row>
    <row r="302" spans="1:31" x14ac:dyDescent="0.25">
      <c r="A302" s="15" t="s">
        <v>51</v>
      </c>
      <c r="B302" s="16" t="s">
        <v>56</v>
      </c>
      <c r="C302" s="27" t="s">
        <v>57</v>
      </c>
      <c r="D302" s="16" t="s">
        <v>71</v>
      </c>
      <c r="E302" s="16"/>
      <c r="F302" s="1"/>
      <c r="G302" s="1"/>
      <c r="H302" s="1"/>
      <c r="I302" s="1"/>
      <c r="J302" s="1"/>
      <c r="K302" s="1"/>
      <c r="L302" s="5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54"/>
      <c r="Y302" s="58"/>
      <c r="Z302" s="1"/>
      <c r="AA302" s="1"/>
      <c r="AB302">
        <f>AB300/AB299</f>
        <v>0.22212765957446806</v>
      </c>
      <c r="AC302">
        <f>AC300/AC299</f>
        <v>6.620689655172414E-2</v>
      </c>
      <c r="AD302">
        <f>AD300/AD299</f>
        <v>4.4081632653061226E-2</v>
      </c>
      <c r="AE302" t="s">
        <v>104</v>
      </c>
    </row>
    <row r="303" spans="1:31" x14ac:dyDescent="0.25">
      <c r="A303" s="15" t="s">
        <v>51</v>
      </c>
      <c r="B303" s="16" t="s">
        <v>56</v>
      </c>
      <c r="C303" s="27" t="s">
        <v>27</v>
      </c>
      <c r="D303" s="16" t="s">
        <v>72</v>
      </c>
      <c r="E303" s="16"/>
      <c r="F303" s="1"/>
      <c r="G303" s="1"/>
      <c r="H303" s="1"/>
      <c r="I303" s="1"/>
      <c r="J303" s="1"/>
      <c r="K303" s="1"/>
      <c r="L303" s="5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54"/>
      <c r="Y303" s="58"/>
      <c r="Z303" s="1"/>
      <c r="AA303" s="1"/>
      <c r="AB303">
        <f>AB300/AB301</f>
        <v>484.14643036610931</v>
      </c>
      <c r="AC303">
        <f>AC300/AC301</f>
        <v>185.8052528693363</v>
      </c>
      <c r="AD303">
        <f>AD300/AD301</f>
        <v>103.85689904070844</v>
      </c>
      <c r="AE303" t="s">
        <v>113</v>
      </c>
    </row>
    <row r="304" spans="1:31" x14ac:dyDescent="0.25">
      <c r="A304" s="15" t="s">
        <v>51</v>
      </c>
      <c r="B304" s="16" t="s">
        <v>56</v>
      </c>
      <c r="C304" s="27" t="s">
        <v>57</v>
      </c>
      <c r="D304" s="16" t="s">
        <v>73</v>
      </c>
      <c r="E304" s="16"/>
      <c r="F304" s="1"/>
      <c r="G304" s="1"/>
      <c r="H304" s="1"/>
      <c r="I304" s="1"/>
      <c r="J304" s="1"/>
      <c r="K304" s="1"/>
      <c r="L304" s="5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54"/>
      <c r="Y304" s="58"/>
      <c r="Z304" s="1"/>
      <c r="AA304" s="1"/>
    </row>
    <row r="305" spans="1:27" x14ac:dyDescent="0.25">
      <c r="A305" s="15" t="s">
        <v>51</v>
      </c>
      <c r="B305" s="16" t="s">
        <v>56</v>
      </c>
      <c r="C305" s="27" t="s">
        <v>57</v>
      </c>
      <c r="D305" s="16" t="s">
        <v>74</v>
      </c>
      <c r="E305" s="16"/>
      <c r="F305" s="1"/>
      <c r="G305" s="1"/>
      <c r="H305" s="1"/>
      <c r="I305" s="1"/>
      <c r="J305" s="1"/>
      <c r="K305" s="1"/>
      <c r="L305" s="5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54"/>
      <c r="Y305" s="58"/>
      <c r="Z305" s="1"/>
      <c r="AA305" s="1"/>
    </row>
    <row r="306" spans="1:27" x14ac:dyDescent="0.25">
      <c r="A306" s="30" t="s">
        <v>60</v>
      </c>
      <c r="B306" s="31" t="s">
        <v>13</v>
      </c>
      <c r="C306" s="32" t="s">
        <v>61</v>
      </c>
      <c r="D306" s="31" t="s">
        <v>75</v>
      </c>
      <c r="E306" s="31"/>
      <c r="F306" s="51"/>
      <c r="G306" s="51"/>
      <c r="H306" s="51"/>
      <c r="I306" s="51"/>
      <c r="J306" s="51"/>
      <c r="K306" s="51"/>
      <c r="L306" s="52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5"/>
      <c r="Y306" s="59"/>
      <c r="Z306" s="51"/>
      <c r="AA306" s="51"/>
    </row>
    <row r="307" spans="1:27" x14ac:dyDescent="0.25">
      <c r="A307" s="30" t="s">
        <v>60</v>
      </c>
      <c r="B307" s="31" t="s">
        <v>13</v>
      </c>
      <c r="C307" s="32" t="s">
        <v>61</v>
      </c>
      <c r="D307" s="31" t="s">
        <v>76</v>
      </c>
      <c r="E307" s="31"/>
      <c r="F307" s="51"/>
      <c r="G307" s="51"/>
      <c r="H307" s="51"/>
      <c r="I307" s="51"/>
      <c r="J307" s="51"/>
      <c r="K307" s="51"/>
      <c r="L307" s="52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5"/>
      <c r="Y307" s="59"/>
      <c r="Z307" s="51"/>
      <c r="AA307" s="51"/>
    </row>
    <row r="308" spans="1:27" x14ac:dyDescent="0.25">
      <c r="A308" s="30" t="s">
        <v>60</v>
      </c>
      <c r="B308" s="31" t="s">
        <v>13</v>
      </c>
      <c r="C308" s="32" t="s">
        <v>61</v>
      </c>
      <c r="D308" s="31" t="s">
        <v>77</v>
      </c>
      <c r="E308" s="31"/>
      <c r="F308" s="51"/>
      <c r="G308" s="51"/>
      <c r="H308" s="51"/>
      <c r="I308" s="51"/>
      <c r="J308" s="51"/>
      <c r="K308" s="51"/>
      <c r="L308" s="52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5"/>
      <c r="Y308" s="59"/>
      <c r="Z308" s="51"/>
      <c r="AA308" s="51"/>
    </row>
    <row r="309" spans="1:27" x14ac:dyDescent="0.25">
      <c r="A309" s="30" t="s">
        <v>60</v>
      </c>
      <c r="B309" s="31" t="s">
        <v>13</v>
      </c>
      <c r="C309" s="32" t="s">
        <v>61</v>
      </c>
      <c r="D309" s="31" t="s">
        <v>78</v>
      </c>
      <c r="E309" s="31"/>
      <c r="F309" s="51"/>
      <c r="G309" s="51"/>
      <c r="H309" s="51"/>
      <c r="I309" s="51"/>
      <c r="J309" s="51"/>
      <c r="K309" s="51"/>
      <c r="L309" s="52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5"/>
      <c r="Y309" s="59"/>
      <c r="Z309" s="51"/>
      <c r="AA309" s="51"/>
    </row>
    <row r="310" spans="1:27" ht="15.75" thickBot="1" x14ac:dyDescent="0.3">
      <c r="A310" s="33" t="s">
        <v>60</v>
      </c>
      <c r="B310" s="34" t="s">
        <v>13</v>
      </c>
      <c r="C310" s="35" t="s">
        <v>61</v>
      </c>
      <c r="D310" s="34" t="s">
        <v>79</v>
      </c>
      <c r="E310" s="31"/>
      <c r="F310" s="51"/>
      <c r="G310" s="51"/>
      <c r="H310" s="51"/>
      <c r="I310" s="51"/>
      <c r="J310" s="51"/>
      <c r="K310" s="51"/>
      <c r="L310" s="52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5"/>
      <c r="Y310" s="59"/>
      <c r="Z310" s="51"/>
      <c r="AA310" s="51"/>
    </row>
    <row r="311" spans="1:27" x14ac:dyDescent="0.25">
      <c r="A311" s="30" t="s">
        <v>60</v>
      </c>
      <c r="B311" s="31" t="s">
        <v>13</v>
      </c>
      <c r="C311" s="32" t="s">
        <v>62</v>
      </c>
      <c r="D311" s="31" t="s">
        <v>75</v>
      </c>
      <c r="E311" s="31"/>
      <c r="F311" s="51"/>
      <c r="G311" s="51"/>
      <c r="H311" s="51"/>
      <c r="I311" s="51"/>
      <c r="J311" s="51"/>
      <c r="K311" s="51"/>
      <c r="L311" s="52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5"/>
      <c r="Y311" s="59"/>
      <c r="Z311" s="51"/>
      <c r="AA311" s="51"/>
    </row>
    <row r="312" spans="1:27" x14ac:dyDescent="0.25">
      <c r="A312" s="30" t="s">
        <v>60</v>
      </c>
      <c r="B312" s="31" t="s">
        <v>13</v>
      </c>
      <c r="C312" s="32" t="s">
        <v>62</v>
      </c>
      <c r="D312" s="31" t="s">
        <v>76</v>
      </c>
      <c r="E312" s="31"/>
      <c r="F312" s="51"/>
      <c r="G312" s="51"/>
      <c r="H312" s="51"/>
      <c r="I312" s="51"/>
      <c r="J312" s="51"/>
      <c r="K312" s="51"/>
      <c r="L312" s="52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5"/>
      <c r="Y312" s="59"/>
      <c r="Z312" s="51"/>
      <c r="AA312" s="51"/>
    </row>
    <row r="313" spans="1:27" x14ac:dyDescent="0.25">
      <c r="A313" s="30" t="s">
        <v>60</v>
      </c>
      <c r="B313" s="31" t="s">
        <v>13</v>
      </c>
      <c r="C313" s="32" t="s">
        <v>62</v>
      </c>
      <c r="D313" s="31" t="s">
        <v>77</v>
      </c>
      <c r="E313" s="31"/>
      <c r="F313" s="51"/>
      <c r="G313" s="51"/>
      <c r="H313" s="51"/>
      <c r="I313" s="51"/>
      <c r="J313" s="51"/>
      <c r="K313" s="51"/>
      <c r="L313" s="52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5"/>
      <c r="Y313" s="59"/>
      <c r="Z313" s="51"/>
      <c r="AA313" s="51"/>
    </row>
    <row r="314" spans="1:27" x14ac:dyDescent="0.25">
      <c r="A314" s="30" t="s">
        <v>60</v>
      </c>
      <c r="B314" s="31" t="s">
        <v>13</v>
      </c>
      <c r="C314" s="32" t="s">
        <v>62</v>
      </c>
      <c r="D314" s="31" t="s">
        <v>78</v>
      </c>
      <c r="E314" s="31"/>
      <c r="F314" s="51"/>
      <c r="G314" s="51"/>
      <c r="H314" s="51"/>
      <c r="I314" s="51"/>
      <c r="J314" s="51"/>
      <c r="K314" s="51"/>
      <c r="L314" s="52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5"/>
      <c r="Y314" s="59"/>
      <c r="Z314" s="51"/>
      <c r="AA314" s="51"/>
    </row>
    <row r="315" spans="1:27" ht="15.75" thickBot="1" x14ac:dyDescent="0.3">
      <c r="A315" s="33" t="s">
        <v>60</v>
      </c>
      <c r="B315" s="34" t="s">
        <v>13</v>
      </c>
      <c r="C315" s="32" t="s">
        <v>62</v>
      </c>
      <c r="D315" s="34" t="s">
        <v>79</v>
      </c>
      <c r="E315" s="31"/>
      <c r="F315" s="51"/>
      <c r="G315" s="51"/>
      <c r="H315" s="51"/>
      <c r="I315" s="51"/>
      <c r="J315" s="51"/>
      <c r="K315" s="51"/>
      <c r="L315" s="52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5"/>
      <c r="Y315" s="59"/>
      <c r="Z315" s="51"/>
      <c r="AA315" s="5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1E52687AEAFC4EA7920E461687C0DC" ma:contentTypeVersion="16" ma:contentTypeDescription="Crée un document." ma:contentTypeScope="" ma:versionID="ea5167a4e9b83036f8c5fb2aa7453e61">
  <xsd:schema xmlns:xsd="http://www.w3.org/2001/XMLSchema" xmlns:xs="http://www.w3.org/2001/XMLSchema" xmlns:p="http://schemas.microsoft.com/office/2006/metadata/properties" xmlns:ns2="dadd0e42-9728-4602-8a5c-a46f3b87708c" xmlns:ns3="2b0c7c77-6603-46ff-8b7f-07662d0248db" targetNamespace="http://schemas.microsoft.com/office/2006/metadata/properties" ma:root="true" ma:fieldsID="0687517876d3dd68577b40898515c8b7" ns2:_="" ns3:_="">
    <xsd:import namespace="dadd0e42-9728-4602-8a5c-a46f3b87708c"/>
    <xsd:import namespace="2b0c7c77-6603-46ff-8b7f-07662d0248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dd0e42-9728-4602-8a5c-a46f3b8770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a4320773-1e3d-486a-99a8-b772c0795d3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c7c77-6603-46ff-8b7f-07662d0248d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1320167-c52f-436c-9801-ae8216cadacd}" ma:internalName="TaxCatchAll" ma:showField="CatchAllData" ma:web="2b0c7c77-6603-46ff-8b7f-07662d0248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b0c7c77-6603-46ff-8b7f-07662d0248db" xsi:nil="true"/>
    <lcf76f155ced4ddcb4097134ff3c332f xmlns="dadd0e42-9728-4602-8a5c-a46f3b87708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18A1B86-A810-4882-B0DE-6F14500967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dd0e42-9728-4602-8a5c-a46f3b87708c"/>
    <ds:schemaRef ds:uri="2b0c7c77-6603-46ff-8b7f-07662d0248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646ADA-AF61-47F3-A514-70C6500BF5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4D11F0-2D58-495D-A0FB-761CC9C93367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dadd0e42-9728-4602-8a5c-a46f3b87708c"/>
    <ds:schemaRef ds:uri="http://purl.org/dc/terms/"/>
    <ds:schemaRef ds:uri="2b0c7c77-6603-46ff-8b7f-07662d0248db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15</vt:i4>
      </vt:variant>
      <vt:variant>
        <vt:lpstr>Benannte Bereiche</vt:lpstr>
      </vt:variant>
      <vt:variant>
        <vt:i4>2</vt:i4>
      </vt:variant>
    </vt:vector>
  </HeadingPairs>
  <TitlesOfParts>
    <vt:vector size="17" baseType="lpstr">
      <vt:lpstr>Av 2011</vt:lpstr>
      <vt:lpstr>Av 2012</vt:lpstr>
      <vt:lpstr>Av 2013</vt:lpstr>
      <vt:lpstr>Av 2014</vt:lpstr>
      <vt:lpstr>Av 2015</vt:lpstr>
      <vt:lpstr>Av 2016</vt:lpstr>
      <vt:lpstr>Av 2017</vt:lpstr>
      <vt:lpstr>Av 2018</vt:lpstr>
      <vt:lpstr>Av 2019</vt:lpstr>
      <vt:lpstr>Av 2020</vt:lpstr>
      <vt:lpstr>Av 2021</vt:lpstr>
      <vt:lpstr>product app 2020</vt:lpstr>
      <vt:lpstr>trends</vt:lpstr>
      <vt:lpstr>Tabelle1</vt:lpstr>
      <vt:lpstr>Tabelle3</vt:lpstr>
      <vt:lpstr>'Av 2012'!Druckbereich</vt:lpstr>
      <vt:lpstr>'Av 2014'!Druckbereich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 Chanson</dc:creator>
  <cp:lastModifiedBy>Billaud, Mathilde</cp:lastModifiedBy>
  <cp:lastPrinted>2016-12-27T10:12:02Z</cp:lastPrinted>
  <dcterms:created xsi:type="dcterms:W3CDTF">2013-07-17T15:00:38Z</dcterms:created>
  <dcterms:modified xsi:type="dcterms:W3CDTF">2022-11-15T16:20:57Z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0x0101006C1E52687AEAFC4EA7920E461687C0DC</vt:lpwstr>
  </property>
  <property fmtid="{D5CDD505-2E9C-101B-9397-08002B2CF9AE}" pid="3" name="MediaServiceImageTags">
    <vt:lpwstr/>
  </property>
</Properties>
</file>